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ns de Serviço - 2024" sheetId="1" r:id="rId4"/>
    <sheet state="visible" name="Ordens de Serviço - 2023" sheetId="2" r:id="rId5"/>
    <sheet state="visible" name="Graficos Anual" sheetId="3" r:id="rId6"/>
    <sheet state="hidden" name="Lista Suspensa" sheetId="4" r:id="rId7"/>
  </sheets>
  <definedNames>
    <definedName name="servmanut">'Lista Suspensa'!$A$3:$A$9</definedName>
    <definedName name="statusserv">'Lista Suspensa'!$E$5:$E$8</definedName>
  </definedNames>
  <calcPr/>
  <extLst>
    <ext uri="GoogleSheetsCustomDataVersion2">
      <go:sheetsCustomData xmlns:go="http://customooxmlschemas.google.com/" r:id="rId8" roundtripDataChecksum="jkCFi0m8lB5LaBOEkUT7G/0IOC1lxlPTMrC/oSSW0Wo="/>
    </ext>
  </extLst>
</workbook>
</file>

<file path=xl/sharedStrings.xml><?xml version="1.0" encoding="utf-8"?>
<sst xmlns="http://schemas.openxmlformats.org/spreadsheetml/2006/main" count="13816" uniqueCount="5317">
  <si>
    <t>NÚM. DA O.S.</t>
  </si>
  <si>
    <t>DATA E HORA SOLICITAÇÃO</t>
  </si>
  <si>
    <t xml:space="preserve"> SOLICITANTE</t>
  </si>
  <si>
    <t>RAMAL</t>
  </si>
  <si>
    <t>DEPTO</t>
  </si>
  <si>
    <t xml:space="preserve">LOCAL </t>
  </si>
  <si>
    <t xml:space="preserve">LOCAL DO SERVIÇO </t>
  </si>
  <si>
    <t>TIPO DE SERVIÇO</t>
  </si>
  <si>
    <t xml:space="preserve">JARDINAGEM </t>
  </si>
  <si>
    <t>DESCRIÇÃO DO SERVIÇO</t>
  </si>
  <si>
    <t xml:space="preserve">OBSERVAÇÃO </t>
  </si>
  <si>
    <t>SITUAÇÃO SERVIÇO</t>
  </si>
  <si>
    <t>DATA E HORA DA EXECUÇÃO</t>
  </si>
  <si>
    <t>001/2023</t>
  </si>
  <si>
    <t>Central de Operações</t>
  </si>
  <si>
    <t>MONITORAMENTO</t>
  </si>
  <si>
    <t>Bloco E</t>
  </si>
  <si>
    <t>Bloco E câmeras estão desconectadas.</t>
  </si>
  <si>
    <t>Instalações e/ou Manutenção em Cabeamento de Rede</t>
  </si>
  <si>
    <t>Câmeras do Bloco E estão desconectadas. 1 Entrada Avenida/2 Blocos C,D/3 Rua Principal/4 Estacionamento Carros/5 Estacionamento Motos/6Praça de letras.</t>
  </si>
  <si>
    <t>Realizado</t>
  </si>
  <si>
    <t>002/2023</t>
  </si>
  <si>
    <t>Bloco H</t>
  </si>
  <si>
    <t>Sala do Rack/ Entrada Brinquedoteca/ Corredor Bloco I</t>
  </si>
  <si>
    <t>DVR das Câmeras do Bloco H estão desconectados.</t>
  </si>
  <si>
    <t>003/2023</t>
  </si>
  <si>
    <t>Rejane</t>
  </si>
  <si>
    <t>LL - Letras e Linguísticas</t>
  </si>
  <si>
    <t>Bloco G</t>
  </si>
  <si>
    <t>Sala 04 Gabinete 04C</t>
  </si>
  <si>
    <t>Serviços Gerais</t>
  </si>
  <si>
    <t>Goteira em cima da mesa com computador do gabinete do professor. A goteira fica no mesmo espaço da lâmpada podendo ocorrer um circuito elétrico.</t>
  </si>
  <si>
    <t>004/2023</t>
  </si>
  <si>
    <t>Juliana Veloso da Silva</t>
  </si>
  <si>
    <t>IBIOTEC - Ciências Biológicas</t>
  </si>
  <si>
    <t>Campus II</t>
  </si>
  <si>
    <t>Sala 22</t>
  </si>
  <si>
    <t>Instalações Elétricas</t>
  </si>
  <si>
    <t>Tomadas com o código CIR 03 não estão funcionando desde quinta-feira (29/12/2022) à noite. Todas as demais tomadas da sala funcionam porém essas do código com problema são as que ligam a cabine de fluxo único, a estufa, a geladeira e a estante com luzes. Com o ocorrido duas das luzes do teto também ficaram amareladas.</t>
  </si>
  <si>
    <t>005/2023</t>
  </si>
  <si>
    <t>Daniel Simões</t>
  </si>
  <si>
    <t>PRPE</t>
  </si>
  <si>
    <t>MUC</t>
  </si>
  <si>
    <t>Área externa da MUC - gramado</t>
  </si>
  <si>
    <t>Jardinagem</t>
  </si>
  <si>
    <t>Colocar veneno para formigas no gramado. Estão comendo tudo o que se planta.</t>
  </si>
  <si>
    <t>006/2023</t>
  </si>
  <si>
    <t>Leonardo Ferreira</t>
  </si>
  <si>
    <t>EDITORA LETRAS DO CERRADO</t>
  </si>
  <si>
    <t>Biblioteca</t>
  </si>
  <si>
    <t>Subsolo biblioteca</t>
  </si>
  <si>
    <t>Todas as tomadas estão sem energia.</t>
  </si>
  <si>
    <t>007/2023</t>
  </si>
  <si>
    <t>Ludimila Oliveira de Campos</t>
  </si>
  <si>
    <t>CGEN-Centro de Gestão e Negócios</t>
  </si>
  <si>
    <t>Bloco L</t>
  </si>
  <si>
    <t>Sala 103</t>
  </si>
  <si>
    <t>Instalar purificador de água</t>
  </si>
  <si>
    <t>008/2023</t>
  </si>
  <si>
    <t>Jéssica Lorrane</t>
  </si>
  <si>
    <t>IBIOTEC  - Psicologia</t>
  </si>
  <si>
    <t>Bloco M</t>
  </si>
  <si>
    <t>Bloco Psicologia</t>
  </si>
  <si>
    <t>Ares condicionados do bloco M da Psicologia não estão funcionando.</t>
  </si>
  <si>
    <t>009/2023</t>
  </si>
  <si>
    <t>Maria Duarte</t>
  </si>
  <si>
    <t>Bloco E, Bloco H, Bloco O</t>
  </si>
  <si>
    <t>Boa Tarde, venho solicitar que seja averiguado a conexão de internet nos Blocos E, H e O, pois os mesmos se encontram off-line novamente.</t>
  </si>
  <si>
    <t>010/2023</t>
  </si>
  <si>
    <t>Diovana Canedo Marcelino</t>
  </si>
  <si>
    <t>PREF</t>
  </si>
  <si>
    <t>Porta principal</t>
  </si>
  <si>
    <t>Fechadura entrada principal está estragada</t>
  </si>
  <si>
    <t xml:space="preserve">Rolamento da porta de vidro </t>
  </si>
  <si>
    <t xml:space="preserve">Inexequível </t>
  </si>
  <si>
    <t>011/2023</t>
  </si>
  <si>
    <t>Amanda Matos</t>
  </si>
  <si>
    <t>Auditório Paulo de Bastos</t>
  </si>
  <si>
    <t>Banheiros Auditorios</t>
  </si>
  <si>
    <t>Instalações Hidrossanitárias</t>
  </si>
  <si>
    <t>Troca de três tampas de vasos</t>
  </si>
  <si>
    <t>012/2023</t>
  </si>
  <si>
    <t>Bloco Administrativo</t>
  </si>
  <si>
    <t>Banheiros bloco administrativos</t>
  </si>
  <si>
    <t>Troca de duas tampas de vasos</t>
  </si>
  <si>
    <t>013/2023</t>
  </si>
  <si>
    <t>Bloco O</t>
  </si>
  <si>
    <t>Banheiros bloco engenharia civil</t>
  </si>
  <si>
    <t>Troca de uma tampa do vaso</t>
  </si>
  <si>
    <t>014/2023</t>
  </si>
  <si>
    <t>Restaurante Universitário</t>
  </si>
  <si>
    <t>Banheiros RU</t>
  </si>
  <si>
    <t>015/2023</t>
  </si>
  <si>
    <t>Bloco Didático II</t>
  </si>
  <si>
    <t>Banheiros do didatico II</t>
  </si>
  <si>
    <t>Troca de três tampos de vaso</t>
  </si>
  <si>
    <t>016/2023</t>
  </si>
  <si>
    <t>Banheiros</t>
  </si>
  <si>
    <t>Troca de uma tampa de vaso</t>
  </si>
  <si>
    <t>017/2023</t>
  </si>
  <si>
    <t>Bloco D</t>
  </si>
  <si>
    <t>Banheiro</t>
  </si>
  <si>
    <t>018/2023</t>
  </si>
  <si>
    <t>Bloco F</t>
  </si>
  <si>
    <t>019/2023</t>
  </si>
  <si>
    <t>Lhorrani</t>
  </si>
  <si>
    <t>Sala Multiuso 105</t>
  </si>
  <si>
    <t>Pequenos Serviços de Reparos em Marcenaria</t>
  </si>
  <si>
    <t>Colocar uma cantoneira na mesa (mesa estar mancando)</t>
  </si>
  <si>
    <t>020/2023</t>
  </si>
  <si>
    <t>Maria Eduarda Pinto Mazeto Nogueira</t>
  </si>
  <si>
    <t>DTL - Divisão de Transporte e Logística</t>
  </si>
  <si>
    <t>Alojamento de motoristas - Banheiro</t>
  </si>
  <si>
    <t>Fixar o lavatório do banheiro do alojamento (Perigo de acidente)</t>
  </si>
  <si>
    <t>021/2023</t>
  </si>
  <si>
    <t>Robson</t>
  </si>
  <si>
    <t>PROAF</t>
  </si>
  <si>
    <t>S08</t>
  </si>
  <si>
    <t>Troca de Lâmpadas queimadas</t>
  </si>
  <si>
    <t>022/2023</t>
  </si>
  <si>
    <t>iandra</t>
  </si>
  <si>
    <t>Bloco P</t>
  </si>
  <si>
    <t>Prefeitura universitaria</t>
  </si>
  <si>
    <t>Troca de lampadas (dar baixa com Alex e Bruno)</t>
  </si>
  <si>
    <t>023/2023</t>
  </si>
  <si>
    <t>banheiro masculino terreo</t>
  </si>
  <si>
    <t>trocar 5 lampadas</t>
  </si>
  <si>
    <t>024/2023</t>
  </si>
  <si>
    <t>portão de entrada</t>
  </si>
  <si>
    <t>Serralheria</t>
  </si>
  <si>
    <t>Consertar portao de entrada da universidade (dar baixa com aurelio 04/01/2023)</t>
  </si>
  <si>
    <t>025/2023</t>
  </si>
  <si>
    <t>Banheiro feminino</t>
  </si>
  <si>
    <t>Troca de dois engates</t>
  </si>
  <si>
    <t>026/2023</t>
  </si>
  <si>
    <t>Apto 302</t>
  </si>
  <si>
    <t>Apto sem energia. A chave geral do apartamento fica caindo.</t>
  </si>
  <si>
    <t>027/2023</t>
  </si>
  <si>
    <t>Carla Braz</t>
  </si>
  <si>
    <t>Câmera 12 (Lateral Entrada Auditório)</t>
  </si>
  <si>
    <t>Câmera 12 (Lateral Entrada Auditório) desconectada.</t>
  </si>
  <si>
    <t>028/2023</t>
  </si>
  <si>
    <t>Bloco A</t>
  </si>
  <si>
    <t>Fundos do bloco A</t>
  </si>
  <si>
    <t>Luzes no fundo do bloco A queimadas</t>
  </si>
  <si>
    <t>029/2023</t>
  </si>
  <si>
    <t>CEAPSI - Clínica de Psicologia</t>
  </si>
  <si>
    <t>Urgência: Consultórios 01,02,03 e 04, não estão ascendendo as lâmpadas (nenhuma).</t>
  </si>
  <si>
    <t>030/2023</t>
  </si>
  <si>
    <t>Consultório 1 e 3 também estão com infiltração.</t>
  </si>
  <si>
    <t>031/2023</t>
  </si>
  <si>
    <t>Fundo bloco L</t>
  </si>
  <si>
    <t>Tampa de concreto do esgoto está quebrada</t>
  </si>
  <si>
    <t>032/2023</t>
  </si>
  <si>
    <t>Gabriel</t>
  </si>
  <si>
    <t>NUCLEO DE ACCESSIBILIDADE</t>
  </si>
  <si>
    <t>Banheiro recepção</t>
  </si>
  <si>
    <t>Troca de fechadura do banheiro acessível masculino</t>
  </si>
  <si>
    <t>033/2023</t>
  </si>
  <si>
    <t>Diretoria de Cultura/PROEC</t>
  </si>
  <si>
    <t>PROEC</t>
  </si>
  <si>
    <t>laje da porta de saída de emergência</t>
  </si>
  <si>
    <t>Reparos (alvenaria, piso, forro e telhado)</t>
  </si>
  <si>
    <t>Impermeabilização da laje da porta de saída de emergência</t>
  </si>
  <si>
    <t>034/2023</t>
  </si>
  <si>
    <t>Kariny Soares</t>
  </si>
  <si>
    <t>Fudos do Bloco A</t>
  </si>
  <si>
    <t>Realizar troca de lâmpadas queimadas no fundo do Bloco A (proximo as bananeiras e de frente a avenida Lamartine)</t>
  </si>
  <si>
    <t>035/2023</t>
  </si>
  <si>
    <t>Pedro</t>
  </si>
  <si>
    <t>sala do rack</t>
  </si>
  <si>
    <t>todas as câmeras do Bloco estão off-line.</t>
  </si>
  <si>
    <t>036/2023</t>
  </si>
  <si>
    <t>Sala do rack</t>
  </si>
  <si>
    <t xml:space="preserve"> </t>
  </si>
  <si>
    <t>037/2023</t>
  </si>
  <si>
    <t>Todas as câmeras do bloco estão off-line</t>
  </si>
  <si>
    <t>038/2023</t>
  </si>
  <si>
    <t>Bloco J</t>
  </si>
  <si>
    <t>Corredor</t>
  </si>
  <si>
    <t>Vazamento de esgoto no corredor do bloco J ao lado da cozinha</t>
  </si>
  <si>
    <t>039/2023</t>
  </si>
  <si>
    <t>Patrícia Francisca de Matos</t>
  </si>
  <si>
    <t>IF - Instituto de Geografia</t>
  </si>
  <si>
    <t>Queda de energia constante</t>
  </si>
  <si>
    <t>040/2023</t>
  </si>
  <si>
    <t>Marcia</t>
  </si>
  <si>
    <t>IQ - Instituto de Química</t>
  </si>
  <si>
    <t>Bloco K</t>
  </si>
  <si>
    <t>Sala 12.</t>
  </si>
  <si>
    <t>Verificar nobreak que fornece rede limpa para o laboratório 11. Nobreak não está ligando.</t>
  </si>
  <si>
    <t>041/2023</t>
  </si>
  <si>
    <t>Goteira.</t>
  </si>
  <si>
    <t>042/2023</t>
  </si>
  <si>
    <t>Guaraciara Picanço</t>
  </si>
  <si>
    <t>IBIOTEC - Medicina</t>
  </si>
  <si>
    <t>Solicitamos, por gentileza, avaliação da esquipe no teto do prédio, pois há goteiras na direção da escada e em frente as portas dos laboratórios morfofuncionais.</t>
  </si>
  <si>
    <t>043/2023</t>
  </si>
  <si>
    <t>Sérgio Henrique Fernandes Mundim</t>
  </si>
  <si>
    <t>FENG - Engenharia Civil</t>
  </si>
  <si>
    <t>Laboratório de mineralogia - 1° pavimento - Eng Minas - Prédio da FENG</t>
  </si>
  <si>
    <t>Troca de duas luminárias que se encontram queimadas.</t>
  </si>
  <si>
    <t>044/2023</t>
  </si>
  <si>
    <t>Consultório 3 está entrando água pelas janelas, ver o que pode ser feito.</t>
  </si>
  <si>
    <t>045/2023</t>
  </si>
  <si>
    <t>Renato Alejandro Tintaya Mollo</t>
  </si>
  <si>
    <t>IMTEC - Instituto de Matemática e Tecnologia</t>
  </si>
  <si>
    <t>Troca de lugar das gavetas na escrivaninha, do lado direito para o lado esquerdo.</t>
  </si>
  <si>
    <t>046/2023</t>
  </si>
  <si>
    <t>Apto 102 e 302</t>
  </si>
  <si>
    <t>Furar parede para instalar varal (apto 102) e cortinas (apto 302)</t>
  </si>
  <si>
    <t>047/2023</t>
  </si>
  <si>
    <t>Apto 201</t>
  </si>
  <si>
    <t>Maçaneta da porta do quarto B (meio) está frouxa e fica caindo.</t>
  </si>
  <si>
    <t>048/2023</t>
  </si>
  <si>
    <t>Ludmila</t>
  </si>
  <si>
    <t>apto 102 e 302</t>
  </si>
  <si>
    <t>instalação de varais e varão de cortinas</t>
  </si>
  <si>
    <t>049/2023</t>
  </si>
  <si>
    <t>Estamos com dois datashow sem funcionar.
Vocês fazem manutenção?
Nº de patrimônio: 299550 / 612249.
Sala: 104 (os dois datashow que estão separados)</t>
  </si>
  <si>
    <t>050/2023</t>
  </si>
  <si>
    <t>Carla</t>
  </si>
  <si>
    <t>Recepção e sala do pró-reitor</t>
  </si>
  <si>
    <t>Forro está com infiltração</t>
  </si>
  <si>
    <t>051/2023</t>
  </si>
  <si>
    <t>Aline do Nascimento Duarte Cardoso</t>
  </si>
  <si>
    <t>IBIOTEC  - Secretaria Administrativa</t>
  </si>
  <si>
    <t>Sala 319</t>
  </si>
  <si>
    <t>Substituir os 4 pés de uma mesa de escritório.
Fazer reparo em corrediça de gaveta.</t>
  </si>
  <si>
    <t>052/2023</t>
  </si>
  <si>
    <t>Trocar lâmpada quebrada no bloco D</t>
  </si>
  <si>
    <t>053/2023</t>
  </si>
  <si>
    <t>Iandra</t>
  </si>
  <si>
    <t>sotão</t>
  </si>
  <si>
    <t>TROCAR FECHADURA - dar baixa marcelo 10/01/2023</t>
  </si>
  <si>
    <t>054/2023</t>
  </si>
  <si>
    <t>Estação pluviometrica</t>
  </si>
  <si>
    <t>Trocar luminária de lugar - a pedido do Lincoln (Dar baixa Bruno e Daniel - 09/01/2023)</t>
  </si>
  <si>
    <t>055/2023</t>
  </si>
  <si>
    <t>campus i</t>
  </si>
  <si>
    <t>Trocar lampadas queimadas dos postes - dar baixa daniel e bruno 10/01/2023</t>
  </si>
  <si>
    <t>056/2023</t>
  </si>
  <si>
    <t>laje da saida de emergencia</t>
  </si>
  <si>
    <t>desentupir ralo de saida pluvial</t>
  </si>
  <si>
    <t>057/2023</t>
  </si>
  <si>
    <t>Jhonatan Carvalho</t>
  </si>
  <si>
    <t>IBIOTEC - Ciências da Computação</t>
  </si>
  <si>
    <t>Sala 12</t>
  </si>
  <si>
    <t>Ligação de um novo ar condicionado.</t>
  </si>
  <si>
    <t>058/2023</t>
  </si>
  <si>
    <t>Camila Vieira</t>
  </si>
  <si>
    <t>IBIOTEC  - Educação Física</t>
  </si>
  <si>
    <t>Recolocar a tampa do ar-condicionado</t>
  </si>
  <si>
    <t>059/2023</t>
  </si>
  <si>
    <t>Sala</t>
  </si>
  <si>
    <t>Trocar lampada queimada</t>
  </si>
  <si>
    <t>060/2023</t>
  </si>
  <si>
    <t>Banheiro Engenharia de minas</t>
  </si>
  <si>
    <t>trocar torneira de limpeza do banheiro</t>
  </si>
  <si>
    <t>061/2023</t>
  </si>
  <si>
    <t>rogerio tomaz pires junior</t>
  </si>
  <si>
    <t>SEINFRA</t>
  </si>
  <si>
    <t>SETI</t>
  </si>
  <si>
    <t>banheiro feminino</t>
  </si>
  <si>
    <t>apos chuva de hje o vazo voltou agua e entupiu</t>
  </si>
  <si>
    <t>062/2023</t>
  </si>
  <si>
    <t>Lailton Martins Ribeiro</t>
  </si>
  <si>
    <t>Troca dos rodízios do carrinho de transporte de carga.</t>
  </si>
  <si>
    <t>063/2023</t>
  </si>
  <si>
    <t>Priscila Querino de Lima</t>
  </si>
  <si>
    <t>Sala 22, Secretária do Mestrado em Geografia</t>
  </si>
  <si>
    <t>Há um vazamento (goteira) na sala 22</t>
  </si>
  <si>
    <t>064/2023</t>
  </si>
  <si>
    <t>Milena Martins do Nascimento</t>
  </si>
  <si>
    <t>3 - Gabinete 3C</t>
  </si>
  <si>
    <t>Goteira e forro mofado</t>
  </si>
  <si>
    <t>065/2023</t>
  </si>
  <si>
    <t>Corredor da sala 03 - Secretaria</t>
  </si>
  <si>
    <t>Buraco no forro com goteiras, com goteiras e mofos.</t>
  </si>
  <si>
    <t>066/2023</t>
  </si>
  <si>
    <t>Jordana Alves de Aguiar</t>
  </si>
  <si>
    <t>Instalação de persiana na janela. Observação: a persiana será cedida e está na prefeitura (confirmar com servidor Sérgio Idalino, pois a cessão será feita por ele).</t>
  </si>
  <si>
    <t>067/2023</t>
  </si>
  <si>
    <t>André Alves de Resende</t>
  </si>
  <si>
    <t>FENG  - Engenharia de Produção</t>
  </si>
  <si>
    <t>Sala do Prof. André Alves de Resende</t>
  </si>
  <si>
    <t>A sala possui duas goteiras. Uma no centro da sala (sobre a mesa) e outra próxima a porta de entrada.</t>
  </si>
  <si>
    <t>068/2023</t>
  </si>
  <si>
    <t>PROESQ</t>
  </si>
  <si>
    <t>Hall do 1° andar - Bloco L (Mais informações na sala 103)</t>
  </si>
  <si>
    <t>Instalar bebedouro</t>
  </si>
  <si>
    <t>069/2023</t>
  </si>
  <si>
    <t>STANERTY ADRIANO FERREIRA DE REZENDE</t>
  </si>
  <si>
    <t>Sala 5</t>
  </si>
  <si>
    <t>Favor verificar problemas na fechadura da porta (apresente agarramento, o que dificulta trancar a sala).</t>
  </si>
  <si>
    <t>070/2023</t>
  </si>
  <si>
    <t>Rejane/ Vanessa</t>
  </si>
  <si>
    <t>Salas dos blocos E e G</t>
  </si>
  <si>
    <t>Pintura</t>
  </si>
  <si>
    <t>Pintura dos forros e paredes que estão com mofo.</t>
  </si>
  <si>
    <t>071/2023</t>
  </si>
  <si>
    <t>Sala 07.</t>
  </si>
  <si>
    <t>Instalação de uma lousa de vidro na parede.</t>
  </si>
  <si>
    <t>072/2023</t>
  </si>
  <si>
    <t>Apto 203</t>
  </si>
  <si>
    <t>Maçaneta da porta do quarto está frouxa e fica caindo. apto 203</t>
  </si>
  <si>
    <t>073/2023</t>
  </si>
  <si>
    <t>Mayani Thais Lopes</t>
  </si>
  <si>
    <t>IBIOTEC - Enfermagem</t>
  </si>
  <si>
    <t>Instalar 2 pontos de tomada no espaço livre da parede do quadro branco.</t>
  </si>
  <si>
    <t>074/2023</t>
  </si>
  <si>
    <t>Instalar 2 pontos de tomada embaixo do quadro branco; e mais 2 pontos de tomada na parede da porta de entrada, aonde ficam as carteiras.</t>
  </si>
  <si>
    <t>075/2023</t>
  </si>
  <si>
    <t>Bloco Didático I</t>
  </si>
  <si>
    <t>comite de etica sala 211</t>
  </si>
  <si>
    <t>colocar letra "a" que caiu</t>
  </si>
  <si>
    <t>076/2023</t>
  </si>
  <si>
    <t>OUTROS</t>
  </si>
  <si>
    <t>estacionamento de veiculos oficiais</t>
  </si>
  <si>
    <t>vedar lanterna do onibus - dar baixa mauro 11/01/2022</t>
  </si>
  <si>
    <t>077/2023</t>
  </si>
  <si>
    <t>João Donizete Lima</t>
  </si>
  <si>
    <t>Sala 5D (Gabinete Professor)</t>
  </si>
  <si>
    <t>Troca de Lâmpadas queimadas e conserto de tomada sem energia</t>
  </si>
  <si>
    <t>078/2023</t>
  </si>
  <si>
    <t>Sala 5D (Gabinete de Professor)</t>
  </si>
  <si>
    <t>Fechadura em porta Cartonada não está fechando.</t>
  </si>
  <si>
    <t>079/2023</t>
  </si>
  <si>
    <t>Heliany Pereira dos Santos</t>
  </si>
  <si>
    <t>todo o prédio do bloco D</t>
  </si>
  <si>
    <t>As salas/laboratórios do bloco estão com problemas de infiltração nos forros e goteiras espalhadas principalmente sobre as lampadas, o que causa medo em relação a fiação elétrica.
Sem contar que na Ludoteca, sala 10, sala 12,14 e entrada do banheiro feminino (encontram-se os maiores problemas)</t>
  </si>
  <si>
    <t>080/2023</t>
  </si>
  <si>
    <t>Piscina</t>
  </si>
  <si>
    <t>1 - limpeza das escadas da piscina com a máquina de pressão;
2 - Serviço de carpina da área da piscina;
3 - Manutenção nos chuveiros do vestiário masculino (só um funciona e está em estado de uso)</t>
  </si>
  <si>
    <t>082/2023</t>
  </si>
  <si>
    <t>Françoise de Mesquita</t>
  </si>
  <si>
    <t>Sala 151</t>
  </si>
  <si>
    <t>Instalar 4 tomadas</t>
  </si>
  <si>
    <t>083/2023</t>
  </si>
  <si>
    <t>Iago Ferreira Lima</t>
  </si>
  <si>
    <t>Laboratório Interdisciplinar, piso térreo.</t>
  </si>
  <si>
    <t>Instalação de um ventilador de parede.</t>
  </si>
  <si>
    <t>084/2023</t>
  </si>
  <si>
    <t>Sala de máquinas</t>
  </si>
  <si>
    <t>Tivemos um problema no sistema de combate a incêndio, o circuito das bombas que alimentam os hidrantes está desligado</t>
  </si>
  <si>
    <t>085/2023</t>
  </si>
  <si>
    <t>Vânia de Avelar Lucas</t>
  </si>
  <si>
    <t>Bloco N</t>
  </si>
  <si>
    <t>Local após o primeiro lance de escada.</t>
  </si>
  <si>
    <t>Após o primeiro lance de escada do bloco visualizamos uma infiltração, para a qual já foi enviada uma O.S. para verificação anteriormente. Venho novamente informar sobre a infiltração, que está danificando a parede e permitindo a entrada de água no bloco.</t>
  </si>
  <si>
    <t>086/2023</t>
  </si>
  <si>
    <t>1D</t>
  </si>
  <si>
    <t>Verificar se a tomada do ar condicionado está segura para uso. Há meses atras, ela estava tendo curto circuito, por conta de agua da chuva que infiltrou</t>
  </si>
  <si>
    <t>087/2023</t>
  </si>
  <si>
    <t>MIRIAN DE JESUS LIMA</t>
  </si>
  <si>
    <t>Rol próximo aos banheiros (3º andar).</t>
  </si>
  <si>
    <t>Fazer reparo no bebedouro que está com pouca vazão de água.</t>
  </si>
  <si>
    <t>088/2023</t>
  </si>
  <si>
    <t>Sala de aula/estudos do Mestrado em Engenharia de Produção</t>
  </si>
  <si>
    <t>Instalação de tomadas na sala de aula e na sala de estudos do mestrado.</t>
  </si>
  <si>
    <t>089/2023</t>
  </si>
  <si>
    <t>Bebedouro 1° piso sem água</t>
  </si>
  <si>
    <t>090/2023</t>
  </si>
  <si>
    <t>Juliana</t>
  </si>
  <si>
    <t>Sala 05 (sala dos técnicos), primeiro andar</t>
  </si>
  <si>
    <t>Troca de lâmpadas da sala 05 (sala dos técnicos). As lâmpadas não estão queimadas mas parecem ter perdido luminosidade e com isso a sala está um pouco escura.</t>
  </si>
  <si>
    <t>091/2023</t>
  </si>
  <si>
    <t>Bloco B</t>
  </si>
  <si>
    <t>Colocar grade nas janelas</t>
  </si>
  <si>
    <t>092/2023</t>
  </si>
  <si>
    <t>Marcio Fernandes</t>
  </si>
  <si>
    <t>BIBLIOTECA</t>
  </si>
  <si>
    <t>Coordenação de recursos tecnológicos</t>
  </si>
  <si>
    <t>Solicitamos a instalação elétrica para um aparelho de ar condicionado que foi instalado neste local.</t>
  </si>
  <si>
    <t>093/2023</t>
  </si>
  <si>
    <t>Sala da Direção da Biblioteca</t>
  </si>
  <si>
    <t>Solicitamos apoio pois o cabeamento de rede da sala da direção apresenta problemas, ficamos sem internet por diversos momentos o que vem me impedindo de utilizar o computador da sala. Saliento que é apenas em um computador o problema e que o telefone que está ligado a ele tbm não funciona por consequência.</t>
  </si>
  <si>
    <t>094/2023</t>
  </si>
  <si>
    <t>Vazamento no bebedouro</t>
  </si>
  <si>
    <t>095/2023</t>
  </si>
  <si>
    <t>Refletor em frente do bolo A</t>
  </si>
  <si>
    <t>refletor do lado externo bloco A quebrado</t>
  </si>
  <si>
    <t>096/2023</t>
  </si>
  <si>
    <t>Deusmar M. Silva</t>
  </si>
  <si>
    <t>Corredor de acesso dos técnicos.</t>
  </si>
  <si>
    <t>Goteiras em frente a sala 22 e 21.</t>
  </si>
  <si>
    <t>099/2023</t>
  </si>
  <si>
    <t>aptos: 201, 203, 204, 206, 303, 406</t>
  </si>
  <si>
    <t>apartamentos com maçanetas de portas soltas</t>
  </si>
  <si>
    <t>100/2023</t>
  </si>
  <si>
    <t>TODAS AS SALAS</t>
  </si>
  <si>
    <t>Dedetização do Bloco D, em razão de infestação de formigas no referido bloco.</t>
  </si>
  <si>
    <t>101/2023</t>
  </si>
  <si>
    <t>Bloco C</t>
  </si>
  <si>
    <t>Blocos C e D estão sem água</t>
  </si>
  <si>
    <t>102/2023</t>
  </si>
  <si>
    <t>sala 5</t>
  </si>
  <si>
    <t>Uma das saboneteiras da pia do laboratório (a do lado direito), teve manutenção ano passado em dezembro, ou foi trocada - não lembro, continua pingando detergente. OBS: não é detergente diluído com água - eu mesma coloquei detergente direto do galão e pinga sem parar.</t>
  </si>
  <si>
    <t>103/2023</t>
  </si>
  <si>
    <t>sala 104</t>
  </si>
  <si>
    <t>Janela da sala 104 não está trancando.</t>
  </si>
  <si>
    <t>104/2023</t>
  </si>
  <si>
    <t>Copa do último andar do bloco.</t>
  </si>
  <si>
    <t>Sifão tubo extensivo está perfurado e tá com vazamento de água.</t>
  </si>
  <si>
    <t>105/2023</t>
  </si>
  <si>
    <t>Divino</t>
  </si>
  <si>
    <t>Copa - 3º piso do Bloco M.</t>
  </si>
  <si>
    <t>Troca do sifão (cano), que sai da pia (está vazando)</t>
  </si>
  <si>
    <t>106/2023</t>
  </si>
  <si>
    <t>apto 101</t>
  </si>
  <si>
    <t>vazamento no teto e no cifão do tanque</t>
  </si>
  <si>
    <t>107/2023</t>
  </si>
  <si>
    <t>apto 204</t>
  </si>
  <si>
    <t>- vazamento no cifão do tanque</t>
  </si>
  <si>
    <t>108/2023</t>
  </si>
  <si>
    <t>Instalar mais 4 tomadas no fundo da sala - parede das janelas - com aproximadamente 1m entre cada tomada</t>
  </si>
  <si>
    <t>109/2023</t>
  </si>
  <si>
    <t>Confecção de 18 cabos patch cord. Ligação entre pontos de rede e máquinas do laboratório.</t>
  </si>
  <si>
    <t>110/2023</t>
  </si>
  <si>
    <t xml:space="preserve">Banheiro Feminino - Térreo - Bloco L </t>
  </si>
  <si>
    <t>Colar e montar novamente a pedra da repartição do banheiro feminino que descolou e caiu.</t>
  </si>
  <si>
    <t>111/2023</t>
  </si>
  <si>
    <t>Moisés Fernandes Lemos</t>
  </si>
  <si>
    <t>PROGRAD</t>
  </si>
  <si>
    <t>Sala 17</t>
  </si>
  <si>
    <t>Trocar uma lâmpada queimada</t>
  </si>
  <si>
    <t>112/2023</t>
  </si>
  <si>
    <t>rogerio tomaz</t>
  </si>
  <si>
    <t>CERCOMP/SETI</t>
  </si>
  <si>
    <t xml:space="preserve">cozinha e banheiro </t>
  </si>
  <si>
    <t>torneira da pia da cozinha esta pingando sem parar (estragou registro da torneira)
e válvula da descarga do banheiro feminino está vazando água.</t>
  </si>
  <si>
    <t>113/2023</t>
  </si>
  <si>
    <t>Elaine R Carbonero</t>
  </si>
  <si>
    <t>Sala 116</t>
  </si>
  <si>
    <t>Troca de lampada (1)</t>
  </si>
  <si>
    <t>114/2023</t>
  </si>
  <si>
    <t>Graciele Cristina Silva Leão</t>
  </si>
  <si>
    <t>Salão do RU</t>
  </si>
  <si>
    <t>Vazamento de água limpa no ralo do salão do RU</t>
  </si>
  <si>
    <t>115/2023</t>
  </si>
  <si>
    <t>Luiz Fernando Elias Martinez</t>
  </si>
  <si>
    <t>Cozinha</t>
  </si>
  <si>
    <t>A torneira da cozinha está com vazamento. Acredito que precisa trocar o reparo da mesma!</t>
  </si>
  <si>
    <t>116/2023</t>
  </si>
  <si>
    <t>O bebedouro fica vazando quando é usado.</t>
  </si>
  <si>
    <t>117/2023</t>
  </si>
  <si>
    <t>DAA</t>
  </si>
  <si>
    <t>CGA - Centro de Gestão Acadêmica</t>
  </si>
  <si>
    <t>SALA 4</t>
  </si>
  <si>
    <t>VERIFICAR AR CONDICIONADO POIS NÃO ESTÁ GELANDO.</t>
  </si>
  <si>
    <t>118/2023</t>
  </si>
  <si>
    <t>Thiago Fernandes Borges</t>
  </si>
  <si>
    <t>Sala 3</t>
  </si>
  <si>
    <t>Solicita para o departamento um adaptador, para conexão do estabilizador utilizado na caixa de distribuição de internet. (O mesmo já foi retirado na prefeitura)</t>
  </si>
  <si>
    <t xml:space="preserve">Realizado </t>
  </si>
  <si>
    <t>119/2023</t>
  </si>
  <si>
    <t>Mayani Thaís Lopes</t>
  </si>
  <si>
    <t>Corredor do bloco</t>
  </si>
  <si>
    <t>Tem aproximadamente 6 lâmpadas fluorescentes do corredor que estão queimadas.</t>
  </si>
  <si>
    <t>120/2023</t>
  </si>
  <si>
    <t>Mayani Thaís lopes</t>
  </si>
  <si>
    <t>1A</t>
  </si>
  <si>
    <t>Trocar de plug em um cabo de eletrodo de desfibrilador cardíaco</t>
  </si>
  <si>
    <t>121/2023</t>
  </si>
  <si>
    <t>Quadra/Campo</t>
  </si>
  <si>
    <t>Quadra coberta</t>
  </si>
  <si>
    <t>Retira 03 bolas que ficaram presas na cobertura da quadra</t>
  </si>
  <si>
    <t>122/2023</t>
  </si>
  <si>
    <t>Fazer a troca de 4 lâmpadas Fluorescentes Tubular Led que queimaram.</t>
  </si>
  <si>
    <t>123/2023</t>
  </si>
  <si>
    <t>Corredor e Sala 14</t>
  </si>
  <si>
    <t>Curto e cheiro de queimado no corredor.</t>
  </si>
  <si>
    <t>124/2023</t>
  </si>
  <si>
    <t>Bloco L térreo</t>
  </si>
  <si>
    <t>Janela quebrada</t>
  </si>
  <si>
    <t>125/2023</t>
  </si>
  <si>
    <t>DPAME</t>
  </si>
  <si>
    <t>Solicitamos, por gentileza, a montagem de 04 armários de aço.</t>
  </si>
  <si>
    <t>126/2023</t>
  </si>
  <si>
    <t>Alojamento de motoristas - Próximo à Prefeitura Universitária</t>
  </si>
  <si>
    <t>Conferir a chave de energia do alojamento. Nos foi relatado que o disjuntor foi desarmado várias vezes seguidas após o ar-condicionado ser ativado.</t>
  </si>
  <si>
    <t>127/2023</t>
  </si>
  <si>
    <t xml:space="preserve">Luciana Borges </t>
  </si>
  <si>
    <t>Centro de Convivência Estudantil</t>
  </si>
  <si>
    <t xml:space="preserve">Fazer um furo na parede (com bucha e ganchinho) para colocação de um suporte pendente  </t>
  </si>
  <si>
    <t>128/2023</t>
  </si>
  <si>
    <t xml:space="preserve">Diovana Canedo Marcelino </t>
  </si>
  <si>
    <t>Sala 104 (Procurar Jéssica no CEAPSI das 11h às 17h para abrir a sala 104)</t>
  </si>
  <si>
    <t xml:space="preserve">Janela sala 102 do didático II está sem vidro </t>
  </si>
  <si>
    <t>129/2023</t>
  </si>
  <si>
    <t xml:space="preserve">Álefe Cardoso </t>
  </si>
  <si>
    <t>0000</t>
  </si>
  <si>
    <t xml:space="preserve">Ajuste do temporizador ligado à luz. </t>
  </si>
  <si>
    <t>130/2023</t>
  </si>
  <si>
    <t>Carla - PRPE</t>
  </si>
  <si>
    <t>Instalar suporte para instalar TV no CCE</t>
  </si>
  <si>
    <t>131/2023</t>
  </si>
  <si>
    <t>Arrumar gaveta do gaveteiro.</t>
  </si>
  <si>
    <t>132/2023</t>
  </si>
  <si>
    <t>Foi feita a instalação do Datashow e do home theater na sala 104, mas agora precisamos saber como um irá se conectar um com o outro. O eletricista, se não me engano, ele se chama Alex, disse que ele poderia vir me ensinar. Poderia verificar com ele a posssibilidade?</t>
  </si>
  <si>
    <t>133/2023</t>
  </si>
  <si>
    <t>Uma parte da iluminação da quadra coberta e da lateral do campo de futebol não está ligando.</t>
  </si>
  <si>
    <t>134/2023</t>
  </si>
  <si>
    <t xml:space="preserve">Depósito Restaurante Universitário </t>
  </si>
  <si>
    <t>Porta do depósito do RU está estragada, dificultando fechamento</t>
  </si>
  <si>
    <t>135/2023</t>
  </si>
  <si>
    <t xml:space="preserve">Sala 106 </t>
  </si>
  <si>
    <t xml:space="preserve">Vidro da janela na sala 106 está quebrado </t>
  </si>
  <si>
    <t>136/2023</t>
  </si>
  <si>
    <t xml:space="preserve">Quadra coberta </t>
  </si>
  <si>
    <t xml:space="preserve">Parte da iluminação da quadra coberta e lateral do campo de futebol não está ligando </t>
  </si>
  <si>
    <t>137/2023</t>
  </si>
  <si>
    <t xml:space="preserve">Amanda Matos </t>
  </si>
  <si>
    <t>DML</t>
  </si>
  <si>
    <t xml:space="preserve">Recolar pia </t>
  </si>
  <si>
    <t>138/2023</t>
  </si>
  <si>
    <t>Laboratório 115.</t>
  </si>
  <si>
    <t>Trocar dobradiça do armário.</t>
  </si>
  <si>
    <t>139/2023</t>
  </si>
  <si>
    <t>Garagem de Veículos Oficiais II - Próximo à Prefeitura Universitária</t>
  </si>
  <si>
    <t>Necessitamos, por gentileza, de uma placa de metal para reforçar a placa veicular traseira do Caminhão Baú (NKX 8606). A mesma está se curvando devido a uma rachadura. Obrigada!</t>
  </si>
  <si>
    <t>140/2023</t>
  </si>
  <si>
    <t xml:space="preserve">Ludmila </t>
  </si>
  <si>
    <t>queda constante de energia</t>
  </si>
  <si>
    <t>141/2023</t>
  </si>
  <si>
    <t>mayani thais lopes</t>
  </si>
  <si>
    <t>manutenção de uma saboneteira que está com vazamento. O serviço já foi realizado</t>
  </si>
  <si>
    <t xml:space="preserve">Priscila Querino de Lima </t>
  </si>
  <si>
    <t>Sala 27</t>
  </si>
  <si>
    <t xml:space="preserve">A fechadura da porta está com problemas </t>
  </si>
  <si>
    <t>142/2023</t>
  </si>
  <si>
    <t>Berenice</t>
  </si>
  <si>
    <t>SERVIÇO DE LIMPEZA</t>
  </si>
  <si>
    <t>2º piso banheiro feminino</t>
  </si>
  <si>
    <t>Fixar dispenser para, papel higiênico</t>
  </si>
  <si>
    <t>143/2023</t>
  </si>
  <si>
    <t>Sala 5D - Gabinete de Professor</t>
  </si>
  <si>
    <t>Fechadura em porta Cartonada não está fechando. A 1ª solicitação foi feita em 12 de jan. de 2023 as 09:06.
Ressaltamos que um serviço semelhante foi realizado na Sala 5C e não na 5D.</t>
  </si>
  <si>
    <t>144/2023</t>
  </si>
  <si>
    <t>Mariana Pereira do Nascimento</t>
  </si>
  <si>
    <t>REITORIA</t>
  </si>
  <si>
    <t>Olhar o ar condicionado que está escorrendo água suja pela parede</t>
  </si>
  <si>
    <t>145/2023</t>
  </si>
  <si>
    <t>Saulo R. de Oliveira</t>
  </si>
  <si>
    <t>Secretaria</t>
  </si>
  <si>
    <t>Realizar a troca de uma tomada de 10A, para 20A. Para ajuste de equipamento, instalação de estabilizador de 2000VA.</t>
  </si>
  <si>
    <t>146/2023</t>
  </si>
  <si>
    <t>SALAS 06, 10 e 17.</t>
  </si>
  <si>
    <t xml:space="preserve">Sala 06 - Ar-Condicionado SPLIT 22.000 BTUS com a Placa da Unidade Evaporadora EM CURTO CIRCUITO e SEM ALIMENTAÇÃO ELÉTRICA. OBS: FAZER A ALIMENTAÇÃO COM CABO DE 2,5 MM;
Sala 10 - Ar-Condicionado SPLIT 22.000 BTU MÍDEA SEM ALIMENTAÇÃO ELÉTRICA. OBS: FAZER A ALIMENTAÇÃO COM CABO DE 2,5 MM;
Sala 17 - Ar-Condicionado 60.000 BTU CARRIER SEM ALIMENTAÇÃO ELÉTRICA TRIFÁSICA. OBS: FAZER A ALIMENTAÇÃO COM CABO DE 6 MM;
</t>
  </si>
  <si>
    <t>147/2023</t>
  </si>
  <si>
    <t xml:space="preserve">Tenda </t>
  </si>
  <si>
    <t xml:space="preserve">Iluminação da tenda </t>
  </si>
  <si>
    <t>148/2023</t>
  </si>
  <si>
    <t>Alexandra Nascimento</t>
  </si>
  <si>
    <t>Bloco I</t>
  </si>
  <si>
    <t>Câmeras do Bloco L interno</t>
  </si>
  <si>
    <t>As 7 Cãmeras do Bloco L interno estão desconectadas</t>
  </si>
  <si>
    <t>149/2023</t>
  </si>
  <si>
    <t xml:space="preserve">Sala 101 </t>
  </si>
  <si>
    <t xml:space="preserve">A iluminação da sala  está queimada </t>
  </si>
  <si>
    <t>150/2023</t>
  </si>
  <si>
    <t xml:space="preserve">sala 101 </t>
  </si>
  <si>
    <t>Luz da sala 101 no didático II está queimada</t>
  </si>
  <si>
    <t>151/2023</t>
  </si>
  <si>
    <t>Jhonatan de Carvalho</t>
  </si>
  <si>
    <t>Sala 12 e Sala 13</t>
  </si>
  <si>
    <t xml:space="preserve">Manutenção nas portas do laboratório. </t>
  </si>
  <si>
    <t>152/2023</t>
  </si>
  <si>
    <t>Quadra Coberta</t>
  </si>
  <si>
    <t xml:space="preserve">Verificar a iluminação que não está funcionando da quadra coberta (próximo a rampa de acesso). </t>
  </si>
  <si>
    <t>153/2023</t>
  </si>
  <si>
    <t>Banheiro feminino (especial)</t>
  </si>
  <si>
    <t>vazamento no pé do vaso sanitário</t>
  </si>
  <si>
    <t>154/2023</t>
  </si>
  <si>
    <t>Banheiro feminino, e banheiro masculino</t>
  </si>
  <si>
    <t>Banheiro feminino vazamento no pé do vaso sanitário.  Masculino, regular válvula de descarga.</t>
  </si>
  <si>
    <t>155/2023</t>
  </si>
  <si>
    <t>apertar o cano da torneira do banheiro</t>
  </si>
  <si>
    <t>156/2023</t>
  </si>
  <si>
    <t>Júlia Vieira</t>
  </si>
  <si>
    <t>INHCS - Inst. de Historia e Ciências</t>
  </si>
  <si>
    <t>Sala 2</t>
  </si>
  <si>
    <t>A porta está com problema, está emperrando e não estamos conseguindo abrir.</t>
  </si>
  <si>
    <t>157/2023</t>
  </si>
  <si>
    <t>apto 306</t>
  </si>
  <si>
    <t>vazamento na pia do banheiro</t>
  </si>
  <si>
    <t>158/2023</t>
  </si>
  <si>
    <t xml:space="preserve">furos para varal </t>
  </si>
  <si>
    <t>159/2023</t>
  </si>
  <si>
    <t>As luzes da sala estão queimada.</t>
  </si>
  <si>
    <t>160/2023</t>
  </si>
  <si>
    <t>apro 206</t>
  </si>
  <si>
    <t>1 tomada solta em um dos quartos</t>
  </si>
  <si>
    <t>161/2023</t>
  </si>
  <si>
    <t>Cássia Silveira</t>
  </si>
  <si>
    <t>Sala 209</t>
  </si>
  <si>
    <t xml:space="preserve">Troca de tomada </t>
  </si>
  <si>
    <t>162/2023</t>
  </si>
  <si>
    <t>CEAPSI</t>
  </si>
  <si>
    <t>Divã do consultório 1 está quebrado, ver se é possível fazer o conserto.</t>
  </si>
  <si>
    <t>163/2023</t>
  </si>
  <si>
    <t xml:space="preserve">Banheiro area piscina </t>
  </si>
  <si>
    <t xml:space="preserve">Valvula de descarga </t>
  </si>
  <si>
    <t>164/2023</t>
  </si>
  <si>
    <t>Rejane/Stanerty</t>
  </si>
  <si>
    <t xml:space="preserve">Gabinete 2A da sala 02 </t>
  </si>
  <si>
    <t xml:space="preserve">Forro com vários buracos tendo vazamentos, infiltrações, rachaduras e mofos. Tanto na sala 02 A quanto na  02. </t>
  </si>
  <si>
    <t>165/2023</t>
  </si>
  <si>
    <t>Apto 205</t>
  </si>
  <si>
    <t>descarga do banheiro não funciona - Apto 205</t>
  </si>
  <si>
    <t>166/2023</t>
  </si>
  <si>
    <t>Direção do IMTec</t>
  </si>
  <si>
    <t>Laboratório MATEMATECA j 15</t>
  </si>
  <si>
    <t>Instalação de 01 televisor, com fixação de suporte na parede.</t>
  </si>
  <si>
    <t>167/2023</t>
  </si>
  <si>
    <t>Sala 153</t>
  </si>
  <si>
    <t>O interruptor principal estragou, e não desliga mais as luzes.</t>
  </si>
  <si>
    <t>168/2023</t>
  </si>
  <si>
    <t>Formalizo demanda para instalar uma câmera de segurança, na sala de simulação realística do laboratório. Situação foi apresentada para Idalino. O mesmo informou que no momento não temos câmeras disponíveis, sugeriu que o curso providenciasse uma para viabilizar a instalação. Por outro lado, também informou que existe uma possibilidade de a prefeitura adquirir mais câmeras esse ano. Aguardemos ou um ou outro.</t>
  </si>
  <si>
    <t>170/2023</t>
  </si>
  <si>
    <t>Florença das Graças Moura</t>
  </si>
  <si>
    <t>FENG - Engenharia de Minas</t>
  </si>
  <si>
    <t>Sala de Professores</t>
  </si>
  <si>
    <t xml:space="preserve">Instalações elétricas para aparelhos de ar condicionado </t>
  </si>
  <si>
    <t>171/2023</t>
  </si>
  <si>
    <t>Banheiro Feminino</t>
  </si>
  <si>
    <t xml:space="preserve">Vazamento </t>
  </si>
  <si>
    <t>172/2023</t>
  </si>
  <si>
    <t>Thiago Morais de Lima</t>
  </si>
  <si>
    <t>Piso inferior- salas de estudos coletivos</t>
  </si>
  <si>
    <t>Tomadas não estão funcionando</t>
  </si>
  <si>
    <t>173/2023</t>
  </si>
  <si>
    <t>Patrícia Matos</t>
  </si>
  <si>
    <t>Instalações elétricas para computadores</t>
  </si>
  <si>
    <t>174/2023</t>
  </si>
  <si>
    <t>Sala da direção da Biblioteca UFCAT</t>
  </si>
  <si>
    <t>Solicito apoio pois o cabo de rede conectado apresenta problema. A equipe do CERCOMP veio até o local e constatou. Solicito a troca do cabo e da caixa da parede pois ambos apresentam defeito. Com relação ao cabo acredito que crimpando novamente ele deve ser recuperado.
Grato.</t>
  </si>
  <si>
    <t>175/2023</t>
  </si>
  <si>
    <t>Banheiro feminino (camarinho)</t>
  </si>
  <si>
    <t>Vazamento na parede, atrás dos vasos sanitários.</t>
  </si>
  <si>
    <t>176/2023</t>
  </si>
  <si>
    <t xml:space="preserve">José Julio de Cerqueira PITUBA </t>
  </si>
  <si>
    <t>sala T4 - CPTPI- Centro de Pesquisas Tecnológicas e Processamento de Imagem</t>
  </si>
  <si>
    <t>Laboratório com janela de vidro quebrada por evento desconhecido e que pode gerar prejuízo em equipamentos e mobiliários pela chuva e/ou furto por ser laboratório em andar térreo junto à divisa</t>
  </si>
  <si>
    <t>177/2023</t>
  </si>
  <si>
    <t xml:space="preserve">João Donizete Lima </t>
  </si>
  <si>
    <t>Sala 02 e Sala 27</t>
  </si>
  <si>
    <t>Desligar cabeamento de energia e internet das bancadas na sala 02 e refazer a ligação de energia e internet nas mesmas bancadas na sala 27 - Bloco A.</t>
  </si>
  <si>
    <t>178/2023</t>
  </si>
  <si>
    <t>Instalar um gancho no gabinete da professora Luciana Borges (Os meninos já vieram mas não tinham o gancho, a professora Luciana trouxe e deixou comigo aqui na secretaria do Português)</t>
  </si>
  <si>
    <t>179/2023</t>
  </si>
  <si>
    <t>Jessica Lorrane</t>
  </si>
  <si>
    <t xml:space="preserve">Colar Piso tátil. Estamos com dois pisos com a ponta descolada </t>
  </si>
  <si>
    <t>180/2023</t>
  </si>
  <si>
    <t xml:space="preserve">Camarim Feminino </t>
  </si>
  <si>
    <t xml:space="preserve">Infiltração na parede dos vasos </t>
  </si>
  <si>
    <t>181/2023</t>
  </si>
  <si>
    <t xml:space="preserve">Suspeita de vazamento na parede dos vasos </t>
  </si>
  <si>
    <t>182/2023</t>
  </si>
  <si>
    <t xml:space="preserve">Alex Hildebrando </t>
  </si>
  <si>
    <t>Sala de Aula do mestrado 27</t>
  </si>
  <si>
    <t xml:space="preserve">Colocar Manta e PU em telhado </t>
  </si>
  <si>
    <t>183/2023</t>
  </si>
  <si>
    <t>Troca de duas lâmpadas fluorescentes.</t>
  </si>
  <si>
    <t>184/2023</t>
  </si>
  <si>
    <t xml:space="preserve">Fabiana Alves </t>
  </si>
  <si>
    <t>PROGEP</t>
  </si>
  <si>
    <t>sala 119</t>
  </si>
  <si>
    <t>Colocar um quadro na parede da sala 119</t>
  </si>
  <si>
    <t>185/2023</t>
  </si>
  <si>
    <t>apto 302</t>
  </si>
  <si>
    <t>Falta de energia no apartamento</t>
  </si>
  <si>
    <t>186/2023</t>
  </si>
  <si>
    <t>Alda D'Almeida Ortúzar Ferreira</t>
  </si>
  <si>
    <t>CIDARQ</t>
  </si>
  <si>
    <t>Sala 6, Sala 7, Sala do Arquivo deslizante.</t>
  </si>
  <si>
    <t>Manutenção de 3 Ar-concionados (sala 7 - sem patrimônio; Sala 6 - Patrimônio n° 700441; Sala do Arquivo Deslizante - Patrimônio n° 700442).</t>
  </si>
  <si>
    <t>187/2023</t>
  </si>
  <si>
    <t>Instalação de tomadas na tenda para evento no dia 02/02</t>
  </si>
  <si>
    <t>188/2023</t>
  </si>
  <si>
    <t>ludmila</t>
  </si>
  <si>
    <t>Instalação de 4 tomadas</t>
  </si>
  <si>
    <t>189/2023</t>
  </si>
  <si>
    <t>Amanda</t>
  </si>
  <si>
    <t xml:space="preserve">Banheiro masculino </t>
  </si>
  <si>
    <t xml:space="preserve">Trocar valvula mictório </t>
  </si>
  <si>
    <t>190/2023</t>
  </si>
  <si>
    <t>(77)999477415</t>
  </si>
  <si>
    <t>Salas de professores da Engenharia de Produção</t>
  </si>
  <si>
    <t>Quando chove a água entra pelo furo na parede por onde saem as tubulações de ar-condicionado. Solicito a vedação desses furos.</t>
  </si>
  <si>
    <t>191/2023</t>
  </si>
  <si>
    <t>apto 406</t>
  </si>
  <si>
    <t xml:space="preserve">a porta do banheiro caiu, precisa ser recolocada </t>
  </si>
  <si>
    <t>192/2023</t>
  </si>
  <si>
    <t xml:space="preserve">Álefe Cardoso Cruz </t>
  </si>
  <si>
    <t xml:space="preserve">O laboratório está sem água, possível problema na tubulação. E haverá aula logo mais. </t>
  </si>
  <si>
    <t>193/2023</t>
  </si>
  <si>
    <t>Herick Dias de Almeida</t>
  </si>
  <si>
    <t>Bloco Admintrativo</t>
  </si>
  <si>
    <t>Trocar 2 (duas) lâmpadas tubulares.</t>
  </si>
  <si>
    <t>194/2023</t>
  </si>
  <si>
    <t>O ponto de internet está com mal contato e por esta razão varia muito a conexão, gostaria que fizessem a checagem.</t>
  </si>
  <si>
    <t>195/2023</t>
  </si>
  <si>
    <t>CCE</t>
  </si>
  <si>
    <t>Instalar TV no CCE</t>
  </si>
  <si>
    <t>196/2023</t>
  </si>
  <si>
    <t>Hall de entra e corredor no 1º piso</t>
  </si>
  <si>
    <t>Trocar 2 dispensrs de álcool gel. E 4 mangueirinhas em 4 dispensers de álcool gel.</t>
  </si>
  <si>
    <t>197/2023</t>
  </si>
  <si>
    <t>H</t>
  </si>
  <si>
    <t>Bebedouro, com vazamento na mangueira de escoamento de água.</t>
  </si>
  <si>
    <t>198/2023</t>
  </si>
  <si>
    <t xml:space="preserve">Câmera Estacionamento de Carro </t>
  </si>
  <si>
    <t>Câmera estacionamento de carros, que fica no grupo das câmeras da biblioteca está desconectada.</t>
  </si>
  <si>
    <t>199/2023</t>
  </si>
  <si>
    <t>Instalar ponto de rede para ligar a Televisão</t>
  </si>
  <si>
    <t>200/2023</t>
  </si>
  <si>
    <t xml:space="preserve"> Sala 5D (Gabinete de Professor)</t>
  </si>
  <si>
    <t>Verificar goteiras na Sala 5D - Bloco A</t>
  </si>
  <si>
    <t>201/2023</t>
  </si>
  <si>
    <t>Faixada do prédio</t>
  </si>
  <si>
    <t>Troca de mão francesa da condensadora do ar condicionado</t>
  </si>
  <si>
    <t>202/2023</t>
  </si>
  <si>
    <t>77 999477415</t>
  </si>
  <si>
    <t>Terceiro piso - Engenharia de Produção -Gabinete 3 dos professores</t>
  </si>
  <si>
    <t>Ligação elétrica de um aparelho de ar-condicionado.</t>
  </si>
  <si>
    <t>203/2023</t>
  </si>
  <si>
    <t>Alda d'Almeida Ortúzar Ferreira</t>
  </si>
  <si>
    <t>CDPEC</t>
  </si>
  <si>
    <t>Troca de tomadas (14 tomadas no total)</t>
  </si>
  <si>
    <t>204/2023</t>
  </si>
  <si>
    <t xml:space="preserve">Márcio do Carmo Boareto </t>
  </si>
  <si>
    <t>sala 118</t>
  </si>
  <si>
    <t xml:space="preserve">Instalações para um ponte de energia, internet e telefonia. </t>
  </si>
  <si>
    <t>205/2023</t>
  </si>
  <si>
    <t>Florença Moura</t>
  </si>
  <si>
    <t>Corredor dos professores</t>
  </si>
  <si>
    <t xml:space="preserve">Confecção de escaninho para professores  (modelo em anexo - entretanto com uma profundidade de no mínimo 30 cm) </t>
  </si>
  <si>
    <t>Aguardando Mat./Equipam.</t>
  </si>
  <si>
    <t>206/2023</t>
  </si>
  <si>
    <t>3441-7601</t>
  </si>
  <si>
    <t>Campus 2 - Departamento de Medicina</t>
  </si>
  <si>
    <t>Salas 04 e 05 (sala dos professores primeiro piso)</t>
  </si>
  <si>
    <t>Instalação de 8 tomadas (4 em cada sala)</t>
  </si>
  <si>
    <t xml:space="preserve">Tomada Dupla </t>
  </si>
  <si>
    <t>207/2023</t>
  </si>
  <si>
    <t>Blovo M</t>
  </si>
  <si>
    <t>Sala 108 (Procurar Jéssica no CEAPSI para abrir a sala "Das 11h às 17h")</t>
  </si>
  <si>
    <t xml:space="preserve">A sala 108  está com um mal cheiro, ver o que possa  ser, se é alguma infiltração, ou atrás do ar condicionado ou algo do tipo. </t>
  </si>
  <si>
    <t>208/2023</t>
  </si>
  <si>
    <t>Hewerton Renato Fleury Silva</t>
  </si>
  <si>
    <t>Sala 109</t>
  </si>
  <si>
    <t xml:space="preserve">Retirada de dois rodapés </t>
  </si>
  <si>
    <t>209/2023</t>
  </si>
  <si>
    <t xml:space="preserve">Maria Rita de Cássia Campos </t>
  </si>
  <si>
    <t>Campus 2</t>
  </si>
  <si>
    <t xml:space="preserve">Goteira em frente e dentro da sala. </t>
  </si>
  <si>
    <t>210/2023</t>
  </si>
  <si>
    <t>Diretoria de Cultura</t>
  </si>
  <si>
    <t>Palco</t>
  </si>
  <si>
    <t>Substituição de quatro refletores do palco e instalação de outros dois, sendo esses dois com interruptor individual. Os refletores já foram comprados e se encontram na sala 08 do auditório Paulo de Bastos.</t>
  </si>
  <si>
    <t>211/2023</t>
  </si>
  <si>
    <t xml:space="preserve">Mayani Thaís lopes </t>
  </si>
  <si>
    <t>K</t>
  </si>
  <si>
    <t>Pequenos serviços de reparos em Marcenaria</t>
  </si>
  <si>
    <t>Uma gaveta está desmontando</t>
  </si>
  <si>
    <t>212/2023</t>
  </si>
  <si>
    <t>prédio</t>
  </si>
  <si>
    <t>falta de agua quente para banho</t>
  </si>
  <si>
    <t>213/2023</t>
  </si>
  <si>
    <t>Cabeamento de dois pontos de 03 ( três) pontos de internet.</t>
  </si>
  <si>
    <t>214/2023</t>
  </si>
  <si>
    <t>Luci Cardoso</t>
  </si>
  <si>
    <t>Banheiro Especial (segundo piso)</t>
  </si>
  <si>
    <t>Porta do banheiro está emperrando e também a maçaneta está saindo.</t>
  </si>
  <si>
    <t>215/2023</t>
  </si>
  <si>
    <t>COZINHA (segunda piso)</t>
  </si>
  <si>
    <t xml:space="preserve">está voltando o mal cheiro do ralo da cozinha </t>
  </si>
  <si>
    <t>216/2023</t>
  </si>
  <si>
    <t>64 996990617</t>
  </si>
  <si>
    <t>Campus 2- Sala 22</t>
  </si>
  <si>
    <t>Realizar a instalação de uma torneira na sala 22 (Campus 2), sendo que a peça que ficou faltando já foi adquirida e aguarda instalação.
Se caso não tiver ninguém na sala, favor avisar que posso me deslocar do Campus 1 para acompanhar a instalação.</t>
  </si>
  <si>
    <t>217/2023</t>
  </si>
  <si>
    <t>M</t>
  </si>
  <si>
    <t>163 - LABORATÓRIO DE SIMULAÇÃO REALÍSTICA.</t>
  </si>
  <si>
    <t xml:space="preserve">Solicitamos que seja feito uma adaptação no carrinho de emergência, de modo que seja instalado uma trava com dobradiças + cadeado, na intensão de impedir que as gavetas sejam abertas sem controle. Isso se faz necessário, levando em consideração que nesse carrinho de emergência, existem medicamentos de alta vigilância, incluindo medicamentos psicotrópicos e sedativos utilizados em UTI, e no caso deste laboratório para simulação de atividades e ensino. Os mesmos precisam de um controle rigoroso e por isso, a necessidade de lacrar as portas. </t>
  </si>
  <si>
    <t xml:space="preserve">Enviado e-mail para setor solicitando material, aguardando retorno </t>
  </si>
  <si>
    <t>218/2023</t>
  </si>
  <si>
    <t>MAYANI THAIS LOPES</t>
  </si>
  <si>
    <t>163 LABORATORIO DE SIMULAÇÃO REALISTICA</t>
  </si>
  <si>
    <t>Venho resgatar um pedido antigo de 2021, a respeito da confecção de divisórias internas de uma gaveta do carrinho de emergência. Na ocasião, foi avaliado e informado a necessidade de comprar uma Chapa Inox 18 - 2 metros de comprimento por 12 cm de altura - no entanto, o curso não teve condições de comprar. Pra agora, como existe um a nova demanda para o mesmo carrinho (trava com dobradiça), gostaríamos de verificar a quantidade atualizada de material que será necessário.    OBS. QUANTO AO HORÁRIO, HOJE 03/02 ESTAREI ATÉ AS 15:00. NOS DEMAIS DIAS ESTOU DISPONÍVEL EM HORÁRIO COMERCIAL, MINHA SALA FICA NO BLOCO K, 1A</t>
  </si>
  <si>
    <t xml:space="preserve">Sem retorno do setor </t>
  </si>
  <si>
    <t>219/2023</t>
  </si>
  <si>
    <t xml:space="preserve">Banheiro Femino, especial masculino e especial </t>
  </si>
  <si>
    <t>Feminino: Dispenser papel toalha quebrado, tampa do vaso rachada
Especial: Dispenses papel toalha quebrado 
Masculino: Dispenser papel toalha quebrado 
Especial: Não tem dispenser papel toalha</t>
  </si>
  <si>
    <t>220/2023</t>
  </si>
  <si>
    <t xml:space="preserve">Banheiro Masculino </t>
  </si>
  <si>
    <t>Masculino: Tampa do vaso quebrada</t>
  </si>
  <si>
    <t>221/2023</t>
  </si>
  <si>
    <t xml:space="preserve">Dispenser papel toalha quebrado </t>
  </si>
  <si>
    <t>222/2023</t>
  </si>
  <si>
    <t xml:space="preserve">Feminino: Sem dispenser papel toalha 
</t>
  </si>
  <si>
    <t>223/2023</t>
  </si>
  <si>
    <t xml:space="preserve">Banheiro Feminino, masculino </t>
  </si>
  <si>
    <t xml:space="preserve">Feminino Terreo: 02 porta papel higienico quebrado 
Masculino 1° piso: Porta papel toalha 
Feminino 2° Piso: porta papel toalha, tampa do vaso 
todos os dispensadores de sabonete estão com defeitos </t>
  </si>
  <si>
    <t>224/2023</t>
  </si>
  <si>
    <t xml:space="preserve">Banheiro Feminino </t>
  </si>
  <si>
    <t xml:space="preserve">Assento do vaso quebrado 
todos os dispensadores de sabonete estão com defeitos </t>
  </si>
  <si>
    <t>resolver</t>
  </si>
  <si>
    <t>225/2023</t>
  </si>
  <si>
    <t xml:space="preserve">Banheiro feminino e masculino </t>
  </si>
  <si>
    <t xml:space="preserve">Feminino Terreo: Porta toalha 
Especial feminino terreo: porta papel higienico quebrado 
Masculino 1° piso: porta toalha quebrado
Todos os dispensadores de sabonete estão com defeito  </t>
  </si>
  <si>
    <t>226/2023</t>
  </si>
  <si>
    <t xml:space="preserve">Banheiro </t>
  </si>
  <si>
    <t>FEMININO TÉRREO ENTRADA: 02 Porta papel higiênico
➢ MASCULINO TÉRREO ENTRADA: 02 Porta toalha
➢ FEMININO TÉRREO SAÍDA: 02 Porta papel higiênico; 02 Tampa de vaso; Não tem
porta papel toalha.
➢ MASCULINO TÉRREO SAÍDA: 01 Porta papel toalha
➢ FEMININO 1o PISO: 01 Tampa de vaso; 02 Porta papel higiênico; 01 Porta papel
toalha
➢ ESPECIAL 1o PISO: 01 Porta papel toalha
➢ MASCULINO 1o PISO: 01 Porta papel higiênico; 01 Porta toalha
➢ FEMININO 2o PISO: 01 Porta papel higiênico; 01 Porta toalha
➢ MASCULINO 2o PISO: 01 Porta toalha
➢ BANHEIRO AUDITÓRIO: Tampa de vaso; Dispenser; Porta papel higiênico; Porta
papel toalha</t>
  </si>
  <si>
    <t>227/2023</t>
  </si>
  <si>
    <t xml:space="preserve">Bloco Didático II </t>
  </si>
  <si>
    <t>➢ FEMININO TÉRREO ENTRADA: 01 Porta papel higiênico; 01 Tampa de vaso
➢ MASCULINO TÉRREO ENTRADA: 02 Porta toalha
➢ FEMININO TÉRREO SAÍDA: 02 Porta papel higiênico; 01 Tampa de vaso
➢ MASCULINO TÉRREO SAÍDA: 02 Tampa de vaso
➢ FEMININO 2o PISO: 01 Porta papel higiênico
➢ BANHEIRO AUDITÓRIO: Tampa vaso; Porta papel higiênico; Porta papel toalha</t>
  </si>
  <si>
    <t>228/2023</t>
  </si>
  <si>
    <t>➢ FEMININO: 02 Porta papel higiênico; 01 Tampa de vaso
➢ MASCULINO: 01 Porta papel higiênico</t>
  </si>
  <si>
    <t>229/2023</t>
  </si>
  <si>
    <t>➢ FEMININO: 01 Porta papel higiênico; 01 Válvula Interditada
➢ MASCULINO: 01 Porta papel higiênico</t>
  </si>
  <si>
    <t>230/2023</t>
  </si>
  <si>
    <t>➢ FEMININO: 02 Porta papel higiênico; 01 Válvula solta
➢ MASCULINO: 01 Porta papel higiênico; 01 Descarga interditada</t>
  </si>
  <si>
    <t>231/2023</t>
  </si>
  <si>
    <t>➢ BANHEIRO ESPECIAL: Válvula sem tampa
➢ FEMININO: Estão faltando todas as tampas das válvulas
➢ MASCULINO: 01 Válvula sem tampa</t>
  </si>
  <si>
    <t>232/2023</t>
  </si>
  <si>
    <t>Mônica Inês de Castro Netto</t>
  </si>
  <si>
    <t>Bloco da Pesquisa - Bloco L</t>
  </si>
  <si>
    <t>Diretoria de Pós-Graduação</t>
  </si>
  <si>
    <t>Sempre que ligamos o ar condicionado ele fica ligado alguns minutos e a chave cai</t>
  </si>
  <si>
    <t>233/2023</t>
  </si>
  <si>
    <t xml:space="preserve">Vânia de Avelar Lucas </t>
  </si>
  <si>
    <t>9 96990617</t>
  </si>
  <si>
    <t>Campus 2 Sala 22</t>
  </si>
  <si>
    <t>Venho requerer torneira e engate para instalação na sala 22 (Campus 2).</t>
  </si>
  <si>
    <t>234/2023</t>
  </si>
  <si>
    <t>Horta comunitária</t>
  </si>
  <si>
    <t>Instalação de uma torneira em local próximo da horta comunitária da MUC</t>
  </si>
  <si>
    <t>235/2023</t>
  </si>
  <si>
    <t>A</t>
  </si>
  <si>
    <t>Afixar as bancadas do Laboratório de Geoprocessamento ao piso da sala 27, pois existe fiação elétrica e de internet afixadas as mesmas e qualquer movimentação poderá danificar essas instalações</t>
  </si>
  <si>
    <t>236/2023</t>
  </si>
  <si>
    <t xml:space="preserve">A pia da cozinha está com a vazão muito lenta, gostaria que avaliassem antes de entupir de vez. </t>
  </si>
  <si>
    <t>237/2023</t>
  </si>
  <si>
    <t xml:space="preserve">Diretoria de Cultura </t>
  </si>
  <si>
    <t xml:space="preserve">entrada da porta de madeira do auditório Paulo de Bastos </t>
  </si>
  <si>
    <t>Passar as duas lâmpadas da entrada para um interruptor individual ou liga-las junto das do auditório. Pois elas estão ligadas junto as do hall)</t>
  </si>
  <si>
    <t>238/2023</t>
  </si>
  <si>
    <t>Didático 1 e 2</t>
  </si>
  <si>
    <t>Diversas</t>
  </si>
  <si>
    <t>Instalação de 11 projetores nos blocos Didáticos I e II.</t>
  </si>
  <si>
    <t>239/2023</t>
  </si>
  <si>
    <t>FENG - Secretaria Administrativa</t>
  </si>
  <si>
    <t>Telhado</t>
  </si>
  <si>
    <t>Terminar de arrumar o telhado, para evitar infiltrações (obs: manta asfálticas chegaram)</t>
  </si>
  <si>
    <t>240/2023</t>
  </si>
  <si>
    <t>Patricia Torres</t>
  </si>
  <si>
    <t>EE - Unidade Acadêmica de Educação</t>
  </si>
  <si>
    <t>Bloco H e I</t>
  </si>
  <si>
    <t>Laboratórios Brinquedoteca e Ensino</t>
  </si>
  <si>
    <t>Manutençao do ar condicionado</t>
  </si>
  <si>
    <t>241/2023</t>
  </si>
  <si>
    <t>João Pedro Rocha de Carvalho</t>
  </si>
  <si>
    <t>5334 / (64)996135036</t>
  </si>
  <si>
    <t>Sala 202</t>
  </si>
  <si>
    <t>Boa tarde,
Gostaria de solicitar, por gentileza, a manutenção da sala 202, no Bloco N (acima da escada), a mesma está com infiltrações e é usada para aulas tanto da Graduação como da Pós-graduação do Instituto de Química e Física da UFCAT.
Qualquer dúvida estamos a disposição,</t>
  </si>
  <si>
    <t>242/2023</t>
  </si>
  <si>
    <t>202 (Utilizada como sala de aula Graduação/Pós Graduação do IQ, UAF e Curso de Biologia)</t>
  </si>
  <si>
    <t>A referida sala está com infiltrações varios pontos de infiltração. Necessitando de reparo e pintura. A foto mostra apenas um ponto de infiltração.. Está com muito mofo..</t>
  </si>
  <si>
    <t>243/2023</t>
  </si>
  <si>
    <t xml:space="preserve">As luzes dos postes da área externa da MUC não estão acendendo, no gramado em frente a rampa de acesso ao estacionamento e no gramado a esquerda da guarita. </t>
  </si>
  <si>
    <t>244/2023</t>
  </si>
  <si>
    <t>Guarita</t>
  </si>
  <si>
    <t>verificar a configuração do alarme de incêndio que esta disparando</t>
  </si>
  <si>
    <t>245/2023</t>
  </si>
  <si>
    <t>Marcia Felipe Mendes</t>
  </si>
  <si>
    <t>Bloco K.</t>
  </si>
  <si>
    <t>11.</t>
  </si>
  <si>
    <t xml:space="preserve">Vazamento na pia (está pingando dentro do armário de MDF). </t>
  </si>
  <si>
    <t>246/2023</t>
  </si>
  <si>
    <t>Sala 201</t>
  </si>
  <si>
    <t>Solicito auxílio para conserto em cabo de energia de data show, pois o mesmo está danificado.</t>
  </si>
  <si>
    <t>247/2023</t>
  </si>
  <si>
    <t>Banheiros da Clínica de Psicólogos</t>
  </si>
  <si>
    <t>Trocar mangueirinhas de 4  dispensers de sabonete líquido</t>
  </si>
  <si>
    <t>248/2023</t>
  </si>
  <si>
    <t>Desentupir bebedouro</t>
  </si>
  <si>
    <t>249/2023</t>
  </si>
  <si>
    <t xml:space="preserve">Juliana Veloso da Silva </t>
  </si>
  <si>
    <t>Bloco k</t>
  </si>
  <si>
    <t>Sala 7</t>
  </si>
  <si>
    <t>O disjuntor do ar-condicionado cai após alguns minutos de uso mesmo sem outros equipamentos ligados.</t>
  </si>
  <si>
    <t>250/2023</t>
  </si>
  <si>
    <t>Ana Cristina Borges</t>
  </si>
  <si>
    <t>Sala 117</t>
  </si>
  <si>
    <t>Consertar o braço direito de uma cadeira.</t>
  </si>
  <si>
    <t>251/2023</t>
  </si>
  <si>
    <t>Prédio da MUC</t>
  </si>
  <si>
    <t>verificar o aquecimento da água para chuveiros. Estamos recebendo muitas reclamações sobre a água estar fria.</t>
  </si>
  <si>
    <t>252/2023</t>
  </si>
  <si>
    <t>Bloco L Externo/Biblioteca</t>
  </si>
  <si>
    <t>Bloco L Externo (Fundo); Biblioteca (Carros Oficiais).</t>
  </si>
  <si>
    <t>As seguintes câmeras estão com defeito, sendo necessário assistência, sendo elas:  Bloco L Externo (Fundo); Biblioteca (Carros Oficiais).</t>
  </si>
  <si>
    <t>253/2023</t>
  </si>
  <si>
    <t>Alojamento</t>
  </si>
  <si>
    <t>Alojamento de motoristas</t>
  </si>
  <si>
    <t>Foi informado que o disjuntor do ar-condicionado do alojamento de motoristas está caindo, impossibilitando o uso do equipamento.</t>
  </si>
  <si>
    <t>254/2023</t>
  </si>
  <si>
    <t>Maçaneta da porta esta solta (precisa apertar)</t>
  </si>
  <si>
    <t>255/2023</t>
  </si>
  <si>
    <t xml:space="preserve">Cinara Martins </t>
  </si>
  <si>
    <t xml:space="preserve">Balcão de atendimento. </t>
  </si>
  <si>
    <t>Suporte para elevar o gaveteiro de aço.</t>
  </si>
  <si>
    <t>256/2023</t>
  </si>
  <si>
    <t>Sala 03</t>
  </si>
  <si>
    <t>Ar Condicionado, está vazando água e formando poças dentro da sala ao abaixarmos a temperatura.</t>
  </si>
  <si>
    <t>257/2023</t>
  </si>
  <si>
    <t>Roberto Glauber</t>
  </si>
  <si>
    <t>SAla 03. Professora Eliane</t>
  </si>
  <si>
    <t>Lâmpadas estão sem funcionar</t>
  </si>
  <si>
    <t>258/2023</t>
  </si>
  <si>
    <t xml:space="preserve">Diovana Canedo </t>
  </si>
  <si>
    <t xml:space="preserve">E,F,G,H, I </t>
  </si>
  <si>
    <t>Corredores</t>
  </si>
  <si>
    <t xml:space="preserve">Lâmpadas queimadas nos respectivos blocos </t>
  </si>
  <si>
    <t>259/2023</t>
  </si>
  <si>
    <t>Fernando Araújo</t>
  </si>
  <si>
    <t>Bloco didático I.</t>
  </si>
  <si>
    <t>salas 308, 307</t>
  </si>
  <si>
    <t>Todas as tomadas na parte de baixo das paredes não estão funcionando, em quase todas as salas do ultimo piso do Bloco didático I.</t>
  </si>
  <si>
    <t>260/2023</t>
  </si>
  <si>
    <t xml:space="preserve">Ludmila Jardim da Conceição </t>
  </si>
  <si>
    <t xml:space="preserve">falta de energia no apartamento </t>
  </si>
  <si>
    <t>261/2023</t>
  </si>
  <si>
    <t>Telhado da Sala 27</t>
  </si>
  <si>
    <t>Verificar goteiras no telhado da sala 27</t>
  </si>
  <si>
    <t>262/2023</t>
  </si>
  <si>
    <t>Afixar mesas ao piso da sala 27 e tambem soldar fixadores onde não tem e colocar ganchos para segurar cabeamento de internet.</t>
  </si>
  <si>
    <t>263/2023</t>
  </si>
  <si>
    <t>A SETI me informou que temos uma Access Point aqui no campus 2 que não está em uso e me orientaram  a abrir um chamado para identificação. O AP fica no segundo andar aqui do prédio.</t>
  </si>
  <si>
    <t>264/2023</t>
  </si>
  <si>
    <t>Sala  101</t>
  </si>
  <si>
    <t xml:space="preserve">Instalar 2 pontos de energia elétrica (tomadas). </t>
  </si>
  <si>
    <t>265/2023</t>
  </si>
  <si>
    <t xml:space="preserve">Banheiros </t>
  </si>
  <si>
    <t>Instalar dispenser de papel toalha e dispenser de papel higiênico nos banheiros do Bloco L.
Banheiro Térreo - Feminino  ( 1 dispenser papel toalha e 2 dispenser papel higiênico);
Banheiro 1° Andar - Masculino ( 1 dispenser papel toalha);
Banheiro 2° Andar - Feminino ( 1 dispenser papel toalha).</t>
  </si>
  <si>
    <t>266/2023</t>
  </si>
  <si>
    <t>Elaine R. Carbonero</t>
  </si>
  <si>
    <t>Corredor *nobreaks</t>
  </si>
  <si>
    <t>troca de baterias de nobreaks</t>
  </si>
  <si>
    <t>267/2023</t>
  </si>
  <si>
    <t>elaine R. carbonero</t>
  </si>
  <si>
    <t>instalação de bancadas.</t>
  </si>
  <si>
    <t>268/2023</t>
  </si>
  <si>
    <t>Setor de Gerência Administrativa (SGA)</t>
  </si>
  <si>
    <t>Salas 6 e 7</t>
  </si>
  <si>
    <t>Serviços a serem executados nos 3 aparelhos de ares-condicionados "Springer Midea", que não ligam:
1) testar a parte elétrica de instalação
2) manutenção
3) limpeza/higienização dos filtros e
4) conserto (se necessário).
Observações:
- quando os referidos aparelhos estavam funcionando:
1) sala 6 (dois aparelhos c/tombamentos 700441 e 700442) - ambos ventilavam e gelavam os respectivos ambientes
2) sala 7 (há um aparelho s/tombamento): a água descia pela alvenaria - abaixo do ar-condicionado - e respingava sobre o balcão de atendimento do guichê (anterior posto de trabalho da equipe do Protocolo Geral desta Universidade)
- na última vez que foram testados:
1) sala 6 (aparelho c/tombamento 700442) - só estava ventilando o ambiente
2) sala 7 - só ventilava e, após alguns minutos ligado, aparecia código de erro no "display" (parando a ventilação, sem desligar o equipamento).</t>
  </si>
  <si>
    <t>269/2023</t>
  </si>
  <si>
    <t>00</t>
  </si>
  <si>
    <t>Campus II - Anatomia</t>
  </si>
  <si>
    <t>Sala 19</t>
  </si>
  <si>
    <t>Habilitar ponto de internet: B1-5A</t>
  </si>
  <si>
    <t>270/2023</t>
  </si>
  <si>
    <t>Lara Abdala</t>
  </si>
  <si>
    <t>Secretaria Acadêmica</t>
  </si>
  <si>
    <t>Troca de Lampada queimada na sala</t>
  </si>
  <si>
    <t>271/2023</t>
  </si>
  <si>
    <t>Welliton dos Reis Alves</t>
  </si>
  <si>
    <t>ASCOM - Assessoria de Comunicação</t>
  </si>
  <si>
    <t>Sala 111, 2º piso</t>
  </si>
  <si>
    <t>Troca de 1 (uma) lâmpada</t>
  </si>
  <si>
    <t>272/2023</t>
  </si>
  <si>
    <t>Apto 406</t>
  </si>
  <si>
    <t>A pia da cozinha do apto 406 está com vazamento.</t>
  </si>
  <si>
    <t>273/2023</t>
  </si>
  <si>
    <t>Apto 306</t>
  </si>
  <si>
    <t>No apto 306 uma das janelas do quarto B não está fechando corretamente.</t>
  </si>
  <si>
    <t>274/2023</t>
  </si>
  <si>
    <t>Sala 119</t>
  </si>
  <si>
    <t xml:space="preserve">O ar-condicionado da sala em questão está pingando muita água. </t>
  </si>
  <si>
    <t>275/2023</t>
  </si>
  <si>
    <t>Thalyta Sampaio</t>
  </si>
  <si>
    <t>sala 123</t>
  </si>
  <si>
    <t>O ar - condicionado da sala em questão está pingando.</t>
  </si>
  <si>
    <t>276/2023</t>
  </si>
  <si>
    <t>CPATRI (antigo DPAME)</t>
  </si>
  <si>
    <t>CPATRI</t>
  </si>
  <si>
    <t>Subsolo-almoxarifado 1</t>
  </si>
  <si>
    <t>Troca de lampadas</t>
  </si>
  <si>
    <t>277/2023</t>
  </si>
  <si>
    <t>Fabiana Alves</t>
  </si>
  <si>
    <t xml:space="preserve">O ar - condicionado da sala em questão está pingando muita água.
</t>
  </si>
  <si>
    <t>278/2023</t>
  </si>
  <si>
    <t>Janaina Karla Pereira da Silva Rodrigues Firmino</t>
  </si>
  <si>
    <t>Mini-auditório / SALA 01</t>
  </si>
  <si>
    <t>Vazamento de água através do forro de gesso</t>
  </si>
  <si>
    <t>279/2023</t>
  </si>
  <si>
    <t>Brinquedoteca - SALA 4</t>
  </si>
  <si>
    <t>Trocar/arrumar o miolo da fechadura da porta.</t>
  </si>
  <si>
    <t>280/2023</t>
  </si>
  <si>
    <t>Escada térreo</t>
  </si>
  <si>
    <t>Sensor de presença fazendo muito barulho na entrada da escada no térreo.</t>
  </si>
  <si>
    <t>281/2023</t>
  </si>
  <si>
    <t>Fabíola Sartin</t>
  </si>
  <si>
    <t xml:space="preserve">Bloco E </t>
  </si>
  <si>
    <t>Sala 05, 06</t>
  </si>
  <si>
    <t>Lâmpadas queimadas</t>
  </si>
  <si>
    <t>282/2023</t>
  </si>
  <si>
    <t>Caixa d'agua</t>
  </si>
  <si>
    <t>Limpeza e Manutenção da Caixa d'Água do Bloco F</t>
  </si>
  <si>
    <t xml:space="preserve">Substituição de caixa de agua </t>
  </si>
  <si>
    <t>283/2023</t>
  </si>
  <si>
    <t>O serviço é para pintura de uma mesa, solicitaremos ao DPAME movimentar até a Prefeitura</t>
  </si>
  <si>
    <t xml:space="preserve">Pintura da mesa - Base na cor preta,  tampo na cor  Carvalho Avelã. </t>
  </si>
  <si>
    <t>284/2023</t>
  </si>
  <si>
    <t>Cássia  C. da Silveira</t>
  </si>
  <si>
    <t xml:space="preserve"> salas 209 e 211 e 212 e corredor</t>
  </si>
  <si>
    <t>Troca de lâmpadas</t>
  </si>
  <si>
    <t>285/2023</t>
  </si>
  <si>
    <t>Apto 401</t>
  </si>
  <si>
    <t>Apto 401. O ralo da pia da lavanderia descolou ou quebrou.</t>
  </si>
  <si>
    <t>286/2023</t>
  </si>
  <si>
    <t>Sala 114</t>
  </si>
  <si>
    <t>Suporte para monitor (40 cm  largura X 40 cm altura X 46 cm de profundidade)</t>
  </si>
  <si>
    <t>287/2023</t>
  </si>
  <si>
    <t>Elaine R carbonero</t>
  </si>
  <si>
    <t>64 981321757</t>
  </si>
  <si>
    <t xml:space="preserve">Boia </t>
  </si>
  <si>
    <t>Vazamento em registro</t>
  </si>
  <si>
    <t>288/2023</t>
  </si>
  <si>
    <t>Elaine Rosechrer Carbonero</t>
  </si>
  <si>
    <t xml:space="preserve">Mesa/Bancada com rodinhas (Servir de apoio no laboratório de instrumentação devido a limitação de espaços) </t>
  </si>
  <si>
    <t>289/2023</t>
  </si>
  <si>
    <t>Sala 0 (Abaixo da rampa)</t>
  </si>
  <si>
    <t>Infiltrações na rampa de acesso, causando infiltrações no laboratório.</t>
  </si>
  <si>
    <t>290/2023</t>
  </si>
  <si>
    <t>J</t>
  </si>
  <si>
    <t>Laboratório MATEMATECA -J11</t>
  </si>
  <si>
    <t>Instalação de uma tomada, para ligar aparelho de TV, adquirido recentemente.</t>
  </si>
  <si>
    <t>291/2023</t>
  </si>
  <si>
    <t>Ana Lucia Santos</t>
  </si>
  <si>
    <t>98102-0638</t>
  </si>
  <si>
    <t>Desconectar equipamento da rede hidráulica, para o mesmo ir para conserto</t>
  </si>
  <si>
    <t>292/2023</t>
  </si>
  <si>
    <t xml:space="preserve">Sala dos vigilantes ao lado da cozinha no bloco C </t>
  </si>
  <si>
    <t xml:space="preserve">Instalar dispenser de papel toalha na sala </t>
  </si>
  <si>
    <t>293/2023</t>
  </si>
  <si>
    <t>Centro de Convivência (ao lado do RU)</t>
  </si>
  <si>
    <t>Mesa de Pebolim estar com perna solta.</t>
  </si>
  <si>
    <t>294/2023</t>
  </si>
  <si>
    <t>Apto 305</t>
  </si>
  <si>
    <t>O furo que fizeram para a instalação do varal no apto 305 não suporta o peso do varal e soltou.</t>
  </si>
  <si>
    <t>295/2023</t>
  </si>
  <si>
    <t>Ares condicionados do bloco M não estão funcionando. (é só ligar a chavinha)</t>
  </si>
  <si>
    <t>296/2023</t>
  </si>
  <si>
    <t xml:space="preserve">Solicitamos a instalação do ponto de rede e testagem do ponto de energia que existe no local. </t>
  </si>
  <si>
    <t>297/2023</t>
  </si>
  <si>
    <t>Apartamentos 102, 202 e 403</t>
  </si>
  <si>
    <t>maçanetas soltando das portas</t>
  </si>
  <si>
    <t>298/2023</t>
  </si>
  <si>
    <t>Patrícia Rocha</t>
  </si>
  <si>
    <t>BL F</t>
  </si>
  <si>
    <t>sala 01</t>
  </si>
  <si>
    <t>Manutenção/ revisão geral das instalações elétricas da sala</t>
  </si>
  <si>
    <t>299/2023</t>
  </si>
  <si>
    <t xml:space="preserve">Instalação de uma Lousa de Vidro. </t>
  </si>
  <si>
    <t>300/2023</t>
  </si>
  <si>
    <t>Welington Cesar Silva</t>
  </si>
  <si>
    <t>Curso de Educação Física - Bloco D</t>
  </si>
  <si>
    <t>Sala 15</t>
  </si>
  <si>
    <t>Verificar uma TV na sala 15 que não está ligando</t>
  </si>
  <si>
    <t>301/2023</t>
  </si>
  <si>
    <t>Sala 10</t>
  </si>
  <si>
    <t xml:space="preserve">Um microondas não está funcionando </t>
  </si>
  <si>
    <t>302/2023</t>
  </si>
  <si>
    <t xml:space="preserve">Bloco didático II </t>
  </si>
  <si>
    <t xml:space="preserve">Banheiro feminino </t>
  </si>
  <si>
    <t>Espelho do banheiro feminino no terreo do didático II soltou da parede</t>
  </si>
  <si>
    <t>303/2023</t>
  </si>
  <si>
    <t>Jéssica Lorrane de Lima</t>
  </si>
  <si>
    <t>Porta de vidro da recepção do CEAPSI não está encaixando.</t>
  </si>
  <si>
    <t>304/2023</t>
  </si>
  <si>
    <t>B</t>
  </si>
  <si>
    <t>Pé de Limão proximo aos sanitários do bloco B</t>
  </si>
  <si>
    <t>Poda dos galhos do Pé de Limão, por baixo, que estão atrapalhando a circulação no local</t>
  </si>
  <si>
    <t>305/2023</t>
  </si>
  <si>
    <t>Procurar Jéssica no CEAPSI</t>
  </si>
  <si>
    <t>Fazer instalação de quadros brancos. 
Laboratório 110: Instalar na parede o ar condicionado.
Sala 104: Instalar na parede o ar condicionado.
Sala 102: Instalar na única parede livre na sala.</t>
  </si>
  <si>
    <t>306/2023</t>
  </si>
  <si>
    <t xml:space="preserve">Bloco G </t>
  </si>
  <si>
    <t>A porta da sala 3, bloco E, está emperrada, assim como a sala 1 do mesmo bloco, precisamos que sejam reparadas.</t>
  </si>
  <si>
    <t>307/2023</t>
  </si>
  <si>
    <t>CASA DAS MÁQUINAS, PRÓXIMO A PISCINA.</t>
  </si>
  <si>
    <t>CASAS DAS MÁQUINAS, PRÓXIMO A PISCINA.</t>
  </si>
  <si>
    <t>Realizar vistoria na casa de máquinas, próximo a piscina, uma vez que a parte elétrica está em curto circuito (saindo faísca na parte elétrica), provocando o desligamento da bomba da piscina e dos trocadores de calor.</t>
  </si>
  <si>
    <t>308/2023</t>
  </si>
  <si>
    <t>IEL</t>
  </si>
  <si>
    <t>BL2</t>
  </si>
  <si>
    <t>Nenhuma tomada funciona</t>
  </si>
  <si>
    <t>309/2023</t>
  </si>
  <si>
    <t>Jacqueline</t>
  </si>
  <si>
    <t>64 3441 4359</t>
  </si>
  <si>
    <t>Sala 102</t>
  </si>
  <si>
    <t>Isolar um interruptor e transferir a ligação das lâmpadas para outro interruptor (ao lado da porta)</t>
  </si>
  <si>
    <t>310/2023</t>
  </si>
  <si>
    <t>Bloco 2</t>
  </si>
  <si>
    <t>Salas 101, 102 e 104</t>
  </si>
  <si>
    <t>Datashow não funciona</t>
  </si>
  <si>
    <t>311/2023</t>
  </si>
  <si>
    <t>Bloco 1</t>
  </si>
  <si>
    <t>Salas 102, 103 e 104</t>
  </si>
  <si>
    <t>312/2023</t>
  </si>
  <si>
    <t>SALAS 309 e 316</t>
  </si>
  <si>
    <t>Realizar a instalação de 2 lousas de vidro que o curso adquiriu a pouco tempo. Uma delas será instalada na sala 309 e a outra na sala 316.</t>
  </si>
  <si>
    <t>313/2023</t>
  </si>
  <si>
    <t>Final do corredor, porta 113.</t>
  </si>
  <si>
    <t>No break começou a apitar após queda de energia.</t>
  </si>
  <si>
    <t>314/2023</t>
  </si>
  <si>
    <t>Sala 101</t>
  </si>
  <si>
    <t xml:space="preserve">Instalar tomada para ligação do ar condicionado. </t>
  </si>
  <si>
    <t>315/2023</t>
  </si>
  <si>
    <t>Separação do acionamento da iluminação da sala.</t>
  </si>
  <si>
    <t>316/2023</t>
  </si>
  <si>
    <t>Instalar ponto de rede/internet</t>
  </si>
  <si>
    <t>317/2023</t>
  </si>
  <si>
    <t>Felipe Kenned de Oliveira Martins</t>
  </si>
  <si>
    <t>SEAF</t>
  </si>
  <si>
    <t xml:space="preserve">Tenda (ao lado da cantina) </t>
  </si>
  <si>
    <t>*</t>
  </si>
  <si>
    <t xml:space="preserve">Instalar energia elétrica e iluminação na tenta que estará instala ao lado da cantina. Como observação, solicitamos uma prioridade de serviço, no dia do evento, visto que as atividades a serem realizadas necessitam de energia elétrica. O evento começa às 07h.  </t>
  </si>
  <si>
    <t>318/2023</t>
  </si>
  <si>
    <t>apto 205</t>
  </si>
  <si>
    <t>vazamento na ducha higiênica do banheiro</t>
  </si>
  <si>
    <t>319/2023</t>
  </si>
  <si>
    <t>Está sem água para descarga / Pias</t>
  </si>
  <si>
    <t>320/2023</t>
  </si>
  <si>
    <t>EDER</t>
  </si>
  <si>
    <t>banheiro masculino da recepção</t>
  </si>
  <si>
    <t xml:space="preserve">o Espelho que foi colocado na parede do banheiro esta rachado e caiu na pia esta muito perigoso de aluno se machucar e trazer transtornos, peço a gentileza de uma urgência no atendimento. </t>
  </si>
  <si>
    <t>321/2023</t>
  </si>
  <si>
    <t xml:space="preserve">Banheiro masculino 3° piso </t>
  </si>
  <si>
    <t xml:space="preserve">Válvula apresentando problema, agua passando direto </t>
  </si>
  <si>
    <t>322/2023</t>
  </si>
  <si>
    <t xml:space="preserve">Bloco didático I </t>
  </si>
  <si>
    <t>Sala 302</t>
  </si>
  <si>
    <t xml:space="preserve">Peça do ar condicionado da sala 302 no didatico I soltou </t>
  </si>
  <si>
    <t>323/2023</t>
  </si>
  <si>
    <t xml:space="preserve">Entrada CEAPSI </t>
  </si>
  <si>
    <t>Corredor por trás dos Blocos Multi e Didáticos</t>
  </si>
  <si>
    <t xml:space="preserve">Luzes de postes que ficam no corredor de trás dos blocos M e didáticos estão queimadas </t>
  </si>
  <si>
    <t>324/2023</t>
  </si>
  <si>
    <t xml:space="preserve">Sala de apoio dos vigilantes </t>
  </si>
  <si>
    <t xml:space="preserve">Lâmpada da sala de apoio está queimada </t>
  </si>
  <si>
    <t>325/2023</t>
  </si>
  <si>
    <t xml:space="preserve">Didático I </t>
  </si>
  <si>
    <t xml:space="preserve">banheiro especial </t>
  </si>
  <si>
    <t xml:space="preserve">Cerâmicas da parede do banheiro especial se soltaram </t>
  </si>
  <si>
    <t>326/2023</t>
  </si>
  <si>
    <t>(CEAPSI - Clínica de Psicologia)</t>
  </si>
  <si>
    <t>Adequar a entrada do CEAPSI para o escoamento correto da água, pois a água da chuva está obstruíndo a entrada.</t>
  </si>
  <si>
    <t>327/2023</t>
  </si>
  <si>
    <t>Sâmela</t>
  </si>
  <si>
    <t>Recepção da PRPE</t>
  </si>
  <si>
    <t>tem uma goteira na câmara de segurança da recepção da PRPE.</t>
  </si>
  <si>
    <t>328/2023</t>
  </si>
  <si>
    <t>CEAPSI - Clínica de psicologia</t>
  </si>
  <si>
    <t>Início de infiltração nos consultórios 5 e 6.</t>
  </si>
  <si>
    <t>329/2023</t>
  </si>
  <si>
    <t>todos os apartamentos</t>
  </si>
  <si>
    <t>colocar ganchos em paredes da lavanderia para varais</t>
  </si>
  <si>
    <t>330/2023</t>
  </si>
  <si>
    <t>Instalação de quadro branco em parede</t>
  </si>
  <si>
    <t>331/2023</t>
  </si>
  <si>
    <t>bloco K</t>
  </si>
  <si>
    <t>instalar um quadro branco na parede</t>
  </si>
  <si>
    <t>332/2023</t>
  </si>
  <si>
    <t>333/2023</t>
  </si>
  <si>
    <t>Boa tarde, há alguns dias o Bloco O se encontra off-line, gostaria de solicitar se possível, a assitência no mesmo.</t>
  </si>
  <si>
    <t>334/2023</t>
  </si>
  <si>
    <t>Copa</t>
  </si>
  <si>
    <t>Trocar bebedouro</t>
  </si>
  <si>
    <t>335/2023</t>
  </si>
  <si>
    <t>Manutenção na porta do banheiro( a mesma não fecha)</t>
  </si>
  <si>
    <t xml:space="preserve">Trinco do banheiro </t>
  </si>
  <si>
    <t>336/2023</t>
  </si>
  <si>
    <t xml:space="preserve">Campus II </t>
  </si>
  <si>
    <t xml:space="preserve">parte externa </t>
  </si>
  <si>
    <t xml:space="preserve">Parte externa do campus II está sem energia </t>
  </si>
  <si>
    <t>337/2023</t>
  </si>
  <si>
    <t>Mayani thais lopes</t>
  </si>
  <si>
    <t>Pref.</t>
  </si>
  <si>
    <t>Montar 2 estantes de metal, que foram entregues pelo Dpame</t>
  </si>
  <si>
    <t>338/2023</t>
  </si>
  <si>
    <t>Maria Rita De Cassia Santos</t>
  </si>
  <si>
    <t>Prédio da Pesquisa,  sala 102 - sala que honenageia o congo PREGO</t>
  </si>
  <si>
    <t>Sala 102Prédio da Pesquisa,  sala 102 - sala que honenageia o congo PREGO</t>
  </si>
  <si>
    <t xml:space="preserve">Gostaria de solicitar instalação de um purificador de água (osmose reversa) e retirada de um chuveiro com lava olhos. Esse chuveiro nunca foi utilizado por estar instalado junto ao quadro geral de energia do laboratório </t>
  </si>
  <si>
    <t>339/2023</t>
  </si>
  <si>
    <t>G</t>
  </si>
  <si>
    <t>Precisamos que seja feita uma limpeza no ar condicionado da secretaria das graduações de Letras, está com um cheiro muito forte de mofo. Acrescento que este problema pode ter relação com os problemas apresentados no telhado do bloco G, está com goteiras em toda sua extensão, inclusive já danificou o forro de praticamente todas as salas, seja com infiltração aparente, trincos, manchas, e até buracos abertos.</t>
  </si>
  <si>
    <t>340/2023</t>
  </si>
  <si>
    <t>Sala 115.</t>
  </si>
  <si>
    <t>Verificar motor da capela (não está funcionando).</t>
  </si>
  <si>
    <t>341/2023</t>
  </si>
  <si>
    <t>Sala 11.</t>
  </si>
  <si>
    <t>Interruptor que liga lâmpada da capela está quebrado.</t>
  </si>
  <si>
    <t>342/2023</t>
  </si>
  <si>
    <t xml:space="preserve">Corredor </t>
  </si>
  <si>
    <t xml:space="preserve">Bebedouro do corredor no bloco D está com vazamento de agua </t>
  </si>
  <si>
    <t>343/2023</t>
  </si>
  <si>
    <t>sala 156</t>
  </si>
  <si>
    <t>Instalar um quadro na parede.</t>
  </si>
  <si>
    <t>344/2023</t>
  </si>
  <si>
    <t>Elisiário</t>
  </si>
  <si>
    <t>DCMP</t>
  </si>
  <si>
    <t>Bloco Administrativo - Subsolo</t>
  </si>
  <si>
    <t>S07</t>
  </si>
  <si>
    <t>Substituição de lâmpadas queimadas, 3 unidades.</t>
  </si>
  <si>
    <t>345/2023</t>
  </si>
  <si>
    <t xml:space="preserve">Didatico I </t>
  </si>
  <si>
    <t>sala do SIASS - consultório 1</t>
  </si>
  <si>
    <t>realocar 1 quadro de lugar. de uma parede para a outra.</t>
  </si>
  <si>
    <t>346/2023</t>
  </si>
  <si>
    <t>Laboratórios 111 e 115.</t>
  </si>
  <si>
    <t>Trocar tomadas dos laboratórios. OBS: as tomadas instaladas (três pinos modelo "novo") não permitem o encaixe dos cabos de energia.</t>
  </si>
  <si>
    <t>347/2023</t>
  </si>
  <si>
    <t>Chefe do Setor de Gerência Administrativa</t>
  </si>
  <si>
    <t>Sala 6</t>
  </si>
  <si>
    <t>Aplicar "fita de borda" na lateral de mesa.</t>
  </si>
  <si>
    <t>348/2023</t>
  </si>
  <si>
    <t>Corredor de Enfermagem</t>
  </si>
  <si>
    <t>URGENTE - Retirar o miolo do escaninho de número 15, localizado no corredor da Enfermagem. Foi colocado por engano documentos nesse lugar, e estamos sem as chaves (já solicitei pra trocar o miolo das chaves para o DPAME desde janeiro, mas o chaveiro ainda não veio)</t>
  </si>
  <si>
    <t>349/2023</t>
  </si>
  <si>
    <t>Sala do Arquivo</t>
  </si>
  <si>
    <t>Reforçar a tela quebra-sol no lado externo da sala do Arquivo (ela esta soltando) e revisar todas as janelas do Cidarq, sendo 4 janelas na sala 6; 2 janelas na sala 7 e 1 janela na sala 23.</t>
  </si>
  <si>
    <t>350/2023</t>
  </si>
  <si>
    <t>Cidarq - sala de atendimento, sala da gerência administrativa e sala do arquivo.</t>
  </si>
  <si>
    <t>Vistoria e reparo das rachaduras e nas salas do CIDARQ.</t>
  </si>
  <si>
    <t>351/2023</t>
  </si>
  <si>
    <t>Sala do Cidarq</t>
  </si>
  <si>
    <t>Vistoria e reparo de infiltrações nas paredes do CIDARQ</t>
  </si>
  <si>
    <t>352/2023</t>
  </si>
  <si>
    <t>SIASS</t>
  </si>
  <si>
    <t>Bloco Didático 1</t>
  </si>
  <si>
    <t>Em frente a Sala 209</t>
  </si>
  <si>
    <t xml:space="preserve">São 4 aparelhos de ar-condicionado, sendo um em cada consultório/sala.  </t>
  </si>
  <si>
    <t>353/2023</t>
  </si>
  <si>
    <t xml:space="preserve">Fundo do palco </t>
  </si>
  <si>
    <t>Confeccionar 2 extensões para ligar 2 pares de canhões de luz.</t>
  </si>
  <si>
    <t>354/2023</t>
  </si>
  <si>
    <t xml:space="preserve">Totem do auditório Paulo de Bastos </t>
  </si>
  <si>
    <t xml:space="preserve">trocas as lâmpadas e recolocar a tampa traseira.  </t>
  </si>
  <si>
    <t>355/2023</t>
  </si>
  <si>
    <t>Gramado em frente ao auditório.</t>
  </si>
  <si>
    <t>Trocar os refletores do gramado. Se possível utilizar os que foram substituídos do teto do palco do auditório.</t>
  </si>
  <si>
    <t>356/2023</t>
  </si>
  <si>
    <t xml:space="preserve">Sala 110 (ralo externo) </t>
  </si>
  <si>
    <t xml:space="preserve">Ralo entupido </t>
  </si>
  <si>
    <t>357/2023</t>
  </si>
  <si>
    <t>Fabrício (Biblioteca)</t>
  </si>
  <si>
    <t>3441-5360</t>
  </si>
  <si>
    <t>Prédio</t>
  </si>
  <si>
    <t>Em todo prédio</t>
  </si>
  <si>
    <t>Trocar 42 lâmpadas Queimadas. Locais: 1- Entrada do prédio; 7- Hall de entrada; 6- Acervo inferior; 2- Sala de Estudo coletivo3; 18- Acervo superior; 1- Corredor de entrada do piso administrativo; 4- Antessala da Direção; 1- Sala da Coordenação Administrativa; 2- Sala do Processamento Técnico.</t>
  </si>
  <si>
    <t>358/2023</t>
  </si>
  <si>
    <t>CEAPSI - Clinica de Psicologia</t>
  </si>
  <si>
    <t>4 lâmpadas queimadas (Consultório 1: 1 unidade, Consultório 6: duas unidades, Recepção do CEAPSI: 1 unidade)</t>
  </si>
  <si>
    <t>359/2023</t>
  </si>
  <si>
    <t>Apto 101</t>
  </si>
  <si>
    <t>Maçaneta estragou - quarto B, do apto 101</t>
  </si>
  <si>
    <t>360/2023</t>
  </si>
  <si>
    <t>Fabrício</t>
  </si>
  <si>
    <t>3441-5306</t>
  </si>
  <si>
    <t>Prédio da Biblioteca</t>
  </si>
  <si>
    <t>Instalação de lâmpadas de emergência (total de 10 unidades)</t>
  </si>
  <si>
    <t>361/2023</t>
  </si>
  <si>
    <t>Realizar ajuste nas janelas do acervo para que as mesmas permaneçam abertas quando necessário.</t>
  </si>
  <si>
    <t>362/2023</t>
  </si>
  <si>
    <t>Lateral do Bloco K</t>
  </si>
  <si>
    <t>Lateral Externo do Bloco K</t>
  </si>
  <si>
    <t>Na Lateral Externa do Bloco K, há um cano quebrado, com vazamento de água.</t>
  </si>
  <si>
    <t>363/2023</t>
  </si>
  <si>
    <t xml:space="preserve">Instalação do cabeamento de rede/internet do switch até os computadores e impressora. </t>
  </si>
  <si>
    <t>364/2023</t>
  </si>
  <si>
    <t>Corredor do Bloco da Geografia.</t>
  </si>
  <si>
    <t>Realizar a pintura de 3 armários de aço para vestiário, que foram doados pelo curso de Geografia para o curso de Educação Física. Patrimônios: 334427; 334428 e 334429.</t>
  </si>
  <si>
    <t>365/2023</t>
  </si>
  <si>
    <t>Banheiro masculino bloco k</t>
  </si>
  <si>
    <t xml:space="preserve">Desentupir mictório masculino </t>
  </si>
  <si>
    <t>366/2023</t>
  </si>
  <si>
    <t>Bloco didático 2</t>
  </si>
  <si>
    <t>Desentupir mictório</t>
  </si>
  <si>
    <t>367/2023</t>
  </si>
  <si>
    <t>Bloco didático 1</t>
  </si>
  <si>
    <t xml:space="preserve">Desentupir mictório </t>
  </si>
  <si>
    <t>368/2023</t>
  </si>
  <si>
    <t>(64)99253-1009</t>
  </si>
  <si>
    <t xml:space="preserve">Guarita de vigilância prortaria 1 </t>
  </si>
  <si>
    <t xml:space="preserve">Guarita na entrada principal de acesso a avenida Lamartine. </t>
  </si>
  <si>
    <t>Pintar a guarita.</t>
  </si>
  <si>
    <t>369/2023</t>
  </si>
  <si>
    <t>Bruno Cezar Guerreiro Ferreira</t>
  </si>
  <si>
    <t>Bloco "O"</t>
  </si>
  <si>
    <t>Secretaria Acadêmica 3ºpiso</t>
  </si>
  <si>
    <t>Troca de lâmpada, fluorecente, tamanho menor</t>
  </si>
  <si>
    <t>370/2023</t>
  </si>
  <si>
    <t xml:space="preserve">Bruna Crisitna Ferreira Alves </t>
  </si>
  <si>
    <t>7610/64 99283-1026</t>
  </si>
  <si>
    <t>Tenda ao lado da Cantina</t>
  </si>
  <si>
    <t xml:space="preserve">Tenda ao lado da cantina </t>
  </si>
  <si>
    <t xml:space="preserve">Instalação Elétrica para utilização de equipamentos audiovisual </t>
  </si>
  <si>
    <t>371/2023</t>
  </si>
  <si>
    <t xml:space="preserve">Bloco H </t>
  </si>
  <si>
    <t xml:space="preserve">Dispenser alcool em gel soltou da parede </t>
  </si>
  <si>
    <t>372/2023</t>
  </si>
  <si>
    <t xml:space="preserve">Banheiro masculino engenharia civil </t>
  </si>
  <si>
    <t xml:space="preserve">Vazamento de água nas pias (registro foi desligado) </t>
  </si>
  <si>
    <t>373/2023</t>
  </si>
  <si>
    <t xml:space="preserve">Laboratório de materiais do curso engenharia civil </t>
  </si>
  <si>
    <t xml:space="preserve">Vidro trincado </t>
  </si>
  <si>
    <t>374/2023</t>
  </si>
  <si>
    <t xml:space="preserve">Banheiro especial </t>
  </si>
  <si>
    <t xml:space="preserve">Trava da porta está quebrada </t>
  </si>
  <si>
    <t xml:space="preserve">Ordem Duplicada </t>
  </si>
  <si>
    <t>375/2023</t>
  </si>
  <si>
    <t xml:space="preserve">Laboratório de materiais </t>
  </si>
  <si>
    <t xml:space="preserve">Torneira está vazando agua </t>
  </si>
  <si>
    <t>376/2023</t>
  </si>
  <si>
    <t>Luiz Almeida da Silva</t>
  </si>
  <si>
    <t>* URGENTE * Troca de Lâmpada Queimada no Gabinete</t>
  </si>
  <si>
    <t>377/2023</t>
  </si>
  <si>
    <t xml:space="preserve">Tábata Di castro Mariano Oliveira </t>
  </si>
  <si>
    <t>NAI</t>
  </si>
  <si>
    <t xml:space="preserve">Sala do Núcleo de Acessibilidade </t>
  </si>
  <si>
    <t xml:space="preserve">reparo em uma cadeira, que caiu alguns parafusos. </t>
  </si>
  <si>
    <t>378/2023</t>
  </si>
  <si>
    <t xml:space="preserve">Tábata Di Castro </t>
  </si>
  <si>
    <t xml:space="preserve">arrumar tomadas que não funcionam </t>
  </si>
  <si>
    <t>379/2023</t>
  </si>
  <si>
    <t>Sala 1A</t>
  </si>
  <si>
    <t>Confecção de cabo de rede. preciso de 2 cabos de 2m e 1 cabo de 3m</t>
  </si>
  <si>
    <t>380/2023</t>
  </si>
  <si>
    <t xml:space="preserve">Palco do auditório Paulo de Bastos </t>
  </si>
  <si>
    <t xml:space="preserve">Passar a emeda do cabo de aço da cortina para cima de modo que ela possa ser fechada por completo.  </t>
  </si>
  <si>
    <t>381/2023</t>
  </si>
  <si>
    <t>Próximo a piscina</t>
  </si>
  <si>
    <t>Deixar o ponto de energia para ligação do som do palco na Calourada dia 19 e 20/04/23 (exatamente como no ano passado)</t>
  </si>
  <si>
    <t>382/2023</t>
  </si>
  <si>
    <t>Câmeras do Bloco O</t>
  </si>
  <si>
    <t>As Câmeras do Bloco O estão off-line dificultando o monitoramento do local</t>
  </si>
  <si>
    <t>383/2023</t>
  </si>
  <si>
    <t>Câmera da cobertura de carros oficiais</t>
  </si>
  <si>
    <t>Câmera está preta não registando imagens do local dificultando o monitoramento</t>
  </si>
  <si>
    <t>384/2023</t>
  </si>
  <si>
    <t>Bloco L externo</t>
  </si>
  <si>
    <t>Câmera do Fundo</t>
  </si>
  <si>
    <t>Câmera está preta não registrando imagens do local, dificultando o seu monitoramento</t>
  </si>
  <si>
    <t>385/2023</t>
  </si>
  <si>
    <t>Apto 206</t>
  </si>
  <si>
    <t>Luz piscando sem parar em um dos quartos</t>
  </si>
  <si>
    <t>386/2023</t>
  </si>
  <si>
    <t xml:space="preserve">Kellen Rabello </t>
  </si>
  <si>
    <t xml:space="preserve">Bloco P </t>
  </si>
  <si>
    <t>Fazer 3 bases de monitor de 30×25×10 cm</t>
  </si>
  <si>
    <t>387/2023</t>
  </si>
  <si>
    <t>Instalação de ponto de rede. Na sala existe 1 caixa com 2 saídas. 1 das saídas está vazia. Iremos receber visita do MEC para avaliação do curso e necessito de 2 pontos de rede nesse espaço.</t>
  </si>
  <si>
    <t>388/2023</t>
  </si>
  <si>
    <t>Pátio em frente ao CEAPSI.</t>
  </si>
  <si>
    <t>Lustre da lâmpada do pátio em frente ao CEAPSI caiu, colocar novamente. (Lustre está na secretaria do CEAPSI).</t>
  </si>
  <si>
    <t>389/2023</t>
  </si>
  <si>
    <t>Bárbara Fernandes</t>
  </si>
  <si>
    <t>FAE</t>
  </si>
  <si>
    <t xml:space="preserve">Torneira do bebedouro pingando sem parar </t>
  </si>
  <si>
    <t>390/2023</t>
  </si>
  <si>
    <t>BLOCO G</t>
  </si>
  <si>
    <t>GABINETE 04 A</t>
  </si>
  <si>
    <t>FECHADURA ESTÁ COM PROBLEMAS PARA DESTRANCAR, A CHAVE ESTÁ C/ DIFICULDADE DE ENTRAR.</t>
  </si>
  <si>
    <t>391/2023</t>
  </si>
  <si>
    <t>Divino José da silva</t>
  </si>
  <si>
    <t>Corredor e sala 354</t>
  </si>
  <si>
    <t>Troca de  2 lampadas no corredor e 6 lampadas na sala 354 e verificação dos interruptores.</t>
  </si>
  <si>
    <t>392/2023</t>
  </si>
  <si>
    <t>Apartamento 205 - MUC</t>
  </si>
  <si>
    <t>Duchas higiênicas dos dois sanitários com vazamentos</t>
  </si>
  <si>
    <t>393/2023</t>
  </si>
  <si>
    <t>Tenta ao lado da cantina</t>
  </si>
  <si>
    <t>/</t>
  </si>
  <si>
    <t xml:space="preserve">Retirada do sistema elétrico instalado na Tenda </t>
  </si>
  <si>
    <t>394/2023</t>
  </si>
  <si>
    <t xml:space="preserve">Daiane </t>
  </si>
  <si>
    <t xml:space="preserve">ajuste de mesa </t>
  </si>
  <si>
    <t>395/2023</t>
  </si>
  <si>
    <t xml:space="preserve">G </t>
  </si>
  <si>
    <t xml:space="preserve">Corredor, bebedouro </t>
  </si>
  <si>
    <t xml:space="preserve">Torneira bebedouro não para fechada </t>
  </si>
  <si>
    <t>396/2023</t>
  </si>
  <si>
    <t>Lidiane Martins da Silva</t>
  </si>
  <si>
    <t>Criar novo ponto de rede na sala. Os pontos são insuficientes. No momento tenho trabalhado com o meu computador e 1 notebook - o sinal de wifi é muito instável e necessito utilizar o notebook em rede - mas não existe nenhum ponto disponível.</t>
  </si>
  <si>
    <t>397/2023</t>
  </si>
  <si>
    <t xml:space="preserve">Secretaria de Ações Afirmativas </t>
  </si>
  <si>
    <t>7010/ 64-992831026</t>
  </si>
  <si>
    <t>Ludoteca sala N°     10</t>
  </si>
  <si>
    <t>Conserto do telhado, reparo das partes com infiltração.</t>
  </si>
  <si>
    <t>398/2023</t>
  </si>
  <si>
    <t>BLOCO E</t>
  </si>
  <si>
    <t>SALA 5</t>
  </si>
  <si>
    <t>Realizar a montagem/adaptação de mesa para discente com demanda de acessibilidade.
O programa possui uma mesa que é possível adaptá-la a demanda da discente, no entanto precisará de algumas modificações em sua altura (84cm necessários) e estrutura (remoção da barra centralizada inferior, onde fica os pés) e pintura.</t>
  </si>
  <si>
    <t>399/2023</t>
  </si>
  <si>
    <t>Henrique Diniz Senna</t>
  </si>
  <si>
    <t>Sala de Reuniões da Engenharia de Minas</t>
  </si>
  <si>
    <t>O vidro da janela da sala de reuniões esta trincado, com risco de cair na parte interna onde acontecem aulas e reuniões.</t>
  </si>
  <si>
    <t>400/2023</t>
  </si>
  <si>
    <t>LAPAM</t>
  </si>
  <si>
    <t>Adequação do Tamanho e instalação de um quadro negro (lousa) do LaPAM (Bloco K; sala 11) para a Sala 4 (bloco K)</t>
  </si>
  <si>
    <t>401/2023</t>
  </si>
  <si>
    <t xml:space="preserve">Entre o RU </t>
  </si>
  <si>
    <t xml:space="preserve">Troca do rele no estacionamento bloco O </t>
  </si>
  <si>
    <t>402/2023</t>
  </si>
  <si>
    <t xml:space="preserve">Lab116  </t>
  </si>
  <si>
    <t>Instalação de prateleiras nas bancadas</t>
  </si>
  <si>
    <t>403/2023</t>
  </si>
  <si>
    <t>Thimoteo Pereira Cruz</t>
  </si>
  <si>
    <t>Setor de Manutenção</t>
  </si>
  <si>
    <t>Montagem de uma estante de metal</t>
  </si>
  <si>
    <t>404/2023</t>
  </si>
  <si>
    <t>Dpame</t>
  </si>
  <si>
    <t>manutenção</t>
  </si>
  <si>
    <t>remanejar parafusos de acento de cadeira (quebrados)</t>
  </si>
  <si>
    <t>405/2023</t>
  </si>
  <si>
    <t xml:space="preserve">DVR das câmeras Bloco O </t>
  </si>
  <si>
    <t>DVR das câmeras bloco O estão desconectadas</t>
  </si>
  <si>
    <t>406/2023</t>
  </si>
  <si>
    <t>criar 2 novas tomadas e 1 ponto de internet para 1 mesa, que será instalada na sala.</t>
  </si>
  <si>
    <t>407/2023</t>
  </si>
  <si>
    <t>Labcora - Sala 17</t>
  </si>
  <si>
    <t>Fazer uma ligação entre os cabos do aparelho de som ao som.</t>
  </si>
  <si>
    <t>408/2023</t>
  </si>
  <si>
    <t xml:space="preserve">Welington Cesar Silva </t>
  </si>
  <si>
    <t>Quadra descoberta</t>
  </si>
  <si>
    <t xml:space="preserve">Fazer uma pintura nas tabelas de basquete da quadra descoberta </t>
  </si>
  <si>
    <t>409/2023</t>
  </si>
  <si>
    <t xml:space="preserve">Fazer uma pintura no corrimão da quadra </t>
  </si>
  <si>
    <t>410/2023</t>
  </si>
  <si>
    <t xml:space="preserve">Fazer uma pintura na sinalização da quadra </t>
  </si>
  <si>
    <t>Irá contratar empresa especializada</t>
  </si>
  <si>
    <t>411/2023</t>
  </si>
  <si>
    <t>Campo de futebol</t>
  </si>
  <si>
    <t xml:space="preserve">Colocar iluminação nos refletores do campo de futebol </t>
  </si>
  <si>
    <t xml:space="preserve">Falta refletor </t>
  </si>
  <si>
    <t>412/2023</t>
  </si>
  <si>
    <t xml:space="preserve">Colocar uma iluminação que ilumine melhor os fundos da piscina </t>
  </si>
  <si>
    <t>413/2023</t>
  </si>
  <si>
    <t xml:space="preserve">Bebedouro bloco G está com a torneira quebrada e não está saindo água </t>
  </si>
  <si>
    <t>414/2023</t>
  </si>
  <si>
    <t>Anderson Ferreira Aquino</t>
  </si>
  <si>
    <t>(64) 3441-5346</t>
  </si>
  <si>
    <t>Solicito a crimpagem de cabo da rede de internet, tendo em vista que o mesmo está apresentando folga no conector, prejudicando a conexão com a rede.</t>
  </si>
  <si>
    <t>415/2023</t>
  </si>
  <si>
    <t>COORDENAÇÃO DE PATRIMÔNIO (ANTIGO DPAME)</t>
  </si>
  <si>
    <t>ALMOXARIFADO 1</t>
  </si>
  <si>
    <t xml:space="preserve">CADEIRA GIRATÓRIA, RECOLOCAR 2 PARAFUSOS MAIS CÁLCIO PARA PARAFUSAR </t>
  </si>
  <si>
    <t>416/2023</t>
  </si>
  <si>
    <t>Lab 116</t>
  </si>
  <si>
    <t>Substituição de torneiras e verificação de vazamento do registro</t>
  </si>
  <si>
    <t>417/2023</t>
  </si>
  <si>
    <t>Sala 19 - mini auditório - Andar da engenharia civil</t>
  </si>
  <si>
    <t>Reparo em algumas cadeiras que estão com o encosto ou o acento danificados.</t>
  </si>
  <si>
    <t>falta material</t>
  </si>
  <si>
    <t>418/2023</t>
  </si>
  <si>
    <t>Bárbara Laís Fernandes</t>
  </si>
  <si>
    <t>Mudança de local do bebedouro do bloco H, pois o local onde o mesmo está atualmente atrapalha o fluxo do corredor.</t>
  </si>
  <si>
    <t>419/2023</t>
  </si>
  <si>
    <t xml:space="preserve">Recolocação do puxador da gaveta. </t>
  </si>
  <si>
    <t>420/2023</t>
  </si>
  <si>
    <t>Lincoln Lucilio Romualdo</t>
  </si>
  <si>
    <t>Sala 11</t>
  </si>
  <si>
    <t>Vazamento de água no dreno da cuba da capela. O laboratório está ficando totalmente molhado no desenvolvimento de atividades laboratoriais</t>
  </si>
  <si>
    <t>421/2023</t>
  </si>
  <si>
    <t>sala 4C</t>
  </si>
  <si>
    <t xml:space="preserve">Reinstalação de cortina de gabinete de servidor. Fomos informados que a cortina caiu durante a limpeza da referida sala. </t>
  </si>
  <si>
    <t>422/2023</t>
  </si>
  <si>
    <t>A maçaneta do quarto A do Ap 302 está com problema.</t>
  </si>
  <si>
    <t>423/2023</t>
  </si>
  <si>
    <t xml:space="preserve"> Entre as salas 04 / 05</t>
  </si>
  <si>
    <t>Parafusar Reservatório de álcool gel na parede entre as salas 04 /05 do bloco E ( OBS: o reservatório foi recolhido e deixado na central de operações).</t>
  </si>
  <si>
    <t>424/2023</t>
  </si>
  <si>
    <t>BLOCO H</t>
  </si>
  <si>
    <t xml:space="preserve">Mini auditório  </t>
  </si>
  <si>
    <t xml:space="preserve">Medir a metragem para cabo HDMI do mini auditório </t>
  </si>
  <si>
    <t>425/2023</t>
  </si>
  <si>
    <t>Daniel dos Reis Simões</t>
  </si>
  <si>
    <t>Janela do Corredor do 3º pavimento</t>
  </si>
  <si>
    <t xml:space="preserve">A janela do corredor do 3º pavimento está solta. </t>
  </si>
  <si>
    <t>426/2023</t>
  </si>
  <si>
    <t>Trocar 4 lâmpadas que estão queimadas na sala 10 (Ludoteca).</t>
  </si>
  <si>
    <t>427/2023</t>
  </si>
  <si>
    <t>Sala 12 - Almoxarifado do Curso.</t>
  </si>
  <si>
    <t xml:space="preserve">Trocar 3 lâmpadas da sala 12 (almoxarifado do Curso). </t>
  </si>
  <si>
    <t>428/2023</t>
  </si>
  <si>
    <t xml:space="preserve">Pátio de grama do bloco C </t>
  </si>
  <si>
    <t xml:space="preserve">Refletores quebrados </t>
  </si>
  <si>
    <t>429/2023</t>
  </si>
  <si>
    <t>Sofá apto 104</t>
  </si>
  <si>
    <t>Pé do sofá está quebrado. Apto 104</t>
  </si>
  <si>
    <t>430/2023</t>
  </si>
  <si>
    <t>Laboratório 11.</t>
  </si>
  <si>
    <t>Vazamento no sifão da pia.</t>
  </si>
  <si>
    <t>431/2023</t>
  </si>
  <si>
    <t>Ao lado do banheiro feminino.</t>
  </si>
  <si>
    <t>Desinstalar 2 bebedouros que se encontram no Bloco D, ao lado do banheiro feminino, pois o DPAME irá recolhê-los na quinta-feira (dia 23/03/2023), para levá-los para o CEMEQ/UFG (Goiânia).</t>
  </si>
  <si>
    <t>432/2023</t>
  </si>
  <si>
    <t>Sala 3-A</t>
  </si>
  <si>
    <t>O estabilizador dos computadores da secretaria não está funcionando, solicita-se reparo, provavelmente queimou alguma peça, segundo o pessoal de sistemas, que precisa ser substituída.</t>
  </si>
  <si>
    <t>433/2023</t>
  </si>
  <si>
    <t>Banheiro feminino do bloco G</t>
  </si>
  <si>
    <t>Substituir sinfão da pia.</t>
  </si>
  <si>
    <t>434/2023</t>
  </si>
  <si>
    <t>Isaac Newton Brandão</t>
  </si>
  <si>
    <t xml:space="preserve">Sala 09 CPATRI (dpame)  </t>
  </si>
  <si>
    <t>Trocar duas lâmpadas queimadas</t>
  </si>
  <si>
    <t>435/2023</t>
  </si>
  <si>
    <t>62 991579626</t>
  </si>
  <si>
    <t>Prédio da FENG - 2° Pavimento - Sala 19 (sala de reuniões)</t>
  </si>
  <si>
    <t>Fazer o reparo nas cadeiras da sala de reuniões, os seguintes serviços: 
4 estão com assento quebrado
8 estão com o encosto quebrado
1 está com assento e encosto quebrados</t>
  </si>
  <si>
    <t>436/2023</t>
  </si>
  <si>
    <t xml:space="preserve">Recepção onde fica a vigia e sala dos inversores </t>
  </si>
  <si>
    <t xml:space="preserve">02 armarios onde são guardados materiais da Ipanema não estão trancando  </t>
  </si>
  <si>
    <t>437/2023</t>
  </si>
  <si>
    <t>Didático 1</t>
  </si>
  <si>
    <t>sala do SIASS, segundo andar. consultório 1</t>
  </si>
  <si>
    <t>O ponto de internet não está funcionando. - favor me avisar quando a OS for resolvida.</t>
  </si>
  <si>
    <t>438/2023</t>
  </si>
  <si>
    <t xml:space="preserve">BLOCO H </t>
  </si>
  <si>
    <t xml:space="preserve">CORREDOR </t>
  </si>
  <si>
    <t xml:space="preserve">Alterar a tomada de lugar para o bebedouro </t>
  </si>
  <si>
    <t>439/2023</t>
  </si>
  <si>
    <t>CORREDOR</t>
  </si>
  <si>
    <t xml:space="preserve">Pintar a parede onde o bebedouro foi retirado </t>
  </si>
  <si>
    <t>440/2023</t>
  </si>
  <si>
    <t>Pintar de branco a moldura do quadro escolar que está no corredor.</t>
  </si>
  <si>
    <t>441/2023</t>
  </si>
  <si>
    <t>Fixar o quadro escolar na parede do corredor - ANTES DE FIXAR, PRECISA PINTAR A MOLDURA DE BRANCO - JÁ ABRI A OS REFERENTE À PINTURA.</t>
  </si>
  <si>
    <t>442/2023</t>
  </si>
  <si>
    <t xml:space="preserve">Vazamento banheiro especial </t>
  </si>
  <si>
    <t>443/2023</t>
  </si>
  <si>
    <t>Ajuste em mesa para uso de discente (acessibilidade).
Conforme informado pela discente a mesa está mancando.</t>
  </si>
  <si>
    <t>444/2023</t>
  </si>
  <si>
    <t>L</t>
  </si>
  <si>
    <t>Hall/Térreo</t>
  </si>
  <si>
    <t>Reparo/Manutenção do elevador de uso do bloco.
O mesmo não está em funcionamento, prejudicando o uso e acessibilidade de pessoas que o demandam.</t>
  </si>
  <si>
    <t>445/2023</t>
  </si>
  <si>
    <t>Didático</t>
  </si>
  <si>
    <t>Consultório 1, sala do SIASS, segundo andar</t>
  </si>
  <si>
    <t xml:space="preserve">Uma estante caiu atras da porta, impossibilitando que a sala seja acessada. </t>
  </si>
  <si>
    <t>446/2023</t>
  </si>
  <si>
    <t xml:space="preserve">Hall do Miniauditório Congadas </t>
  </si>
  <si>
    <t xml:space="preserve">Desentupir bebedouro e verificar infiltração/vazamento. </t>
  </si>
  <si>
    <t>447/2023</t>
  </si>
  <si>
    <t>Bloco L - 1º andar - Sala 103</t>
  </si>
  <si>
    <t>URGENTE - A fechadura da porta da - Sala 103 - Bloco L - 1º andar (Administrativa - Diretoria de Pesquisa - PROPESQ/UFCAT) está danificada conforme imagens anexadas o que impossibilita trancar a porta fazendo com que todos os equipamentos e materiais fiquem acessíveis, expostos ocasionando acesso ao público com horário irrestrito e sem qualquer acompanhamento.</t>
  </si>
  <si>
    <t>448/2023</t>
  </si>
  <si>
    <t xml:space="preserve">SECRETARIA </t>
  </si>
  <si>
    <t xml:space="preserve">INSTALAÇÃO DE TOMADAS PARA DOIS ARES-CONDICIONADOS </t>
  </si>
  <si>
    <t>449/2023</t>
  </si>
  <si>
    <t xml:space="preserve">MINI AUDITORIO </t>
  </si>
  <si>
    <t xml:space="preserve">INSTALAÇÃO DO CABO HDMI </t>
  </si>
  <si>
    <t>450/2023</t>
  </si>
  <si>
    <t xml:space="preserve">Sala 108 </t>
  </si>
  <si>
    <t xml:space="preserve">Consertar, colar persiana rolo blackout. </t>
  </si>
  <si>
    <t>451/2023</t>
  </si>
  <si>
    <t>Sala 06</t>
  </si>
  <si>
    <t>Solicitamos 2 cabos de 4 metros cada, crimpados macho-macho</t>
  </si>
  <si>
    <t>452/2023</t>
  </si>
  <si>
    <t xml:space="preserve">Instalar na porta da secretaria uma mola de porta. Se não for possível, instalar uma trava de chão </t>
  </si>
  <si>
    <t>453/2023</t>
  </si>
  <si>
    <t>1a</t>
  </si>
  <si>
    <t xml:space="preserve">Nivelar o armário. Pois a trava não está fechando </t>
  </si>
  <si>
    <t>454/2023</t>
  </si>
  <si>
    <t>Fazer um cabo de rede que conecte a televisão até o ponto de internet - se possível, deixar fixado na parede - pra ninguém retirar.</t>
  </si>
  <si>
    <t>455/2023</t>
  </si>
  <si>
    <t>O Bloco O se encontra Off-line desde o dia de ontem.</t>
  </si>
  <si>
    <t>456/2023</t>
  </si>
  <si>
    <t>Retirar cortinas dos consultórios 1, 2, 3 e 4 para mandar para lavanderia. 
(Não tiramos pelo fato de precisar de escada).</t>
  </si>
  <si>
    <t>457/2023</t>
  </si>
  <si>
    <t xml:space="preserve">64 99253-1009 </t>
  </si>
  <si>
    <t>Área externa do campos.</t>
  </si>
  <si>
    <t xml:space="preserve">Área externa </t>
  </si>
  <si>
    <t xml:space="preserve">Instalação de refletores de iluminação. </t>
  </si>
  <si>
    <t>458/2023</t>
  </si>
  <si>
    <t>Almoxarifado</t>
  </si>
  <si>
    <t>Verificar se teria como puxar um ponto de rede de internet</t>
  </si>
  <si>
    <t>459/2023</t>
  </si>
  <si>
    <t>Ventilador do apto 406, quarto A, fazendo muito barulho.</t>
  </si>
  <si>
    <t>460/2023</t>
  </si>
  <si>
    <t>O</t>
  </si>
  <si>
    <t>Laboratório de Informática do Mestrado em Eng. de Produção, 3º piso</t>
  </si>
  <si>
    <t>Ar condicionado com vazamentos</t>
  </si>
  <si>
    <t>461/2023</t>
  </si>
  <si>
    <t>Apto 103</t>
  </si>
  <si>
    <t>Água da ducha sanitária do banheiro da sala está infiltrando para o quarto B do apto 103.</t>
  </si>
  <si>
    <t>462/2023</t>
  </si>
  <si>
    <t xml:space="preserve">2° piso </t>
  </si>
  <si>
    <t xml:space="preserve">Porta soltando a dobradiça </t>
  </si>
  <si>
    <t>Banheiro feminino do bloco G.</t>
  </si>
  <si>
    <t>Instalar joelho de esgoto de 50mm em ralo de esgoto.</t>
  </si>
  <si>
    <t>463/2023</t>
  </si>
  <si>
    <t xml:space="preserve">Bryam </t>
  </si>
  <si>
    <t>Haverá uma tenda para uma feirinha de artesanato, a iluminação é para essa feira</t>
  </si>
  <si>
    <t xml:space="preserve">Instalar a iluminação nas árvores do estacionamento entre o auditório paulo debastos e a biblioteca, a iluminação será utilizada para uma feirinha de artesanatos que ocorrerá neste local </t>
  </si>
  <si>
    <t>464/2023</t>
  </si>
  <si>
    <t>Oficina</t>
  </si>
  <si>
    <t>oficina</t>
  </si>
  <si>
    <t>O Dpame vai entregar 2 estantes de aço para montar</t>
  </si>
  <si>
    <t>465/2023</t>
  </si>
  <si>
    <t>A cortina da sala da secretaria está danificada.</t>
  </si>
  <si>
    <t>466/2023</t>
  </si>
  <si>
    <t xml:space="preserve">Bloco K </t>
  </si>
  <si>
    <t xml:space="preserve">Sala 1B </t>
  </si>
  <si>
    <t xml:space="preserve">Porta não está travando a fechadura </t>
  </si>
  <si>
    <t>467/2023</t>
  </si>
  <si>
    <t xml:space="preserve">Didático II </t>
  </si>
  <si>
    <t xml:space="preserve">Térreo e 2° piso </t>
  </si>
  <si>
    <t xml:space="preserve">Luzes do didático 2 estão apagando </t>
  </si>
  <si>
    <t>468/2023</t>
  </si>
  <si>
    <t xml:space="preserve">Subsolo </t>
  </si>
  <si>
    <t xml:space="preserve">Sala A12 do administrativo </t>
  </si>
  <si>
    <t>borracha solta dificultando seu fechamento; a mesma esta com a sua tranca estragada impossibilitando o seu travamento</t>
  </si>
  <si>
    <t>469/2023</t>
  </si>
  <si>
    <t xml:space="preserve">Pátio ao fundo do auditório Paulo de Bastos, próximo ao alambrado </t>
  </si>
  <si>
    <t>Luzes queimadas, Fundos do Auditório Paulo de Bastos, está bastante escuro</t>
  </si>
  <si>
    <t>470/2023</t>
  </si>
  <si>
    <t>o miolo da porta está rídido. Auxílio para desengripar.</t>
  </si>
  <si>
    <t>471/2023</t>
  </si>
  <si>
    <t xml:space="preserve">K </t>
  </si>
  <si>
    <t>Encaixar a base da balança mecânica. Recebemos as peças que faltavam;</t>
  </si>
  <si>
    <t>472/2023</t>
  </si>
  <si>
    <t>O Pino de segurança da porta estregou.</t>
  </si>
  <si>
    <t>473/2023</t>
  </si>
  <si>
    <t>Colocar cortinas que estavam para lavanderia.</t>
  </si>
  <si>
    <t>474/2023</t>
  </si>
  <si>
    <t>Próximo a casa de máquinas e a piscina</t>
  </si>
  <si>
    <t>Verificar um dos aquecedores da piscina, uma vez que não está funcionando.</t>
  </si>
  <si>
    <t>475/2023</t>
  </si>
  <si>
    <t>sala 16</t>
  </si>
  <si>
    <t>Solicitamos 3 cabos de rede com as respectivas metragens: 1,5 metros , 3 metros , 3metros</t>
  </si>
  <si>
    <t>476/2023</t>
  </si>
  <si>
    <t>Campo de Futebol e os arredores</t>
  </si>
  <si>
    <t xml:space="preserve">Roçagem do campo de futebol e nos arredores do mesmo </t>
  </si>
  <si>
    <t>477/2023</t>
  </si>
  <si>
    <t>Gaiola de atletismo</t>
  </si>
  <si>
    <t xml:space="preserve">Roçagem e limpeza dentro da gaiola de atletismo e nos seus arredores </t>
  </si>
  <si>
    <t>478/2023</t>
  </si>
  <si>
    <t>Quadra de areia de salto em atletismo</t>
  </si>
  <si>
    <t xml:space="preserve">Fazer campina na quadra de areia de salto em atletismo (Fico ao lado da quadra coberta)  </t>
  </si>
  <si>
    <t>479/2023</t>
  </si>
  <si>
    <t>welington_silva@ufcat.edu.br</t>
  </si>
  <si>
    <t>Bloco - D - Educação Física</t>
  </si>
  <si>
    <t>Quadra de areia de atletismo</t>
  </si>
  <si>
    <t>Campina da quadra de areia de atletismo, que fica próximo a quadra descoberta e da piscina</t>
  </si>
  <si>
    <t>480/2023</t>
  </si>
  <si>
    <t xml:space="preserve">Bloco F </t>
  </si>
  <si>
    <t xml:space="preserve">Bloco F em frente ao estacionamento de carros </t>
  </si>
  <si>
    <t xml:space="preserve">luzes externas do bloco F em frente o estacionamento de carros estão queimadas </t>
  </si>
  <si>
    <t>481/2023</t>
  </si>
  <si>
    <t xml:space="preserve">em frente a vaga de portadores de necessidades especiais e no final do Bloco E </t>
  </si>
  <si>
    <t>as luzes externas do bloco E em frente a vaga de portadores de necessidades especiais, e no final do Bloco E estão queimadas</t>
  </si>
  <si>
    <t>482/2023</t>
  </si>
  <si>
    <t xml:space="preserve">Escada que da acesso ao 1° piso </t>
  </si>
  <si>
    <t>a iluminação da rampa externa e das escadas que dão acesso aos laboratórios do 1.º Piso estão queimadas</t>
  </si>
  <si>
    <t>483/2023</t>
  </si>
  <si>
    <t>Instalação de 6 luminárias nos arredores da piscina</t>
  </si>
  <si>
    <t>484/2023</t>
  </si>
  <si>
    <t>Sala 4 e em frente a sala 3.</t>
  </si>
  <si>
    <t>Troca de um conjunto de lâmpadas em frente a sala 3 e outro conjunto de lâmpadas no corredor da sala 4 (aparentam estar queimadas).</t>
  </si>
  <si>
    <t>485/2023</t>
  </si>
  <si>
    <t>Rafael</t>
  </si>
  <si>
    <t>O cabo de Internet (RJ-45) não está funcionando.</t>
  </si>
  <si>
    <t>486/2023</t>
  </si>
  <si>
    <t>Calçada da piscina</t>
  </si>
  <si>
    <t xml:space="preserve">Fazer limpeza, roçagem no piso ao redor da piscina - OBS: Nascendo capim envolta do piso da piscina </t>
  </si>
  <si>
    <t>487/2023</t>
  </si>
  <si>
    <t>Sérgio Henrique</t>
  </si>
  <si>
    <t>Sala 35 - laboratório de laminação - 2° pavimento</t>
  </si>
  <si>
    <t>Trocar os plugs de dois equipamentos elétricos para padronização dos mesmos</t>
  </si>
  <si>
    <t>488/2023</t>
  </si>
  <si>
    <t>Sala 35 - Laboratório de Laminação</t>
  </si>
  <si>
    <t>elaborar um sistema de proteção para correia e corrente de dois motores elétricos instalados na sala 35 - parafusar uma chapa de proteção do mesmo equipamento</t>
  </si>
  <si>
    <t>489/2023</t>
  </si>
  <si>
    <t>Sala 35 (laboratório de laminação) - 2° pavimento - Eng. Minas</t>
  </si>
  <si>
    <t xml:space="preserve">Instalar ponto de água para um equipamento que necessita de alimentação através de mangueira e instalar também uma mangueira no dreno do mesmo equipamento para direcionar o excedente de água até o ralo. </t>
  </si>
  <si>
    <t>490/2023</t>
  </si>
  <si>
    <t>Substituição de 4 conjuntos de lâmpadas queimadas nos blocos de Letras.</t>
  </si>
  <si>
    <t>491/2023</t>
  </si>
  <si>
    <t>114.</t>
  </si>
  <si>
    <t>Verificar a rede limpa de 110 V.</t>
  </si>
  <si>
    <t>492/2023</t>
  </si>
  <si>
    <t>Banheiro do consultório 5.</t>
  </si>
  <si>
    <t>Apertar sifão da pia do banheiro, pois está vazando água.</t>
  </si>
  <si>
    <t>493/2023</t>
  </si>
  <si>
    <t xml:space="preserve">Blocos E e F </t>
  </si>
  <si>
    <t xml:space="preserve">Corredores </t>
  </si>
  <si>
    <t xml:space="preserve">Algumas luzes dos blocos E e F estão queimadas </t>
  </si>
  <si>
    <t>494/2023</t>
  </si>
  <si>
    <t>Marli</t>
  </si>
  <si>
    <t>03</t>
  </si>
  <si>
    <t>Retirada de quadro verde do laboratório de ensino para realização de pintura</t>
  </si>
  <si>
    <t>495/2023</t>
  </si>
  <si>
    <t>Piso inferior do acervo</t>
  </si>
  <si>
    <t xml:space="preserve">Ao ligar o interruptor nº 4 da caixa (localizada no piso inferior do acervo da Biblioteca) a mesma solta faísca e fumaça. Este é o relato da vigia Gislene.
 </t>
  </si>
  <si>
    <t>496/2023</t>
  </si>
  <si>
    <t>Banheiro masculino</t>
  </si>
  <si>
    <t xml:space="preserve">Substituir reparo de vauvula de descarga. </t>
  </si>
  <si>
    <t>497/2023</t>
  </si>
  <si>
    <t>Pinturas dos três bancos de cimentos</t>
  </si>
  <si>
    <t>498/2023</t>
  </si>
  <si>
    <t>ÉDER FÉLIX SILVA</t>
  </si>
  <si>
    <t>SALA 3 DE ESTUDO (Térreo)</t>
  </si>
  <si>
    <t>INSTALAR UM QUADRO BRANCO NA PAREDE DA SALA DE ESTUDO EM GRUPO 03, NO TÉRREO. Favor procurar Éder ou Cinara na hora da instalação. Obd: o QUADRO ENCONTRA-SE NA RESPECTIVA SALA ONDE DEVERÁ SER FEITA A INSTALÇAO.</t>
  </si>
  <si>
    <t>499/2023</t>
  </si>
  <si>
    <t>A água dos chuveiros não está saindo aquecida</t>
  </si>
  <si>
    <t>500/2023</t>
  </si>
  <si>
    <t>Laboratório 114.</t>
  </si>
  <si>
    <t>Instalar 02 tomatas.</t>
  </si>
  <si>
    <t>501/2023</t>
  </si>
  <si>
    <t>Hall dos Gabinetes Professores sala 05</t>
  </si>
  <si>
    <t>Solicito a verificação de possibilidade de instalação de um interruptor para ligar e desligar a Lâmpada do Hall de entrada das Salas 04 e 05 (Gabinetes de Professores) independente das luzes do corredor do Bloco A</t>
  </si>
  <si>
    <t>502/2023</t>
  </si>
  <si>
    <t>Vinicius Veroneze dos Reis Costa</t>
  </si>
  <si>
    <t xml:space="preserve">Fechadura da porta do banheiro masculino travou e necessita substituição urgente. </t>
  </si>
  <si>
    <t>503/2023</t>
  </si>
  <si>
    <t>Substituição da torneira do bebedouro que não para de vazar ou substituição do bebedouro completo.</t>
  </si>
  <si>
    <t>504/2023</t>
  </si>
  <si>
    <t>Ao lado da sala 317, M</t>
  </si>
  <si>
    <t>Instalações elétricas</t>
  </si>
  <si>
    <t xml:space="preserve">Instalação de tomada e de ponto de rede para impressora </t>
  </si>
  <si>
    <t>505/2023</t>
  </si>
  <si>
    <t xml:space="preserve">Cinara </t>
  </si>
  <si>
    <t xml:space="preserve">Cozinha </t>
  </si>
  <si>
    <t xml:space="preserve">Tomada da cozinha, não está funcionando. </t>
  </si>
  <si>
    <t>506/2023</t>
  </si>
  <si>
    <t>Bloco Didático l / Bloco O</t>
  </si>
  <si>
    <t>Sala Rack</t>
  </si>
  <si>
    <t>Averiguar câmeras de segurança, que estão todas desconectadas.</t>
  </si>
  <si>
    <t>507/2023</t>
  </si>
  <si>
    <t xml:space="preserve">Banheiros 1° andar, Sala DML e Corredor. </t>
  </si>
  <si>
    <t>As lâmpadas dos banheiros masculino e feminino do 1° andar, do DML e do corredor não estão acendendo. (Por gentileza, verificar a parte elétrica e se necessário trocar as lâmpadas).</t>
  </si>
  <si>
    <t>508/2023</t>
  </si>
  <si>
    <t xml:space="preserve">Hall do Miniauditório Congadas - Térreo . </t>
  </si>
  <si>
    <t>Troca de filtro bebedouro.</t>
  </si>
  <si>
    <t>509/2023</t>
  </si>
  <si>
    <t xml:space="preserve">Reservatório de água - Caixa d'agua </t>
  </si>
  <si>
    <t xml:space="preserve">Limpeza do reservatório de água do Bloco L. </t>
  </si>
  <si>
    <t>510/2023</t>
  </si>
  <si>
    <t>Hall 2° andar</t>
  </si>
  <si>
    <t xml:space="preserve">Consertar goteira no teto/gesso do hall do 2° andar. </t>
  </si>
  <si>
    <t>511/2023</t>
  </si>
  <si>
    <t>Lado externo do bloco L</t>
  </si>
  <si>
    <t xml:space="preserve">Urgente - Recolher cacos de vidro e tampo. </t>
  </si>
  <si>
    <t>512/2023</t>
  </si>
  <si>
    <t>Lamartine Lemos</t>
  </si>
  <si>
    <t>Procurar a Sala dos técnicos (nº 5) - piso superior</t>
  </si>
  <si>
    <t>Prezados/as, bom dia!
Gostaria de solicitar uma cópia de chave de uma das salas de laboratório de habilidades médicas (consultório IV) para deixar a disposição dos vigilantes.
Obs: coloquei a opção 03 - Mercenaria - 28 Troca de fechaduras, pois era a opção mais próxima referente a demanda de cópia de chaves.
Agradeço desde já pela atenção,
Cordialmente,</t>
  </si>
  <si>
    <t>513/2023</t>
  </si>
  <si>
    <t>jhonatan de carvalho</t>
  </si>
  <si>
    <t>bloco j</t>
  </si>
  <si>
    <t>Sala 13</t>
  </si>
  <si>
    <t xml:space="preserve">Porta soltou a tranca inferior e necessita de troca ou reparo. </t>
  </si>
  <si>
    <t>514/2023</t>
  </si>
  <si>
    <t>Telhado da varanda da Sala 101</t>
  </si>
  <si>
    <t xml:space="preserve">Limpeza de calha </t>
  </si>
  <si>
    <t>515/2023</t>
  </si>
  <si>
    <t>(64)996135036</t>
  </si>
  <si>
    <t>Pedimos a instalação de uma placa com a logomarca do instituto de Química da UFCAT, deve ser furada e fixada na parede em frente as janelas do atendimento da secretaria, sala 105, Bloco N.</t>
  </si>
  <si>
    <t>516/2023</t>
  </si>
  <si>
    <t>Trocar porta do banheiro masculino (requisição aberta atendendo a solicitação da equipe da marcenaria)</t>
  </si>
  <si>
    <t>517/2023</t>
  </si>
  <si>
    <t>Lanchonete da UFCAT</t>
  </si>
  <si>
    <t xml:space="preserve">Lanchonete da UFCAT </t>
  </si>
  <si>
    <t xml:space="preserve">Solicitamos a instalação de um ponto de eletricidade na lanchonete da UFCAT para a utilização da televisão no projeto Mídia Indoor. Sendo necessário, também, a instalação de uma tomada compatível com o dispositivo.  </t>
  </si>
  <si>
    <t>O ponto de rede precisa chegar até o equipamento que se encontra instalado no teto da lanchonete.</t>
  </si>
  <si>
    <t>518/2023</t>
  </si>
  <si>
    <t>Cômodo entrada usina fotovoltaica</t>
  </si>
  <si>
    <t>Trocar duas lâmpadas tipo bulbo - 100W</t>
  </si>
  <si>
    <t>519/2023</t>
  </si>
  <si>
    <t xml:space="preserve">Câmeras desconectadas </t>
  </si>
  <si>
    <t>Câmeras do Bloco O estão desconectadas</t>
  </si>
  <si>
    <t>Impossibilitamento da visualização do local.</t>
  </si>
  <si>
    <t>520/2023</t>
  </si>
  <si>
    <t xml:space="preserve">Bloco J </t>
  </si>
  <si>
    <t xml:space="preserve">Sala 13 </t>
  </si>
  <si>
    <t xml:space="preserve">Chave da sala 13 não entra na fechadura </t>
  </si>
  <si>
    <t>521/2023</t>
  </si>
  <si>
    <t xml:space="preserve">Cinara de Fátima Martins </t>
  </si>
  <si>
    <t xml:space="preserve">Adequação de tomada </t>
  </si>
  <si>
    <t>522/2023</t>
  </si>
  <si>
    <t xml:space="preserve">Jacqueline </t>
  </si>
  <si>
    <t>SALAS 01/02/03/04/05/06/07</t>
  </si>
  <si>
    <t>Ar-condicionado das salas 01/02/03/04/05/06/07, não estão funcionando</t>
  </si>
  <si>
    <t>523/2023</t>
  </si>
  <si>
    <t>Sala 07-cozinha</t>
  </si>
  <si>
    <t xml:space="preserve">Passar rejunte na rachadura do teto. </t>
  </si>
  <si>
    <t>524/2023</t>
  </si>
  <si>
    <t xml:space="preserve">Sala 18 </t>
  </si>
  <si>
    <t>Trocar três lâmpadas que estão queimadas</t>
  </si>
  <si>
    <t>525/2023</t>
  </si>
  <si>
    <t>Instalar 2 rodinhas em um biombo de ferro. (já temos as rodinhas)</t>
  </si>
  <si>
    <t>526/2023</t>
  </si>
  <si>
    <t>Arrumar a base da balança que desencaixou.</t>
  </si>
  <si>
    <t>527/2023</t>
  </si>
  <si>
    <t>Dispenser de sabonete líquido está vazando.</t>
  </si>
  <si>
    <t>528/2023</t>
  </si>
  <si>
    <t>Parte externa</t>
  </si>
  <si>
    <t xml:space="preserve">Iluminação do lado externo do Bloco, não estão funcionando. </t>
  </si>
  <si>
    <t>529/2023</t>
  </si>
  <si>
    <t>Bloco I , H</t>
  </si>
  <si>
    <t xml:space="preserve">área externa </t>
  </si>
  <si>
    <t>A iluminação externa dos Blocos I, H não estão funcionando dificultando a visualização e ronda no local</t>
  </si>
  <si>
    <t>530/2023</t>
  </si>
  <si>
    <t xml:space="preserve">Blocos H e I </t>
  </si>
  <si>
    <t xml:space="preserve">Lado externo </t>
  </si>
  <si>
    <t xml:space="preserve">Iluminação externa dos blocos H e I estão queimadas </t>
  </si>
  <si>
    <t>531/2023</t>
  </si>
  <si>
    <t xml:space="preserve">Pátio </t>
  </si>
  <si>
    <t xml:space="preserve">Banco quebrado na entrada do bloco C </t>
  </si>
  <si>
    <t>532/2023</t>
  </si>
  <si>
    <t>64 99699-0617</t>
  </si>
  <si>
    <t>Sala 207 e sala 209</t>
  </si>
  <si>
    <t>Solicito troca de 01 lâmpada queimada na sala 207 e duas lâmpadas na sala 209, do Bloco N.</t>
  </si>
  <si>
    <t>533/2023</t>
  </si>
  <si>
    <t>Solicito auxílio para instalação de bebedouro no laboratório (Sala 209) Bloco N. Sendo que, o mesmo foi retirado anteriormente e enviado para conserto (Cemeq).</t>
  </si>
  <si>
    <t>534/2023</t>
  </si>
  <si>
    <t>Sala 207</t>
  </si>
  <si>
    <t>Solicito auxílio para instalação de equipamento Capela de Exaustão de Gases na sala 207, Bloco N.</t>
  </si>
  <si>
    <t>535/2023</t>
  </si>
  <si>
    <t xml:space="preserve">Refazer furo na parede para o varal </t>
  </si>
  <si>
    <t>536/2023</t>
  </si>
  <si>
    <t>Vazamento na pia do banheiro do apto 205</t>
  </si>
  <si>
    <t>537/2023</t>
  </si>
  <si>
    <t>Vazamento na pia e vaso do banheiro da sala - Apto 103</t>
  </si>
  <si>
    <t>538/2023</t>
  </si>
  <si>
    <t>Trocar encaixe de lavatório</t>
  </si>
  <si>
    <t>539/2023</t>
  </si>
  <si>
    <t>Colocar roda em carrinho funcional</t>
  </si>
  <si>
    <t>540/2023</t>
  </si>
  <si>
    <t>Divino José da Silva</t>
  </si>
  <si>
    <t>Corredor entre salas</t>
  </si>
  <si>
    <t>Instalação  de uma tomada externa.</t>
  </si>
  <si>
    <t>541/2023</t>
  </si>
  <si>
    <t>apto 303</t>
  </si>
  <si>
    <t xml:space="preserve">pia entupida com vazamento </t>
  </si>
  <si>
    <t>542/2023</t>
  </si>
  <si>
    <t xml:space="preserve">Corredor/fundos do didático </t>
  </si>
  <si>
    <t>Vidraçaria</t>
  </si>
  <si>
    <t xml:space="preserve">Vidro da porta do didático 1 quebrou </t>
  </si>
  <si>
    <t>543/2023</t>
  </si>
  <si>
    <t>DVR das câmeras dos blocos N e O estão desconectadas.</t>
  </si>
  <si>
    <t>544/2023</t>
  </si>
  <si>
    <t xml:space="preserve">Bloco L </t>
  </si>
  <si>
    <t xml:space="preserve">Sala T09 - Sala das Vigias </t>
  </si>
  <si>
    <t>Vazamento de água na torneira (conserto ou substituição).</t>
  </si>
  <si>
    <t>545/2023</t>
  </si>
  <si>
    <t>Gislei Lemes Marques</t>
  </si>
  <si>
    <t>Sala 108</t>
  </si>
  <si>
    <t>Testar e, se for o caso, substituir cabo de rede.</t>
  </si>
  <si>
    <t>546/2023</t>
  </si>
  <si>
    <t>Realocação da grade de porta de entrada do almoxarifado, colocar a grade para abrir lateralmente</t>
  </si>
  <si>
    <t>547/2023</t>
  </si>
  <si>
    <t xml:space="preserve">Amanda de Matos </t>
  </si>
  <si>
    <t>Pino de carregador preso dentro da tomada</t>
  </si>
  <si>
    <t>548/2023</t>
  </si>
  <si>
    <t>Wellington Andrade da Silva</t>
  </si>
  <si>
    <t>64 981003574</t>
  </si>
  <si>
    <t>Gabinete 02 - Engenharia Civil</t>
  </si>
  <si>
    <t>Fornecimento de cabo de rede de 3m</t>
  </si>
  <si>
    <t>549/2023</t>
  </si>
  <si>
    <t>Retirar instalok de uma enceradeira industrial</t>
  </si>
  <si>
    <t>550/2023</t>
  </si>
  <si>
    <t>interruptor endureceu e não acende as luzes do quarto A</t>
  </si>
  <si>
    <t>551/2023</t>
  </si>
  <si>
    <t>Luciene Ferreira</t>
  </si>
  <si>
    <t>06</t>
  </si>
  <si>
    <t>Se possível, realizar reparo no assoalho da F4000</t>
  </si>
  <si>
    <t>Veículo encontra-se no estacionamento ao lado do Auditório Paulo de Bastos.</t>
  </si>
  <si>
    <t>552/2023</t>
  </si>
  <si>
    <t xml:space="preserve">Bruna Cristina Ferreira Alves </t>
  </si>
  <si>
    <t>64/99283-1026</t>
  </si>
  <si>
    <t>Ao lado da Cantina</t>
  </si>
  <si>
    <t>Patio ao lado da cantina</t>
  </si>
  <si>
    <t xml:space="preserve">Instalação de sistema  elétrico na tenda ao lado da cantina. Para que possa ser utilizado computadores, microfone e caixa de som e iluminação. </t>
  </si>
  <si>
    <t xml:space="preserve">Justificamos o pedido com prazo curto em função da confirmação da tenda ter ocorrido na sexta feira fim de tarde. </t>
  </si>
  <si>
    <t>553/2023</t>
  </si>
  <si>
    <t xml:space="preserve">Precisamos por gentileza que seja disponibilizado escadas e um/uma funcionaria/o da manutenção para nos ajudar na confecção da decoração do espaço. Isto pois a tenda 10x10 é bastante alta e nós não temos equipamentos que possibilitem a organização dos ornamentos, como por exemplo uma escada grande. Nesse caso então precisamos especificamente de alguém da manutenção para nos ajudar a amarrar tecidos de lycra no alto da tenda e de uma escada bem alta. O pedido justifica-se em função de ja ter sido oferecido nessas condições na tenda do ano passado que alocou atividades do dia da população LGBTQIAP+ na Universidade. Alguns rapazes da manutenção contribuíram com esse serviço, gostaríamos então de saber se é possível realiza-lo novamente na tenda do evento dia dos povos Indígenas na UFcat quarta feira 26/04 pela manhã. </t>
  </si>
  <si>
    <t>Caso não haja disponibilidade de pessoas gostariamos de saber da possibilidade de empréstimo desses equipamentos, escadas e cordas mais finas. Desde já agradecemos !</t>
  </si>
  <si>
    <t>554/2023</t>
  </si>
  <si>
    <t>APTO 304</t>
  </si>
  <si>
    <t>Cano da pia do banheiro quebrou. Apto 304</t>
  </si>
  <si>
    <t>Banheiro Apto 304</t>
  </si>
  <si>
    <t>555/2023</t>
  </si>
  <si>
    <t xml:space="preserve">Corredor engenharia civil </t>
  </si>
  <si>
    <t xml:space="preserve">Porta lateral engenharia civil está danificada, dificil de abrir </t>
  </si>
  <si>
    <t>556/2023</t>
  </si>
  <si>
    <t>(64)98102-0638</t>
  </si>
  <si>
    <t>Consertar 3 banquetas que estão com os assentos soltos</t>
  </si>
  <si>
    <t>557/2023</t>
  </si>
  <si>
    <t>Colocar pás no ventilador do quarto B, apto 304</t>
  </si>
  <si>
    <t>apto 304</t>
  </si>
  <si>
    <t>558/2023</t>
  </si>
  <si>
    <t>Desentupir a pia da cozinha, apto 205</t>
  </si>
  <si>
    <t>559/2023</t>
  </si>
  <si>
    <t xml:space="preserve">Bebedouro bloco F danificado </t>
  </si>
  <si>
    <t>560/2023</t>
  </si>
  <si>
    <t>Janaina Firmino</t>
  </si>
  <si>
    <t>Bloco H e Bloco Didático 2</t>
  </si>
  <si>
    <t>Sala 03 (Bloco H) e Salas 103 e 104 (Bloco Didático 2)</t>
  </si>
  <si>
    <t xml:space="preserve">Mesa adaptada nas salas de aula, para que a discente TYFFANI THAIANE DO NASCIMENTO, do 1° Período de pedagogia, matrícula 202301605 consiga encaixar sua cadeira de rodas. </t>
  </si>
  <si>
    <t>561/2023</t>
  </si>
  <si>
    <t>Luminária que fica na parte de trás do bloco C (em frente a parada de ônibus) queimou</t>
  </si>
  <si>
    <t>562/2023</t>
  </si>
  <si>
    <t>SALA RACK</t>
  </si>
  <si>
    <t xml:space="preserve">DVR desconectado desde o turno anterior 24/04. </t>
  </si>
  <si>
    <t>563/2023</t>
  </si>
  <si>
    <t>APTO 205 - Lavanderia</t>
  </si>
  <si>
    <t>Desentupir pia da lavanderia, apto 205</t>
  </si>
  <si>
    <t>564/2023</t>
  </si>
  <si>
    <t>ROBERTO GLAUBER DE SOUSA MELO</t>
  </si>
  <si>
    <t>1º piso (engenharia civil) PRÉDIO DAS ENGENHARIAS</t>
  </si>
  <si>
    <t>Laboratório de Modelagem</t>
  </si>
  <si>
    <t>Trocar fechadura e ter em média 4 cópias das novas chaves</t>
  </si>
  <si>
    <t>A chave que utilizamos está quase quebrando dentro da fechadura. Precisamos ou de uma nova ou reparação na existente com urgência, por favor.</t>
  </si>
  <si>
    <t>565/2023</t>
  </si>
  <si>
    <t>Várias salas</t>
  </si>
  <si>
    <t>Troca de Lâmpadas queimadas em algumas salas da FENG</t>
  </si>
  <si>
    <t>566/2023</t>
  </si>
  <si>
    <t>Laboratório de Fabricação Mecânica - Terceiro piso</t>
  </si>
  <si>
    <t>Instalação de tomada de uso geral para ligação de equipamentos na bancada de solda.</t>
  </si>
  <si>
    <t>Necessário de visita para verificar com a equipe de manutenção a viabilidade de instalação.</t>
  </si>
  <si>
    <t>567/2023</t>
  </si>
  <si>
    <t>Bárbara</t>
  </si>
  <si>
    <t>bloco I</t>
  </si>
  <si>
    <t xml:space="preserve">sala 4 </t>
  </si>
  <si>
    <t>reparo nos vasos sanitários do banheiro feminino da brinquedoteca: um está vazando e o outro sem tampinha da descarga.</t>
  </si>
  <si>
    <t>568/2023</t>
  </si>
  <si>
    <t>Simonne Ribeiro</t>
  </si>
  <si>
    <t>sala de professores - 3 tomadas de energia - 2 pontos de rede</t>
  </si>
  <si>
    <t>Infiltração saída dos fundos - Campus II</t>
  </si>
  <si>
    <t>569/2023</t>
  </si>
  <si>
    <t xml:space="preserve">Sala Coordenação </t>
  </si>
  <si>
    <t>Tomadas de energia e pontos de rede</t>
  </si>
  <si>
    <t>Material faltante : Barra Eletroduto 3/4, condulete e adaptador.</t>
  </si>
  <si>
    <t>570/2023</t>
  </si>
  <si>
    <t xml:space="preserve">Banheiro masculino - </t>
  </si>
  <si>
    <t>Conectar mangueira de pia com T para fluxo de água</t>
  </si>
  <si>
    <t>571/2023</t>
  </si>
  <si>
    <t>parede externa do prédio</t>
  </si>
  <si>
    <t>Rachadura piso parede externa prédio Campus II - porta saída dos fundos</t>
  </si>
  <si>
    <t>572/2023</t>
  </si>
  <si>
    <t>Didatico I</t>
  </si>
  <si>
    <t>instalação de cabo HDMI para tv nas salas de aula no didático 1</t>
  </si>
  <si>
    <t>573/2023</t>
  </si>
  <si>
    <t>instalação de quadro de vidro</t>
  </si>
  <si>
    <t>574/2023</t>
  </si>
  <si>
    <t>(64) 98412-9238</t>
  </si>
  <si>
    <t>115.</t>
  </si>
  <si>
    <t>Trocar 3 lâmpadas de led tubular que estão queimadas.</t>
  </si>
  <si>
    <t>575/2023</t>
  </si>
  <si>
    <t>Alex</t>
  </si>
  <si>
    <t xml:space="preserve">Piscina </t>
  </si>
  <si>
    <t>Instalação de fefletor pa passarela atrás dos banheiros da piscina.</t>
  </si>
  <si>
    <t>576/2023</t>
  </si>
  <si>
    <t>Apto 206 - Quarto A</t>
  </si>
  <si>
    <t>Testar ventilador do quarto A, apto 206, que parou de funcionar.</t>
  </si>
  <si>
    <t>577/2023</t>
  </si>
  <si>
    <t>aptos 203, 205 , 302 quarto A do 202 e 302</t>
  </si>
  <si>
    <t>sala  e/ou quarto</t>
  </si>
  <si>
    <t>instalação de cortinas</t>
  </si>
  <si>
    <t>578/2023</t>
  </si>
  <si>
    <t xml:space="preserve">Vidro da janela está quebrada </t>
  </si>
  <si>
    <t>579/2023</t>
  </si>
  <si>
    <t>Banheiro feminino do térreo.</t>
  </si>
  <si>
    <t xml:space="preserve">Vazamento de água em vaso sanitário </t>
  </si>
  <si>
    <t>580/2023</t>
  </si>
  <si>
    <t>Thiago Garcia</t>
  </si>
  <si>
    <t xml:space="preserve">BLOCO DIDÁTICO 2 </t>
  </si>
  <si>
    <t>Vazamento no tubo de saída do ar condicionado</t>
  </si>
  <si>
    <t>581/2023</t>
  </si>
  <si>
    <t>64 3441-5339</t>
  </si>
  <si>
    <t>Reitoria</t>
  </si>
  <si>
    <t>Hall de entrada</t>
  </si>
  <si>
    <t>Montagem de 8 cadeiras, 1 jogo de sofá e uma mesa de escritório.</t>
  </si>
  <si>
    <t>582/2023</t>
  </si>
  <si>
    <t>Welder Barbosa Ribeiro</t>
  </si>
  <si>
    <t xml:space="preserve">bloco F </t>
  </si>
  <si>
    <t>sala 1</t>
  </si>
  <si>
    <t xml:space="preserve">O laboratório de gênero etnicidade e diversidade - LAGED esta com problema de energia nas suas lâmpadas na sala, no total são 7 lâmpadas que não recebem energia.  </t>
  </si>
  <si>
    <t>583/2023</t>
  </si>
  <si>
    <t>DVR das Câmeras do Bloco O</t>
  </si>
  <si>
    <t>DVR das câmeras do Bloco O estão desconectadas, 1 Fundo Engenharia 1/ 2 Fundo Engenharia 2/ 3 Fundo janela Lab. Engenharia/ 4 Porta Lat. Engenharia.</t>
  </si>
  <si>
    <t>584/2023</t>
  </si>
  <si>
    <t>Salas 105 e 201</t>
  </si>
  <si>
    <t xml:space="preserve">Ar condicionado das salas 105 e 201 no didático II estão com vazamento </t>
  </si>
  <si>
    <t>585/2023</t>
  </si>
  <si>
    <t xml:space="preserve">Sala de apoio (piscina) </t>
  </si>
  <si>
    <t xml:space="preserve">Vidro da janela na sala de apoio da piscina encontra-se quebrado </t>
  </si>
  <si>
    <t>586/2023</t>
  </si>
  <si>
    <t>3441-5305</t>
  </si>
  <si>
    <t xml:space="preserve">Banheiros masculino </t>
  </si>
  <si>
    <t xml:space="preserve">Vazamento na válvula de descarga  em todos sanitário masculino </t>
  </si>
  <si>
    <t>587/2023</t>
  </si>
  <si>
    <t>Falta energia geral no apto 201</t>
  </si>
  <si>
    <t>588/2023</t>
  </si>
  <si>
    <t>Local onde ficam os nobreaks (porta 113, corredor).</t>
  </si>
  <si>
    <t>Limpeza do sistema de ventilação do nobreak (a ventoinha não está girando e o equipamento está aquecendo).</t>
  </si>
  <si>
    <t>589/2023</t>
  </si>
  <si>
    <t>Jardim</t>
  </si>
  <si>
    <t>Conservação de jardins (PRAZO ATÉ 15 DIAS PARA ATENDIMENTO)</t>
  </si>
  <si>
    <t>Fazer coroamento nas plantas e abrir novas covas no jardim.</t>
  </si>
  <si>
    <t>590/2023</t>
  </si>
  <si>
    <t xml:space="preserve">Prefeitura universitária </t>
  </si>
  <si>
    <t xml:space="preserve">Confecção de uma extensão de 1,5 metros, com uma saída </t>
  </si>
  <si>
    <t>591/2023</t>
  </si>
  <si>
    <t xml:space="preserve">CCE  </t>
  </si>
  <si>
    <t xml:space="preserve">Frente ao banheiro feminino </t>
  </si>
  <si>
    <t xml:space="preserve">Cadeira quebrada </t>
  </si>
  <si>
    <t>592/2023</t>
  </si>
  <si>
    <t>Felipe Kenend O. Martins</t>
  </si>
  <si>
    <t>Sala 112 - Piso 2 - Bloco Administrativo</t>
  </si>
  <si>
    <t xml:space="preserve">Montagem de uma mesinha </t>
  </si>
  <si>
    <t>593/2023</t>
  </si>
  <si>
    <t>Alex Hildebrando</t>
  </si>
  <si>
    <t>Pref</t>
  </si>
  <si>
    <t>Confecção de 3 cabos de rede de 3 metros cada.</t>
  </si>
  <si>
    <t>594/2023</t>
  </si>
  <si>
    <t>Sala 109 bloco N</t>
  </si>
  <si>
    <t xml:space="preserve">Instalação de registro de água. </t>
  </si>
  <si>
    <t>595/2023</t>
  </si>
  <si>
    <t>Apto 102</t>
  </si>
  <si>
    <t xml:space="preserve">infiltração no teto da varanda do apto 102 </t>
  </si>
  <si>
    <t>596/2023</t>
  </si>
  <si>
    <t>apto 301 - quarto A</t>
  </si>
  <si>
    <t>o interruptor não acende a luz e nem liga o ventilador do quarto A</t>
  </si>
  <si>
    <t>597/2023</t>
  </si>
  <si>
    <t>Conferir as portas da reitoria tanto o Blindex quanto a porta de dentro com muito ruído.</t>
  </si>
  <si>
    <t>598/2023</t>
  </si>
  <si>
    <t xml:space="preserve">Bebedouro do corredor não está escoando água. Problema é corrente e o pessoal da limpeza reclama por tirar água de forma manual. Deve haver algo entupido no encanamento. </t>
  </si>
  <si>
    <t>599/2023</t>
  </si>
  <si>
    <t xml:space="preserve">Andar da Reitoria </t>
  </si>
  <si>
    <t xml:space="preserve"> Corredor</t>
  </si>
  <si>
    <t xml:space="preserve">Troca de Filtro do bebedor </t>
  </si>
  <si>
    <t>600/2023</t>
  </si>
  <si>
    <t>Vânia de Avelar Lucass</t>
  </si>
  <si>
    <t>Corredor do primeiro piso do Bloco N</t>
  </si>
  <si>
    <t>Solicito conserto em armário de três gavetas, que se encontra desmontado no corredor (1Piso) do Bloco N.</t>
  </si>
  <si>
    <t>601/2023</t>
  </si>
  <si>
    <t xml:space="preserve">Banheiro masculino 1° piso </t>
  </si>
  <si>
    <t xml:space="preserve">Duas cerâmicas na parede do banheiro masculino saiu </t>
  </si>
  <si>
    <t>602/2023</t>
  </si>
  <si>
    <t xml:space="preserve">Auditório Sirlene Duarte </t>
  </si>
  <si>
    <t xml:space="preserve">Dificuldade para trancar </t>
  </si>
  <si>
    <t>603/2023</t>
  </si>
  <si>
    <t>De acordo com o Alexandre, que é responsável pela limpeza da piscina, o motor da piscina queimou durante a última queda de energia ocorrida na quarta-feira dia 03/05/2023</t>
  </si>
  <si>
    <t>604/2023</t>
  </si>
  <si>
    <t xml:space="preserve">Lucas Eduardo Marques Santos </t>
  </si>
  <si>
    <t xml:space="preserve">sala do Núcleo de acessibilidade </t>
  </si>
  <si>
    <t xml:space="preserve">Adaptar uma mesa para aluna cadeirante </t>
  </si>
  <si>
    <t>605/2023</t>
  </si>
  <si>
    <t>Deusmar Machado da Silva</t>
  </si>
  <si>
    <t>Escada de acesso ao andar de cima e sala 21</t>
  </si>
  <si>
    <t>Trocar as Lâmpadas de iluminação da escada e da sala 21.</t>
  </si>
  <si>
    <t>606/2023</t>
  </si>
  <si>
    <t>Kassio Oliveira</t>
  </si>
  <si>
    <t>J6</t>
  </si>
  <si>
    <t>Manutenção nas caixinhas de energia e internet dos computadores da sala do mestrado</t>
  </si>
  <si>
    <t xml:space="preserve">Estou presente ou disponível nas terças e quintas de 14 Às 18h e sexta de 08 às 11 e 13 as 15h </t>
  </si>
  <si>
    <t>607/2023</t>
  </si>
  <si>
    <t xml:space="preserve">Alex Hildebrando. </t>
  </si>
  <si>
    <t>Bloc M</t>
  </si>
  <si>
    <t>Telhado do bloco M</t>
  </si>
  <si>
    <t>Instalação de tomada.</t>
  </si>
  <si>
    <t>608/2023</t>
  </si>
  <si>
    <t>Guarita.</t>
  </si>
  <si>
    <t xml:space="preserve">Guarita </t>
  </si>
  <si>
    <t>Automatizar iluminação da guarita</t>
  </si>
  <si>
    <t>609/2023</t>
  </si>
  <si>
    <t>FENG</t>
  </si>
  <si>
    <t>Estacionamento FENG</t>
  </si>
  <si>
    <t>Vimos por meio deste solicitar a desativação de uma vaga para deficiente do estacionamento
da Faculdade de Engenharia FENG, pois entendo que ficaram acumuladas neste estacionamento
um número muito elevado de vagas reservadas para idoso e deficiente.</t>
  </si>
  <si>
    <t>610/2023</t>
  </si>
  <si>
    <t xml:space="preserve">Silicone que foi colocado na pia da cozinha soltou e começou a vazar água. </t>
  </si>
  <si>
    <t>611/2023</t>
  </si>
  <si>
    <t>Banheiro: Feminino, masculino e especial</t>
  </si>
  <si>
    <t>Colocar, dispenser de álcool gel, sendo 1 banheiro masculino,1 banheiro especial e 2 no banheiro feminino.</t>
  </si>
  <si>
    <t>612/2023</t>
  </si>
  <si>
    <t>Ao lado do banheiro feminino de frente a Sala 02</t>
  </si>
  <si>
    <t xml:space="preserve">Instalar o bebedouro que chegou da manutenção (o mesmo está ao lado do banheiro feminino de frente a sala 02 </t>
  </si>
  <si>
    <t>613/2023</t>
  </si>
  <si>
    <t>Thiago Felipe Vieira Silva</t>
  </si>
  <si>
    <t>Sala 16</t>
  </si>
  <si>
    <t>Montagem de duas estantes metálicas e de uma tela de projeção</t>
  </si>
  <si>
    <t>614/2023</t>
  </si>
  <si>
    <t>Milena Martins</t>
  </si>
  <si>
    <t>3441-5304</t>
  </si>
  <si>
    <t xml:space="preserve">A professora Maria Helena (coordenadora do laboratório) solicita manutenção na fechadura do Laboratório e que também seja instalada uma tranca de segurança a mais, tendo em vista que o laboratório fica no prédio onde houve furto a um tempo atrás. </t>
  </si>
  <si>
    <t>manda email fechadura eletrônica</t>
  </si>
  <si>
    <t>615/2023</t>
  </si>
  <si>
    <t xml:space="preserve"> Sala 116 (SEINFRA) e Lab 1 anatomia (sala 13)</t>
  </si>
  <si>
    <t>Desinstalar o quadro que está na sala 116 bloco administrativo - campus . Instalação do quadro no lab 1 de anatomia (sala 13) campus 2.</t>
  </si>
  <si>
    <t>616/2023</t>
  </si>
  <si>
    <t>Sala de Danças</t>
  </si>
  <si>
    <t xml:space="preserve">Adequação de cabo de ligação para aparelho de som </t>
  </si>
  <si>
    <t>617/2023</t>
  </si>
  <si>
    <t>Instalar uma tranca simples na porta, para ser trancada por dentro</t>
  </si>
  <si>
    <t>618/2023</t>
  </si>
  <si>
    <t>Wesley Jr.</t>
  </si>
  <si>
    <t>Troca de filtro do bebedouro usado pelos funcionários da PROAF</t>
  </si>
  <si>
    <t>619/2023</t>
  </si>
  <si>
    <t xml:space="preserve">Fixar dois parafusos na parede, para serem usados como suporte de uma tela de projeção </t>
  </si>
  <si>
    <t>620/2023</t>
  </si>
  <si>
    <t>Area externa</t>
  </si>
  <si>
    <t>Outros (PRAZO ATÉ 15 DIAS PARA ATENDIMENTO)</t>
  </si>
  <si>
    <t>1. retirar bloquetes da grama e levar para o fundo do lote;
2. retirar monte de terra de trás da caixa d'agua e levar para o fundo do lote</t>
  </si>
  <si>
    <t>621/2023</t>
  </si>
  <si>
    <t xml:space="preserve"> apto 406</t>
  </si>
  <si>
    <t>trocar pá de ventilador</t>
  </si>
  <si>
    <t>622/2023</t>
  </si>
  <si>
    <t>Instalação de cortinas</t>
  </si>
  <si>
    <t>623/2023</t>
  </si>
  <si>
    <t>painel solar</t>
  </si>
  <si>
    <t>a agua do chuveiro nao esta esquentando a noite</t>
  </si>
  <si>
    <t>624/2023</t>
  </si>
  <si>
    <t>Amanda Lopes</t>
  </si>
  <si>
    <t xml:space="preserve">2° Piso </t>
  </si>
  <si>
    <t xml:space="preserve">Vazamento bebedouro </t>
  </si>
  <si>
    <t>625/2023</t>
  </si>
  <si>
    <t xml:space="preserve">Data show da sala 311 no didático I não está funcionando </t>
  </si>
  <si>
    <t>626/2023</t>
  </si>
  <si>
    <t>Rogerio Tomaz Pires Junior</t>
  </si>
  <si>
    <t xml:space="preserve">bloco da SETI </t>
  </si>
  <si>
    <t>troca de lampada</t>
  </si>
  <si>
    <t>627/2023</t>
  </si>
  <si>
    <t>Laboratório de Estruturas - Térreo - prédio da FENG</t>
  </si>
  <si>
    <t>Laboratório de Estruturas</t>
  </si>
  <si>
    <t xml:space="preserve">Instalação de tomadas trifásicas para utilização de equipamento recém adquirido </t>
  </si>
  <si>
    <t>628/2023</t>
  </si>
  <si>
    <t xml:space="preserve">TV sala 108 aparentemente não está aceitando cabo HDMI </t>
  </si>
  <si>
    <t>629/2023</t>
  </si>
  <si>
    <t xml:space="preserve">salas 1 e 5D </t>
  </si>
  <si>
    <t>Mudar mesa tipo diretor de sala</t>
  </si>
  <si>
    <t>630/2023</t>
  </si>
  <si>
    <t>Ajustar parafusos, pois as janelas não fecham corretamente</t>
  </si>
  <si>
    <t>631/2023</t>
  </si>
  <si>
    <t>Confecção de 2 extensão de 1m cada.</t>
  </si>
  <si>
    <t>632/2023</t>
  </si>
  <si>
    <t xml:space="preserve">Impermeabilização de Lage </t>
  </si>
  <si>
    <t>633/2023</t>
  </si>
  <si>
    <t>Habilitar 02 pontos de internet na sala.</t>
  </si>
  <si>
    <t>634/2023</t>
  </si>
  <si>
    <t>Bloco A - entre salas 01 e 03</t>
  </si>
  <si>
    <t xml:space="preserve">Instalar Modem Wi-Fi </t>
  </si>
  <si>
    <t>635/2023</t>
  </si>
  <si>
    <t xml:space="preserve">A botoeira que abre a portão pelo lado interno da sala, está apresentando defeito. </t>
  </si>
  <si>
    <t>636/2023</t>
  </si>
  <si>
    <t xml:space="preserve">Uma das tomadas instaladas para carregar as baterias dos rádios, deu curto (estouro) .  </t>
  </si>
  <si>
    <t>637/2023</t>
  </si>
  <si>
    <t>Com as quedas de energia do dia 09/05/2023 os aparelhos de ar condicionado do CEAPSI não estão funcionando, necessitando fazer o religamento da rede.</t>
  </si>
  <si>
    <t>638/2023</t>
  </si>
  <si>
    <t xml:space="preserve">Sala 153 Laboratório de grupo </t>
  </si>
  <si>
    <t xml:space="preserve">Interruptor sala 153 no bloco M não está funcionando </t>
  </si>
  <si>
    <t>639/2023</t>
  </si>
  <si>
    <t xml:space="preserve">Prédio todo </t>
  </si>
  <si>
    <t xml:space="preserve">1° piso: Sala 101- 2 lâmpadas; sala 103- 2 lâmpadas; sala 104- 2 lâmpadas; sala 105 - 01 lâmpada; sala 107- 5 lâmpadas.     2° piso: Sala 201- 2 lâmpadas; sala 204- 2 lâmpadas; sala 208- 1 lâmpada; sala 209 - 1 lâmpada; Sala 211- 2  lâmpadas.     3° piso: sala 301 - 3 lâmpadas; sala 304 "A" - 2 lâmpadas; sala 304 "B" - 1 lâmpada; sala 305 - 1 lâmpada; Sala 306 "A" -  2 lâmpadas; sala 306 "B" - 1 lâmpada; sala 310 - 2 lâmpadas.      Hall de entrada - 3 lâmpadas.     Corredor 1° piso - 8 lâmpadas         Corredor 2° piso - 4 lâmpadas    Corredor 3° piso - 4 lâmpadas.     Banheiro feminino 1° piso - 1 lâmpada        Banheiro masculino 2° piso - 1 lâmpada. </t>
  </si>
  <si>
    <t>640/2023</t>
  </si>
  <si>
    <t xml:space="preserve">Corredor 3 ° piso </t>
  </si>
  <si>
    <t xml:space="preserve">Bebedouro corredor do 3° piso no didático I está vazando </t>
  </si>
  <si>
    <t>641/2023</t>
  </si>
  <si>
    <t xml:space="preserve">Térreo: Banheiro feminino entrada - 2 lâmpadas; Corredor - 2 lâmpadas;  Sala 101 - 2 lâmpadas; Sala 107- 1 lâmpada.     1° piso: banheiro feminino - 1 lâmpada; Corredor - 1 lâmpada; Sala 201 - 1 lâmpada; sala 203 - 1 lâmpada; sala 204 - 2 lâmpadas; sala 207 - 3 lâmpadas; sala 208 - 1 lâmpada.      2° piso: banheiro masculino - 1 lâmpada; Corredor - 4 lâmpadas; Sala 302 - 3 lâmpadas; sala 304 - 2 lâmpadas; sala 306 - 1 lâmpada; sala 307 - 1 lâmpada; sala 308 - 3 lâmpadas; sala 310 - 2 lâmpadas; sala 311 - 1 lâmpada. </t>
  </si>
  <si>
    <t>642/2023</t>
  </si>
  <si>
    <t>Patrícia</t>
  </si>
  <si>
    <t>Bloco I - Sala Brinquedoteca</t>
  </si>
  <si>
    <t>Fixar o fundo do armário, que está solto e pintar de branco.</t>
  </si>
  <si>
    <t>643/2023</t>
  </si>
  <si>
    <t>SALA 5 - COPA</t>
  </si>
  <si>
    <t>Fazer suporte externo para botijão de gás</t>
  </si>
  <si>
    <t>644/2023</t>
  </si>
  <si>
    <t>BLOCO I</t>
  </si>
  <si>
    <t>SALA DA BRINQUEDOTECA</t>
  </si>
  <si>
    <t>PINTAR O ARMÁRIO</t>
  </si>
  <si>
    <t>645/2023</t>
  </si>
  <si>
    <t xml:space="preserve">Patrícia </t>
  </si>
  <si>
    <t>PINTAR A SALA DA BRINQUEDOTECA</t>
  </si>
  <si>
    <t>646/2023</t>
  </si>
  <si>
    <t xml:space="preserve">Banheiro feminino do Hall de entrada </t>
  </si>
  <si>
    <t xml:space="preserve">Maçaneta do banheiro feminino do hall do administrativo estava soltando do lado de dentro </t>
  </si>
  <si>
    <t>647/2023</t>
  </si>
  <si>
    <t xml:space="preserve">A luz do teto do quarto A, apto 103, queimou. </t>
  </si>
  <si>
    <t>648/2023</t>
  </si>
  <si>
    <t>Apto 303</t>
  </si>
  <si>
    <t xml:space="preserve">apto 303. A encanação da pia (do lado esquerdo) está vazando e fica inviável de usar essa pia. </t>
  </si>
  <si>
    <t>649/2023</t>
  </si>
  <si>
    <t>Apto 303. A janela menor do quarto C não está fechando.</t>
  </si>
  <si>
    <t>650/2023</t>
  </si>
  <si>
    <t xml:space="preserve">Campo de futebol </t>
  </si>
  <si>
    <t>Capinação em geral (PRAZO ATÉ 15 DIAS PARA ATENDIMENTO)</t>
  </si>
  <si>
    <t xml:space="preserve">Capinar as braquearas do campo de futebol  </t>
  </si>
  <si>
    <t>651/2023</t>
  </si>
  <si>
    <t xml:space="preserve">Começar a regar o campo de futebol se possível duas vezes por semana </t>
  </si>
  <si>
    <t>652/2023</t>
  </si>
  <si>
    <t>Bloco O DVR das Câmeras esta desconectada</t>
  </si>
  <si>
    <t>DVR das Câmeras do Bloco O estão desconectadas</t>
  </si>
  <si>
    <t>653/2023</t>
  </si>
  <si>
    <t xml:space="preserve">Ludmila Jardim </t>
  </si>
  <si>
    <t>654/2023</t>
  </si>
  <si>
    <t>Ludmia</t>
  </si>
  <si>
    <t>apto 401</t>
  </si>
  <si>
    <t>vazamento na descarga do banheiro</t>
  </si>
  <si>
    <t>655/2023</t>
  </si>
  <si>
    <t>apto 301</t>
  </si>
  <si>
    <t>lampada e ventilador do quarto A não funcionam</t>
  </si>
  <si>
    <t>656/2023</t>
  </si>
  <si>
    <t>Bloco O se encontra off-line novamente</t>
  </si>
  <si>
    <t>Assistência na rede do Bloco O</t>
  </si>
  <si>
    <t>657/2023</t>
  </si>
  <si>
    <t>Bloco L Externo e Bloco L Interno</t>
  </si>
  <si>
    <t>Assistência nas redes dos Blocos L Externo e Bloco L Interno</t>
  </si>
  <si>
    <t>658/2023</t>
  </si>
  <si>
    <t xml:space="preserve">Bloco Didático I </t>
  </si>
  <si>
    <t>Banheiro masculino 2° piso</t>
  </si>
  <si>
    <t>Vazamento no vaso sanitário</t>
  </si>
  <si>
    <t>659/2023</t>
  </si>
  <si>
    <t xml:space="preserve">Banheiro feminino 2° piso </t>
  </si>
  <si>
    <t>Estrutura de ferro que sustenta a pedra da pia, que se encontra deteriorada, onde chegou a danificar com a ferrugem, correndo risco de não suportar o peso da pedra</t>
  </si>
  <si>
    <t>660/2023</t>
  </si>
  <si>
    <t xml:space="preserve">Suporte para vasos de plantas </t>
  </si>
  <si>
    <t>661/2023</t>
  </si>
  <si>
    <t>James Michael Silva</t>
  </si>
  <si>
    <t>LAPAM-LABORATORIO DE PESQUISAS AMBIENTAIS</t>
  </si>
  <si>
    <t>Confecção de suporte para Phmetros de bolso.</t>
  </si>
  <si>
    <t>662/2023</t>
  </si>
  <si>
    <t>Laboratório da sala 35</t>
  </si>
  <si>
    <t>Quando jogam água do andar superior, a água entra para dentro do laboratório pelas laterais da janela.</t>
  </si>
  <si>
    <t>Aguardando Disp. de M.O.</t>
  </si>
  <si>
    <t>663/2023</t>
  </si>
  <si>
    <t xml:space="preserve">Fabricar suporte para tela de projeção, pois o mesmo que está existente está quebrado  </t>
  </si>
  <si>
    <t>664/2023</t>
  </si>
  <si>
    <t>Lamartine Lemos de Melo</t>
  </si>
  <si>
    <t>Campus II - Medicina</t>
  </si>
  <si>
    <t>Piso Superior - Corredor</t>
  </si>
  <si>
    <t>Prezados, boa tarde. Gostaríamos de solicitar, por gentileza,  a manutenção dos escaninhos destinado aos alunos. Umas das portas caiu, devido ao mau funcionamento das dobradiças (uma dessas encontra-se entortada). Além disso, alguns puxadores estão soltos devido a falta de parafusos. Agradecemos pela atenção e aguardemos o retorno.</t>
  </si>
  <si>
    <t>665/2023</t>
  </si>
  <si>
    <t xml:space="preserve">02 lâmpadas na escada; 02 lâmpadas nos banheiros femininos do térreo </t>
  </si>
  <si>
    <t>666/2023</t>
  </si>
  <si>
    <t>Prédio todo</t>
  </si>
  <si>
    <t>1° piso: Hall - 05 lâmpadas; Banheiro feminino - 01 lâmpada; Sala 18 - 01 lâmpada.    2° piso: reitoria - 03 lâmpadas.   Subsolo: Corredor - 02 lâmpadas; Sala 05 - 01 lâmpada; Sala 09 - 01 lâmpada; Sala 08 - 01 lâmpada</t>
  </si>
  <si>
    <t>667/2023</t>
  </si>
  <si>
    <t xml:space="preserve">Engenharia de minas: Banheiro masculino - 04 lâmpadas; copa - 01 lâmpada; Corredor - 12 lâmpadas;  sala 38 - 02 lâmpadas; sala 18 - 06 lâmpadas; sala 20 - 02 lâmpadas; sala 05 - 02 lâmpadas; sala 03 - 02 lâmpadas; sala 09 - 02 lâmpadas; sala 11 - 02 lâmpadas.     Engenharia de produção: Corredor - 04 lâmpadas; sala 26 - 06 lâmpadas (abre por digital); 25/26 - 01 lâmpada; sala 24/25 - 01 lâmpada; Sótão - todas;  sala 05 - 02 lâmpadas; sala 07 - 01 lâmpada; sala 10 - 03 lâmpadas; sala 16 - 01 lâmpada; sala 17 - 02 lâmpadas; Entrada - 01 lâmpada; Escada - 06 lâmpadas:     Engenharia civil: banheiro feminino - 02 lâmpadas; banheiro masculino - 01 lâmpada; Corredor - 07 lâmpadas; sala 21 - 04 lâmpadas;  sala 23 - 02 lâmpadas; sala 26 - 04 lâmpadas; Corredor dos professores - 06 lâmpadas; sala 06 - 01 lâmpada; sala 08 - 04 lâmpadas; sala 15 - 02 lâmpadas; Copa - 02 lâmpadas. </t>
  </si>
  <si>
    <t>668/2023</t>
  </si>
  <si>
    <t xml:space="preserve">Blocos A  ao  I </t>
  </si>
  <si>
    <t xml:space="preserve">Todos os prédios </t>
  </si>
  <si>
    <t xml:space="preserve">Bloco A: sala 02 - 01 lâmpada; sala 03 - 02 lâmpadas; sala 27 - 02 lâmpadas; sala 21 - 01 lâmpada. Bloco B: corredor - 01 lâmpada. Bloco C - corredor ciências sociais - 02 lâmpadas; sala 16 - 02 lâmpadas; sala 14 - 01 lâmpada; corredor cozinha - 03 salas; sala 15 - 02 lâmpadas. Bloco D: sala 01 - 01 lâmpada; sala 07 - 01 lâmpada; banheiro feminino - 01 lâmpada; corredor externo - 01 lâmpada.  Bloco E: corredor - 05 lâmpadas; sala 04 - 02 lâmpadas; sala 07 - 01 lâmpada.    Bloco F: sala 01 - 02 lâmpadas; sala interna da 01 - 04 lâmpadas; sala 02 - 01 lâmpada; sala 03 - 02 lâmpadas; sala 04 - 03 lâmpadas; sala 07 - 02 lâmpadas; Corredor banheiro - 01 lâmpada; banheiro masculino - 02 lâmpadas.    Bloco G: banheiro feminino - 02 lâmpadas; banheiro masculino - 02 lâmpadas; corredor - 02 lâmpadas.     Bloco H: sala 05 (rack) 01 lâmpada; sala 05 - 01 lâmpada; sala M2 - 01 lâmpada; sala 01 A - 08 lâmpadas; sala 01B - 04 lâmpadas.     Bloco I: sala 01 D - 01 lâmpada; sala 03 D - 01 lâmpada; sala 09 - 01 lâmpada.  </t>
  </si>
  <si>
    <t>669/2023</t>
  </si>
  <si>
    <t>98412-9238</t>
  </si>
  <si>
    <t>Trocar lâmpadas queimadas.</t>
  </si>
  <si>
    <t>670/2023</t>
  </si>
  <si>
    <t xml:space="preserve">Campus 2 </t>
  </si>
  <si>
    <t>Salas dos professores (salas 4 e 5 salas dos professores) Lab Morfo I e II (2º piso)</t>
  </si>
  <si>
    <t>Desinstalar os aparelhos de televisão que estão nas salas dos professores e instalar nos laboratórios morfofuncionais I e II.</t>
  </si>
  <si>
    <t>671/2023</t>
  </si>
  <si>
    <t xml:space="preserve">Sala 314 </t>
  </si>
  <si>
    <t xml:space="preserve">Fechadura da sala 314 no bloco M não está trancando </t>
  </si>
  <si>
    <t>672/2023</t>
  </si>
  <si>
    <t>Hall de entrada do segundo piso</t>
  </si>
  <si>
    <t>Reinstalação de um dispenser de álcool em gel.</t>
  </si>
  <si>
    <t>673/2023</t>
  </si>
  <si>
    <t>Biblioteca Universitária - UFCAT</t>
  </si>
  <si>
    <t>Orçamento para reforma das luminárias no prédio.</t>
  </si>
  <si>
    <t>674/2023</t>
  </si>
  <si>
    <t>Recepção da Reitoria</t>
  </si>
  <si>
    <t>Refazer fiação de um ponto de rede (20) para instalação posterior da impressora.</t>
  </si>
  <si>
    <t>675/2023</t>
  </si>
  <si>
    <t>Recepção Reitoria</t>
  </si>
  <si>
    <t>Porta de vidro de correr está apresentando defeito</t>
  </si>
  <si>
    <t>676/2023</t>
  </si>
  <si>
    <t>Porta apresentando defeito</t>
  </si>
  <si>
    <t>677/2023</t>
  </si>
  <si>
    <t xml:space="preserve">Primeiro piso </t>
  </si>
  <si>
    <t xml:space="preserve">Dispenser de alcool em gel com danificado </t>
  </si>
  <si>
    <t>678/2023</t>
  </si>
  <si>
    <t>Lâmpada da luminária da entrada - 01; lado externo bloco O - 09 lâmpadas</t>
  </si>
  <si>
    <t>679/2023</t>
  </si>
  <si>
    <t>Blocos J e M</t>
  </si>
  <si>
    <t xml:space="preserve">Bloco J: sala 15 - 4 lâmpadas; sala 06- 03 lâmpadas; sala 03 - 02 lâmpadas; cozinha - 01 lâmpada; banheiro: todas as lâmpadas pequenas.      Bloco M: sala 362 - 01 lâmpada; sala 317 - 02 lâmpadas; sala 311 - 02 lâmpadas; sala 208 - 02 lâmpadas; sala 252 - 04 lâmpadas; sala 256 - 02 lâmpadas; Hall de entrada - 07 lâmpadas; Corredor física e quimica - 01 lâmpada; sala 15 - lâmpada; sala 152 interruptor não funciona; sala 156 - 02 lâmpadas; banheiro - 01 lâmpada; corredor psicologia - 01 lâmpada.  </t>
  </si>
  <si>
    <t>680/2023</t>
  </si>
  <si>
    <t>Mayani Thais</t>
  </si>
  <si>
    <t>Interruptor quebrou, e a luz está ficando 24h ligada</t>
  </si>
  <si>
    <t>681/2023</t>
  </si>
  <si>
    <t>Simonne Pereira da Silva Ribeiro</t>
  </si>
  <si>
    <t>Campus II - DM Medicina</t>
  </si>
  <si>
    <t xml:space="preserve">banheiro feminino -  próximo a porta dos fundos. </t>
  </si>
  <si>
    <t>Bloquear os vidros do banheiro feminino próximo à porta dos fundos - Campus II.</t>
  </si>
  <si>
    <t>682/2023</t>
  </si>
  <si>
    <t xml:space="preserve">Bloco K: Corredor - 07 lâmpadas; sala 04 - 02 lâmpadas; sala 03 - 01 lâmpada; sala 07 - 01 lâmpada; sala 11 - 05 lâmpadas; sala 10 A - 01 lâmpada; sala 12 - 01 lâmpada.     Bloco N: sala 109 - 01 lâmpada; sala 110 - 01 lâmpada; sala 100 - 01 lâmpada; sala 210 - 03 lâmpadas; sala 214 - 02 lâmpadas; sala 202 - 01 lâmpada;   Banheiro feminino 2° piso - 04 lâmpadas.    Bloco L: auditório - 13 lâmpadas; banheiro feminino 1° piso - 01 lâmpada.   Térreo: sala 09 - 01 lâmpada; sala 02 - 04 lâmpadas; sala 03 - 01 lâmpada; sala 103 - 02 lâmpadas; sala 203 - 02 lâmpadas; Hall 1° piso - 01 lâmpada. </t>
  </si>
  <si>
    <t>683/2023</t>
  </si>
  <si>
    <t xml:space="preserve">instalação de tomadas no espaço de convivencia </t>
  </si>
  <si>
    <t>684/2023</t>
  </si>
  <si>
    <t>Elaine R. Carboneri</t>
  </si>
  <si>
    <t>Capela de exaustao de gases não está funcionando</t>
  </si>
  <si>
    <t>685/2023</t>
  </si>
  <si>
    <t>Apto 105</t>
  </si>
  <si>
    <t>Maçaneta do apto 105 com problema</t>
  </si>
  <si>
    <t>686/2023</t>
  </si>
  <si>
    <t>Írlei Souza Santos</t>
  </si>
  <si>
    <t>CEP</t>
  </si>
  <si>
    <t>SIASS/CEP</t>
  </si>
  <si>
    <t>Instalação de pia e filtro de água</t>
  </si>
  <si>
    <t xml:space="preserve">Ordem suspensa até o setor solicitando adquirir a pia </t>
  </si>
  <si>
    <t>687/2023</t>
  </si>
  <si>
    <t xml:space="preserve">Pista de atletismo </t>
  </si>
  <si>
    <t xml:space="preserve">Fazer limpeza na pista de atletismo nos locais onde estão nascendo capim </t>
  </si>
  <si>
    <t>688/2023</t>
  </si>
  <si>
    <t xml:space="preserve">Fixação de vaso sanitário </t>
  </si>
  <si>
    <t>689/2023</t>
  </si>
  <si>
    <t>TÉRREO (PRÓXIMO A SALA 106)</t>
  </si>
  <si>
    <t>Divisória do teto do térreo (próximo a sala 106) está danificada</t>
  </si>
  <si>
    <t xml:space="preserve">Devido dilatação no teto não é possivél realizar o reparo pois continuaria com a problema de rachadura </t>
  </si>
  <si>
    <t>690/2023</t>
  </si>
  <si>
    <t>Porta da sala 108 do Bloco Didático l, está danificada</t>
  </si>
  <si>
    <t>691/2023</t>
  </si>
  <si>
    <t xml:space="preserve">Janela sala 101 no didático I sem vidro (quebrou) </t>
  </si>
  <si>
    <t>692/2023</t>
  </si>
  <si>
    <t>Rafael Pereira</t>
  </si>
  <si>
    <t>Sala Técnica - Monitoramento</t>
  </si>
  <si>
    <t>"Recrimpagem" de RJ-45 na sala de monitoramento (sala técnica) para continuidade do serviço de instalação do sistema de medição individualizada da Moradia Universitária do Cerrado (MUC). A demanda foi interrompida devido à problemas no cabo RJ-45 e aguarda o reparo do mesmo para seguimento por parte da equipe do SeTI-UFCAT.</t>
  </si>
  <si>
    <t>693/2023</t>
  </si>
  <si>
    <t>A ordem de serviço de número 634/2023: Instalar Modem Wi-Fi já contempla essa demanda, mas o pessoal da SET solicitou que a mesma seja retomada para lançar um cabo de rede do RACK 07 (Sala 22 - PPGEO) até a sala 03 onde está o modem EDUROAM.</t>
  </si>
  <si>
    <t>694/2023</t>
  </si>
  <si>
    <t>Recepção do CEAPSI</t>
  </si>
  <si>
    <t>O conector entre o bebedouro e a tubulação saindo da parede está vazando, molhando o chão da recepção quando o bebedouro é usado.</t>
  </si>
  <si>
    <t>695/2023</t>
  </si>
  <si>
    <t>Sala 03B</t>
  </si>
  <si>
    <t xml:space="preserve">Lâmpadas queimadas </t>
  </si>
  <si>
    <t>696/2023</t>
  </si>
  <si>
    <t>RU</t>
  </si>
  <si>
    <t>Instalação de refletores em área externa.</t>
  </si>
  <si>
    <t>697/2023</t>
  </si>
  <si>
    <t>Instalação de duas tomadas</t>
  </si>
  <si>
    <t>698/2023</t>
  </si>
  <si>
    <t>Instalação de um ponto de internet</t>
  </si>
  <si>
    <t>699/2023</t>
  </si>
  <si>
    <t>Confecção de 18 patch cord para ligação das estações e 18 patch cord para ligar no switch.</t>
  </si>
  <si>
    <t>700/2023</t>
  </si>
  <si>
    <t>701/2023</t>
  </si>
  <si>
    <t>m</t>
  </si>
  <si>
    <t>Instalar 2 régua de gazes na parede (apenas bucha e parafuso)</t>
  </si>
  <si>
    <t>702/2023</t>
  </si>
  <si>
    <t>Instalar régua de gases na parede (só bucha e parafuso)</t>
  </si>
  <si>
    <t>703/2023</t>
  </si>
  <si>
    <t>Mudar 1 tomada de lugar + instalar 2 tomadas no fundo da sala</t>
  </si>
  <si>
    <t>704/2023</t>
  </si>
  <si>
    <t>Fixar quadro pequeno na parede</t>
  </si>
  <si>
    <t>705/2023</t>
  </si>
  <si>
    <t>Deixar 1 parafuso na parede para pendurar 1 banner</t>
  </si>
  <si>
    <t>706/2023</t>
  </si>
  <si>
    <t>Fazer a troca do Sifão arrebentado por um novo na mesa de higienizadora do CDPEC</t>
  </si>
  <si>
    <t>707/2023</t>
  </si>
  <si>
    <t>Instalar plug de tomada em fogão cooktop de indução.</t>
  </si>
  <si>
    <t>708/2023</t>
  </si>
  <si>
    <t>sala 319</t>
  </si>
  <si>
    <t>Verificar se o estabilizador utilizado em impressora queimou/danificou.</t>
  </si>
  <si>
    <t>709/2023</t>
  </si>
  <si>
    <t>Setor de Gerência Administrativa</t>
  </si>
  <si>
    <t>Realizar manutenção em mesas que estão balançando.</t>
  </si>
  <si>
    <t>710/2023</t>
  </si>
  <si>
    <t>1) Vistoriar rachaduras/trincados em parede (partes interna/externa).
2) Vistoriar "sinal de mancha" na parede.
3) Fazer os reparos que forem necessários, após realizada as vistorias anteriores.
4) Impermeabilizar tetos e paredes dos dois ambientes da sala 6.
5) Pintar, se necessário, os dois ambientes.</t>
  </si>
  <si>
    <t>711/2023</t>
  </si>
  <si>
    <t>Troca de pino plástico (liga/desliga) da mesa higienizadora</t>
  </si>
  <si>
    <t>712/2023</t>
  </si>
  <si>
    <t>Banheiro feminino - primeiro piso / ao lado da secretaria administrativa</t>
  </si>
  <si>
    <t>Substituição de lâmpada no banheiro feminino - primeiro piso ao lado da secretaria administrativa</t>
  </si>
  <si>
    <t>713/2023</t>
  </si>
  <si>
    <t>02</t>
  </si>
  <si>
    <t>Aparelho de Ar Condicionado, desliga e liga sozinho.  Patrimônio 332523 (Marca Electrolux)</t>
  </si>
  <si>
    <t>714/2023</t>
  </si>
  <si>
    <t>Parede entre sala 01 e 02</t>
  </si>
  <si>
    <t>Afixar as placas de acessibilidade com Parafusos Auto Atarraxante.</t>
  </si>
  <si>
    <t>715/2023</t>
  </si>
  <si>
    <t>Instalação de ponto de rede e circuito elétrico.</t>
  </si>
  <si>
    <t>716/2023</t>
  </si>
  <si>
    <t>Sala 309</t>
  </si>
  <si>
    <t xml:space="preserve">Maçaneta da sala 309 no didático I está quebrada </t>
  </si>
  <si>
    <t>717/2023</t>
  </si>
  <si>
    <t xml:space="preserve">Sala 104 </t>
  </si>
  <si>
    <t xml:space="preserve">Maçaneta sala 104 no didático I está quebrada </t>
  </si>
  <si>
    <t>718/2023</t>
  </si>
  <si>
    <t xml:space="preserve">A placa de informação sobre o uso da piscina caiu </t>
  </si>
  <si>
    <t>719/2023</t>
  </si>
  <si>
    <t>Tomadas do quarto A e banheiro do apto 101 não funcionam.</t>
  </si>
  <si>
    <t>720/2023</t>
  </si>
  <si>
    <t>Laís Clara</t>
  </si>
  <si>
    <t>(64) 3441 5369</t>
  </si>
  <si>
    <t>Garagem de veículo oficial</t>
  </si>
  <si>
    <t>Garagem</t>
  </si>
  <si>
    <t xml:space="preserve">Pintar os números da placa dianteira do Cobalt ONB 0775 </t>
  </si>
  <si>
    <t>721/2023</t>
  </si>
  <si>
    <t>Bloco "O" - Faculdade Engenharia</t>
  </si>
  <si>
    <t>Banheiros 3º piso</t>
  </si>
  <si>
    <t xml:space="preserve">Odor do banheiro insuportável </t>
  </si>
  <si>
    <t>722/2023</t>
  </si>
  <si>
    <t>Banheiro feminino/corredor da Eng. Civil</t>
  </si>
  <si>
    <t>Esta ocorrendo um possível vazamento/infiltração na parede que fica entre o banheiro feminino e o corredor de circulação. É possível visualizar as poças d'água tanto dentro do banheiro como fora, e de acordo o pessoal da limpeza a água esta "minando" da parede, sugerindo um possível cano quebrado na alvenaria.</t>
  </si>
  <si>
    <t>723/2023</t>
  </si>
  <si>
    <t>I</t>
  </si>
  <si>
    <t>3-A</t>
  </si>
  <si>
    <t xml:space="preserve">A fechadura não destranca </t>
  </si>
  <si>
    <t>724/2023</t>
  </si>
  <si>
    <t>BLOCO DIDÁTICO 1</t>
  </si>
  <si>
    <t>SALA 106</t>
  </si>
  <si>
    <t>Pedimos gentilmente que seja realizado o reparo da central de ar condicionado da sala de aula. Devido a uma grande quantidade de alunos, a mesma está apresentando abafamento e desconforto aos docentes e discentes.</t>
  </si>
  <si>
    <t>725/2023</t>
  </si>
  <si>
    <t>apto 206</t>
  </si>
  <si>
    <t>quarto A</t>
  </si>
  <si>
    <t>ventilador não liga</t>
  </si>
  <si>
    <t>726/2023</t>
  </si>
  <si>
    <t>trocar pás quebradas de ventilador</t>
  </si>
  <si>
    <t>727/2023</t>
  </si>
  <si>
    <t>apto 402</t>
  </si>
  <si>
    <t xml:space="preserve">fixar parafuso em armário do quarto </t>
  </si>
  <si>
    <t>728/2023</t>
  </si>
  <si>
    <t>Trocar a lâmpada da secretaria dos cursos de Letras.</t>
  </si>
  <si>
    <t>729/2023</t>
  </si>
  <si>
    <t xml:space="preserve">Gentileza bater lubrificante nas fechaduras e dobradiças das portas dos blocos G e E, várias delas estão enguiçadas, também consertar a fechadura da porta da sala 2 do bloco G, está frouxa. </t>
  </si>
  <si>
    <t>730/2023</t>
  </si>
  <si>
    <t xml:space="preserve">Thiago Morais de Lima </t>
  </si>
  <si>
    <t xml:space="preserve">Piso superior </t>
  </si>
  <si>
    <t>Estantes de livros</t>
  </si>
  <si>
    <t>Desmontar três estantes de livros que estão muito inclinadas e repor elas. Patrimônio 652424, 652423 e 652427</t>
  </si>
  <si>
    <t>731/2023</t>
  </si>
  <si>
    <t>Filtro que se encontra no corredor; 1 Filtro que atende todos da andar e 1 Filtro da Cozinha.</t>
  </si>
  <si>
    <t>732/2023</t>
  </si>
  <si>
    <t>João Donizete Lima/Claudia lucia da Costa</t>
  </si>
  <si>
    <t>Solicitamos afixar prateleiras do Laboratório de Ensino a parede</t>
  </si>
  <si>
    <t>733/2023</t>
  </si>
  <si>
    <t>Iolanda Maria Aguiar</t>
  </si>
  <si>
    <t>FENG - Piso ENG MINAS</t>
  </si>
  <si>
    <t>35 - Laboratório de Laminação</t>
  </si>
  <si>
    <t>Corte e fixação da chapa protetora de serra de laminação</t>
  </si>
  <si>
    <t>734/2023</t>
  </si>
  <si>
    <t>Sala 05</t>
  </si>
  <si>
    <t xml:space="preserve">Trinco das janelas na sala 05 no bloco K estão com defeito </t>
  </si>
  <si>
    <t>735/2023</t>
  </si>
  <si>
    <t>Câmera Speed Dome</t>
  </si>
  <si>
    <t xml:space="preserve">Câmera Speed Dome, está suja dificultando a visualização. </t>
  </si>
  <si>
    <t>736/2023</t>
  </si>
  <si>
    <t>Corredor de Entrada</t>
  </si>
  <si>
    <t xml:space="preserve">Obstrução de imagem devido à teias de aranhas. </t>
  </si>
  <si>
    <t>737/2023</t>
  </si>
  <si>
    <t xml:space="preserve">Carla Braz </t>
  </si>
  <si>
    <t>Corredor gabinetes</t>
  </si>
  <si>
    <t>738/2023</t>
  </si>
  <si>
    <t>Didático ll</t>
  </si>
  <si>
    <t>Corredor térreo</t>
  </si>
  <si>
    <t>Obstrução de imagem devido à teias de aranhas.</t>
  </si>
  <si>
    <t>739/2023</t>
  </si>
  <si>
    <t>Corredor 2°Piso</t>
  </si>
  <si>
    <t xml:space="preserve">As luzes dos refletores estão diretamente nas câmeras. </t>
  </si>
  <si>
    <t>740/2023</t>
  </si>
  <si>
    <t>Bloco L (Interno)</t>
  </si>
  <si>
    <t xml:space="preserve">Hall 2º Piso </t>
  </si>
  <si>
    <t>741/2023</t>
  </si>
  <si>
    <t>Bloco Didático l</t>
  </si>
  <si>
    <t>742/2023</t>
  </si>
  <si>
    <t>Hall principal</t>
  </si>
  <si>
    <t>743/2023</t>
  </si>
  <si>
    <t>Hall de entrada térreo / Entrada laboratório.</t>
  </si>
  <si>
    <t>744/2023</t>
  </si>
  <si>
    <t xml:space="preserve">Sala 205 </t>
  </si>
  <si>
    <t>maçaneta da porta da Sala 205 do Bloco Didático l, está quebrada</t>
  </si>
  <si>
    <t>745/2023</t>
  </si>
  <si>
    <t>Sala 208</t>
  </si>
  <si>
    <t>porta da Sala 208 do Bloco Didático l, está sem maçaneta</t>
  </si>
  <si>
    <t>746/2023</t>
  </si>
  <si>
    <t>FENG - Piso térreo (ENG CIVIL)</t>
  </si>
  <si>
    <t>Laboratório de Hidráulica</t>
  </si>
  <si>
    <t>Ralo não funciona, a água supita quando utilizado</t>
  </si>
  <si>
    <t>747/2023</t>
  </si>
  <si>
    <t xml:space="preserve">Sérgio Henrique </t>
  </si>
  <si>
    <t xml:space="preserve">Bloco O </t>
  </si>
  <si>
    <t>container de pintura</t>
  </si>
  <si>
    <t>Pintura de dois cavaletes utilizados no laboratório de Estruturas</t>
  </si>
  <si>
    <t>748/2023</t>
  </si>
  <si>
    <t>FENG - pisos da Civil, Minas e Produção</t>
  </si>
  <si>
    <t>banheiro masculino eng. civil (térreo); sala do rack/tecnicos eng. produção; lab de automação; lab de fabricação mecânica; lab de informática</t>
  </si>
  <si>
    <t>no banheiro masculino da engenharia civil (térreo) há um buraco no teto que afeta a lâmpada. Também há reparos a serem feitos nos gessos das seguintes salas: sala do rack da eng. produção; sala dos servidores da eng produção; lab de automação; lab de fabricação mecânica; lab de informática.</t>
  </si>
  <si>
    <t>749/2023</t>
  </si>
  <si>
    <t>Karla Graziella Moreira</t>
  </si>
  <si>
    <t>64 981145304</t>
  </si>
  <si>
    <t>Sala 02 - Laboratório de Fisiologia e Farmacologia (LAFIFA)</t>
  </si>
  <si>
    <t xml:space="preserve">Verificar a geladeira do laboratório. A geladeira está fazendo barulho intenso e alto e não está refrigerando corretamente. Risco de perda de reagentes utilizados em pesquisa e ensino. </t>
  </si>
  <si>
    <t>750/2023</t>
  </si>
  <si>
    <t xml:space="preserve">Estacionamento Oficial </t>
  </si>
  <si>
    <t xml:space="preserve">Estacionamento oficial de veiculo </t>
  </si>
  <si>
    <t xml:space="preserve">instalação de 8 luminarias estacionamento oficial de veiculos </t>
  </si>
  <si>
    <t>751/2023</t>
  </si>
  <si>
    <t xml:space="preserve">Cabo HDMI esta com mau contato não desbalizando a imagem na tv.
</t>
  </si>
  <si>
    <t>752/2023</t>
  </si>
  <si>
    <t xml:space="preserve">Bloco superior </t>
  </si>
  <si>
    <t>Acervo</t>
  </si>
  <si>
    <t>Colocar chapas de aço nas estantes para as reforçar.</t>
  </si>
  <si>
    <t>753/2023</t>
  </si>
  <si>
    <t>PATRICIA FRANCISCA DE MATOS</t>
  </si>
  <si>
    <t>Sala 03, bloCO A</t>
  </si>
  <si>
    <t>Fixar prateleiras na parede</t>
  </si>
  <si>
    <t>754/2023</t>
  </si>
  <si>
    <t>Colaboradora</t>
  </si>
  <si>
    <t>Bloco Admnistrativo</t>
  </si>
  <si>
    <t>Sala 07</t>
  </si>
  <si>
    <t xml:space="preserve">Fazer protetores anti impacto (com cola quente ou cola de silicone) para duas tábuas de corte de vidro temperado. </t>
  </si>
  <si>
    <t>755/2023</t>
  </si>
  <si>
    <t>Maria de Fátima Duarte</t>
  </si>
  <si>
    <t>Speed Dome (Bloco M)</t>
  </si>
  <si>
    <t>Câmera Speed Dome (Bloco M), se encontra balançando, a imagem não está nítida pois provavelmente caiu algum parafuso.</t>
  </si>
  <si>
    <t>756/2023</t>
  </si>
  <si>
    <t>Câmeras Campus II</t>
  </si>
  <si>
    <t>As câmeras do Campus II estão com interferência de Sinal na imagem, sendo elas:  1°-Corredor Frente, 2°- Entrada Lateral, 3°- Corredor Fundos.</t>
  </si>
  <si>
    <t>757/2023</t>
  </si>
  <si>
    <t>Verificar fechadura da porta do fundo (a porta não abre por fora!!!).</t>
  </si>
  <si>
    <t>758/2023</t>
  </si>
  <si>
    <t>apto 201</t>
  </si>
  <si>
    <t>porta de correr da sala esta fora do trilho</t>
  </si>
  <si>
    <t>759/2023</t>
  </si>
  <si>
    <t xml:space="preserve">Fundo auditório (de frente ao alojamento dos motoristas) </t>
  </si>
  <si>
    <t xml:space="preserve"> a Luz do poste está com algum mal  contato pois ela apaga e acende varias vezes</t>
  </si>
  <si>
    <t>760/2023</t>
  </si>
  <si>
    <t>Desentupir vaso sanitário</t>
  </si>
  <si>
    <t>761/2023</t>
  </si>
  <si>
    <t>Vazamento, no cano que leva água a 2 vasos sanitários.</t>
  </si>
  <si>
    <t>762/2023</t>
  </si>
  <si>
    <t>Banheiro feminino, no térreo</t>
  </si>
  <si>
    <t>Vazamento no cano que leva água ao vaso sanitário</t>
  </si>
  <si>
    <t>763/2023</t>
  </si>
  <si>
    <t>Colocar trava com cadeado, no armário o qual é colocado os produtos de limpeza.</t>
  </si>
  <si>
    <t>764/2023</t>
  </si>
  <si>
    <t>Lailton Ribeiro</t>
  </si>
  <si>
    <t>Onde Foi instalado Televisor</t>
  </si>
  <si>
    <t>Remoção de Data-Show e suporte nas salas que já possuem televisor.</t>
  </si>
  <si>
    <t>765/2023</t>
  </si>
  <si>
    <t>Campus ll</t>
  </si>
  <si>
    <t>Entrada Lateral</t>
  </si>
  <si>
    <t xml:space="preserve">Câmera não está com a visualização nítida. </t>
  </si>
  <si>
    <t>766/2023</t>
  </si>
  <si>
    <t xml:space="preserve">Maçaneta do banheiro masculino no didático I está quebrada </t>
  </si>
  <si>
    <t>767/2023</t>
  </si>
  <si>
    <t>Bryam Barbosa</t>
  </si>
  <si>
    <t>Bloco didático II</t>
  </si>
  <si>
    <t xml:space="preserve">Auditório Lívia Abrahão </t>
  </si>
  <si>
    <t xml:space="preserve">Consertar a tela de projeção </t>
  </si>
  <si>
    <t>768/2023</t>
  </si>
  <si>
    <t xml:space="preserve">ão tem água quente para o chuveiro </t>
  </si>
  <si>
    <t>769/2023</t>
  </si>
  <si>
    <t>Welison</t>
  </si>
  <si>
    <t>64 98449-0622</t>
  </si>
  <si>
    <t>IF</t>
  </si>
  <si>
    <t>Sala 9</t>
  </si>
  <si>
    <t xml:space="preserve">Montar um hack para 8 computadores, sendo necessário espaço apenas para os gabinetes.
O hack deve ter 2 metros de altura, 75cm de comprimento e 45cm de largura. </t>
  </si>
  <si>
    <t>770/2023</t>
  </si>
  <si>
    <t>DVR das câmeras biblioteca esta desconectadas</t>
  </si>
  <si>
    <t>DVR das câmeras da Biblioteca esta desconectado</t>
  </si>
  <si>
    <t>771/2023</t>
  </si>
  <si>
    <t>Mariela Cordeiro de Castro</t>
  </si>
  <si>
    <t>16 99634 1077</t>
  </si>
  <si>
    <t>O Laboratório 16 do campus 2 é utilizado para projeções com datashow, mas a luz que entra pelas janelas basculantes de vidro incide diretamente sobre a tela de projeção. Assim, gostaria de solicitar a pintura desses vidros, tal como foi feito em algumas salas do bloco didático do campus 2. Os técnicos Deusmar e Jakelini estão cientes da demanda e poderão auxiliar em caso de visita técnica prévia.</t>
  </si>
  <si>
    <t>772/2023</t>
  </si>
  <si>
    <t>Hidrômetro próximo ao Bloco O</t>
  </si>
  <si>
    <t>O vigilante ao fazer uma ronda, deparou-se com um possível vazamento de água, em um dos hidrômetros que se encontra próximo ao Bloco O.</t>
  </si>
  <si>
    <t>773/2023</t>
  </si>
  <si>
    <t>Sala de infraestrutura</t>
  </si>
  <si>
    <t>Instalar cabo de bateria em Nobreak</t>
  </si>
  <si>
    <t xml:space="preserve">Defeito no proprio aparelho, não realizamos a manutenção </t>
  </si>
  <si>
    <t>774/2023</t>
  </si>
  <si>
    <t>Dispenser de álcool em gel com defeito</t>
  </si>
  <si>
    <t>775/2023</t>
  </si>
  <si>
    <t>Regis Brito do Amaral</t>
  </si>
  <si>
    <t>Necessitamos a instalação, no teto, de 11 novos APs nos corredores do Bloco M. 
5 no primeiro andar e 6 no terceiro andar. 
Já possuímos os APs e se encontram disponíveis aqui na SETI.</t>
  </si>
  <si>
    <t>776/2023</t>
  </si>
  <si>
    <t>Sala 24 - PROEC</t>
  </si>
  <si>
    <t>Troca de 1 (uma) lâmpada tubular que se encontra queimada.</t>
  </si>
  <si>
    <t>777/2023</t>
  </si>
  <si>
    <t>Sala 311</t>
  </si>
  <si>
    <t>Fazer a troca de 2 lâmpadas Fluorescentes Tubular Led que queimaram.</t>
  </si>
  <si>
    <t>778/2023</t>
  </si>
  <si>
    <t>apto 102</t>
  </si>
  <si>
    <t>falta de energia em todo o apartamento</t>
  </si>
  <si>
    <t>779/2023</t>
  </si>
  <si>
    <t>Bloco Didático 2</t>
  </si>
  <si>
    <t>Auditório</t>
  </si>
  <si>
    <t>Necessitamos a instalação, no teto, de 1 novo APs no auditório do bloco didático 2
Já possuímos o AP e se encontram disponíveis aqui na SETI.</t>
  </si>
  <si>
    <t>780/2023</t>
  </si>
  <si>
    <t>A câmera 9 da biblioteca, e a do Estacionamento de Carros Oficiais, se encontram com interferência no sinal</t>
  </si>
  <si>
    <t xml:space="preserve">Assistência nas câmeras de Carros Oficiais da Biblioteca, e na câmera 9, que estão com interferência de sinal. </t>
  </si>
  <si>
    <t>781/2023</t>
  </si>
  <si>
    <t>Dome do Bloco Didático I</t>
  </si>
  <si>
    <t>Câmera Portão  Lateral</t>
  </si>
  <si>
    <t xml:space="preserve"> Assistência  na Câmera Dome do Bloco Didático I (Portão Lateral), pois a mesma se encontra sem iluminação. Foi averiguado que anteriormente no último turno noturno, a mesma estava com a iluminação normal.</t>
  </si>
  <si>
    <t>782/2023</t>
  </si>
  <si>
    <t>Câmera do bicicletário do Bloco Didático I</t>
  </si>
  <si>
    <t>Assistência na câmera do Bicicletário do Bloco Didático I, pois a mesma se encontra sem iluminação, e foi observado que antes tinha iluminação nessa câmera, e agora a mesma se encontra sem.</t>
  </si>
  <si>
    <t>783/2023</t>
  </si>
  <si>
    <t xml:space="preserve">De frente ao prédio administrativo, próximo  rampa </t>
  </si>
  <si>
    <t>A tampa da caixinha está quebrada</t>
  </si>
  <si>
    <t>784/2023</t>
  </si>
  <si>
    <t xml:space="preserve">Próximo ao estacionamento de motos </t>
  </si>
  <si>
    <t>Tampa de caixinha quebrada</t>
  </si>
  <si>
    <t>785/2023</t>
  </si>
  <si>
    <t>Ana Carolina</t>
  </si>
  <si>
    <t>(64)98410-7889 (Somente WhatsApp)</t>
  </si>
  <si>
    <t>-</t>
  </si>
  <si>
    <t>1 cabo de rede 2m
1 cabo de rede 1,5m</t>
  </si>
  <si>
    <t>786/2023</t>
  </si>
  <si>
    <t xml:space="preserve">Trava da janela do banheiro feminino quebrou </t>
  </si>
  <si>
    <t>787/2023</t>
  </si>
  <si>
    <t xml:space="preserve">Fabrício </t>
  </si>
  <si>
    <t>Hall de entrada da Biblioteca</t>
  </si>
  <si>
    <t>Desmontar uma mesa para transportá-la para outro ambiente e remontá-la</t>
  </si>
  <si>
    <t>788/2023</t>
  </si>
  <si>
    <t>FENG - Térreo (andar da civil)</t>
  </si>
  <si>
    <t xml:space="preserve">Laboratório de Geotecnia </t>
  </si>
  <si>
    <t>Manutenção nas tomadas de uso geral do laboratório - manutenção</t>
  </si>
  <si>
    <t>789/2023</t>
  </si>
  <si>
    <t>Câmera Estacionamento de carros</t>
  </si>
  <si>
    <t>Câmera Estacionamento de carros DVR Biblioteca após as 18:00 fica com interferência, oscilando imagens.</t>
  </si>
  <si>
    <t>790/2023</t>
  </si>
  <si>
    <t>apto 403</t>
  </si>
  <si>
    <t>pia da cozinha entupida</t>
  </si>
  <si>
    <t>791/2023</t>
  </si>
  <si>
    <t>almoxarifado</t>
  </si>
  <si>
    <t>colocar alguns parafusos no acento de uma cadeira</t>
  </si>
  <si>
    <t>792/2023</t>
  </si>
  <si>
    <t>Nayara de Souza Silva</t>
  </si>
  <si>
    <t>5316/5320</t>
  </si>
  <si>
    <t>Subir o ponto específico para câmera identificado como 'R1-PJ-17-CAM' para o teto e puxar um cabeamento de rede para internet no lugar.</t>
  </si>
  <si>
    <t>793/2023</t>
  </si>
  <si>
    <t xml:space="preserve">apto 402, quarto C </t>
  </si>
  <si>
    <t>parafusar armário (guarda roupa)</t>
  </si>
  <si>
    <t>794/2023</t>
  </si>
  <si>
    <t>64 98412-9238</t>
  </si>
  <si>
    <t>Sala 8.</t>
  </si>
  <si>
    <t>Vazamento no cano debaixo da pia.</t>
  </si>
  <si>
    <t>795/2023</t>
  </si>
  <si>
    <t>Saulo Rosa de Oliveira</t>
  </si>
  <si>
    <t>Chuveiro Lava Olhos do piso térreo, está com um vazamento.</t>
  </si>
  <si>
    <t>796/2023</t>
  </si>
  <si>
    <t>Banheiro dos Professores</t>
  </si>
  <si>
    <t>Duas lâmpadas do banheiro em frente a sala dos professores, ao lado da copa, estão queimadas.</t>
  </si>
  <si>
    <t>797/2023</t>
  </si>
  <si>
    <t>01 e 02</t>
  </si>
  <si>
    <t>Afixar Placas Braile da sala 01 e 02.</t>
  </si>
  <si>
    <t>798/2023</t>
  </si>
  <si>
    <t xml:space="preserve">Dispenser alcool gel se soltou da parede </t>
  </si>
  <si>
    <t>799/2023</t>
  </si>
  <si>
    <t xml:space="preserve">Banheiro masculino do hall de entrada </t>
  </si>
  <si>
    <t xml:space="preserve">Troca da tampa do vaso </t>
  </si>
  <si>
    <t>800/2023</t>
  </si>
  <si>
    <t>Vazamento de água no Lavatório de Emergência no corredor ao lado da Sala de Cubas.</t>
  </si>
  <si>
    <t>801/2023</t>
  </si>
  <si>
    <t>Laboratórios do curso de Engenharia Civil - FENG</t>
  </si>
  <si>
    <t>térreo - Bloco O - FENG</t>
  </si>
  <si>
    <t>Fixação de suportes para colocar manual de instruções</t>
  </si>
  <si>
    <t>802/2023</t>
  </si>
  <si>
    <t>62982410124 / 64981311666 (Cibele - possui a chave)</t>
  </si>
  <si>
    <t>FENG - Piso da ENG Minas</t>
  </si>
  <si>
    <t>Lab de geoquímica (sala 20)</t>
  </si>
  <si>
    <t>Vidro quebrado da janela da sala 20, vidro do meio (folha que corre) do lado esquerdo da sala.</t>
  </si>
  <si>
    <t>803/2023</t>
  </si>
  <si>
    <t>Alessandro</t>
  </si>
  <si>
    <t>Sala 253</t>
  </si>
  <si>
    <t>Fazer uma alteração da posição de um ponto de rede de internet (conduite externo). Instalação de uma lousa na parede.</t>
  </si>
  <si>
    <t>804/2023</t>
  </si>
  <si>
    <t>a porta de entrada do apto nao fecha</t>
  </si>
  <si>
    <t>805/2023</t>
  </si>
  <si>
    <t>FENG - piso ENG Minas</t>
  </si>
  <si>
    <t>Sala 38 (lab  de processamento mineral)</t>
  </si>
  <si>
    <t>Na sala 38 existe um buraco no teto logo acima da porta da Mufla, infiltração dentro da sala da MUFLA, no canto direito da sala, próximo à janela, e um buraco no teto acima da infiltração.</t>
  </si>
  <si>
    <t>806/2023</t>
  </si>
  <si>
    <t xml:space="preserve">Speed Dome </t>
  </si>
  <si>
    <t>Câmera Speed Dome do Bloco M, está sem iluminação</t>
  </si>
  <si>
    <t>807/2023</t>
  </si>
  <si>
    <t xml:space="preserve">Blocos G e H </t>
  </si>
  <si>
    <t xml:space="preserve">Banco de concreto próximo aos blocos G e H está quebrado </t>
  </si>
  <si>
    <t>808/2023</t>
  </si>
  <si>
    <t>R.U</t>
  </si>
  <si>
    <t xml:space="preserve">Fundo do restaurante universitário </t>
  </si>
  <si>
    <t>Vazamento em um cano que se rompeu</t>
  </si>
  <si>
    <t>809/2023</t>
  </si>
  <si>
    <t xml:space="preserve">Banheiro mascolino </t>
  </si>
  <si>
    <t>Troca de mictório.</t>
  </si>
  <si>
    <t>810/2023</t>
  </si>
  <si>
    <t>Moradia estudantil (MUC)</t>
  </si>
  <si>
    <t>Boiler de água quente.</t>
  </si>
  <si>
    <t>Instalação de circuito para resistência de boiler.</t>
  </si>
  <si>
    <t>811/2023</t>
  </si>
  <si>
    <t>Apto 102 está sem energia.</t>
  </si>
  <si>
    <t>812/2023</t>
  </si>
  <si>
    <t>Acervo (piso superior)</t>
  </si>
  <si>
    <t xml:space="preserve">As tomadas localizadas próximas onde foi instalado o painel com a logomarca da UFCAT não estão funcionando. </t>
  </si>
  <si>
    <t>813/2023</t>
  </si>
  <si>
    <t>64 9 96990617</t>
  </si>
  <si>
    <t>Solicito auxílio para o conserto em vazamento em aparelho Ultrapurificador de água.</t>
  </si>
  <si>
    <t>814/2023</t>
  </si>
  <si>
    <t>Corredor de acesso  às salas de cubas e Laboratórios de aula prática.</t>
  </si>
  <si>
    <t>Estancar vazamento de água do chuveiro/lava olhos, de emergência, instalado no corredor de acesso aos laboratórios e salas de cubas.</t>
  </si>
  <si>
    <t>815/2023</t>
  </si>
  <si>
    <t>Quadra de esportes</t>
  </si>
  <si>
    <t xml:space="preserve">Retirar uma bola de futebol que está em cima do telhado da quadra  </t>
  </si>
  <si>
    <t>816/2023</t>
  </si>
  <si>
    <t xml:space="preserve">Destravar uma meia porta da sala 12 </t>
  </si>
  <si>
    <t>817/2023</t>
  </si>
  <si>
    <t>Banheiro do fundo</t>
  </si>
  <si>
    <t>O banheiro masculino que fica perto da cozinha está entupido - Piso térreo Bloco administrativo</t>
  </si>
  <si>
    <t>818/2023</t>
  </si>
  <si>
    <t>160 e 156</t>
  </si>
  <si>
    <t>alguns pontos de rede não estão funcionando</t>
  </si>
  <si>
    <t>819/2023</t>
  </si>
  <si>
    <t>Vazamento no cano que leva água ao vazo sanitário</t>
  </si>
  <si>
    <t>820/2023</t>
  </si>
  <si>
    <t>821/2023</t>
  </si>
  <si>
    <t>Vazamento de água na válvula, que leva água ao vaso sanitário</t>
  </si>
  <si>
    <t>822/2023</t>
  </si>
  <si>
    <t xml:space="preserve">Manutenção de cadeiras (12 cadeiras); </t>
  </si>
  <si>
    <t xml:space="preserve">setor solicitante não deu retorno </t>
  </si>
  <si>
    <t>823/2023</t>
  </si>
  <si>
    <t xml:space="preserve">Refeitório </t>
  </si>
  <si>
    <t xml:space="preserve">Bebedouro do refeitório no RU está com vazamento de água </t>
  </si>
  <si>
    <t>824/2023</t>
  </si>
  <si>
    <t>Banheiro feminino (1º à esquerda da entrada principal)</t>
  </si>
  <si>
    <t>Arrumar/Trocar suporte do papel higiênico.</t>
  </si>
  <si>
    <t>825/2023</t>
  </si>
  <si>
    <t>Sala de cubas entre a sala 15 e 17</t>
  </si>
  <si>
    <t>Desentupir  pia e ralinho.</t>
  </si>
  <si>
    <t>826/2023</t>
  </si>
  <si>
    <t>Câmera entrada térreo 3</t>
  </si>
  <si>
    <t>Câmera 12 entrada térreo 3 Bloco Multi 1 esta com configuração do menu na tela</t>
  </si>
  <si>
    <t>827/2023</t>
  </si>
  <si>
    <t>apto 303 - quarto A</t>
  </si>
  <si>
    <t xml:space="preserve">porta fazendo barulho </t>
  </si>
  <si>
    <t>828/2023</t>
  </si>
  <si>
    <t>Camila Pereira da Silva</t>
  </si>
  <si>
    <t>sala 16 - térreo</t>
  </si>
  <si>
    <t>Preciso de um cabo de rede de aproximadamente 15 metros (o que eu utilizava não está funcionando) e o computador não tem conexão via wi-fi</t>
  </si>
  <si>
    <t>829/2023</t>
  </si>
  <si>
    <t>BLOCO I - SALA I</t>
  </si>
  <si>
    <t>SECRETARIA</t>
  </si>
  <si>
    <t>pregar um parafuso na parede para colocar um quadro.</t>
  </si>
  <si>
    <t>830/2023</t>
  </si>
  <si>
    <t>Parafusar os escaninhos uns aos outros.</t>
  </si>
  <si>
    <t>831/2023</t>
  </si>
  <si>
    <t xml:space="preserve">Sala de estudos da pós graduação </t>
  </si>
  <si>
    <t>Teste de ponto de rede de internet e confecção  de 4 cabos cabos de rede ( mais ou menos 1m)</t>
  </si>
  <si>
    <t>832/2023</t>
  </si>
  <si>
    <t>Corredor Bloco G</t>
  </si>
  <si>
    <t>Reformar banco de madeira, ajustar parafusos, trocar madeiras e pintar.</t>
  </si>
  <si>
    <t>833/2023</t>
  </si>
  <si>
    <t>Copa do 2⁰ piso.</t>
  </si>
  <si>
    <t>Pia da copa do 2⁰ piso no administrativo está entupida.</t>
  </si>
  <si>
    <t>834/2023</t>
  </si>
  <si>
    <t xml:space="preserve">Troca de tela do alambrado no Campus II, vários locais estão com a tela defeituosa </t>
  </si>
  <si>
    <t xml:space="preserve">Irá contratar empresa especializada para executar o serviço </t>
  </si>
  <si>
    <t>835/2023</t>
  </si>
  <si>
    <t>Ricardo Cruvinel Dornelas</t>
  </si>
  <si>
    <t>64 98427-4849</t>
  </si>
  <si>
    <t>Troca de duas lâmpadas fluorescentes</t>
  </si>
  <si>
    <t>836/2023</t>
  </si>
  <si>
    <t>6498412-9238</t>
  </si>
  <si>
    <t>Vazamento cano embaixo da pia.</t>
  </si>
  <si>
    <t>837/2023</t>
  </si>
  <si>
    <t>Sala 9.</t>
  </si>
  <si>
    <t xml:space="preserve">Cheiro muito forte de ovo podre na sala. </t>
  </si>
  <si>
    <t>838/2023</t>
  </si>
  <si>
    <t>Maria Eduarda</t>
  </si>
  <si>
    <t>Garagem de veículos oficiais</t>
  </si>
  <si>
    <t>Solicitamos pintura na placa veicular dianteira do veículo Cobalt ONA6505, que está situado a frente da Biblioteca Universitária, na garagem de veículo oficiais I.</t>
  </si>
  <si>
    <t>839/2023</t>
  </si>
  <si>
    <t>Andréa</t>
  </si>
  <si>
    <t>Serviço a ser executado em mesa para impressora com estrutura em aço carbono preto:
- colocar parafuso(s) e
- aplicar, se necessário, "fita de borda" na lateral da referida mesa.</t>
  </si>
  <si>
    <t>840/2023</t>
  </si>
  <si>
    <t>Vaso sanitário, balançando com parafuso solto e rejunte soltando. Conforme a imagem em anexo.</t>
  </si>
  <si>
    <t>841/2023</t>
  </si>
  <si>
    <t>Poste na rampa de entrada do bloco</t>
  </si>
  <si>
    <t xml:space="preserve">Substituir lâmpadas. </t>
  </si>
  <si>
    <t>842/2023</t>
  </si>
  <si>
    <t>Sala 01 - Ladffon</t>
  </si>
  <si>
    <t>Trocar controle de ar condicionado, marca Electrolux.</t>
  </si>
  <si>
    <t>843/2023</t>
  </si>
  <si>
    <t>Sala 01- Ladffon</t>
  </si>
  <si>
    <t>Ar condicionado, necessita de limpeza por conter formigas e outras impurezas no mesmo.</t>
  </si>
  <si>
    <t>844/2023</t>
  </si>
  <si>
    <t xml:space="preserve">Auditório Paulo de Bastos </t>
  </si>
  <si>
    <t xml:space="preserve">Ferrolho de uma das portas de madeira </t>
  </si>
  <si>
    <t>845/2023</t>
  </si>
  <si>
    <t>Sala "Reserva Técnica". Piso superior</t>
  </si>
  <si>
    <t xml:space="preserve">Cabo de energia do ventilador está soltando do plug in </t>
  </si>
  <si>
    <t>846/2023</t>
  </si>
  <si>
    <t>3441-5308</t>
  </si>
  <si>
    <t>Bloco I - Secretaria</t>
  </si>
  <si>
    <t>Secretaria e Miniauditório</t>
  </si>
  <si>
    <t xml:space="preserve">AS luzes do miniauditorio e da secretaria não acendem. </t>
  </si>
  <si>
    <t>847/2023</t>
  </si>
  <si>
    <t>Luci Rosa Cardoso</t>
  </si>
  <si>
    <t>124 - Sala da Reitora</t>
  </si>
  <si>
    <t>3 Lâmpadas queimadas dentro da sala da Reitora</t>
  </si>
  <si>
    <t>848/2023</t>
  </si>
  <si>
    <t>Centro Administrativo - Câmpus I da UFCAT</t>
  </si>
  <si>
    <t>Vistoriar e consertar, se possível, cadeiras giratórias com apoio de braços.</t>
  </si>
  <si>
    <t>849/2023</t>
  </si>
  <si>
    <t>problema com uma das descargas, onde se encontra com defeito, vindo a causar vazamento constante, dando descarga sem ser acionada</t>
  </si>
  <si>
    <t>850/2023</t>
  </si>
  <si>
    <t>Didático II</t>
  </si>
  <si>
    <t>vazamento de água em uma das descargas</t>
  </si>
  <si>
    <t>851/2023</t>
  </si>
  <si>
    <t>Lidiane Pereira Coelho</t>
  </si>
  <si>
    <t>64-996531626</t>
  </si>
  <si>
    <t>sala 151</t>
  </si>
  <si>
    <t>Trocar quadro de lugar.</t>
  </si>
  <si>
    <t>852/2023</t>
  </si>
  <si>
    <t>Maçaneta da porta de entrada do apto 203 com defeito</t>
  </si>
  <si>
    <t>853/2023</t>
  </si>
  <si>
    <t>Pia do banheiro do apto 203 com vazamento</t>
  </si>
  <si>
    <t>854/2023</t>
  </si>
  <si>
    <t>Barra de apoio do banheiro especial 1º piso do Bloco O, está danificada</t>
  </si>
  <si>
    <t>855/2023</t>
  </si>
  <si>
    <t>Placa de identificação do Bloco Didático I, o fio de energia elétrica esta apresentando curto</t>
  </si>
  <si>
    <t>856/2023</t>
  </si>
  <si>
    <t>Apto 204</t>
  </si>
  <si>
    <t>Apto 204 - Porta interna do banheiro está solta</t>
  </si>
  <si>
    <t>857/2023</t>
  </si>
  <si>
    <t>Confecção de 3 prateleiras 140x30</t>
  </si>
  <si>
    <t>858/2023</t>
  </si>
  <si>
    <t>Fixar a braçadeira do suporte de apoio do braço que soltou,</t>
  </si>
  <si>
    <t>859/2023</t>
  </si>
  <si>
    <t>Bloc C</t>
  </si>
  <si>
    <t>Refeitorio bloco C.</t>
  </si>
  <si>
    <t>Substituir lâmpadas queimadas.</t>
  </si>
  <si>
    <t>860/2023</t>
  </si>
  <si>
    <t>Destravar a porta do laboratório (sala 13)</t>
  </si>
  <si>
    <t>861/2023</t>
  </si>
  <si>
    <t>Entrada da MUC</t>
  </si>
  <si>
    <t xml:space="preserve">Substituir a placa de endereço que fica no muro de entrada da MUC. A atual foi danificada por terceiros. </t>
  </si>
  <si>
    <t>Não foi realizado a compra da placa</t>
  </si>
  <si>
    <t>862/2023</t>
  </si>
  <si>
    <t>Caixa d'água do bloco D.</t>
  </si>
  <si>
    <t>Caixa d'água bloco D</t>
  </si>
  <si>
    <t xml:space="preserve">Substituir boia esletrica da caixa d'água. </t>
  </si>
  <si>
    <t>863/2023</t>
  </si>
  <si>
    <t>D</t>
  </si>
  <si>
    <t>Ligar dois pontos de rede de internet na sala 12 do Bloco D</t>
  </si>
  <si>
    <t>Defeito na Switch esta com defeito, orientado ao setor para entrar em contato com a SETI</t>
  </si>
  <si>
    <t>864/2023</t>
  </si>
  <si>
    <t xml:space="preserve">Instalar suporte para fixar porta aberta </t>
  </si>
  <si>
    <t>865/2023</t>
  </si>
  <si>
    <t>Trocar fechadura que já foi feito manutenção/regulagem algumas vezes mas voltou apresentar o mesmo defeito</t>
  </si>
  <si>
    <t>866/2023</t>
  </si>
  <si>
    <t xml:space="preserve">Vazamento valvula de descarga banheiro masculino </t>
  </si>
  <si>
    <t>867/2023</t>
  </si>
  <si>
    <t>Patricia</t>
  </si>
  <si>
    <t>Laboratório de Ensino, brinquedoteca e Ciências</t>
  </si>
  <si>
    <t>Instalação dos suportes para data show nos laboratórios, fixar o suporte e passar o cabeamento para o funcionamento do equipamento.</t>
  </si>
  <si>
    <t>868/2023</t>
  </si>
  <si>
    <t>(64)98161-9931</t>
  </si>
  <si>
    <t>Pinos de encaixe que seguram uma prateleira do armário quebraram e a prateleira caiu.</t>
  </si>
  <si>
    <t>869/2023</t>
  </si>
  <si>
    <t>apto 303, a porta da varanda desencaixou e não está querendo fechar</t>
  </si>
  <si>
    <t>870/2023</t>
  </si>
  <si>
    <t>Cristiano dos Santos Ferreira</t>
  </si>
  <si>
    <t>Sala S04 e S05</t>
  </si>
  <si>
    <t>Troca de lâmpadas defeituosas: 1 lâmpada tubular F0 32W/640 queimada e 7 lâmpadas tubulares F0 32W/640 fracas.</t>
  </si>
  <si>
    <t>871/2023</t>
  </si>
  <si>
    <t>Secretaria IEL</t>
  </si>
  <si>
    <t xml:space="preserve">Solicitamos 03 adaptadores do modelo antigo para o novo, para uso em aparelhos como data-show, notebook e impressoras. Caso tenham disponibilidade para fornecer ao IEL. </t>
  </si>
  <si>
    <t>872/2023</t>
  </si>
  <si>
    <t>3441-7609</t>
  </si>
  <si>
    <t>Bloco Didático I, segundo piso, sala 211</t>
  </si>
  <si>
    <t>Comitê de Ética em Pesquisa - sala 211</t>
  </si>
  <si>
    <t>Distribuição e fixação de Banners na UFCAT</t>
  </si>
  <si>
    <t>873/2023</t>
  </si>
  <si>
    <t>E</t>
  </si>
  <si>
    <t>TV do laboratório LALLES com defeito</t>
  </si>
  <si>
    <t>874/2023</t>
  </si>
  <si>
    <t>Núbia Alves Mariano T. Pires</t>
  </si>
  <si>
    <t>64 993379143</t>
  </si>
  <si>
    <t xml:space="preserve">Concerto de uma cadeira. </t>
  </si>
  <si>
    <t>875/2023</t>
  </si>
  <si>
    <t>sala 07</t>
  </si>
  <si>
    <t>Verificar problemas elétricos em lupas e microscópios</t>
  </si>
  <si>
    <t>876/2023</t>
  </si>
  <si>
    <t xml:space="preserve">Banheiro feminino do térreo </t>
  </si>
  <si>
    <t>Havendo vazamento de água no vaso sanitário</t>
  </si>
  <si>
    <t>877/2023</t>
  </si>
  <si>
    <t>Instalação de hidrometro para teste de mestrado da aluna  Daiane de Freitas</t>
  </si>
  <si>
    <t>878/2023</t>
  </si>
  <si>
    <t>Sala 110 - Coordenação do curso</t>
  </si>
  <si>
    <t>Na sala em questão temos um projetor instalado no teto que será enviado para o curso de Ciência da Computação, precisamos apenas que ele seja desinstalado desse ponto, podendo ser depois entregue na secretaria do curso de psicologia, ou na secretaria do CEAPSI</t>
  </si>
  <si>
    <t>879/2023</t>
  </si>
  <si>
    <t>Estacionamento de carros oficiais</t>
  </si>
  <si>
    <t>Câmera da Biblioteca (Estacionamento de Carros Oficiais), se encontra sem iluminação, e com interferência no sinal.</t>
  </si>
  <si>
    <t>880/2023</t>
  </si>
  <si>
    <t>Câmera do Bloco E (Estacionamento de Motos)</t>
  </si>
  <si>
    <t>Câmera do Bloco E (Estacionamento de Motos), se encontra sem iluminação</t>
  </si>
  <si>
    <t>881/2023</t>
  </si>
  <si>
    <t>Maria Daurte</t>
  </si>
  <si>
    <t>Câmera Entrada Térreo 2 (Bloco M)</t>
  </si>
  <si>
    <t xml:space="preserve">Bloco M  (Câmera Entrada Térreo 2), se encontra com letras na imagem, dificultando a visualização. </t>
  </si>
  <si>
    <t>882/2023</t>
  </si>
  <si>
    <t xml:space="preserve">Corredor externo </t>
  </si>
  <si>
    <t xml:space="preserve">03 lâmpadas queimadas no corredor externo do bloco A </t>
  </si>
  <si>
    <t>883/2023</t>
  </si>
  <si>
    <t>Sala 304 B</t>
  </si>
  <si>
    <t xml:space="preserve">Troca de duas lâmpadas que queimara, e outras duas estão com mal contato </t>
  </si>
  <si>
    <t>884/2023</t>
  </si>
  <si>
    <t>Ana Lúcia Santos</t>
  </si>
  <si>
    <t>Reparo de parte hidráulica destinada ao uso da autoclave</t>
  </si>
  <si>
    <t>885/2023</t>
  </si>
  <si>
    <t>banheiro feminino salão térreo</t>
  </si>
  <si>
    <t>a porta do banheiro de cadeirantes está trancada por dentro... precisa abrir</t>
  </si>
  <si>
    <t>886/2023</t>
  </si>
  <si>
    <t>Bloco das Engenharias</t>
  </si>
  <si>
    <t>Trocar 8 dispensers de papel higiênico, estão quebrados.</t>
  </si>
  <si>
    <t>887/2023</t>
  </si>
  <si>
    <t>area externa</t>
  </si>
  <si>
    <t>estamos com muitas pragas/matos no gramado e no jardim da MUC</t>
  </si>
  <si>
    <t>888/2023</t>
  </si>
  <si>
    <t>A geladeira onde os colaboradores colocam as refeições, para conservação. Não está funcionando.</t>
  </si>
  <si>
    <t>889/2023</t>
  </si>
  <si>
    <t>Laboratório 19</t>
  </si>
  <si>
    <t>Um interruptor do Laboratório 19 da Engenharia de Produção, se encontra estragado</t>
  </si>
  <si>
    <t>890/2023</t>
  </si>
  <si>
    <t xml:space="preserve">Parte externa </t>
  </si>
  <si>
    <t>Parte de uma grade da janela que se encontra próxima ao Almoxarifado do Prédio Administrativo, se encontra solta</t>
  </si>
  <si>
    <t>891/2023</t>
  </si>
  <si>
    <t>Trocar borracha de todos os dispensers, de sabonete líquido</t>
  </si>
  <si>
    <t>892/2023</t>
  </si>
  <si>
    <t>Houve um curto no apto 206, quarto A, que ocasionou na queda de energia.</t>
  </si>
  <si>
    <t>893/2023</t>
  </si>
  <si>
    <t>Confeccionar suporte (de chapa de MDF madeirado), com regulagem de altura, para telefone com fio de mesa.</t>
  </si>
  <si>
    <t>894/2023</t>
  </si>
  <si>
    <t>Emerson Contreira Mossolin</t>
  </si>
  <si>
    <t>Blocos Didáticos I e II</t>
  </si>
  <si>
    <t>Salas de Aula</t>
  </si>
  <si>
    <t xml:space="preserve">Solicito a substituição, dentro do possível, de tomadas de 2 pinos por tomadas de 3 pinos, já que boa parte dos professores se utilizam de seus computadores pessoas nas aulas. </t>
  </si>
  <si>
    <t>895/2023</t>
  </si>
  <si>
    <t>Dione Alvares</t>
  </si>
  <si>
    <t>08</t>
  </si>
  <si>
    <t xml:space="preserve">Retirar os pés de uma TV 60 polegadas (irá para o conserto em Goiânia e precisa ser colocada na caixa porém os pés montados não permite que ela caiba dentro da caixa)
</t>
  </si>
  <si>
    <t>896/2023</t>
  </si>
  <si>
    <t>Solicitamos que sejam retirados os pés de uma TV 60 polegadas, patrimônio 739695, pois a mesma irá para conserto e os pés impedem que ela seja colocada dentro da caixa.</t>
  </si>
  <si>
    <t>897/2023</t>
  </si>
  <si>
    <t>(64) 34415323</t>
  </si>
  <si>
    <t>A pilastra acima da bancada central do laboratório saiu do lugar e está se movendo, correndo assim risco de cair nos alunos e/ou professores. Ao que parece, a fixação de silicone na parte superior se descolou.</t>
  </si>
  <si>
    <t>898/2023</t>
  </si>
  <si>
    <t>FENG - Piso eng Minas</t>
  </si>
  <si>
    <t>banheiro masculino</t>
  </si>
  <si>
    <t>Lâmpada do banheiro masculino queimada</t>
  </si>
  <si>
    <t>899/2023</t>
  </si>
  <si>
    <t>FENG - Piso Minas</t>
  </si>
  <si>
    <t>Sala 18 (Lab de projetos)</t>
  </si>
  <si>
    <t xml:space="preserve">15 lâmpadas queimadas (lampada tubular) </t>
  </si>
  <si>
    <t>900/2023</t>
  </si>
  <si>
    <t xml:space="preserve">Porta do CEAPS </t>
  </si>
  <si>
    <t xml:space="preserve">COLOCAR A PORTA DO  NOVAMENTE NO LOCAL </t>
  </si>
  <si>
    <t>901/2023</t>
  </si>
  <si>
    <t>O pino de sustentação da porta saiu</t>
  </si>
  <si>
    <t>902/2023</t>
  </si>
  <si>
    <t xml:space="preserve"> (64) 3441-5323</t>
  </si>
  <si>
    <t xml:space="preserve">Instalação de rede nas janelas do LECBIO: Lab. De Ensino de Ciências Biológicas, a rede e uma caixa com corda pra amarrar, ganchos e buchas já se encontram no laboratório (como consta na foto anexada).
</t>
  </si>
  <si>
    <t>903/2023</t>
  </si>
  <si>
    <t>Anfiteatro</t>
  </si>
  <si>
    <t>Entrada e Auditório</t>
  </si>
  <si>
    <t>Necessitamos a troca de roteadores wifi no anfiteatro, seriam 5 no total
Já possuímos os APs e se encontram disponíveis na SETI.</t>
  </si>
  <si>
    <t>904/2023</t>
  </si>
  <si>
    <t>corredor</t>
  </si>
  <si>
    <t>Preciso que seja feito um novo cabo de rede para a impressora, passando por tras do armário, para ligar a impressora até o ponto de rede que fica acima do escaninho.</t>
  </si>
  <si>
    <t>905/2023</t>
  </si>
  <si>
    <t>a fechadura da porta está caindo sempre que manuseado a porta</t>
  </si>
  <si>
    <t>906/2023</t>
  </si>
  <si>
    <t>Anivaldo</t>
  </si>
  <si>
    <t xml:space="preserve">64 98121-9251 </t>
  </si>
  <si>
    <t>Após um curto circuito na sala, não há energia mesmo religando o disjuntor interno.</t>
  </si>
  <si>
    <t>907/2023</t>
  </si>
  <si>
    <t>Campus 1</t>
  </si>
  <si>
    <t>Caixa de passagem de Fibra óptica</t>
  </si>
  <si>
    <t>Necessitamos a remoção da tubulação hidráulica das caixas de fibra óptica.
Algumas caixas com fibra óptica estão sendo utilizadas para passagem da tubulação hidráulica, que pode causar danos ao Data Center no caso de vazamentos. Podendo interromper o fornecimento de diversos serviços, como internet e sistemas da UFCAT, tendo também um alto custo de conserto além de um prazo extenso até a resolução do mesmo.</t>
  </si>
  <si>
    <t>908/2023</t>
  </si>
  <si>
    <t>Bloco M (Speed Dome)</t>
  </si>
  <si>
    <t>Câmera do Bloco M (Speed Dome), se encontra sem iluminação (Preta e Branco), sendo necessário uma assistência na mesma, por conta de ser uma câmera muito importante a noite.</t>
  </si>
  <si>
    <t>909/2023</t>
  </si>
  <si>
    <t>Sala 211</t>
  </si>
  <si>
    <t>Confecção de biombos/cavaletes</t>
  </si>
  <si>
    <t>910/2023</t>
  </si>
  <si>
    <t>Ana Lúcia</t>
  </si>
  <si>
    <t>Reparo da parte elétrica destinada ao uso da autoclave</t>
  </si>
  <si>
    <t>911/2023</t>
  </si>
  <si>
    <t>Troca urgente do botão interno da fechadura que abre a porta da Central de Operações.</t>
  </si>
  <si>
    <t>912/2023</t>
  </si>
  <si>
    <t>64 98121-9251</t>
  </si>
  <si>
    <t>Sala 9 - Sala da pós-graduação</t>
  </si>
  <si>
    <t xml:space="preserve">Por gentileza precisamos da instalação de tomadas para uso em cabines de estudo. A equipe pode avaliar a melhor configuração (parede ou cabine). </t>
  </si>
  <si>
    <t>913/2023</t>
  </si>
  <si>
    <t>Luana Duarte Silva</t>
  </si>
  <si>
    <t>5357 / 64-98129-0209</t>
  </si>
  <si>
    <t>Torneira está pingando constantemente</t>
  </si>
  <si>
    <t>914/2023</t>
  </si>
  <si>
    <t xml:space="preserve">Bárbara Fernandes </t>
  </si>
  <si>
    <t>Sala 1</t>
  </si>
  <si>
    <t xml:space="preserve">Maçaneta da porta caiu </t>
  </si>
  <si>
    <t>915/2023</t>
  </si>
  <si>
    <t>2° Pavimento - Prédio da FENG</t>
  </si>
  <si>
    <t>Sala dos técnicos - Andar da Eng. de Minas</t>
  </si>
  <si>
    <t>Refazer solda de cadeira que foi danificada</t>
  </si>
  <si>
    <t>916/2023</t>
  </si>
  <si>
    <t xml:space="preserve">Copa </t>
  </si>
  <si>
    <t>Alguns azulejos caíram da parede</t>
  </si>
  <si>
    <t>917/2023</t>
  </si>
  <si>
    <t xml:space="preserve">Térreo </t>
  </si>
  <si>
    <t>tomada do bebedouro do térreo do Bloco Didático l, está com defeito</t>
  </si>
  <si>
    <t>918/2023</t>
  </si>
  <si>
    <t>Necessitamos a troca dos APs da Biblioteca, seriam 6 no total.
Já possuímos o AP e se encontram disponíveis aqui na SETI.</t>
  </si>
  <si>
    <t>919/2023</t>
  </si>
  <si>
    <t>Fazer suporte para elevar armário</t>
  </si>
  <si>
    <t>920/2023</t>
  </si>
  <si>
    <t xml:space="preserve">SETI </t>
  </si>
  <si>
    <t xml:space="preserve">Trocar o freio da porta de vidro da entrada </t>
  </si>
  <si>
    <t>921/2023</t>
  </si>
  <si>
    <t>(64) 99643-1506 (Celular) - 3441-5330(UFCAT))</t>
  </si>
  <si>
    <t>Reformar uma mesa pequena - Pintar a parte metálica de preto e colocar um tampo novo de madeira (40cmx60cm)</t>
  </si>
  <si>
    <t>922/2023</t>
  </si>
  <si>
    <t>apto 305</t>
  </si>
  <si>
    <t xml:space="preserve">Infiltração no teto </t>
  </si>
  <si>
    <t>923/2023</t>
  </si>
  <si>
    <t>Tércio William Pereira Rocha</t>
  </si>
  <si>
    <t>Coordeanação de Ingresso de Estudantes e Arquivo Acadêmico - Sala 13</t>
  </si>
  <si>
    <t>Ajuste de uma cadeira executiva (aperto de parafusos, ajuste de alinhamento, etc.)</t>
  </si>
  <si>
    <t>924/2023</t>
  </si>
  <si>
    <t>Verificar tomada steck destinada ao uso de autoclave</t>
  </si>
  <si>
    <t>925/2023</t>
  </si>
  <si>
    <t>Setor de Gerência Administrativa/ARQUIM</t>
  </si>
  <si>
    <t>1) Limpar rodinhas de cadeira giratória com apoio de braços.
2) Lubrificar cadeiras giratórias em madeira e palhinha com apoio de braços.</t>
  </si>
  <si>
    <t>926/2023</t>
  </si>
  <si>
    <t>Banheiro do hall de entrada da Biblioteca</t>
  </si>
  <si>
    <t>Uma das descargas do banheiro masculino não está fechando, jorrando muita água. E o registro para da água está impossibilitado de ser fechado</t>
  </si>
  <si>
    <t>927/2023</t>
  </si>
  <si>
    <t>(64)981619931</t>
  </si>
  <si>
    <t>Luminária queimada.</t>
  </si>
  <si>
    <t>928/2023</t>
  </si>
  <si>
    <t>Queda de energia (chave/interruptor) após o uso de equipamentos ao mesmo tempo.
Ao ligar ou se conectar mais de um equipamento na sala em questão, ocorre a queda de energia e consequentemente desligamento dos equipamentos.</t>
  </si>
  <si>
    <t>929/2023</t>
  </si>
  <si>
    <t>(64) 9441-5323</t>
  </si>
  <si>
    <t>Não tem água no Laboratório de Fisiologia e Farmacologia da sala 02 do bloco K do Campus 1.</t>
  </si>
  <si>
    <t>930/2023</t>
  </si>
  <si>
    <t>931/2023</t>
  </si>
  <si>
    <t>Vazamento embaixo da pia.</t>
  </si>
  <si>
    <t>932/2023</t>
  </si>
  <si>
    <t>Banheiro Masculino - 1° andar - Bloco L</t>
  </si>
  <si>
    <t>Vazamento na pia do banheiro masculino (deficiente).</t>
  </si>
  <si>
    <t>933/2023</t>
  </si>
  <si>
    <t>Banheiro Feminino - 1° andar - Bloco L</t>
  </si>
  <si>
    <t xml:space="preserve">Desentupir vaso sanitário - Banheiro feminino (deficiente) </t>
  </si>
  <si>
    <t>934/2023</t>
  </si>
  <si>
    <t xml:space="preserve">Banheiro feminino - Térreo </t>
  </si>
  <si>
    <t xml:space="preserve">Vaso está sem válvula de descarga. </t>
  </si>
  <si>
    <t>935/2023</t>
  </si>
  <si>
    <t xml:space="preserve">Banheiro Feminino - 2° andar </t>
  </si>
  <si>
    <t>Trocar ou consertar a torneira da pia.</t>
  </si>
  <si>
    <t>936/2023</t>
  </si>
  <si>
    <t xml:space="preserve">Luana Duarte Silva </t>
  </si>
  <si>
    <t>Banheiros Femininos - 1° e 2° andar</t>
  </si>
  <si>
    <t xml:space="preserve">Vasos sanitários com tampas quebradas. Substituir as tampas ou retira-las. </t>
  </si>
  <si>
    <t>937/2023</t>
  </si>
  <si>
    <t>Banheiro Masculino - 1° andar</t>
  </si>
  <si>
    <t>Instalar dispense de papel toalha</t>
  </si>
  <si>
    <t>938/2023</t>
  </si>
  <si>
    <t xml:space="preserve">apartamento sem energia </t>
  </si>
  <si>
    <t>939/2023</t>
  </si>
  <si>
    <t>a manutenção da fechadura da porta pois não está fechando</t>
  </si>
  <si>
    <t>940/2023</t>
  </si>
  <si>
    <t>Solicito instalação de uma prateleira (já pronta) no laboratório e verificação de um material existente para a confecção de suportes de microscópios e divisória de uma gaveta.</t>
  </si>
  <si>
    <t>941/2023</t>
  </si>
  <si>
    <t>252 e 268</t>
  </si>
  <si>
    <t>942/2023</t>
  </si>
  <si>
    <t>Laboratório de Planejamento 1 - Engenharia de Minas</t>
  </si>
  <si>
    <t>troca do interruptor que esta com problema</t>
  </si>
  <si>
    <t>943/2023</t>
  </si>
  <si>
    <t>Lailton</t>
  </si>
  <si>
    <t>copa cozinha subsolo</t>
  </si>
  <si>
    <t>trocar filtro do bebedouro torre da copa da cozinha</t>
  </si>
  <si>
    <t>944/2023</t>
  </si>
  <si>
    <t>As conexões de entrada e saída do bebedouro estão vazando, aparentemente por ressecamento do veda rosca.</t>
  </si>
  <si>
    <t>945/2023</t>
  </si>
  <si>
    <t>Sala do Rack ( DVR das Câmeras)</t>
  </si>
  <si>
    <t>Todas as Câmeras do Bloco O Engenharia estão off-line</t>
  </si>
  <si>
    <t>946/2023</t>
  </si>
  <si>
    <t>sem numero de sala</t>
  </si>
  <si>
    <t xml:space="preserve">duas lâmpadas com falhas, elas ficam piscando e as vezes ligam e desligam sozinhas  </t>
  </si>
  <si>
    <t>947/2023</t>
  </si>
  <si>
    <t>Thalyta sampaio</t>
  </si>
  <si>
    <t>cabo da impressora esta quebrado.</t>
  </si>
  <si>
    <t>948/2023</t>
  </si>
  <si>
    <t>Sala 04 (DAA/PROGRAD)</t>
  </si>
  <si>
    <t>Retirar a parte inferior da porta para que nossa servidora com deficiência (PCD) possa entrar na sala para a reunião com a Reitoria Roselma.</t>
  </si>
  <si>
    <t>949/2023</t>
  </si>
  <si>
    <t xml:space="preserve">Recolocar a parte inferior da porta </t>
  </si>
  <si>
    <t>950/2023</t>
  </si>
  <si>
    <t>sala 04 (DAA/PROGRAD)</t>
  </si>
  <si>
    <t>951/2023</t>
  </si>
  <si>
    <t>sala 3</t>
  </si>
  <si>
    <t>Reafixar a caixa com a tomada na parede (a mesma esta caindo e está sem energia).</t>
  </si>
  <si>
    <t>952/2023</t>
  </si>
  <si>
    <t xml:space="preserve">Sala 4 </t>
  </si>
  <si>
    <t>Troca de 2 tomadas antigas por novas.</t>
  </si>
  <si>
    <t>953/2023</t>
  </si>
  <si>
    <t>Troca da Porta e manutenção da maçaneta da sala 7 do bloco F, ela está bem deteriorada e a maçaneta apresenta dificuldades para abrir.</t>
  </si>
  <si>
    <t>954/2023</t>
  </si>
  <si>
    <t>Troca das lâmpadas do LAGED, sala 01 (primeira a esquerda)</t>
  </si>
  <si>
    <t>955/2023</t>
  </si>
  <si>
    <t>(64) 3441-5323</t>
  </si>
  <si>
    <t>Para o uso da Prensa Térmica (caixa da imagem) é preciso de uma mesa mais resistente que a presente na imagem, uma vez que a prensa é muito pesada. Por esse motivo gostaria de solicitar uma estimativa de material para a confecção de uma mesa de Metalon e mdf de 4 pernas. Quantas placas de metalon são necessárias e a espessura do mdf para confecção dessa mesa. Para que as professoras possam providenciar os materiais para confecção da mesma.</t>
  </si>
  <si>
    <t>956/2023</t>
  </si>
  <si>
    <t xml:space="preserve">Divino José </t>
  </si>
  <si>
    <t>J-2 Laboratório de Tecnologias de Ensino</t>
  </si>
  <si>
    <t>Verificar interruptores (seção de lâmpadas não acende)</t>
  </si>
  <si>
    <t>957/2023</t>
  </si>
  <si>
    <t xml:space="preserve">Ar condicionado não está gelando. </t>
  </si>
  <si>
    <t>958/2023</t>
  </si>
  <si>
    <t>Laboratório de Ensino I</t>
  </si>
  <si>
    <t>As lâmpadas do Laboratório parecem estar apresentando mau contato, pois as vezes acendem e as vezes não.</t>
  </si>
  <si>
    <t>959/2023</t>
  </si>
  <si>
    <t>3441-7602</t>
  </si>
  <si>
    <t>Didático 2 - Campus 1 e Campus 2</t>
  </si>
  <si>
    <t>302 BL 2 /// Banheiro campus 2</t>
  </si>
  <si>
    <t>As lâmpadas da sala  302 do bloco didático 2 não estão funcionando.  ///  As lâmpadas do banheiro do campus 2 não estão funcionando</t>
  </si>
  <si>
    <t>960/2023</t>
  </si>
  <si>
    <t>As câmeras do Bloco O, se encontram off-line</t>
  </si>
  <si>
    <t>961/2023</t>
  </si>
  <si>
    <t>Biblioteca (Janela Rua)</t>
  </si>
  <si>
    <t>A câmera da Biblioteca (Janela Rua), se encontra com letras na imagem.</t>
  </si>
  <si>
    <t>962/2023</t>
  </si>
  <si>
    <t>Porta da sala (vidro) com dificuldade para abrir - apto 203</t>
  </si>
  <si>
    <t>963/2023</t>
  </si>
  <si>
    <t>Vazamento na torneira do banheiro (esq) e do tanque de lavar roupa, apto 205</t>
  </si>
  <si>
    <t>964/2023</t>
  </si>
  <si>
    <t>Vazamento no teto do banheiro e no exaustor, ambos com gotejamento de água. Apto 205</t>
  </si>
  <si>
    <t>965/2023</t>
  </si>
  <si>
    <t>Coordeanação de Ingresso de Estudantes e Arquivo Acadêmico</t>
  </si>
  <si>
    <t>Ajuste de uma cadeira executiva (a cadeira está mais alta que a mesa). Considerando que a mesa tem cerca de 70 cm, a cadeira precisaria ter um pouco menos para conseguir ajustar-se à mesa. Realizando uma medição aproximada, creio que seria necessário uma redução de 7 a 10 cm na altura atual da cadeira.</t>
  </si>
  <si>
    <t>966/2023</t>
  </si>
  <si>
    <t>Sala DML</t>
  </si>
  <si>
    <t>Vazamento na pia do DML</t>
  </si>
  <si>
    <t>967/2023</t>
  </si>
  <si>
    <t>SALA 01 - SECRETARIA</t>
  </si>
  <si>
    <t>INSTALAÇÃO DE PONTO DE REDE</t>
  </si>
  <si>
    <t>968/2023</t>
  </si>
  <si>
    <t>bloco H</t>
  </si>
  <si>
    <t>SALA 01 SECRETARIA</t>
  </si>
  <si>
    <t>Conserto da roda da cadeira.</t>
  </si>
  <si>
    <t>969/2023</t>
  </si>
  <si>
    <t>Elaine Carbonero</t>
  </si>
  <si>
    <t xml:space="preserve">Sala 202 bloco N </t>
  </si>
  <si>
    <t>manutenção nos Cabo de rede e reparo na tomada</t>
  </si>
  <si>
    <t>970/2023</t>
  </si>
  <si>
    <t>Divino Silva</t>
  </si>
  <si>
    <t>Corredor do IMTec - 3º piso</t>
  </si>
  <si>
    <t>971/2023</t>
  </si>
  <si>
    <t xml:space="preserve">Prédio ADM, câmera P1 C1/ Bloco N, câmera entrada laboratório térreo. </t>
  </si>
  <si>
    <t>Prédio ADM, Câmera P1C1/ câmera Bloco N entrada laboratório térreo interferência na imagem</t>
  </si>
  <si>
    <t>972/2023</t>
  </si>
  <si>
    <t>Reservatório de álcool gel que fica na parede do corredor do Bloco E esta quebrado</t>
  </si>
  <si>
    <t>973/2023</t>
  </si>
  <si>
    <t>Breno Alcebíades Ferreira</t>
  </si>
  <si>
    <t>Colocação de rodízios em gaveteiro.</t>
  </si>
  <si>
    <t>974/2023</t>
  </si>
  <si>
    <t>Porta 113 (nobreak).</t>
  </si>
  <si>
    <t>Nobreak apitando.</t>
  </si>
  <si>
    <t>975/2023</t>
  </si>
  <si>
    <t>(64) 98121-9251</t>
  </si>
  <si>
    <t>Ordem de Serviço: 1549/2023</t>
  </si>
  <si>
    <t>Sem retorno do setor solicitante</t>
  </si>
  <si>
    <t>976/2023</t>
  </si>
  <si>
    <t xml:space="preserve">Troca de maçaneta. </t>
  </si>
  <si>
    <t>977/2023</t>
  </si>
  <si>
    <t xml:space="preserve">Após a queda de energia, as câmeras do Bloco O ficaram off-line. </t>
  </si>
  <si>
    <t>978/2023</t>
  </si>
  <si>
    <t>Blocos Didático II, E, H, e O</t>
  </si>
  <si>
    <t>Blocos Didático II, E, H, e O, se encontram off-line, não sendo possível a visualização de imagens.</t>
  </si>
  <si>
    <t>979/2023</t>
  </si>
  <si>
    <t xml:space="preserve">Confecção de um comedouro para pássaros, com cobertura e base de jardim no pneu. </t>
  </si>
  <si>
    <t>980/2023</t>
  </si>
  <si>
    <t>Laboratório Morfofisiofarmacológico - Departamento de Medicina</t>
  </si>
  <si>
    <t xml:space="preserve">Reparo nas cadeiras giratórias dos laboratórios. Os braços de algumas cadeiras estão soltos e os outros estão com os parafusos frouxos. </t>
  </si>
  <si>
    <t>981/2023</t>
  </si>
  <si>
    <t>982/2023</t>
  </si>
  <si>
    <t>(64)98407-8890</t>
  </si>
  <si>
    <t>Sala 11 (LAPAM)</t>
  </si>
  <si>
    <t xml:space="preserve">Houve uma queda de energia e a a fonte de energia limpa esta desativada, dado a esta ocorrência o laboratório está sem energia para ligar os equipamentos. </t>
  </si>
  <si>
    <t>983/2023</t>
  </si>
  <si>
    <t>corredor bloco N, Térreo</t>
  </si>
  <si>
    <t>Instalação de luminaria de teto -trilho com 4 spots</t>
  </si>
  <si>
    <t>984/2023</t>
  </si>
  <si>
    <t>Servidor (DVR) DAS Câmeras</t>
  </si>
  <si>
    <t>DVR DAS Câmeras do Bloco L ( interno) não estão gravando as imagens desde o dia 15/07</t>
  </si>
  <si>
    <t>985/2023</t>
  </si>
  <si>
    <t>Sala 21 - Lab. de Projetos e Planejamento</t>
  </si>
  <si>
    <t>3 pontos de rede sem funcionamento</t>
  </si>
  <si>
    <t>986/2023</t>
  </si>
  <si>
    <t>Sala 41 (Servidor Nobreak) dentro da Sala 21 (Lab Projetos)</t>
  </si>
  <si>
    <t>Nobreak com problema (patrimônio No 394517)</t>
  </si>
  <si>
    <t>987/2023</t>
  </si>
  <si>
    <t xml:space="preserve"> Bloco N </t>
  </si>
  <si>
    <t>Câmeras do Bloco N (Entrada Laboratório Térreo, e Hall 1° Piso), se encontram com a imagem totalmente preta.</t>
  </si>
  <si>
    <t>988/2023</t>
  </si>
  <si>
    <t>A câmera Entrada 01, do Campus II, está com o reflexo da lâmpada durante a noite, dificultando a visualização do portão, quando a lâmpada está ligada.</t>
  </si>
  <si>
    <t>989/2023</t>
  </si>
  <si>
    <t>Piso inferior do acervo (próximo ao elevador)</t>
  </si>
  <si>
    <t>Lâmpada parcialmente caída sobre estante do acervo</t>
  </si>
  <si>
    <t>990/2023</t>
  </si>
  <si>
    <t>Tenda</t>
  </si>
  <si>
    <t xml:space="preserve">Ajustar as hastes de sustentação da tenda. </t>
  </si>
  <si>
    <t>991/2023</t>
  </si>
  <si>
    <t>Apto 304</t>
  </si>
  <si>
    <t>Vazamento na pia da cozinha do apto 304.</t>
  </si>
  <si>
    <t>992/2023</t>
  </si>
  <si>
    <t xml:space="preserve">Câmera do Bicicletário </t>
  </si>
  <si>
    <t>Câmera do Bicicletário do Bloco Didático I, se encontra aparentemente com as duas lâmpadas queimadas, pois pelas visualizações das imagens não estão acedendo desde o dia de ontem 20-07.</t>
  </si>
  <si>
    <t>993/2023</t>
  </si>
  <si>
    <t>Câmera Entrada térreo 01</t>
  </si>
  <si>
    <t>Câmera Entrada térreo 01, do Bloco M, se encontra com letras na imagem, dificultando a visualização da imagem.</t>
  </si>
  <si>
    <t>994/2023</t>
  </si>
  <si>
    <t>DVR Prefeitura</t>
  </si>
  <si>
    <t>Câmera Entrada Manutenção</t>
  </si>
  <si>
    <t>Câmera Entrada Manutenção, do DVR da Prefeitura se encontra sem iluminação durante a noite.</t>
  </si>
  <si>
    <t>995/2023</t>
  </si>
  <si>
    <t>Câmera praça das letras</t>
  </si>
  <si>
    <t>Câmera praça das letras, se encontra sem iluminação</t>
  </si>
  <si>
    <t>996/2023</t>
  </si>
  <si>
    <t xml:space="preserve">Parte externa (fundos) </t>
  </si>
  <si>
    <t>Lâmpada queimada nos fundos do Bloco O</t>
  </si>
  <si>
    <t>997/2023</t>
  </si>
  <si>
    <t>Térreo - base caixa d'água</t>
  </si>
  <si>
    <t>Problema de vazamento no cano da caixa d'água - encaixe</t>
  </si>
  <si>
    <t>998/2023</t>
  </si>
  <si>
    <t xml:space="preserve">Porta do corredor principal da matemática. </t>
  </si>
  <si>
    <t>Substituir fechadura de porta.</t>
  </si>
  <si>
    <t>999/2023</t>
  </si>
  <si>
    <t xml:space="preserve">Banheiro masculino térreo </t>
  </si>
  <si>
    <t>Banheiro Masculino no térreo do Bloco Didático 2 esta com vazamento no teto</t>
  </si>
  <si>
    <t>1000/2023</t>
  </si>
  <si>
    <t>Banheiro masculino do piso superior</t>
  </si>
  <si>
    <t>A válvula da descarga do banheiro masculino (box da esquerda) está emperrando quando é apertada e não retorna á posição inicial.</t>
  </si>
  <si>
    <t>1001/2023</t>
  </si>
  <si>
    <t xml:space="preserve">Chave da porta está trincada e entortou, segundo a vigia Rosa Lúcia corre risco de quebrar. </t>
  </si>
  <si>
    <t>1002/2023</t>
  </si>
  <si>
    <t>Bloco O  se encontra com O DVR off-line</t>
  </si>
  <si>
    <t>1003/2023</t>
  </si>
  <si>
    <t>5306 / 5360</t>
  </si>
  <si>
    <t>A fiação instalada no letreiro com a logo da UFCAT segue exposta na parte interna do prédio sendo fonte de riscos de acidentes graves. Salientamos que já solicitamos anteriormente.</t>
  </si>
  <si>
    <t>1004/2023</t>
  </si>
  <si>
    <t xml:space="preserve">Confeccionar pés para o armário da prefeitura universitária que fica no bloco Administrativo. </t>
  </si>
  <si>
    <t>1005/2023</t>
  </si>
  <si>
    <t>2º pavimento</t>
  </si>
  <si>
    <t>Trocar o sensor de presença no 2º pavimento, frente apto 301</t>
  </si>
  <si>
    <t>1006/2023</t>
  </si>
  <si>
    <t>Apto 402 - Quarto A</t>
  </si>
  <si>
    <t>Ajustar a porta direita do guarda roupa, parafuso soltou. Apto 402 quarto A</t>
  </si>
  <si>
    <t>1007/2023</t>
  </si>
  <si>
    <t>Sala Instrumentação- 114</t>
  </si>
  <si>
    <t>Ajuste da mola fechamento da porta da sala 114 e a Troca do puxador da porta</t>
  </si>
  <si>
    <t>1008/2023</t>
  </si>
  <si>
    <t>Janela basculante com defeito. 2 lances de vidro não está abrindo</t>
  </si>
  <si>
    <t>1009/2023</t>
  </si>
  <si>
    <t>Colocar os cabos de rede na caixinha. Ficam expostos no chão e molham durante a limpeza. 1 dos pontos não está funcionando. Foi avaliado pelo cercomp e eles informaram da necessidade de trocar a peça que conecta o cabo. Pode ter estragado</t>
  </si>
  <si>
    <t>1010/2023</t>
  </si>
  <si>
    <t>apto 105</t>
  </si>
  <si>
    <t>caiu a energia do apartamento 105 ao utilizarem uma tomada específica.</t>
  </si>
  <si>
    <t>1011/2023</t>
  </si>
  <si>
    <t>o ventilador parou de funcionar</t>
  </si>
  <si>
    <t>1012/2023</t>
  </si>
  <si>
    <t>Didático 2</t>
  </si>
  <si>
    <t>box do banheiro masculino no térreo do Didático 2 está com vazamento</t>
  </si>
  <si>
    <t>1013/2023</t>
  </si>
  <si>
    <t>Balcão de atendimento está com uma placa de madeira solta.</t>
  </si>
  <si>
    <t>1014/2023</t>
  </si>
  <si>
    <t>Corredor (que dá acesso a secretaria)</t>
  </si>
  <si>
    <t>Troca da Lâmpada do corredor</t>
  </si>
  <si>
    <t>1015/2023</t>
  </si>
  <si>
    <t>Corredor de acesso aos Laboratórios</t>
  </si>
  <si>
    <t>Salas: 11; 13; 14; 15; 16; 18: 17</t>
  </si>
  <si>
    <t>Regulagem das portas, difícil de abrir, fechar e trancar.</t>
  </si>
  <si>
    <t xml:space="preserve">Rolamento porta de ferro </t>
  </si>
  <si>
    <t>1016/2023</t>
  </si>
  <si>
    <t>Banheiro feminino do Hall de entrada</t>
  </si>
  <si>
    <t>Arrumar/trocar o suporte de papel higiênico, está solto.</t>
  </si>
  <si>
    <t>1017/2023</t>
  </si>
  <si>
    <t xml:space="preserve">Françoise de Mesquita </t>
  </si>
  <si>
    <t xml:space="preserve">Confecção de 3 tábuas em madeira. Medida 2,05 m× 10cm. Envernizada. Para prateleira. O serviço já foi explicado ao Sr Balbino. Pode ser madeira de demolição (rustica) com acabamento. </t>
  </si>
  <si>
    <t>1018/2023</t>
  </si>
  <si>
    <t>Pia da cozinha entupida, apto 105</t>
  </si>
  <si>
    <t>1019/2023</t>
  </si>
  <si>
    <t>Vazamento na descarga do banheiro apto 401</t>
  </si>
  <si>
    <t>1020/2023</t>
  </si>
  <si>
    <t>Apto 402</t>
  </si>
  <si>
    <t>Pia do banheiro do apto 402 está entupida</t>
  </si>
  <si>
    <t>1021/2023</t>
  </si>
  <si>
    <t>Copa no térreo - Sala T9</t>
  </si>
  <si>
    <t>Cano de esgoto entupido e vazando no banheiro ao lado</t>
  </si>
  <si>
    <t>1022/2023</t>
  </si>
  <si>
    <t>Apto 202</t>
  </si>
  <si>
    <t>Ajustar maçaneta da porta do quarto B, apto 202</t>
  </si>
  <si>
    <t>1023/2023</t>
  </si>
  <si>
    <t>Estacionamento em frente ao bloco N</t>
  </si>
  <si>
    <t>Instalação de um ponto de energia no estacionamento em frente ao bloco N, para O evento de Divulgação da Ciencia que será realizado no dia 03/08/2023 (manha/tarde)</t>
  </si>
  <si>
    <t>1024/2023</t>
  </si>
  <si>
    <t>DVR do Bloco O, se encontra desconectado.</t>
  </si>
  <si>
    <t>1025/2023</t>
  </si>
  <si>
    <t>Sala 259</t>
  </si>
  <si>
    <t>A fechadura apresentou problema não sendo possível trancar</t>
  </si>
  <si>
    <t>1026/2023</t>
  </si>
  <si>
    <t>3441-7610/ 64-992831026</t>
  </si>
  <si>
    <t>Centro de Convivência Estudantil CCE</t>
  </si>
  <si>
    <t>Espaço ao lado do RU</t>
  </si>
  <si>
    <t xml:space="preserve">Instalação de 3 ventiladores com lâmpada no centro de convivência estudantil </t>
  </si>
  <si>
    <t>1027/2023</t>
  </si>
  <si>
    <t>Cano da pia do banheiro caiu, apto 205</t>
  </si>
  <si>
    <t>1028/2023</t>
  </si>
  <si>
    <t>Para troca de nobreak em impressora</t>
  </si>
  <si>
    <t>1029/2023</t>
  </si>
  <si>
    <t>Sala do Rack - Engenharia de Produção</t>
  </si>
  <si>
    <t>Solicito 14 cabos de redes com conector RJ45 crimpados, sendo 7 de 1,5m e os outros 7 necessitam visita in loco para passar o cabo antes.</t>
  </si>
  <si>
    <t>1030/2023</t>
  </si>
  <si>
    <t>6498412 9238</t>
  </si>
  <si>
    <t xml:space="preserve">Trocar tomada antiga por tomada nova. </t>
  </si>
  <si>
    <t>1031/2023</t>
  </si>
  <si>
    <t xml:space="preserve">Precisamos que arrombe a porta de um armário de metal, perdemos a chave. </t>
  </si>
  <si>
    <t>1032/2023</t>
  </si>
  <si>
    <t>Trocar duas lâmpadas tubulares.</t>
  </si>
  <si>
    <t>1033/2023</t>
  </si>
  <si>
    <t>CAMPUS ll</t>
  </si>
  <si>
    <t xml:space="preserve">Após queda de energia as câmeras não voltaram a funcionar. </t>
  </si>
  <si>
    <t>1034/2023</t>
  </si>
  <si>
    <t>O bebedouro do Bloco J, está entupido e vazando água pelo sifão</t>
  </si>
  <si>
    <t>1035/2023</t>
  </si>
  <si>
    <t>O  bebedouro do Bloco Administrativo, está com o sifão danificado</t>
  </si>
  <si>
    <t>1036/2023</t>
  </si>
  <si>
    <t>Patrícia Torres</t>
  </si>
  <si>
    <t>SECRETARIA DA FAE</t>
  </si>
  <si>
    <t>Colocar uma tomada para a impressora.</t>
  </si>
  <si>
    <t>1037/2023</t>
  </si>
  <si>
    <t>Paulo Henrique Silva Azevedo</t>
  </si>
  <si>
    <t>3441-5337</t>
  </si>
  <si>
    <t>Bloco K - Baú da Ciência</t>
  </si>
  <si>
    <t>Ambiente Externo</t>
  </si>
  <si>
    <t>Confecção de cabo de rede para o baú da ciência de 50 metros</t>
  </si>
  <si>
    <t>1038/2023</t>
  </si>
  <si>
    <t>trocar 2 lampadas queimadas na sala</t>
  </si>
  <si>
    <t>1039/2023</t>
  </si>
  <si>
    <t xml:space="preserve">COPA </t>
  </si>
  <si>
    <t xml:space="preserve">todas as tomadas da Copa não estão funcionando </t>
  </si>
  <si>
    <t>1040/2023</t>
  </si>
  <si>
    <t xml:space="preserve">Diovanna </t>
  </si>
  <si>
    <t xml:space="preserve">BLOCO J </t>
  </si>
  <si>
    <t xml:space="preserve"> o bebedouro do Bloco J, está entupido e vazando água pelo sifão</t>
  </si>
  <si>
    <t>1041/2023</t>
  </si>
  <si>
    <t>Fabíola Aparecida Sartin Dutra Parreira de Almeida</t>
  </si>
  <si>
    <t xml:space="preserve">Colocar pontos de internet e energia em parede da sala 1 do bloco G do Intituto de Estudos da Linguagem. A referida sala será a novo gabinete da Diretoria da unidade, sendo necessário a instalação de novo computadores, por isso, se faz urgência. </t>
  </si>
  <si>
    <t>1042/2023</t>
  </si>
  <si>
    <t>6498407-8890</t>
  </si>
  <si>
    <t xml:space="preserve">As tomadas de rede limpa não estão funcionando </t>
  </si>
  <si>
    <t>1043/2023</t>
  </si>
  <si>
    <t>Banheiro feminino junto ao Hall de Entrada da Biblioteca</t>
  </si>
  <si>
    <t>Torneira vazando no banheiro feminino junto ao hall de entrada.</t>
  </si>
  <si>
    <t>1044/2023</t>
  </si>
  <si>
    <t>Vaso sanitário do banheiro feminino junto ao hall de entrada da Biblioteca</t>
  </si>
  <si>
    <t>Vaso interditado pela responsável pela limpeza dos banheiros por falha no funcionamento</t>
  </si>
  <si>
    <t>1045/2023</t>
  </si>
  <si>
    <t>64 981584849</t>
  </si>
  <si>
    <t>Pintura da Porta da sala</t>
  </si>
  <si>
    <t>1046/2023</t>
  </si>
  <si>
    <t xml:space="preserve"> Speed Dome</t>
  </si>
  <si>
    <t>A câmera Speed Dome (Bloco M), se encontra com a imagem Preta e branca (Somente  durante a noite),  sem iluminação, dificultando a visualização das imagens.</t>
  </si>
  <si>
    <t>1047/2023</t>
  </si>
  <si>
    <t>BRINQUEDOTECA</t>
  </si>
  <si>
    <t>Prateleiras, com mão francesa, para a Brinquedoteca</t>
  </si>
  <si>
    <t>1048/2023</t>
  </si>
  <si>
    <t>Maria Eduarda Silva Borges</t>
  </si>
  <si>
    <t xml:space="preserve"> Janelas da sala 104, se encontra com um defeito, não sendo possível fechar a mesma.</t>
  </si>
  <si>
    <t>1049/2023</t>
  </si>
  <si>
    <t>Sala do Rack</t>
  </si>
  <si>
    <t>Todas as Câmeras do Bloco O ( Prédio da Engenharia ) estão off-line.</t>
  </si>
  <si>
    <t>1050/2023</t>
  </si>
  <si>
    <t>James Michael Silv</t>
  </si>
  <si>
    <t>Falta de energia da energia das tomadas estabilizadas</t>
  </si>
  <si>
    <t>1051/2023</t>
  </si>
  <si>
    <t>Hélder Nagai Consolaro</t>
  </si>
  <si>
    <t>64 99647-2091</t>
  </si>
  <si>
    <t>Anfiteatro Paulo Bastos Pirillo</t>
  </si>
  <si>
    <t>Palco do anfiteatro</t>
  </si>
  <si>
    <t>Customização de um mural de ferro para ser utilizado na Feira das Profissões. Foto em anexo do mural.</t>
  </si>
  <si>
    <t>1052/2023</t>
  </si>
  <si>
    <t xml:space="preserve">Thaiany dos Santos Silva de Aquino </t>
  </si>
  <si>
    <t>Secretaria da Medicina</t>
  </si>
  <si>
    <t>Gostaria de solicitar um cabo de internet de 11 metros</t>
  </si>
  <si>
    <t>1053/2023</t>
  </si>
  <si>
    <t>RACK</t>
  </si>
  <si>
    <t xml:space="preserve">Após às 10:57 horas a imagem da SPEED DOME ficou toda preta. </t>
  </si>
  <si>
    <t>1054/2023</t>
  </si>
  <si>
    <t>Elton Borges Mesquita</t>
  </si>
  <si>
    <t>062985499580</t>
  </si>
  <si>
    <t>Laboratório 8</t>
  </si>
  <si>
    <t>Consertar uma tomada de rede no laboratório e confirmar se o cabeamento está funcionando</t>
  </si>
  <si>
    <t>1055/2023</t>
  </si>
  <si>
    <t xml:space="preserve">CORREDOR DO BLOCO O </t>
  </si>
  <si>
    <t>Cadeira sem patrimônio no corredor, que aparentemente se encontra com defeito.</t>
  </si>
  <si>
    <t>1056/2023</t>
  </si>
  <si>
    <t>Banheiro feminino- Piso superior</t>
  </si>
  <si>
    <t>Trocar o assento de sanitário do banheiro especial do banheiro feminino (Piso superior).</t>
  </si>
  <si>
    <t>1057/2023</t>
  </si>
  <si>
    <t>64 96990617</t>
  </si>
  <si>
    <t>Banheiro feminino (Piso superior)</t>
  </si>
  <si>
    <t>Troca de trinco de porta de banheiro especial (banheiro feminino -Piso superior)</t>
  </si>
  <si>
    <t>1058/2023</t>
  </si>
  <si>
    <t>k</t>
  </si>
  <si>
    <t>lampada queimada</t>
  </si>
  <si>
    <t>1059/2023</t>
  </si>
  <si>
    <t>Infiltração no teto do banheiro do apto 205</t>
  </si>
  <si>
    <t>1060/2023</t>
  </si>
  <si>
    <t>Apto 104</t>
  </si>
  <si>
    <t>Instalar ventilador no apto 104, substituindo o que queimou.</t>
  </si>
  <si>
    <t>1061/2023</t>
  </si>
  <si>
    <t>O registro do chuveiro não esta abrindo e nem fechando.</t>
  </si>
  <si>
    <t>1062/2023</t>
  </si>
  <si>
    <t>Realizar a troca da fechadura da porta, a mesma está emperrando ou impedindo a abertura da porta.</t>
  </si>
  <si>
    <t>1063/2023</t>
  </si>
  <si>
    <t>Sala da Direção</t>
  </si>
  <si>
    <t>Pintura do teto dos pisos superior e inferior (decorrência de infiltração).</t>
  </si>
  <si>
    <t>1064/2023</t>
  </si>
  <si>
    <t>Sala da direção</t>
  </si>
  <si>
    <t>Infiltração na parede da sala da direção.</t>
  </si>
  <si>
    <t xml:space="preserve">Realizado o reparo da infiltração, precisa realizar a troca do vidro, porém no momento não temos o material e mão de obra disponivel </t>
  </si>
  <si>
    <t>1065/2023</t>
  </si>
  <si>
    <t>Sala de estudo coletivo</t>
  </si>
  <si>
    <t xml:space="preserve">Vidraçaria </t>
  </si>
  <si>
    <t>Instalação de vidro na sala de estudo coletivo.</t>
  </si>
  <si>
    <t>1066/2023</t>
  </si>
  <si>
    <t>Coordenação de Recursos Tecnológicos</t>
  </si>
  <si>
    <t>instalação de telefone na sala da coordenação de recursos tecnológicos.</t>
  </si>
  <si>
    <t>1067/2023</t>
  </si>
  <si>
    <t>Coordenação de Desenvolvimento de Coleções</t>
  </si>
  <si>
    <t>Instalação de telefone na sala da coordenação de desenvolvimento de coleções.</t>
  </si>
  <si>
    <t>1068/2023</t>
  </si>
  <si>
    <t xml:space="preserve">Tanque na saída dos fundos da biblioteca. </t>
  </si>
  <si>
    <t>Instalação de sifão</t>
  </si>
  <si>
    <t>1069/2023</t>
  </si>
  <si>
    <t>Nathália Esteves</t>
  </si>
  <si>
    <t>64 981365540</t>
  </si>
  <si>
    <t>Nobreak não está funcionando</t>
  </si>
  <si>
    <t>1070/2023</t>
  </si>
  <si>
    <t>Foi verificado após uma queda de energia que uma das luminárias de emergência não estava funcionando. A mesma está localizada no piso inferior, próximo ao elevador</t>
  </si>
  <si>
    <t>1071/2023</t>
  </si>
  <si>
    <t xml:space="preserve">Hall de entrada </t>
  </si>
  <si>
    <t>Uma lâmpada localizada no Hall de entrada está quase caindo.</t>
  </si>
  <si>
    <t>1072/2023</t>
  </si>
  <si>
    <t>Corredor Hall - Bebedouro Cadeirante</t>
  </si>
  <si>
    <t>Remoção de Bebedouro PNE Multifuncional - 1º Andar - Bloco do CEGEN - Física - Química</t>
  </si>
  <si>
    <t>1073/2023</t>
  </si>
  <si>
    <t>Didático I e II, Bloco L</t>
  </si>
  <si>
    <t>Casa de máquinas elevador</t>
  </si>
  <si>
    <t>Elaboração de suporte para cadeados.</t>
  </si>
  <si>
    <t>Já combinado com o Aurélio</t>
  </si>
  <si>
    <t>1074/2023</t>
  </si>
  <si>
    <t>64 9 8108-3924</t>
  </si>
  <si>
    <t>Educação Física - Bloco D</t>
  </si>
  <si>
    <t xml:space="preserve">Fixar suportes nas beiras da piscina para colocar bandeirolas  </t>
  </si>
  <si>
    <t>1075/2023</t>
  </si>
  <si>
    <t>Laboratório de Informática</t>
  </si>
  <si>
    <t xml:space="preserve">A caixa de disjuntor elétrico do ar-condicionado da antessala do Laboratório de Informática está desligando sozinha após alguns minutos ligada. </t>
  </si>
  <si>
    <t>1076/2023</t>
  </si>
  <si>
    <t>64 34415343</t>
  </si>
  <si>
    <t>Bloco D, ao lado do banheiro feminino.</t>
  </si>
  <si>
    <t>Instalação de bebedouro na rede hidráulica na Universidade</t>
  </si>
  <si>
    <t>1077/2023</t>
  </si>
  <si>
    <t>armário da cozinha não fecha direito</t>
  </si>
  <si>
    <t>1078/2023</t>
  </si>
  <si>
    <t>Quarto A</t>
  </si>
  <si>
    <t>Disjuntor do quarto A não funciona</t>
  </si>
  <si>
    <t>1079/2023</t>
  </si>
  <si>
    <t>Entrada de rede da sala não funciona</t>
  </si>
  <si>
    <t>1080/2023</t>
  </si>
  <si>
    <t>Porta de entrada com a maçaneta quebrada</t>
  </si>
  <si>
    <t>1081/2023</t>
  </si>
  <si>
    <t>Solicito a troca de fechadura da porta do laboratório da sala 209. Não tem como fechar a porta.</t>
  </si>
  <si>
    <t>1082/2023</t>
  </si>
  <si>
    <t>Sala 01 - Laboratório de Cartografia</t>
  </si>
  <si>
    <t>Lâmpadas Queimadas no Laboratório de Cartografia</t>
  </si>
  <si>
    <t>1083/2023</t>
  </si>
  <si>
    <t>Cássia Cristina da Silveira</t>
  </si>
  <si>
    <t>209, 210 e corredor</t>
  </si>
  <si>
    <t>Troca de Lâmpadas</t>
  </si>
  <si>
    <t>1084/2023</t>
  </si>
  <si>
    <t>SALA 01</t>
  </si>
  <si>
    <t>Fechadura da porta 01 do Bloco E não esta trancando o miolo da fechadura não roda se forçar a chave pode se quebrar.</t>
  </si>
  <si>
    <t>1085/2023</t>
  </si>
  <si>
    <t xml:space="preserve">Instalação de tomada dupla </t>
  </si>
  <si>
    <t>1086/2023</t>
  </si>
  <si>
    <t xml:space="preserve">Welington Cesar Silva  </t>
  </si>
  <si>
    <t>64 - 9 8108-3924</t>
  </si>
  <si>
    <t>Vestiários da piscina - feminino e masculino</t>
  </si>
  <si>
    <t xml:space="preserve">Os vestiários da piscina tanto o feminino quanto o masculino estão com infiltração nas paredes, de forma que será necessário fazer umas reformas nas paredes que estão descascadas e também no piso que está deteriorado </t>
  </si>
  <si>
    <t>1087/2023</t>
  </si>
  <si>
    <t>Sala de reuniões, Eng. de Minas</t>
  </si>
  <si>
    <t>fixar assentos nas cadeiras do auditório da Minas</t>
  </si>
  <si>
    <t>1088/2023</t>
  </si>
  <si>
    <t xml:space="preserve">Banheiro Especial  Feminino - 2° Andar </t>
  </si>
  <si>
    <t xml:space="preserve">Vaso sanitário solto do chão. </t>
  </si>
  <si>
    <t>1089/2023</t>
  </si>
  <si>
    <t>Miniauditório Congadas</t>
  </si>
  <si>
    <t>Instalar canaleta na fiação do som do Miniauditório Congadas - Bloco L</t>
  </si>
  <si>
    <t>1090/2023</t>
  </si>
  <si>
    <t xml:space="preserve">Ludimila Oliveira de Campos </t>
  </si>
  <si>
    <t xml:space="preserve">Miniauditório Congadas </t>
  </si>
  <si>
    <t xml:space="preserve">Pintar paredes do Miniauditório Congadas que estão pichadas </t>
  </si>
  <si>
    <t>1091/2023</t>
  </si>
  <si>
    <t>Cotação para construção de 3 prateleiras.</t>
  </si>
  <si>
    <t>1092/2023</t>
  </si>
  <si>
    <t xml:space="preserve">DVR DESCONECTADO. </t>
  </si>
  <si>
    <t>1093/2023</t>
  </si>
  <si>
    <t>1094/2023</t>
  </si>
  <si>
    <t xml:space="preserve">Maçaneta Danificada. </t>
  </si>
  <si>
    <t>1095/2023</t>
  </si>
  <si>
    <t>Sala 01 do Bloco E, se encontra com a fechadura danificada, não está fechando com a chave, e caso force para fazer o fechamento a chave pode quebrar, pois está dura para fechar. Para evitar quebrar a chave dentro da fechadura, a porta da sala está ficando destrancada.</t>
  </si>
  <si>
    <t>1096/2023</t>
  </si>
  <si>
    <t>Sala 114 e 115</t>
  </si>
  <si>
    <t>Instalação de vedante para porta com borracha (sala 114) e substituição de trava para porta (sala 115)</t>
  </si>
  <si>
    <t>1097/2023</t>
  </si>
  <si>
    <t>Piso do banheiro feminino especial terreo</t>
  </si>
  <si>
    <t xml:space="preserve">Vazamento de água no piso do banheiro feminino terreo especial </t>
  </si>
  <si>
    <t>1098/2023</t>
  </si>
  <si>
    <t>Campus I - Catalão</t>
  </si>
  <si>
    <t xml:space="preserve">RESTAURANTE UNIVERSITÁRIO </t>
  </si>
  <si>
    <t>Maçaneta da porta do banheiro feminino do Restaurante Universitário, se encontra danificada.</t>
  </si>
  <si>
    <t>1099/2023</t>
  </si>
  <si>
    <t>SEPLAN sala 108</t>
  </si>
  <si>
    <t xml:space="preserve">Troca de uma lâmpada fluorescente tubular e encaixar o suporte de outra lâmpada. </t>
  </si>
  <si>
    <t>1100/2023</t>
  </si>
  <si>
    <t>Sala 307</t>
  </si>
  <si>
    <t>Verificar funcionamento da tela de projeção, pois a mesma só fica tencionada.</t>
  </si>
  <si>
    <t>1101/2023</t>
  </si>
  <si>
    <t xml:space="preserve">Anivaldo </t>
  </si>
  <si>
    <t>Bloco N - PISO SUPERIOR</t>
  </si>
  <si>
    <t>Olá. Pessoal da limpeza pediu por gentileza para conferir um bebedouro que está com vazamento constante.</t>
  </si>
  <si>
    <t>1102/2023</t>
  </si>
  <si>
    <t>64 98108-3924</t>
  </si>
  <si>
    <t xml:space="preserve">Instalação de tecido acrobático </t>
  </si>
  <si>
    <t>1103/2023</t>
  </si>
  <si>
    <t>Sifão da pia da lavanderia está quebrado</t>
  </si>
  <si>
    <t>1104/2023</t>
  </si>
  <si>
    <t>Apto 403</t>
  </si>
  <si>
    <t>A borracha da janela caiu está soltando, apto 403 quarto A</t>
  </si>
  <si>
    <t>1105/2023</t>
  </si>
  <si>
    <t>Didático I</t>
  </si>
  <si>
    <t>Troca de cabo HDMI</t>
  </si>
  <si>
    <t>1106/2023</t>
  </si>
  <si>
    <t>Hélice do ventilador está quebrando.  Apto 204, quarto C.</t>
  </si>
  <si>
    <t>1107/2023</t>
  </si>
  <si>
    <t>Corredor - Segundo andar</t>
  </si>
  <si>
    <t>Troca de Bebedouro - O mesmo está com baixa pressão</t>
  </si>
  <si>
    <t>1108/2023</t>
  </si>
  <si>
    <t>Sala 08</t>
  </si>
  <si>
    <t>Troca de uma lâmpada fluorescente tubular</t>
  </si>
  <si>
    <t>1109/2023</t>
  </si>
  <si>
    <t>Trocar a lâmpada do quarto B, apto 303</t>
  </si>
  <si>
    <t>1110/2023</t>
  </si>
  <si>
    <t>apto  305</t>
  </si>
  <si>
    <t xml:space="preserve">Troca de lampada e filtro da coifa </t>
  </si>
  <si>
    <t>1111/2023</t>
  </si>
  <si>
    <t>Vazamento no tanque da área de serviço, apto 205</t>
  </si>
  <si>
    <t>1112/2023</t>
  </si>
  <si>
    <t>Instalar ventilador no apto 201, substituindo o que queimou.</t>
  </si>
  <si>
    <t>1113/2023</t>
  </si>
  <si>
    <t>Vazamento na descarga do banheiro apto 403</t>
  </si>
  <si>
    <t>1114/2023</t>
  </si>
  <si>
    <t xml:space="preserve">DML bloco N e Banheiro Feminino 1° piso </t>
  </si>
  <si>
    <t xml:space="preserve">Troca de sifão </t>
  </si>
  <si>
    <t>1115/2023</t>
  </si>
  <si>
    <t>Hélice do ventilador está quebrada.  Apto 105, quarto B.</t>
  </si>
  <si>
    <t>1116/2023</t>
  </si>
  <si>
    <t xml:space="preserve">Solicita-se a confecção de um bicicletário na cor preta com 10 vagas para moradia universitária </t>
  </si>
  <si>
    <t>1117/2023</t>
  </si>
  <si>
    <t>Pia da cozinha entupida</t>
  </si>
  <si>
    <t>1118/2023</t>
  </si>
  <si>
    <t>porta da frente com problemas para fechar</t>
  </si>
  <si>
    <t>1119/2023</t>
  </si>
  <si>
    <t xml:space="preserve">Instalação de cortinas </t>
  </si>
  <si>
    <t>1120/2023</t>
  </si>
  <si>
    <t xml:space="preserve"> Sala do Rack</t>
  </si>
  <si>
    <t>Todas as câmeras do Bloco Didático 1 estão off-line( não estão funcionando)</t>
  </si>
  <si>
    <t>1121/2023</t>
  </si>
  <si>
    <t>Sala DO Rack</t>
  </si>
  <si>
    <t>Todas as câmeras do Bloco O estão off-line ( não estão funcionando).</t>
  </si>
  <si>
    <t>1122/2023</t>
  </si>
  <si>
    <t>A lâmpada do quarto B não acende, apto 303.</t>
  </si>
  <si>
    <t>1123/2023</t>
  </si>
  <si>
    <t xml:space="preserve">Amanda  Matos </t>
  </si>
  <si>
    <t xml:space="preserve">Vazamento de água no bebedouro </t>
  </si>
  <si>
    <t>1124/2023</t>
  </si>
  <si>
    <t xml:space="preserve">Lavatorio com Sifão danificado </t>
  </si>
  <si>
    <t>1125/2023</t>
  </si>
  <si>
    <t xml:space="preserve">Lavatorio sifão danificado </t>
  </si>
  <si>
    <t>1126/2023</t>
  </si>
  <si>
    <t xml:space="preserve">Mictorio Entupido </t>
  </si>
  <si>
    <t>1127/2023</t>
  </si>
  <si>
    <t xml:space="preserve">Vaso sanitário com sifão danificado </t>
  </si>
  <si>
    <t>1128/2023</t>
  </si>
  <si>
    <t xml:space="preserve">Instalação de prateleira </t>
  </si>
  <si>
    <t>1129/2023</t>
  </si>
  <si>
    <t>LUCIANA MELO COELHO</t>
  </si>
  <si>
    <t>(64)981389956</t>
  </si>
  <si>
    <t>Serviço de serralheria: Adequação de uma peça que é utilizada no equipamento do Instituto de Química. A peça precisará ser levada para serralheria.</t>
  </si>
  <si>
    <t>1130/2023</t>
  </si>
  <si>
    <t xml:space="preserve">Troca e instalação de bebedouro </t>
  </si>
  <si>
    <t>1131/2023</t>
  </si>
  <si>
    <t>Gilmar da Silva Neto</t>
  </si>
  <si>
    <t>(64) 99311-9879</t>
  </si>
  <si>
    <t>Sala 213</t>
  </si>
  <si>
    <t>Substituição de disjuntor termomagnético de 20 A com defeito interno. Está localizado no QD entre as portas das salas 213 e 214.</t>
  </si>
  <si>
    <t>1132/2023</t>
  </si>
  <si>
    <t xml:space="preserve">Area externa biblioteca </t>
  </si>
  <si>
    <t>Venho solicitar a construção de pergolados e elaboração de um design paisagístico no espaço aberto interno na biblioteca que está entre o Núcleo e as salas de leitura.</t>
  </si>
  <si>
    <t>1133/2023</t>
  </si>
  <si>
    <t>câmera Entrada Terreo 2</t>
  </si>
  <si>
    <t>Câmera 13 do DVR do Bloco Multi 1, esta menu de configuração na tela.</t>
  </si>
  <si>
    <t>1134/2023</t>
  </si>
  <si>
    <t xml:space="preserve">Nathália do Carmo Pacheco Esteves </t>
  </si>
  <si>
    <t>Queda de energia</t>
  </si>
  <si>
    <t>1135/2023</t>
  </si>
  <si>
    <t>Guaraciara Picanco</t>
  </si>
  <si>
    <t>Hall de entrada - Campus 2</t>
  </si>
  <si>
    <t>A tomada onde conecta o ponto eletrônico dos terceirizados não está funcionando, prejudicando o registro de horário de trabalho dos colaboradores.</t>
  </si>
  <si>
    <t>1136/2023</t>
  </si>
  <si>
    <t xml:space="preserve">Vazamento bebedouro primeiro piso </t>
  </si>
  <si>
    <t>1137/2023</t>
  </si>
  <si>
    <t>Sifão do tanque da área de serviço quebrou, apto 304</t>
  </si>
  <si>
    <t>1138/2023</t>
  </si>
  <si>
    <t xml:space="preserve">banheiro feminino no camarim </t>
  </si>
  <si>
    <t>1139/2023</t>
  </si>
  <si>
    <t>entradas</t>
  </si>
  <si>
    <t>Os portões estão ficando muito enferrujados, por isso, solicitamos a pintura dos mesmos para que possamos preservá-los</t>
  </si>
  <si>
    <t>Agendado</t>
  </si>
  <si>
    <t>1140/2023</t>
  </si>
  <si>
    <t>Corredor da Entrada da antiga Xerox</t>
  </si>
  <si>
    <t>No bloco K (Corredor da Entrada da antiga Xerox), ao dar manutenção em uma fiação às 10:20 da manhã, os funcionários esbarraram na câmera do corredor, onde veio a ficar torta, não sendo mais visualizado todo o corredor como antes, visualizando somente um pedaço do corredor.</t>
  </si>
  <si>
    <t>1141/2023</t>
  </si>
  <si>
    <t>111 e 115</t>
  </si>
  <si>
    <t>Trocar trava porta.</t>
  </si>
  <si>
    <t>1142/2023</t>
  </si>
  <si>
    <t>Salas de aula</t>
  </si>
  <si>
    <t xml:space="preserve">Solicito que, sejam reposicionadas as laterais de mesas de professor, das salas dos blocos didáticos 1 e 2. Ao movimentar as mesas para quadra, e na volta, algumas laterais soltaram. As mesmas estão guardadas na sala da guardiã (bloco didático 2).
</t>
  </si>
  <si>
    <t>1143/2023</t>
  </si>
  <si>
    <t>Fazer uma "tampa móvel" para uma maca ginecológica. A questão foi informada previamente para Alex. Se possível, fazer de metalon.</t>
  </si>
  <si>
    <t>1144/2023</t>
  </si>
  <si>
    <t>A perna de um manequim caiu... precisa arrumar. (gambiarra)</t>
  </si>
  <si>
    <t>1145/2023</t>
  </si>
  <si>
    <t xml:space="preserve">Maria Eduarda Silva Borges </t>
  </si>
  <si>
    <t>LATERAL BLOCO DIDÁTICO 2</t>
  </si>
  <si>
    <t xml:space="preserve">POSTE DE LUZ CAIU </t>
  </si>
  <si>
    <t>1146/2023</t>
  </si>
  <si>
    <t>BEBEDOURO BLOCO D</t>
  </si>
  <si>
    <t>bebedouro do corredor externo do Bloco D, está danificado.</t>
  </si>
  <si>
    <t>1147/2023</t>
  </si>
  <si>
    <t>BLOCO DIDÁTICO II</t>
  </si>
  <si>
    <t>BANHEIRO FEMININO 2º PISO</t>
  </si>
  <si>
    <t>Banheiro feminino 2º piso, tem uma tampa do vaso sanitário solta no chão.</t>
  </si>
  <si>
    <t>1148/2023</t>
  </si>
  <si>
    <t xml:space="preserve">Maria  Eduarda Silva Borges </t>
  </si>
  <si>
    <t>ESTACIONAMENTO EM FRENTE DA BIBLIOTECA</t>
  </si>
  <si>
    <t>tampa de concreto quebrada de uma caixinha, em frente o estacionamento da Biblioteca.</t>
  </si>
  <si>
    <t>1149/2023</t>
  </si>
  <si>
    <t>SALA 104</t>
  </si>
  <si>
    <t xml:space="preserve">Porta com problemas ao trancar </t>
  </si>
  <si>
    <t>1150/2023</t>
  </si>
  <si>
    <t>Cantina</t>
  </si>
  <si>
    <t>Banheiro Masculino</t>
  </si>
  <si>
    <t>Desentupir banheiro masculino</t>
  </si>
  <si>
    <t>1151/2023</t>
  </si>
  <si>
    <t>Eng. de Minas</t>
  </si>
  <si>
    <t xml:space="preserve">instalação/substituição de bebedouro </t>
  </si>
  <si>
    <t>1152/2023</t>
  </si>
  <si>
    <t>SALA 28</t>
  </si>
  <si>
    <t>Porta não está ficando fechada.</t>
  </si>
  <si>
    <t>1153/2023</t>
  </si>
  <si>
    <t xml:space="preserve">Biblioteca </t>
  </si>
  <si>
    <t xml:space="preserve">Troca de 80 lampadas </t>
  </si>
  <si>
    <t>1154/2023</t>
  </si>
  <si>
    <t>Campus 2 - laboratórios de simulação</t>
  </si>
  <si>
    <t>Instalação de 4 tomadas para ar condicionado nos laboratórios de simulação.</t>
  </si>
  <si>
    <t>Por favor, falar com a Técnica Guaraciara antes de vir fazer o serviço. Telefone: 62-98309-0482</t>
  </si>
  <si>
    <t>1155/2023</t>
  </si>
  <si>
    <t>Vazameto no osmose reversa.</t>
  </si>
  <si>
    <t>1156/2023</t>
  </si>
  <si>
    <t>Câmera dome do bloco Didático I ( Portão lateral)</t>
  </si>
  <si>
    <t>DVR Bloco Didático I</t>
  </si>
  <si>
    <t>Câmera speed Dome do Bloco Didático I (Portão Lateral), está com interferência no sinal, dificultando uma boa visualização.</t>
  </si>
  <si>
    <t>1157/2023</t>
  </si>
  <si>
    <t>Reparar um cabo de rede que não está funcionando</t>
  </si>
  <si>
    <t>1158/2023</t>
  </si>
  <si>
    <t>BLOCO L</t>
  </si>
  <si>
    <t>FUNDOS DO BLOCO L</t>
  </si>
  <si>
    <t xml:space="preserve">Banco danificado </t>
  </si>
  <si>
    <t>1159/2023</t>
  </si>
  <si>
    <t>COPA DO 1° PISO</t>
  </si>
  <si>
    <t xml:space="preserve"> Fechadura danificada</t>
  </si>
  <si>
    <t>1160/2023</t>
  </si>
  <si>
    <t xml:space="preserve">Auditorio Paulo de Bastos </t>
  </si>
  <si>
    <t xml:space="preserve">Troca de lampadas queimadas </t>
  </si>
  <si>
    <t>1161/2023</t>
  </si>
  <si>
    <t>HALL DO TÉRREO</t>
  </si>
  <si>
    <t>Bebedouro com vazamento</t>
  </si>
  <si>
    <t>1162/2023</t>
  </si>
  <si>
    <t xml:space="preserve">Banheiro feminino especial </t>
  </si>
  <si>
    <t xml:space="preserve">Trinca da porta quebrada </t>
  </si>
  <si>
    <t>1163/2023</t>
  </si>
  <si>
    <t>Vazamento de água no sanitário (banheiro do meio)</t>
  </si>
  <si>
    <t>1164/2023</t>
  </si>
  <si>
    <t xml:space="preserve">Vaso sanitário com sifão estragado e mictório entupido </t>
  </si>
  <si>
    <t>1165/2023</t>
  </si>
  <si>
    <t xml:space="preserve">Sifão quebrado </t>
  </si>
  <si>
    <t>1166/2023</t>
  </si>
  <si>
    <t xml:space="preserve">Telhado </t>
  </si>
  <si>
    <t xml:space="preserve">Aumento da vazão no telhado </t>
  </si>
  <si>
    <t>1167/2023</t>
  </si>
  <si>
    <t>302-A, 304-A, 306-A e 308-A</t>
  </si>
  <si>
    <t>Instalação de fiação para ligação de quatro aparelhos de ar condicionado.</t>
  </si>
  <si>
    <t>1168/2023</t>
  </si>
  <si>
    <t>Hall de entrada, ao lado da secretaria acadêmica</t>
  </si>
  <si>
    <t>Bebedouro do andar da Eng. de Minas Vazando</t>
  </si>
  <si>
    <t>1169/2023</t>
  </si>
  <si>
    <t xml:space="preserve">Bloco N </t>
  </si>
  <si>
    <t xml:space="preserve">Bomba queimada </t>
  </si>
  <si>
    <t>1170/2023</t>
  </si>
  <si>
    <t>BLOCO  J</t>
  </si>
  <si>
    <t>CORREDOR DO BLOCO J</t>
  </si>
  <si>
    <t>Dispenser de álcool em gel danificado.</t>
  </si>
  <si>
    <t>1171/2023</t>
  </si>
  <si>
    <t xml:space="preserve">Bloco K e O </t>
  </si>
  <si>
    <t xml:space="preserve">Impermeabilização das paredes </t>
  </si>
  <si>
    <t>1172/2023</t>
  </si>
  <si>
    <t>Ribitar escada de alumínio</t>
  </si>
  <si>
    <t>1173/2023</t>
  </si>
  <si>
    <t xml:space="preserve">Lateral do AUDITÓRIO </t>
  </si>
  <si>
    <t xml:space="preserve">Câmera Lateral entrada do Auditório esta preta </t>
  </si>
  <si>
    <t>1174/2023</t>
  </si>
  <si>
    <t>Todas as Câmeras do Bloco O estão Off-line ( Não estão funcionando)</t>
  </si>
  <si>
    <t>1175/2023</t>
  </si>
  <si>
    <t>Filipe</t>
  </si>
  <si>
    <t>um cabo de rede de 2m</t>
  </si>
  <si>
    <t>1176/2023</t>
  </si>
  <si>
    <t>BLOCO DIDÁTICO I</t>
  </si>
  <si>
    <t>SALA 202</t>
  </si>
  <si>
    <t>Mesa quebrada com numero de patrimônio ( 327462).</t>
  </si>
  <si>
    <t>1177/2023</t>
  </si>
  <si>
    <t>BEBEDOR NA ENTRADA DO BLOCO N</t>
  </si>
  <si>
    <t xml:space="preserve">Vazamento no bebedouro </t>
  </si>
  <si>
    <t>1178/2023</t>
  </si>
  <si>
    <t>Geaneliza de Fátima Rodrigues Rangel Pimentel</t>
  </si>
  <si>
    <t>(64) 9 9307 4581</t>
  </si>
  <si>
    <t xml:space="preserve">Bloco "C" </t>
  </si>
  <si>
    <t>1 . Manutenção em tomadas na parede de pedra e embaixo do balcão.
2. Manutenção em estabilizador - Patrimônio nº 0467 
                                  estabilizador - Patrimônio nº 616200</t>
  </si>
  <si>
    <t>As tomadas e os estabilizadores não estão funcionando</t>
  </si>
  <si>
    <t>1179/2023</t>
  </si>
  <si>
    <t>LADO EXTERNO DO BLOCO A</t>
  </si>
  <si>
    <t>Refletor do corredor externo do Bloco A, se encontra danificado.</t>
  </si>
  <si>
    <t>1180/2023</t>
  </si>
  <si>
    <t xml:space="preserve">LADO EXTERNO ENTRADA DA RUA GOIANDIRA </t>
  </si>
  <si>
    <t xml:space="preserve">PLACA DO CAMPUS SE ENCONTRA AO SOLO </t>
  </si>
  <si>
    <t>1181/2023</t>
  </si>
  <si>
    <t>Patrícia Souza Rocha Marçal</t>
  </si>
  <si>
    <t>(64)3411-5309</t>
  </si>
  <si>
    <t>sala 14, BL C e sala 16, BL C</t>
  </si>
  <si>
    <t>sala14, BL C  e sala 16, BLC</t>
  </si>
  <si>
    <t>Reparo em tomadas elétricas das salas mencionadas.</t>
  </si>
  <si>
    <t>1182/2023</t>
  </si>
  <si>
    <t xml:space="preserve">sala 14, BL C </t>
  </si>
  <si>
    <t>sala 14, BL C</t>
  </si>
  <si>
    <t>Reparo em tomadas nas salas 14 e 16 do BL C</t>
  </si>
  <si>
    <t>1183/2023</t>
  </si>
  <si>
    <t>Reparar um estabilizador que está desligando sozinho</t>
  </si>
  <si>
    <t>1184/2023</t>
  </si>
  <si>
    <t>Banheiro feminino - Especial  - 2° Andar</t>
  </si>
  <si>
    <t xml:space="preserve"> Colar e montar novamente a pedra da repartição do banheiro feminino que descolou e caiu. </t>
  </si>
  <si>
    <t>1185/2023</t>
  </si>
  <si>
    <t xml:space="preserve">Parafusar a tampa dessas caixas da foto, pois a fiação esta exposta. </t>
  </si>
  <si>
    <t>1186/2023</t>
  </si>
  <si>
    <t>BANHEIRO ESPECIAL FEMININO (2º PISO)</t>
  </si>
  <si>
    <t>Porta do banheiro especial feminino do 2° Piso do Bloco L, está danificada.</t>
  </si>
  <si>
    <t>1187/2023</t>
  </si>
  <si>
    <t>retirar bloquetes do gramado da MUC</t>
  </si>
  <si>
    <t>1188/2023</t>
  </si>
  <si>
    <t xml:space="preserve">Jardim </t>
  </si>
  <si>
    <t>Roçagem de grama (PRAZO ATÉ 15 DIAS PARA ATENDIMENTO)</t>
  </si>
  <si>
    <t>Roçagem e manutenção do gramado e jardim da MUC</t>
  </si>
  <si>
    <t>1189/2023</t>
  </si>
  <si>
    <t xml:space="preserve">Troca do kit sifão válvula do tanque </t>
  </si>
  <si>
    <t>1190/2023</t>
  </si>
  <si>
    <t>Troca do kit válvula e sifão do tanque</t>
  </si>
  <si>
    <t>1191/2023</t>
  </si>
  <si>
    <t>Copa PROAF - Sala S01</t>
  </si>
  <si>
    <t>Vazamento de água em bebedouro de água da copa - PROAF, molhando todo o piso.</t>
  </si>
  <si>
    <t>1192/2023</t>
  </si>
  <si>
    <t>COPA DO SUB SOLO</t>
  </si>
  <si>
    <t>Identificou que na Copa do Sub solo havia um vazamento de água, que aparentemente era do bebedouro.</t>
  </si>
  <si>
    <t>1193/2023</t>
  </si>
  <si>
    <t>subsolo</t>
  </si>
  <si>
    <t>vazamento e esta entupido</t>
  </si>
  <si>
    <t>1194/2023</t>
  </si>
  <si>
    <t xml:space="preserve">Sérgio Francisco da Silva </t>
  </si>
  <si>
    <t>(64)99909802</t>
  </si>
  <si>
    <t>Laboratório de Ensino 1 - Sala 13</t>
  </si>
  <si>
    <t xml:space="preserve">O serviço se refere ao ajuste ajuste das caixas de tomadas do Laboratório, pois elas estão soltando das canaletas das bancadas com risco de choque para os alunos. O Laboratório tem fechadura biométrica. Assim, se for possível gostaria que entrassem em contato comigo para que eu vá liberar o acesso. </t>
  </si>
  <si>
    <t>1195/2023</t>
  </si>
  <si>
    <t>Câmera Lateral entrada auditório</t>
  </si>
  <si>
    <t xml:space="preserve">Câmera esta com interferências e com imagem preta </t>
  </si>
  <si>
    <t>1196/2023</t>
  </si>
  <si>
    <t>Sala S14 - PROAF</t>
  </si>
  <si>
    <t>Mudar ponto de energia e rede de local.</t>
  </si>
  <si>
    <t>1197/2023</t>
  </si>
  <si>
    <t>Katia Silene da Silva</t>
  </si>
  <si>
    <t xml:space="preserve">Puxar uma nova tomada </t>
  </si>
  <si>
    <t>1198/2023</t>
  </si>
  <si>
    <t>Câmeras Bloco J</t>
  </si>
  <si>
    <t>As Câmeras do Bloco J, se encontram com interferência no sinal (Somente durante a noite)</t>
  </si>
  <si>
    <t>1199/2023</t>
  </si>
  <si>
    <t>Câmera de carros oficiais da Biblioteca</t>
  </si>
  <si>
    <t>Câmera de carros oficiais da Biblioteca, se encontra com interferência no sinal (Somente durante a noite).</t>
  </si>
  <si>
    <t>1200/2023</t>
  </si>
  <si>
    <t>Câmera entrada Lateral do Campus II</t>
  </si>
  <si>
    <t>Câmera entrada Lateral do Campus II, se encontra com interferência no sinal (Somente durante a noite).</t>
  </si>
  <si>
    <t>1201/2023</t>
  </si>
  <si>
    <t>Câmera 4 da Biblioteca</t>
  </si>
  <si>
    <t>Câmera 4 da Biblioteca, se encontra com letras na imagem.</t>
  </si>
  <si>
    <t>1202/2023</t>
  </si>
  <si>
    <t>Sala do Rack do Bloco C</t>
  </si>
  <si>
    <t>Câmera da Sala do Rack do Bloco C, se encontra com teia de aranha.</t>
  </si>
  <si>
    <t>1203/2023</t>
  </si>
  <si>
    <t>Câmera da Sala Central de Operações</t>
  </si>
  <si>
    <t>Câmera da Sala Central de Operações do Bloco C</t>
  </si>
  <si>
    <t xml:space="preserve">
Câmera da Sala da Central de Operações do Bloco C, se encontra com interferência no sinal se a lâmpada estiver apagada. 
</t>
  </si>
  <si>
    <t>1204/2023</t>
  </si>
  <si>
    <t>Exterior Bloco A</t>
  </si>
  <si>
    <t>Em frente ao Bloco A, os refletores externos não estão funcionando, com isso a imagem de segurança está ruim, pois não está boa a visualização durante a noite sem iluminação. Se trata dos refletores do Bloco A, de frente ao alambrado.</t>
  </si>
  <si>
    <t>1205/2023</t>
  </si>
  <si>
    <t>Suellen Reis</t>
  </si>
  <si>
    <t>Sl 05</t>
  </si>
  <si>
    <t>Lâmpada tubular florescente</t>
  </si>
  <si>
    <t>1206/2023</t>
  </si>
  <si>
    <t>Mirian de Jesus Lima</t>
  </si>
  <si>
    <t>Sala 1, 8 e 13</t>
  </si>
  <si>
    <t>Instalação Elétrica para instalação de Aparelhos de Ar-Condicionado</t>
  </si>
  <si>
    <t>1207/2023</t>
  </si>
  <si>
    <t>Instalação Elétrica para instalação de Aparelho de Ar-Condicionado.</t>
  </si>
  <si>
    <t>1208/2023</t>
  </si>
  <si>
    <t>SALA 02</t>
  </si>
  <si>
    <t>Vidro da janela  quebrado.</t>
  </si>
  <si>
    <t>1209/2023</t>
  </si>
  <si>
    <t>Sala da Coordenação de Atendimento (2° piso)</t>
  </si>
  <si>
    <t>As tomadas do interior da sala não estão funcionando. Foi verificado que a tomada externa à sala também não está funcionando.</t>
  </si>
  <si>
    <t>1210/2023</t>
  </si>
  <si>
    <t xml:space="preserve">HALL </t>
  </si>
  <si>
    <t xml:space="preserve">A câmera do Hall de Entrada, denominada como "Carros Oficiais" está com as configurações na tela. </t>
  </si>
  <si>
    <t>1211/2023</t>
  </si>
  <si>
    <t>Centro Integrado do Cerrado (CIC)</t>
  </si>
  <si>
    <t>R. Frederico Campos, 1026 - Nossa Senhora de Fátima, Catalão - GO, CEP: 75701-410.</t>
  </si>
  <si>
    <t>Desmontar um armário e duas mesas do Centro Integrado do Cerrado (CIC), para mudança que será feita dia 27/09. E Remontar os mesmos após a mudança, dia 02/10.</t>
  </si>
  <si>
    <t>1212/2023</t>
  </si>
  <si>
    <t>Câmera ( Entrada Lateral)</t>
  </si>
  <si>
    <t xml:space="preserve">Câmera está funcionando ficando  toda Preta </t>
  </si>
  <si>
    <t>1213/2023</t>
  </si>
  <si>
    <t xml:space="preserve">Montagem e instalação de ventilador de parede </t>
  </si>
  <si>
    <t>1214/2023</t>
  </si>
  <si>
    <t>BLOCO J</t>
  </si>
  <si>
    <t>LABORATÓRIO DE PESQUISA 01</t>
  </si>
  <si>
    <t>Ar condicionado mesmo desligado está fazendo barulho.</t>
  </si>
  <si>
    <t>1215/2023</t>
  </si>
  <si>
    <t>BANHEIRO ESPECIAL DO TÉRREO</t>
  </si>
  <si>
    <t xml:space="preserve">Tomada do banheiro especial do Térreo do Bloco Didático I, se encontra dando choque elétrico ao ser acionada. </t>
  </si>
  <si>
    <t>1216/2023</t>
  </si>
  <si>
    <t>Instalar Lousa de Vidro.</t>
  </si>
  <si>
    <t>1217/2023</t>
  </si>
  <si>
    <t>Sala 7 - Laboratório de Pesquisa 2</t>
  </si>
  <si>
    <t>Instalar organizador gaveteiro de ferramentas na parede.</t>
  </si>
  <si>
    <t>1218/2023</t>
  </si>
  <si>
    <t>2º piso</t>
  </si>
  <si>
    <t>As centrais de ar do 2º piso do campus 2 não estão ligando. Achamos que é algum problema com a energia elétrica.</t>
  </si>
  <si>
    <t>1219/2023</t>
  </si>
  <si>
    <t>DVR das câmeras desconectadas</t>
  </si>
  <si>
    <t>DVR das câmeras do Bloco O esta desconectado</t>
  </si>
  <si>
    <t>1220/2023</t>
  </si>
  <si>
    <t>Salas de Estudo Coletivo (piso inferior)</t>
  </si>
  <si>
    <t xml:space="preserve">Instalação de 3 (três) ventiladores nas salas de Estudo Coletivo </t>
  </si>
  <si>
    <t>1221/2023</t>
  </si>
  <si>
    <t>Eduardo</t>
  </si>
  <si>
    <t>Engenharia</t>
  </si>
  <si>
    <t xml:space="preserve">secretaria </t>
  </si>
  <si>
    <t xml:space="preserve">Troca das lâmpadas na sala da secretaria </t>
  </si>
  <si>
    <t>1222/2023</t>
  </si>
  <si>
    <t>Salas: 302A; 304A; 306A; 308A</t>
  </si>
  <si>
    <t>Instalação de tomadas para centrais de ar que estão sendo instaladas nas salas: 302A; 304A; 306A; 308A, do bloco didático 2</t>
  </si>
  <si>
    <t>1223/2023</t>
  </si>
  <si>
    <t xml:space="preserve">lâmpada do ventilador queimou </t>
  </si>
  <si>
    <t>1224/2023</t>
  </si>
  <si>
    <t>ELEVADOR</t>
  </si>
  <si>
    <t>Está apresentando problema e não está funcionando.</t>
  </si>
  <si>
    <t>1225/2023</t>
  </si>
  <si>
    <t>Favor realizar a troca/manutenção do gás do aparelho de ar-condicionado.</t>
  </si>
  <si>
    <t>1226/2023</t>
  </si>
  <si>
    <t>Todas as Câmeras do Bloco O estão off-line ( devido a Queda de energia ontem dia 26/08 as por vota da 18:00 horas )</t>
  </si>
  <si>
    <t>1227/2023</t>
  </si>
  <si>
    <t>34 98700-4342</t>
  </si>
  <si>
    <t>Entrada da Moradia Universitária do Cerrado - MUC</t>
  </si>
  <si>
    <t xml:space="preserve">A porta de vidro da entrada da Moradia Universitária do Cerrado - MUC caiu. Descarrilhou e saiu do trilho. Solicitamos urgência na recolocação da porta no lugar.  </t>
  </si>
  <si>
    <t>1228/2023</t>
  </si>
  <si>
    <t xml:space="preserve">Wallace Henrique Cardoso Peres </t>
  </si>
  <si>
    <t>64 996429809</t>
  </si>
  <si>
    <t>Sala 11 - LAPAM</t>
  </si>
  <si>
    <t xml:space="preserve">Após as quedas de energia a tomada parou de funcionar. É a tomada aí lado do aparelho Milli-Q </t>
  </si>
  <si>
    <t>1229/2023</t>
  </si>
  <si>
    <t>PORTA LATERAL BLINDEX DA ENGENHARIA CIVIL</t>
  </si>
  <si>
    <t>Chave não estava abrindo a porta de Blindex na lateral do Bloco O .</t>
  </si>
  <si>
    <t>1230/2023</t>
  </si>
  <si>
    <t>Jeane Rabello de Souza</t>
  </si>
  <si>
    <t>Apoio para tela do PC</t>
  </si>
  <si>
    <t>1231/2023</t>
  </si>
  <si>
    <t>seti</t>
  </si>
  <si>
    <t>sala dos tecnicos</t>
  </si>
  <si>
    <t>avaliar instalação eletrica</t>
  </si>
  <si>
    <t>1232/2023</t>
  </si>
  <si>
    <t>Luis Filipe Carvalho Barros</t>
  </si>
  <si>
    <t>Consultório 6 no CEAPSI</t>
  </si>
  <si>
    <t>Conferir válvula da descarga do banheiro no consultório infantil, está ficando presa quando pressionada, mantendo aberta escoando água.</t>
  </si>
  <si>
    <t>1233/2023</t>
  </si>
  <si>
    <t>Puxar ponto de energia para ligar cortinas motorizadas</t>
  </si>
  <si>
    <t>1234/2023</t>
  </si>
  <si>
    <t>Salas 17, 04, 13</t>
  </si>
  <si>
    <t>Instalação de persianas.</t>
  </si>
  <si>
    <t>1235/2023</t>
  </si>
  <si>
    <t>Sala 109 (segundo piso)</t>
  </si>
  <si>
    <t>Dificuldade em destrancar a porta. Trocar miolo</t>
  </si>
  <si>
    <t>1236/2023</t>
  </si>
  <si>
    <t>Salas 6, 7 e 23</t>
  </si>
  <si>
    <t xml:space="preserve">Realizar vistoria e manutenção de todas as linguetas para fecho concha, com travamento manual, das janelas de correr com vidro:
- 2 folhas (sala 23); e
- 4 folhas [salas 6 e 7 (nesta última sala, a lingueta não está travando a janela)].
</t>
  </si>
  <si>
    <t>1237/2023</t>
  </si>
  <si>
    <t>SALA 205</t>
  </si>
  <si>
    <t>Encontra danificada, e com o vento está abrindo sozinha.</t>
  </si>
  <si>
    <t>1238/2023</t>
  </si>
  <si>
    <t>Campus 1 - Bloco didático 2</t>
  </si>
  <si>
    <t>306 B</t>
  </si>
  <si>
    <t>Ajuste de mesa da sala de tutorial</t>
  </si>
  <si>
    <t>1239/2023</t>
  </si>
  <si>
    <t>Luis Filipe C Barros</t>
  </si>
  <si>
    <t>Sala 104 - Coordenação de psicologia</t>
  </si>
  <si>
    <t>Há uma rachadura na mesa da sala 104 que vai de um lado a outro, então queríamos ver sobre a possibilidade de reparo ou troca.</t>
  </si>
  <si>
    <t>1240/2023</t>
  </si>
  <si>
    <t>ANA FLAVIA VIGÁRIO</t>
  </si>
  <si>
    <t>64 984578112</t>
  </si>
  <si>
    <t>SALA 301</t>
  </si>
  <si>
    <t>Solicito uma unidade do controle remoto do ar condicionado da sala 301 do Bloco M, uma vez que, após o retorno das atividades letivas o controle do ar da sala não se encontra na sala 301 e não sabemos quando nem por quem ele foi retirado.
Dessa forma, devido ao calor extremo que temos enfrentado, solicito uma unidade do controle remoto do ar condicionado para esta sala.
At.te.</t>
  </si>
  <si>
    <t>1241/2023</t>
  </si>
  <si>
    <t>Trocar o aparelho de ponto de lugar para adequação do espaço administrativo da MUC</t>
  </si>
  <si>
    <t>1242/2023</t>
  </si>
  <si>
    <t>Confecção de moldura para quadro, que está na recepção do CEAPSI</t>
  </si>
  <si>
    <t xml:space="preserve">Não retornada </t>
  </si>
  <si>
    <t>1243/2023</t>
  </si>
  <si>
    <t xml:space="preserve">Bloco Administrativo </t>
  </si>
  <si>
    <t xml:space="preserve">Troca de lampadas </t>
  </si>
  <si>
    <t>1244/2023</t>
  </si>
  <si>
    <t xml:space="preserve">jardinagem </t>
  </si>
  <si>
    <t xml:space="preserve">Jardinagem </t>
  </si>
  <si>
    <t>Reparo na tela de proteção jardinagem, a mesma soltou (soldar)</t>
  </si>
  <si>
    <t>1245/2023</t>
  </si>
  <si>
    <t>(64)99602-6703</t>
  </si>
  <si>
    <t>Bloco Administrativo - PROAF</t>
  </si>
  <si>
    <t>Copa da PROAF</t>
  </si>
  <si>
    <t>Vazamento de água na conexão de entrada do bebedouro.</t>
  </si>
  <si>
    <t>1246/2023</t>
  </si>
  <si>
    <t>Mayani Thais lopes</t>
  </si>
  <si>
    <t>Fazer cabo de rede de 3,5 metros</t>
  </si>
  <si>
    <t>1247/2023</t>
  </si>
  <si>
    <t>Iolanda Aguiar</t>
  </si>
  <si>
    <t>Banheiro masculino - eng. minas</t>
  </si>
  <si>
    <t>Sifão da pia esquerda do banheiro com vazamento (necessita troca)</t>
  </si>
  <si>
    <t>1248/2023</t>
  </si>
  <si>
    <t>SALA DE APOIO 21</t>
  </si>
  <si>
    <t>Fechadura da sala de apoio esta dura tendo dificuldades para destrancar a porta.</t>
  </si>
  <si>
    <t xml:space="preserve">Precisa ser com o chaveiro </t>
  </si>
  <si>
    <t>1249/2023</t>
  </si>
  <si>
    <t>Solicito o desligamento de Nobreak a rede de energia da sala 209 (Bloco N).</t>
  </si>
  <si>
    <t>1250/2023</t>
  </si>
  <si>
    <t>Banheiro Feminino 3º piso</t>
  </si>
  <si>
    <t xml:space="preserve">Vaso entupido </t>
  </si>
  <si>
    <t>1251/2023</t>
  </si>
  <si>
    <t>A pia da lavanderia está com vazamento. Apto 401</t>
  </si>
  <si>
    <t>1252/2023</t>
  </si>
  <si>
    <t>Descarga do banheiro não para de descer água, apto 402.</t>
  </si>
  <si>
    <t>1253/2023</t>
  </si>
  <si>
    <t>IOLANDA MARIA AGUIAR</t>
  </si>
  <si>
    <t xml:space="preserve">Sala 16 (Sala dos Técnicos) </t>
  </si>
  <si>
    <t>Criação de 3 Pontos de Rede na sala dos técnicos</t>
  </si>
  <si>
    <t>Falta material: Tubo de 3/4 , Cabo de rede cat5E e Conduletes.</t>
  </si>
  <si>
    <t>1254/2023</t>
  </si>
  <si>
    <t xml:space="preserve">Quadra de areia </t>
  </si>
  <si>
    <t xml:space="preserve">Capinar a quadra de areia próximo a quadra coberta, fazendo também a fofagem da areia </t>
  </si>
  <si>
    <t>1255/2023</t>
  </si>
  <si>
    <t>Iana Grecco</t>
  </si>
  <si>
    <t>62 9 8331-8743</t>
  </si>
  <si>
    <t>Sala dos Técnicos, andar da Eng. de Minas</t>
  </si>
  <si>
    <t>Troca de uma lâmpada do tipo tubular na sala dos técnicos</t>
  </si>
  <si>
    <t>1256/2023</t>
  </si>
  <si>
    <t>A porta da cozinha do bloco E não está abrindo, o sistema de tranca está frouxo.</t>
  </si>
  <si>
    <t>1257/2023</t>
  </si>
  <si>
    <t>Ramal: 5330   - 64-99643-1506</t>
  </si>
  <si>
    <t>1 - Confecção de 3 tábuas em madeira. Medida 2,05 m× 14cm. Envernizada. Para prateleira. O serviço já foi explicado ao Sr Balbino. Pode ser madeira de demolição (rustica) com acabamento. Envernizada.
2 - Envernizar as tabuas que já foram feitas e estão na sala 151</t>
  </si>
  <si>
    <t>1258/2023</t>
  </si>
  <si>
    <t>DANIEL DOS REIS SIMOES</t>
  </si>
  <si>
    <t>Instalar refletores para a horta comunitária da MUC</t>
  </si>
  <si>
    <t>1259/2023</t>
  </si>
  <si>
    <t>Claudia Costa</t>
  </si>
  <si>
    <t>64 999454593</t>
  </si>
  <si>
    <t>Instalar TV</t>
  </si>
  <si>
    <t>1260/2023</t>
  </si>
  <si>
    <t>Todas as câmeras do Bloco O não estão funcionado.</t>
  </si>
  <si>
    <t>1261/2023</t>
  </si>
  <si>
    <t>3441 5349</t>
  </si>
  <si>
    <t>Recepção/Secretaria CEAPSI e Consultórios: 01, 02, 03, 04, 05, 06 e 07</t>
  </si>
  <si>
    <t>Recepção/Secretaria CEAPSI e Consultórios: 01, 02, 03, 04, 05, 06 e 07 os ar-condicionado não ligam</t>
  </si>
  <si>
    <t>1262/2023</t>
  </si>
  <si>
    <t>BEBEDOURO CORREDOR DO TÉRREO</t>
  </si>
  <si>
    <t>A água está quente, ele está entupido e derramando agua no chão.</t>
  </si>
  <si>
    <t>1263/2023</t>
  </si>
  <si>
    <t xml:space="preserve">FUNDOS DO R.U </t>
  </si>
  <si>
    <t>FUNDOS  DO R.U</t>
  </si>
  <si>
    <t>Extintor está no chão, na área não existe nenhuma demarcação sinalizado que o local e reservado para extintores e também nenhum suporte para fixação do mesmo.</t>
  </si>
  <si>
    <t>1264/2023</t>
  </si>
  <si>
    <t>Deusmar Machado</t>
  </si>
  <si>
    <t>Banheiro Feminino do segundo piso</t>
  </si>
  <si>
    <t>Torneira pingando</t>
  </si>
  <si>
    <t>1265/2023</t>
  </si>
  <si>
    <t>Banheiro Feminino do Hall de entrada</t>
  </si>
  <si>
    <t>Pia do banheiro entupida</t>
  </si>
  <si>
    <t>1266/2023</t>
  </si>
  <si>
    <t xml:space="preserve">alguns azulejos caíram da parede da copa do Bloco Didático l.
</t>
  </si>
  <si>
    <t>1267/2023</t>
  </si>
  <si>
    <t xml:space="preserve">Corredor dos laboratórios </t>
  </si>
  <si>
    <t>8 dispensers de álcool em gel com mal funcionamento necessitando  de reparo ou troca dos mesmos.</t>
  </si>
  <si>
    <t>1268/2023</t>
  </si>
  <si>
    <t>Corredor dos Laboratórios</t>
  </si>
  <si>
    <t>Consertar as portas das salas 15, 18 e 19, pois não estão abrindo e fechando corretamente com possibilidade de causar acidente/lesão em servidores e/ou terceirizados.</t>
  </si>
  <si>
    <t>1269/2023</t>
  </si>
  <si>
    <t>Secretaria 3º piso</t>
  </si>
  <si>
    <t>Fechadura da porta com defeito</t>
  </si>
  <si>
    <t>1270/2023</t>
  </si>
  <si>
    <t>62 9 8331 8743</t>
  </si>
  <si>
    <t>Andar da Eng. de Minas - Banheiro Feminino</t>
  </si>
  <si>
    <t>Instalação da tampa do porta papel higiênico e troca de acabamento de válvula de descarga.</t>
  </si>
  <si>
    <t>1271/2023</t>
  </si>
  <si>
    <t>Salas (S04, S05, S06, S07, S09)</t>
  </si>
  <si>
    <t>Travas das janelas não funcionam.</t>
  </si>
  <si>
    <t>1272/2023</t>
  </si>
  <si>
    <t xml:space="preserve">Banheiro cantina </t>
  </si>
  <si>
    <t xml:space="preserve">Banheiros Entupidos </t>
  </si>
  <si>
    <t>1273/2023</t>
  </si>
  <si>
    <t xml:space="preserve">Iluminação externa não esta funcionando </t>
  </si>
  <si>
    <t>1274/2023</t>
  </si>
  <si>
    <t>PRÓXIMO AO BLOCO L</t>
  </si>
  <si>
    <t>Tampa de esgoto de concreto quebrada.</t>
  </si>
  <si>
    <t>1275/2023</t>
  </si>
  <si>
    <t>A pia da cozinha do apto 402 está entupida.</t>
  </si>
  <si>
    <t>1276/2023</t>
  </si>
  <si>
    <t xml:space="preserve">Uma das torneiras da pia do banheiro do apto 305 está com vazamento. Ela demora a parar de passar água quando aperta o botão. </t>
  </si>
  <si>
    <t>1277/2023</t>
  </si>
  <si>
    <t>SALA 10</t>
  </si>
  <si>
    <t xml:space="preserve">A chave da porta quebrou.
</t>
  </si>
  <si>
    <t>1278/2023</t>
  </si>
  <si>
    <t>Arrumar a fechadura do quarto C do apto 402</t>
  </si>
  <si>
    <t>1279/2023</t>
  </si>
  <si>
    <t>Arrumar a fechadura do banheiro do apto 104</t>
  </si>
  <si>
    <t>1280/2023</t>
  </si>
  <si>
    <t>Bloco O se encontra off-line, estando indisponível para visualização de imagens de segurança.</t>
  </si>
  <si>
    <t>1281/2023</t>
  </si>
  <si>
    <t xml:space="preserve">Pedro </t>
  </si>
  <si>
    <t xml:space="preserve">Câmera Lateral entrada Auditório </t>
  </si>
  <si>
    <t>Câmera está estragada</t>
  </si>
  <si>
    <t>1282/2023</t>
  </si>
  <si>
    <t xml:space="preserve">Sala do Rack </t>
  </si>
  <si>
    <t>Todas as Câmeras do Bloco não estão funcionando ( Obs. a Câmera Dome entrada portão lateral está funcionando porém esta travada.</t>
  </si>
  <si>
    <t>1283/2023</t>
  </si>
  <si>
    <t>SALA 309</t>
  </si>
  <si>
    <t>A fechadura da sala 309 Biologia Bloco M, não esta abrindo, a fechadura não esta girando.</t>
  </si>
  <si>
    <t>1284/2023</t>
  </si>
  <si>
    <t>CORREDOR DA FÍSICA SALA 265.</t>
  </si>
  <si>
    <t>A chave quebrou ficando presa no miolo da fechadura.</t>
  </si>
  <si>
    <t>1285/2023</t>
  </si>
  <si>
    <t>Cinara</t>
  </si>
  <si>
    <t>(64) 98406-7434</t>
  </si>
  <si>
    <t>Troca de lâmpadas: 2 na recepção e 2 na sala 101.</t>
  </si>
  <si>
    <t>1286/2023</t>
  </si>
  <si>
    <t>BLOCO F</t>
  </si>
  <si>
    <t>CALÇADÃO ENTRE OS BLOCOS L/N/DIDÁTICO 1 E 2.</t>
  </si>
  <si>
    <t>As luzes dos postes do calçadão entre os Blocos L/N/Didático 1 e 2 estavam todas queimadas . Obs. ontem devido a forte chuva que caiu na cidade houve um pico de energia.</t>
  </si>
  <si>
    <t>1287/2023</t>
  </si>
  <si>
    <t>HALL DE ENTRADA</t>
  </si>
  <si>
    <t>A chave da gaveta que fica localizada no hall de entrada do Bloco Administrativo, quebrou.</t>
  </si>
  <si>
    <t>1288/2023</t>
  </si>
  <si>
    <t>Tércio Alberto dos Santos Filho</t>
  </si>
  <si>
    <t>Sala 313</t>
  </si>
  <si>
    <t>Configuração do Servidor na rede Internet utilizando IPV6, para acesso externo e desenvolvimento da pesquisa.</t>
  </si>
  <si>
    <t>1289/2023</t>
  </si>
  <si>
    <t>Coordenação de Recursos Tecnológicos (RETEC)</t>
  </si>
  <si>
    <t>Cortar e adaptar 2 extensões para utilização em ponto de energia. Consertar, se possível, a regua de energia</t>
  </si>
  <si>
    <t>1290/2023</t>
  </si>
  <si>
    <t>1291/2023</t>
  </si>
  <si>
    <t>Francisco das Chagas Nobrega Junior</t>
  </si>
  <si>
    <t>34 9 9117-7782</t>
  </si>
  <si>
    <t xml:space="preserve">Fechadura da sala já estava apresentando sinais de desgaste, e por ser necessário forçar a chave na fechadura, a chave quebrou dentro da fechadura. </t>
  </si>
  <si>
    <t>1292/2023</t>
  </si>
  <si>
    <t>Marcio Antônio Duarte</t>
  </si>
  <si>
    <t xml:space="preserve">A fechadura da porta está com problemas e não abre! Nenhuma das chaves, tanto professor quanto da guardiã conseguem abrir a porta! E a coordenação do curso ata funcionando nessa sala! </t>
  </si>
  <si>
    <t>1293/2023</t>
  </si>
  <si>
    <t xml:space="preserve">Bloco Didático I, entrada </t>
  </si>
  <si>
    <t>Câmera Dome Bloco Didático I, entrada portão lateral não está atendendo o comando</t>
  </si>
  <si>
    <t>1294/2023</t>
  </si>
  <si>
    <t>apto  304</t>
  </si>
  <si>
    <t xml:space="preserve">Torneira rachada </t>
  </si>
  <si>
    <t>1295/2023</t>
  </si>
  <si>
    <t xml:space="preserve">apto 304, quarto A </t>
  </si>
  <si>
    <t xml:space="preserve">o ventilador do teto parou de funcionar </t>
  </si>
  <si>
    <t>1296/2023</t>
  </si>
  <si>
    <t>Câmera corredor do 1° piso C1 está estrada</t>
  </si>
  <si>
    <t>Câmera esta estragada</t>
  </si>
  <si>
    <t>1297/2023</t>
  </si>
  <si>
    <t>Welison de Camargo Vieira</t>
  </si>
  <si>
    <t xml:space="preserve">64 98449 0622 </t>
  </si>
  <si>
    <t>9B</t>
  </si>
  <si>
    <t>Necessário procurar problema de natureza elétrica na sala 9B que causa desarme do disjuntor geral do bloco na sala 12.</t>
  </si>
  <si>
    <t>Ventilador queimado</t>
  </si>
  <si>
    <t>1298/2023</t>
  </si>
  <si>
    <t>Welison de CamargoVieira</t>
  </si>
  <si>
    <t>64 98449 0622</t>
  </si>
  <si>
    <t xml:space="preserve">Confecção de um Hack para computadores, semelhante ao já construído anteriormente, contudo maior. Com pacacidade para 3 blocos de 8 computadores cada (total de 24 computadores).
As dimensões são: 
Altura: 190cm.
Largura: Aprox 45cm.
Comprimento: Aprox 225cm.
Deve existir um espaçamento de 12cm entre o chão e o primeiro gabinete de cada bloco. 
Cada divisória deve acomodar um gabinete de 13,5cm de altura vertical.
Deve existir um espaçamento de 10cm entre cada gabinete para permitir fluxo de ar e manutenção.
Entre cada bloco de computadores deve existir ao menos 1 barra para garantir a distribuição do peso. (na imagen enviada existem 2 barras entre cada bloco).
Se possível, pintar de preto para evitar oxidação vutura. </t>
  </si>
  <si>
    <t>Solicitado material para setor solicitando : 3 barras 1/2 metalon 20x30, 4 barras cantoneira de meia chapa 18</t>
  </si>
  <si>
    <t>1299/2023</t>
  </si>
  <si>
    <t>William Koga Silva Filho</t>
  </si>
  <si>
    <t>Sala 113</t>
  </si>
  <si>
    <t>Fixação do bandô de persiana.</t>
  </si>
  <si>
    <t>1300/2023</t>
  </si>
  <si>
    <t>Cinara Martins</t>
  </si>
  <si>
    <t>Recepção- PRPE</t>
  </si>
  <si>
    <t>Instalação de uma luminária no corredor</t>
  </si>
  <si>
    <t>1301/2023</t>
  </si>
  <si>
    <t>BLOCO H SALA 01 - SECRETARIA</t>
  </si>
  <si>
    <t>Lampada da Secretaria queimada.</t>
  </si>
  <si>
    <t>1302/2023</t>
  </si>
  <si>
    <t>Troca de tomada.</t>
  </si>
  <si>
    <t>1303/2023</t>
  </si>
  <si>
    <t>Laboratório de Sistemas Embarcados - Antigo (Laboratório de Sistemas Digitais) - Do lado do banheiro.</t>
  </si>
  <si>
    <t>Colocar parafusos e buchas para colocar gaveteiro de componentes eletrônicos. 4 gaveteiro. Gaveteiro de plástico.</t>
  </si>
  <si>
    <t>1304/2023</t>
  </si>
  <si>
    <t>Sala 24</t>
  </si>
  <si>
    <t xml:space="preserve">Troca de 2 lâmpadas tubulares </t>
  </si>
  <si>
    <t>1305/2023</t>
  </si>
  <si>
    <t xml:space="preserve">Retirar o tecido acrobático que está na árvore e colocar na quadra coberta </t>
  </si>
  <si>
    <t>1306/2023</t>
  </si>
  <si>
    <t>Salas 352 e 353</t>
  </si>
  <si>
    <t>Troca das fechaduras ou miolo das fechaduras das portas das salas</t>
  </si>
  <si>
    <t>1307/2023</t>
  </si>
  <si>
    <t xml:space="preserve">Mayani thais Lopes </t>
  </si>
  <si>
    <t>Corredor último andar</t>
  </si>
  <si>
    <t xml:space="preserve">O sistema de esgoto do bebedouro está com vazamento, e está alagando o corredor. </t>
  </si>
  <si>
    <t>1308/2023</t>
  </si>
  <si>
    <t xml:space="preserve">A torneira da cozinha está quebrando, precisa ser substituída. </t>
  </si>
  <si>
    <t>1309/2023</t>
  </si>
  <si>
    <t>Tem uma porta do armário da cozinha que soltou e está caindo. Apto 203.</t>
  </si>
  <si>
    <t>1310/2023</t>
  </si>
  <si>
    <t>Apto 405</t>
  </si>
  <si>
    <t>Ajustar maçaneta do quarto A, apto 405</t>
  </si>
  <si>
    <t>1311/2023</t>
  </si>
  <si>
    <t>Fazer manutenção no coroamento das plantas do jardim da MUC e abertura de novas covas.</t>
  </si>
  <si>
    <t>1312/2023</t>
  </si>
  <si>
    <t>Quadra e campo de futebol</t>
  </si>
  <si>
    <t xml:space="preserve">Instalar redes nos gols da quadra e do campo de futebol </t>
  </si>
  <si>
    <t>1313/2023</t>
  </si>
  <si>
    <t>Fazer um buraco para passar o cabo do microndas no armário de madeira.</t>
  </si>
  <si>
    <t>1314/2023</t>
  </si>
  <si>
    <t>Banheiro masculino na recepção do CEAPSI</t>
  </si>
  <si>
    <t xml:space="preserve">Instalação de cuba na pia do banheiro feminino da recepção do CEAPSI. </t>
  </si>
  <si>
    <t>1315/2023</t>
  </si>
  <si>
    <t>SALA 117 (COPA DO TÉRREO).</t>
  </si>
  <si>
    <t>Não está trancando a fechadura, sendo assim a mesma se encontra destrancada.</t>
  </si>
  <si>
    <t>1316/2023</t>
  </si>
  <si>
    <t>ENTRADA AV. DR. LAMARTINE PINTO DE AVELAR</t>
  </si>
  <si>
    <t>PORTÃO PEDESTRE LADO ESQUERDO</t>
  </si>
  <si>
    <t>Portão de pedestre do lado esquerdo da entrada que dá acesso à Av. Dr. Lamartine, está danificado.</t>
  </si>
  <si>
    <t>1317/2023</t>
  </si>
  <si>
    <t>SALA 21</t>
  </si>
  <si>
    <t>Fechadura está danificada, devido a esse fato a porta esta destrancada.</t>
  </si>
  <si>
    <t>1318/2023</t>
  </si>
  <si>
    <t>Ariadne Escobar</t>
  </si>
  <si>
    <t>sala 04</t>
  </si>
  <si>
    <t>placa da porta da Sala e parafusos</t>
  </si>
  <si>
    <t>1319/2023</t>
  </si>
  <si>
    <t>Hélder N. Consolaro</t>
  </si>
  <si>
    <t>Suporte para monitor de computador</t>
  </si>
  <si>
    <t>1320/2023</t>
  </si>
  <si>
    <t>Laboratório de Des. Técnico</t>
  </si>
  <si>
    <t>Conserto para tela de projeção do laboratório de Desenho Técnico, da FENG.</t>
  </si>
  <si>
    <t>1321/2023</t>
  </si>
  <si>
    <t>Arrumar a fechadura do quarto B do apto 104</t>
  </si>
  <si>
    <t>1322/2023</t>
  </si>
  <si>
    <t>Vestiários da piscina</t>
  </si>
  <si>
    <t xml:space="preserve">2 chuveiros não estão aquecendo no vestiário masculino,  sendo que um deles está espirrando bastante água. Inclusive quando liga vai na fiação. </t>
  </si>
  <si>
    <t>1323/2023</t>
  </si>
  <si>
    <t xml:space="preserve">Laboraorio contener </t>
  </si>
  <si>
    <t xml:space="preserve">Laboratório contener </t>
  </si>
  <si>
    <t>Instalação de circuito elétrico.</t>
  </si>
  <si>
    <t>1324/2023</t>
  </si>
  <si>
    <t>Prédio ADM</t>
  </si>
  <si>
    <t>Sada da retoria.</t>
  </si>
  <si>
    <t>Substituição de lâmpadas tubulares 1,20 t8.</t>
  </si>
  <si>
    <t>1325/2023</t>
  </si>
  <si>
    <t xml:space="preserve">Trocar a maçaneta da porta pois a mesma está quebrada  </t>
  </si>
  <si>
    <t>1326/2023</t>
  </si>
  <si>
    <t>Corredor 3º piso</t>
  </si>
  <si>
    <t>Troca de 5 lâmpadas fluorecentes</t>
  </si>
  <si>
    <t>1327/2023</t>
  </si>
  <si>
    <t xml:space="preserve">Contener </t>
  </si>
  <si>
    <t xml:space="preserve">Instalação de ponto de água para abastecimento de laboratório. </t>
  </si>
  <si>
    <t>1328/2023</t>
  </si>
  <si>
    <t>Normalene Sena de Oliveira</t>
  </si>
  <si>
    <t>Tendas do 4° CEPEx - estacionamento UFCAT</t>
  </si>
  <si>
    <t>Estacionamento em frente ao Bloco N até o Bloco Didático II</t>
  </si>
  <si>
    <t>Instalação elétrica para iluminação de todas as tendas que serão montadas para realização do 4° CEPEx/UFCAT. Estarão localizadas no estacionamento da UFCAT (entre o Bloco N e o Bloco didático II).</t>
  </si>
  <si>
    <t>1329/2023</t>
  </si>
  <si>
    <t>No estacionamento da UFCAT (entre o bloco N e o bloco didático II)</t>
  </si>
  <si>
    <t>1ª tenda do CEPEx/UFCAT (tenda 10x10) Próximo ao bloco N</t>
  </si>
  <si>
    <t>Instalação de ponto de água para uso nas tendas do 4° CEPEx UFCAT</t>
  </si>
  <si>
    <t>1330/2023</t>
  </si>
  <si>
    <t>Instalar ao lado do bebedouro, na parede da recepção do CEAPSI, um dispenser de copos plásticos.</t>
  </si>
  <si>
    <t>1331/2023</t>
  </si>
  <si>
    <t>04</t>
  </si>
  <si>
    <t>Verificar tomadas, energia instável, não carrega equipamentos</t>
  </si>
  <si>
    <t>1332/2023</t>
  </si>
  <si>
    <t>Sala do Processamento Técnico (piso administrativo)</t>
  </si>
  <si>
    <t>Recolher o vidro de janela quebrado e verificar a possibilidade de limpar e cortar o outro vidro para servir como apoio para corte com estilete para sala de restauração</t>
  </si>
  <si>
    <t>1333/2023</t>
  </si>
  <si>
    <t>Ajustar o registro do banheiro, quente e frio, pois está com dificuldade para abrir e fechar. Apto 401.</t>
  </si>
  <si>
    <t>1334/2023</t>
  </si>
  <si>
    <t>Reparo em estrutura da porta.</t>
  </si>
  <si>
    <t>1335/2023</t>
  </si>
  <si>
    <t xml:space="preserve">Troca dos dispenser com defeito </t>
  </si>
  <si>
    <t>1336/2023</t>
  </si>
  <si>
    <t xml:space="preserve">Confecção de 08 cabos de rede internet de 10 metros cada. </t>
  </si>
  <si>
    <t xml:space="preserve">Suspensa pelo setor </t>
  </si>
  <si>
    <t>1337/2023</t>
  </si>
  <si>
    <t>Fabricio</t>
  </si>
  <si>
    <t>Porta do banheiro requer troca pois está danificada.</t>
  </si>
  <si>
    <t>1338/2023</t>
  </si>
  <si>
    <t xml:space="preserve">Pintura </t>
  </si>
  <si>
    <t>Infiltração no teto que requer pintura</t>
  </si>
  <si>
    <t>1339/2023</t>
  </si>
  <si>
    <t>Piso Administrativo (piso superior)</t>
  </si>
  <si>
    <t>Troca de lâmpadas queimadas  nas salas do piso administrativo</t>
  </si>
  <si>
    <t>1340/2023</t>
  </si>
  <si>
    <t>Sala da Coordenação Administrativa</t>
  </si>
  <si>
    <t>Reparo em janela (A mesma estava com vidro quebrado mas continuou interditada)</t>
  </si>
  <si>
    <t>Suspenso</t>
  </si>
  <si>
    <t>1341/2023</t>
  </si>
  <si>
    <t>Sala do Processamento Técnico (piso superior)</t>
  </si>
  <si>
    <t>Infiltração no teto que requer pintura.</t>
  </si>
  <si>
    <t>1342/2023</t>
  </si>
  <si>
    <t>Sala da Coordenação de Processamento Técnico (piso superior)</t>
  </si>
  <si>
    <t>Retira de parte de divisória restante</t>
  </si>
  <si>
    <t>1343/2023</t>
  </si>
  <si>
    <t>Sala da Coordenação de Recursos Tecnológicos (RETEC - piso superior)</t>
  </si>
  <si>
    <t>1344/2023</t>
  </si>
  <si>
    <t>Inserir ponto de energia e internet</t>
  </si>
  <si>
    <t>1345/2023</t>
  </si>
  <si>
    <t>estacionamento</t>
  </si>
  <si>
    <t>tendas do evento CEPEX</t>
  </si>
  <si>
    <t>Instalar 2 bebedouros no estacionamento, nas tendas do evento do CEPEX</t>
  </si>
  <si>
    <t>1346/2023</t>
  </si>
  <si>
    <t>BLOCO H - SECRETARIA</t>
  </si>
  <si>
    <t>Tampar um buraco na parede de um furo de parafuso e refazer o furo em outro local.</t>
  </si>
  <si>
    <t>1347/2023</t>
  </si>
  <si>
    <t xml:space="preserve">Fabíola Sartin </t>
  </si>
  <si>
    <t>Sala 04</t>
  </si>
  <si>
    <t>Arrombar porta direita do armário de patrimônio nº716038</t>
  </si>
  <si>
    <t>1348/2023</t>
  </si>
  <si>
    <t>Banheiros do piso administrativo (piso superior)</t>
  </si>
  <si>
    <t>Forte fedor constantemente exalado pelos banheiros</t>
  </si>
  <si>
    <t>1349/2023</t>
  </si>
  <si>
    <t>Hall de entrada do piso administrativo</t>
  </si>
  <si>
    <t>Retirada do Totem com informações em braile que está no piso</t>
  </si>
  <si>
    <t>1350/2023</t>
  </si>
  <si>
    <t>Sala de Estudo Individual do acervo do 2º piso</t>
  </si>
  <si>
    <t>Tapar buraco deixado pela remoção de ar condicionado do local</t>
  </si>
  <si>
    <t>1351/2023</t>
  </si>
  <si>
    <t>Sala de Estudo Individual junto ao acervo do 2º piso</t>
  </si>
  <si>
    <t>Pintura do teto da sala de estudo individual junto ao acervo do 2º piso</t>
  </si>
  <si>
    <t>1352/2023</t>
  </si>
  <si>
    <t>Retirada da fiação solta na porta da sala de estudo individual junto ao acervo do 2º piso</t>
  </si>
  <si>
    <t>1353/2023</t>
  </si>
  <si>
    <t>Todas as janelas do prédio da Biblioteca</t>
  </si>
  <si>
    <t>As janelas do prédio requerem manutenção. Muitas se encontram com vidros soltos devido a perda de borracha ou em vias de ficarem sem borracha de vedação</t>
  </si>
  <si>
    <t>1354/2023</t>
  </si>
  <si>
    <t>Teto do 2º piso necessita de pintura</t>
  </si>
  <si>
    <t>1355/2023</t>
  </si>
  <si>
    <t>2º piso da Biblioteca</t>
  </si>
  <si>
    <t>A fiação do letreiro luminoso da UFCAT está exposta no lado de dentro do prédio</t>
  </si>
  <si>
    <t>1356/2023</t>
  </si>
  <si>
    <t>Piso inferior da Biblioteca</t>
  </si>
  <si>
    <t xml:space="preserve">Disjuntor do painel de energia do painel de energia do subsolo soltou faísca e ficou com odor de queimado assim que foi ligado.                                                                                                                                                                                                                                                                                                                                                                                                                                                                                                                                                                                                                                                                                                                                                                                                                                                                                                                                                                                                                                                                                                                                                                                                                                                                                                                                                                                                                                                                                                                                                                                                                                                                                                                                                                                                                                                                                                                                                                                                                                                                                                                                                                                                                                                                                                                                                                                                                                                                                                                                                                                                                                                                                                                                                                                                                                                                                                                                                                                                                                                                                                                                                                                                                                                                                                                                                                                                                                                                                                                                                                                                                                                                                                                                                                                                                                                                                                                                                                                                                                                                                                                                                                                                                                                                                                                                                                                                                                                                                                                                                                                                                                                                                                                                                                                                                                                                                                                                                                                                                                                                                                                                                                                                                                                                                                                                                                                                                                                                                                                                                                                                                                                                                                                                                                                                                                                                                                                                                                                                                                                                                                                                                                                                                                                                                                                                                                                                                                                                                                                                                                                   </t>
  </si>
  <si>
    <t>1357/2023</t>
  </si>
  <si>
    <t>Laboratório de informática da Biblioteca</t>
  </si>
  <si>
    <t>O fio de energia do ar condicionado está aquecendo muito e exala odor de borracha queimada</t>
  </si>
  <si>
    <t>1358/2023</t>
  </si>
  <si>
    <t xml:space="preserve">Troca de lâmpadas queimadas no laboratório de informática </t>
  </si>
  <si>
    <t>1359/2023</t>
  </si>
  <si>
    <t>Infiltração na parede proveniente das janelas que dão para o canteiro lateral que estão no mesmo nível que elas.</t>
  </si>
  <si>
    <t>1360/2023</t>
  </si>
  <si>
    <t>Laboratório de Informática da Biblioteca</t>
  </si>
  <si>
    <t xml:space="preserve">Fiação exposta </t>
  </si>
  <si>
    <t>1361/2023</t>
  </si>
  <si>
    <t>Piso inferior (próximo a saída lateral da Biblioteca)</t>
  </si>
  <si>
    <t>Lâmpadas do local piscando muito</t>
  </si>
  <si>
    <t>1362/2023</t>
  </si>
  <si>
    <t>Corredor próximo a saída lateral</t>
  </si>
  <si>
    <t>Pedaços de metal das divisórias expostos no chão</t>
  </si>
  <si>
    <t>1363/2023</t>
  </si>
  <si>
    <t>Todas as Câmeras não estão funcionando.</t>
  </si>
  <si>
    <t>1364/2023</t>
  </si>
  <si>
    <t>Sala 116, bloco N</t>
  </si>
  <si>
    <t xml:space="preserve">Instalação de tomada e Disjuntor Termomagnético para instalação de uma AUTOCLAVE </t>
  </si>
  <si>
    <t>1365/2023</t>
  </si>
  <si>
    <t>BEBEDOURO</t>
  </si>
  <si>
    <t xml:space="preserve"> Bebedouro do Bloco J, está vazando água.</t>
  </si>
  <si>
    <t>1366/2023</t>
  </si>
  <si>
    <t>BANHEIRO FEMININO 1º PISO</t>
  </si>
  <si>
    <t>A descarga do vaso sanitário do banheiro feminino (1º piso) do Bloco Didático l, está vazando água, o mesmo foi interditado.</t>
  </si>
  <si>
    <t>1367/2023</t>
  </si>
  <si>
    <t>BANHEIRO FEMININO DO TÉRREO</t>
  </si>
  <si>
    <t>Relatou que no banheiro feminino do Térreo do Bloco Didático I, há um vaso entupido, onde aparentemente haviam jogado papel higiênico dentro, sendo necessário interditar o mesmo.</t>
  </si>
  <si>
    <t>1368/2023</t>
  </si>
  <si>
    <t>DANIEL DOS REIS SIMÕES</t>
  </si>
  <si>
    <t>Trocar uma hélice do ventilador que está quebrada. Apto 304 quarto A.</t>
  </si>
  <si>
    <t>1369/2023</t>
  </si>
  <si>
    <t>Sala da Restauração e Reparos (piso inferior da Biblioteca)</t>
  </si>
  <si>
    <t>Instalação de uma pia de água na sala da Restauração e Pequenos Reparos da Biblioteca.</t>
  </si>
  <si>
    <t>1370/2023</t>
  </si>
  <si>
    <t>elaine carbonero</t>
  </si>
  <si>
    <t>troca de 02 lampadas</t>
  </si>
  <si>
    <t>1371/2023</t>
  </si>
  <si>
    <t xml:space="preserve">Trocar uma hélice do ventilador que está quebrada. Apto 401 </t>
  </si>
  <si>
    <t>1372/2023</t>
  </si>
  <si>
    <t>Sala de estudo coletivo 01 (subsolo)</t>
  </si>
  <si>
    <t>Instalação de vidro na sala de estudo coletivo 01 do piso inferior</t>
  </si>
  <si>
    <t>No momento não temos o vidro disponível, iremos suspender a ordem e assim que tivermos o material avisaremos para realizar o serviço.</t>
  </si>
  <si>
    <t>1373/2023</t>
  </si>
  <si>
    <t>Banheiro Masculino junto ao hall de entrada da Biblioteca</t>
  </si>
  <si>
    <t xml:space="preserve">Troca de Cuba quebrada da pia </t>
  </si>
  <si>
    <t>1374/2023</t>
  </si>
  <si>
    <t>Manutenção (reforço) em sofá da Reitoria</t>
  </si>
  <si>
    <t>1375/2023</t>
  </si>
  <si>
    <t>SALA 209</t>
  </si>
  <si>
    <t>Na sala 209 do Bloco Didático I, encontrou uma cadeira danificada.</t>
  </si>
  <si>
    <t>1376/2023</t>
  </si>
  <si>
    <t>Jackeline Rezende</t>
  </si>
  <si>
    <t>64 981346868</t>
  </si>
  <si>
    <t>Tendas 4° CEPEx</t>
  </si>
  <si>
    <t>Retirar as 2 faixas fixadas nas tendas do 4° CEPEx em frente ao bloco N.</t>
  </si>
  <si>
    <t>1377/2023</t>
  </si>
  <si>
    <t>DVR do Bloco O, se encontra off-line</t>
  </si>
  <si>
    <t>1378/2023</t>
  </si>
  <si>
    <t>Bloco C (Câmera entrada Monitoramento)</t>
  </si>
  <si>
    <t xml:space="preserve">Bloco C (Câmera entrada Monitoramento), se encontra com letras na imagem. </t>
  </si>
  <si>
    <t>1379/2023</t>
  </si>
  <si>
    <t xml:space="preserve">Maria Duarte </t>
  </si>
  <si>
    <t>Bloco Didático I (Câmera do Corredor 2° piso)</t>
  </si>
  <si>
    <t>Bloco Didático I (Câmera do Corredor do 2° piso), se encontra com a imagem totalmente escura, sem visualização da imagem.</t>
  </si>
  <si>
    <t>1380/2023</t>
  </si>
  <si>
    <t xml:space="preserve">Didadico II </t>
  </si>
  <si>
    <t>Câmera Dome do Portão de entrada da lateral do Bloco Didático II</t>
  </si>
  <si>
    <t>Câmera Dome do Portão de entrada da lateral do Bloco Didático II, se encontra travada, não sendo possível fazer nenhum movimento com a Dome.</t>
  </si>
  <si>
    <t>1381/2023</t>
  </si>
  <si>
    <t>Vazamento no sifão do tanque do DML</t>
  </si>
  <si>
    <t>1382/2023</t>
  </si>
  <si>
    <t xml:space="preserve">Bloco Didatico II </t>
  </si>
  <si>
    <t xml:space="preserve">Sifão do bebedouro quebrado </t>
  </si>
  <si>
    <t>1383/2023</t>
  </si>
  <si>
    <t>Verificar vazamento na pia, provavelmente sifão.</t>
  </si>
  <si>
    <t>1384/2023</t>
  </si>
  <si>
    <t>3º pavimento</t>
  </si>
  <si>
    <t>Janela do último pavimento está soltando, quase caindo.</t>
  </si>
  <si>
    <t>1385/2023</t>
  </si>
  <si>
    <t>Ariadne</t>
  </si>
  <si>
    <t>Arrumar fechadura de porta de armário</t>
  </si>
  <si>
    <t>1386/2023</t>
  </si>
  <si>
    <t>Auxílio para dobrar a capa da piscina e colocar no almoxarifado da piscina.</t>
  </si>
  <si>
    <t>1387/2023</t>
  </si>
  <si>
    <t xml:space="preserve">Fiação do ar condicionado, ao ser ligado, sobreaqueceu soltando faíscas e desligando. Deixou um odor de borracha queimada do ambiente </t>
  </si>
  <si>
    <t>1388/2023</t>
  </si>
  <si>
    <t>POSTES EM FRENTE AO BLOCO N</t>
  </si>
  <si>
    <t>Há três postes sem funcionamento, onde o estacionamento de motos próximo ao local ficou bastante escuro.</t>
  </si>
  <si>
    <t>1389/2023</t>
  </si>
  <si>
    <t>SALA 06</t>
  </si>
  <si>
    <t>A fechadura está danificada não sendo possível trancar a porta.</t>
  </si>
  <si>
    <t>1390/2023</t>
  </si>
  <si>
    <t>Predio ADM/ Bloco L interno</t>
  </si>
  <si>
    <t>DVRs do Prédio ADM e Bloco L interno</t>
  </si>
  <si>
    <t>DVRs do Prédio ADM e Bloco L interno estão com data e hora incorretos.</t>
  </si>
  <si>
    <t>1391/2023</t>
  </si>
  <si>
    <t>ALESSANDRO DE SOUZA CARNEIRO</t>
  </si>
  <si>
    <t>64 9 8422-3018</t>
  </si>
  <si>
    <t>Instalação de lousa de vidro na sala do Prof. Alessandro, a Lousa já se encontra na parede que será instalada.</t>
  </si>
  <si>
    <t>1392/2023</t>
  </si>
  <si>
    <t>Efetuar a ligação do fio do nobreak ao disjuntor, para que o nobreak volte a funcionar.</t>
  </si>
  <si>
    <t>1393/2023</t>
  </si>
  <si>
    <t>1394/2023</t>
  </si>
  <si>
    <t xml:space="preserve">Filipe </t>
  </si>
  <si>
    <t>a maçaneta da porta está soltando</t>
  </si>
  <si>
    <t>1395/2023</t>
  </si>
  <si>
    <t>UTT - Laboratório Container</t>
  </si>
  <si>
    <t>Externo</t>
  </si>
  <si>
    <t>Construção de passeio de conexão entre a nova edificação e a passarela existente.</t>
  </si>
  <si>
    <t>1396/2023</t>
  </si>
  <si>
    <t>Sala 310</t>
  </si>
  <si>
    <t>Painel do Ar Condicionado "afundado", e esfriamento não funcionando, apenas ventilação</t>
  </si>
  <si>
    <t>1397/2023</t>
  </si>
  <si>
    <t>Pintura de janelas da sala para diminuição da claridade, principalmente a tarde quando a luz do ambiente externo prejudica diretamente a visualização da lousa e da tela</t>
  </si>
  <si>
    <t>1398/2023</t>
  </si>
  <si>
    <t>Instalação de pia e divisória no DML ou na copa, a ser definido pelo executor do serviço</t>
  </si>
  <si>
    <t>1399/2023</t>
  </si>
  <si>
    <t>Verificar/substituir sifão com vazamento na pia da cozinha do apto 206.</t>
  </si>
  <si>
    <t>1400/2023</t>
  </si>
  <si>
    <t xml:space="preserve">pátio no fundo do bloco </t>
  </si>
  <si>
    <t>Instalação de lâmpada no pátio do bloco B para ministrar aula de campo</t>
  </si>
  <si>
    <t>1401/2023</t>
  </si>
  <si>
    <t>Corredor Ciências Sociais (3.CO.SOCIAIS 2)</t>
  </si>
  <si>
    <t xml:space="preserve">Menu de configuração na tela. </t>
  </si>
  <si>
    <t>1402/2023</t>
  </si>
  <si>
    <t>infiltração no teto da varanda - apto 102</t>
  </si>
  <si>
    <t>1403/2023</t>
  </si>
  <si>
    <t>infiltração no teto da varanda - apto 302</t>
  </si>
  <si>
    <t>1404/2023</t>
  </si>
  <si>
    <t xml:space="preserve">Porta de correr da sala saindo do trilho </t>
  </si>
  <si>
    <t>1405/2023</t>
  </si>
  <si>
    <t xml:space="preserve">COZINHA </t>
  </si>
  <si>
    <t xml:space="preserve">Pia está entupida e com vazamento no sifão </t>
  </si>
  <si>
    <t>1406/2023</t>
  </si>
  <si>
    <t>Colocar silicone nas janelas do quarto B, apto 201.</t>
  </si>
  <si>
    <t>1407/2023</t>
  </si>
  <si>
    <t>instalação de uma TV no apto 301 e 201</t>
  </si>
  <si>
    <t>1408/2023</t>
  </si>
  <si>
    <t xml:space="preserve">banheiro da area comum </t>
  </si>
  <si>
    <t xml:space="preserve">escorre água dos chuveiros no banheiro, visto que o mesmo encontra-se em um poço de ventilação do prédio. </t>
  </si>
  <si>
    <t>1409/2023</t>
  </si>
  <si>
    <t>DVR</t>
  </si>
  <si>
    <t>Bloco Auditório se encontra Off-line.</t>
  </si>
  <si>
    <t>1410/2023</t>
  </si>
  <si>
    <t xml:space="preserve">DVR da Prefeitura </t>
  </si>
  <si>
    <t xml:space="preserve">DVR da Prefeitura se encontra off-line </t>
  </si>
  <si>
    <t>1411/2023</t>
  </si>
  <si>
    <t>DVR Bloco O</t>
  </si>
  <si>
    <t xml:space="preserve">DVR do Bloco O, se encontra off-line </t>
  </si>
  <si>
    <t>1412/2023</t>
  </si>
  <si>
    <t>Verificar/substituir sifão com vazamento no tanque do apto 306.</t>
  </si>
  <si>
    <t>1413/2023</t>
  </si>
  <si>
    <t>Colar 8 pisos táteis que se soltaram do chão e verificar em todos os pavimentos possíveis pisos eminentes de soltura</t>
  </si>
  <si>
    <t>1414/2023</t>
  </si>
  <si>
    <t>banheiro masculino ultimo piso</t>
  </si>
  <si>
    <t>1415/2023</t>
  </si>
  <si>
    <t>Alda</t>
  </si>
  <si>
    <t>Cheiro muito forte de carniça na sala 3 do bloco F, acreditamos que algum animal tenha morrido no forro.</t>
  </si>
  <si>
    <t>1416/2023</t>
  </si>
  <si>
    <t>entrada do Núcleo de Acessibilidade</t>
  </si>
  <si>
    <t>A fechadura da entrada no Núcleo de Acessibilidade está girando ao ser destrancada</t>
  </si>
  <si>
    <t>1417/2023</t>
  </si>
  <si>
    <t>copa cozinha</t>
  </si>
  <si>
    <t>a torneira esta saindo muita pouca água, pode ter algo entupindo a mesma, talvez seja até necessario a troca</t>
  </si>
  <si>
    <t>1418/2023</t>
  </si>
  <si>
    <t xml:space="preserve">Banheiro feminino terreo </t>
  </si>
  <si>
    <t xml:space="preserve"> banheiro feminino da entrada principal, no térreo, tem um vaso sanitário com vasamento de água, no cano que leva água para o vaso sanitário.</t>
  </si>
  <si>
    <t>1419/2023</t>
  </si>
  <si>
    <t>banheiro feminino no primeiro piso também no bloco Didático II, tem dois vaso sanitário, com vasamento de água na válvula de descarga.</t>
  </si>
  <si>
    <t>1420/2023</t>
  </si>
  <si>
    <t xml:space="preserve">Externo </t>
  </si>
  <si>
    <t>Iluminação externa Queimada</t>
  </si>
  <si>
    <t>1421/2023</t>
  </si>
  <si>
    <t xml:space="preserve">Geral </t>
  </si>
  <si>
    <t xml:space="preserve">Troca do disjuntor do ar condicionado </t>
  </si>
  <si>
    <t>1422/2023</t>
  </si>
  <si>
    <t xml:space="preserve">Auditorio Paulo de bastos </t>
  </si>
  <si>
    <t xml:space="preserve">Reforma geral do auditorio paulo de bastos </t>
  </si>
  <si>
    <t>1423/2023</t>
  </si>
  <si>
    <t>Laboratorio (antiga xerox)</t>
  </si>
  <si>
    <t xml:space="preserve">Reforma da antiga sala da xerox, a mesma será um laboratorio </t>
  </si>
  <si>
    <t>1424/2023</t>
  </si>
  <si>
    <t xml:space="preserve">Didatico II </t>
  </si>
  <si>
    <t xml:space="preserve">Falta de energia em todo o bloco </t>
  </si>
  <si>
    <t>1425/2023</t>
  </si>
  <si>
    <t>Solicito auxílio para conserto de vazamento em bebedouro do Laboratório.</t>
  </si>
  <si>
    <t>1426/2023</t>
  </si>
  <si>
    <t>Hélder</t>
  </si>
  <si>
    <t>Montar a armação de ferro que foi usada na Feira das Profissões. O Dpame irá transportar a armação. Fixar a barra da base na região superior para funcionar como um portal. Ver foto em anexo.</t>
  </si>
  <si>
    <t>1427/2023</t>
  </si>
  <si>
    <t xml:space="preserve">Solicito auxílio para trocar de peça quebrada de ultrapurificador de água. A peça para ser trocada já está no Laboratório. </t>
  </si>
  <si>
    <t>1428/2023</t>
  </si>
  <si>
    <t>ÁREA EXTERNA</t>
  </si>
  <si>
    <t xml:space="preserve"> Poste com uma lâmpada queimada do lado externo do Bloco Didático II.</t>
  </si>
  <si>
    <t>1429/2023</t>
  </si>
  <si>
    <t>CAIXA D'ÁGUA</t>
  </si>
  <si>
    <t xml:space="preserve"> Caixa d'água do local está com a sua estrutura danificada, ocasionando um vazamento de água.</t>
  </si>
  <si>
    <t>1430/2023</t>
  </si>
  <si>
    <t xml:space="preserve">Sala do núcleo de acessibilidade e inclusão </t>
  </si>
  <si>
    <t xml:space="preserve">Problema na maçaneta da porta principal </t>
  </si>
  <si>
    <t>1431/2023</t>
  </si>
  <si>
    <t>CALÇADÃO NO FUNDO ENTRE OS PRÉDIOS DIDÁTICO 1 E 2</t>
  </si>
  <si>
    <t>Iluminação das luminárias que ficam no fundo dos prédios didáticos 1e 2 estão queimadas.</t>
  </si>
  <si>
    <t>1432/2023</t>
  </si>
  <si>
    <t>Trocar lâmpada da capela.</t>
  </si>
  <si>
    <t>1433/2023</t>
  </si>
  <si>
    <t>Prefeitura Universitária</t>
  </si>
  <si>
    <t xml:space="preserve">Prefeitura Universitária </t>
  </si>
  <si>
    <t>Confecção de cabo de rede</t>
  </si>
  <si>
    <t>1434/2023</t>
  </si>
  <si>
    <t xml:space="preserve">Bebedouro do bloco J entupido </t>
  </si>
  <si>
    <t>1435/2023</t>
  </si>
  <si>
    <t>111 e 115.</t>
  </si>
  <si>
    <t>Trocar algumas lâmpadas queimadas.</t>
  </si>
  <si>
    <t>1436/2023</t>
  </si>
  <si>
    <t>Ludimila Campos</t>
  </si>
  <si>
    <t xml:space="preserve">Trocar 07 lâmpadas queimadas do Miniauditório Congadas - Bloco L. </t>
  </si>
  <si>
    <t>Falta lampadas especificas para realizar a troca, não temos a disponibilidade da mesma no almoxarifado , 14 Mini flour e 5 gu5.3 50W</t>
  </si>
  <si>
    <t>1437/2023</t>
  </si>
  <si>
    <t>Ana Flávia Marques</t>
  </si>
  <si>
    <t>Tenda kalunga</t>
  </si>
  <si>
    <t>estacionamento bloco 1</t>
  </si>
  <si>
    <t xml:space="preserve">Instalação de parte elétrica (iluminação, tomadas e extensão) para tenda posicionada ao lado do RU para os dias 08, 09 e 10 de novembro </t>
  </si>
  <si>
    <t>1438/2023</t>
  </si>
  <si>
    <t xml:space="preserve">Banheiro Feminino Térreo </t>
  </si>
  <si>
    <t xml:space="preserve">Vaso sanitário sem tampa </t>
  </si>
  <si>
    <t>1439/2023</t>
  </si>
  <si>
    <t>Vazamento na válvula do sanitário do apto 401.</t>
  </si>
  <si>
    <t>1440/2023</t>
  </si>
  <si>
    <t>Mayani</t>
  </si>
  <si>
    <t>Algumas tomadas pararam de funcionar, e 1 lampada esta queimada</t>
  </si>
  <si>
    <t>1441/2023</t>
  </si>
  <si>
    <t>mayani</t>
  </si>
  <si>
    <t>banheiro feminino do térreo</t>
  </si>
  <si>
    <t>desentupir as pias do banheiro feminino. está demorando muito pra escoar a agua</t>
  </si>
  <si>
    <t>1442/2023</t>
  </si>
  <si>
    <t>Tenda ao lado do ru</t>
  </si>
  <si>
    <t>Gostaríamos de solicitar a instalação de uma faixa, que já esta pronta, na estrutura da tenda que já se encontra instalada ao lado do RU. A instalação necessita ser feita amanhã (08/11) às 07:00.</t>
  </si>
  <si>
    <t>1443/2023</t>
  </si>
  <si>
    <t xml:space="preserve">Estacionamento veiculo oficiais </t>
  </si>
  <si>
    <t xml:space="preserve">Pintura da demarcação do asfalto </t>
  </si>
  <si>
    <t>1444/2023</t>
  </si>
  <si>
    <t>Thaiany dos Santos Silva de Aquino</t>
  </si>
  <si>
    <t>Casa de Vegetação</t>
  </si>
  <si>
    <t>Solicitamos cobertura da caixa e da bomba d'água da casa de vegetação</t>
  </si>
  <si>
    <t>1445/2023</t>
  </si>
  <si>
    <t>Janaina Rodovalho Moreira</t>
  </si>
  <si>
    <t>A cozinha está com um odor desagradável.</t>
  </si>
  <si>
    <t>1446/2023</t>
  </si>
  <si>
    <t>C</t>
  </si>
  <si>
    <t>Montagem de armário do CIC na sala 8 do bloco C</t>
  </si>
  <si>
    <t>1447/2023</t>
  </si>
  <si>
    <t>Montagem de mesa na sala 11 do bloco c</t>
  </si>
  <si>
    <t>1448/2023</t>
  </si>
  <si>
    <t>Hall</t>
  </si>
  <si>
    <t>Substituição de Disjuntor do Quadro de Força de Ar condicionado</t>
  </si>
  <si>
    <t>1449/2023</t>
  </si>
  <si>
    <t>BANHEIRO PARA PORTADORES DE NECESSIDADES ESPECIAIS.</t>
  </si>
  <si>
    <t>Banheiro de portadores de necessidades especiais do térreo do Didático 1 esta entupido, a mesma trancou o banheiro.</t>
  </si>
  <si>
    <t>1450/2023</t>
  </si>
  <si>
    <t>Devido ao vento, a porta da Sala 209 bateu e quebrou o vidro.</t>
  </si>
  <si>
    <t>1451/2023</t>
  </si>
  <si>
    <t>Área externa do Bloco B</t>
  </si>
  <si>
    <t>Refletor de Led entrou em curto, durante chuva e apenas a metade dos Led estão funcionando.</t>
  </si>
  <si>
    <t>1452/2023</t>
  </si>
  <si>
    <t xml:space="preserve">Caixa d' água </t>
  </si>
  <si>
    <t xml:space="preserve">Instalação de registro da caixa d' água e adequação na hidráulica </t>
  </si>
  <si>
    <t>1453/2023</t>
  </si>
  <si>
    <t xml:space="preserve">Troca de 01 lâmpada </t>
  </si>
  <si>
    <t>1454/2023</t>
  </si>
  <si>
    <t>Troca de filtro do bebedouro da recepção do CEAPSI.</t>
  </si>
  <si>
    <t>1455/2023</t>
  </si>
  <si>
    <t>A torneira fica presa depois de acionada, deixando a água correr por muito tempo. Já foram realizadas algumas tentativas de resolver mas aos poucos vai passando cada vez mais tempo ligada quando trava. Se possível gostariamos da troca da mesma.</t>
  </si>
  <si>
    <t>1456/2023</t>
  </si>
  <si>
    <t>62 985499580</t>
  </si>
  <si>
    <t>Sala 111</t>
  </si>
  <si>
    <t>Verificação das lâmpadas de uma capela de exaustão, lâmpadas não funcionam. Capela  do canto, vermelha.</t>
  </si>
  <si>
    <t>1457/2023</t>
  </si>
  <si>
    <t>Solicito desligamento de Nobreak da rede de energia, pois o mesmo não está mantendo equipamentos em bom funcionamento.</t>
  </si>
  <si>
    <t>1458/2023</t>
  </si>
  <si>
    <t>Lab 115</t>
  </si>
  <si>
    <t>Confecção de 3 Carrinhos/Suportes para cilindros de gases especiais</t>
  </si>
  <si>
    <t xml:space="preserve">Aguardando setor solicitante adquirir o material faltante </t>
  </si>
  <si>
    <t>1459/2023</t>
  </si>
  <si>
    <t>Sala de estagiários no CEAPSI</t>
  </si>
  <si>
    <t xml:space="preserve">Uma lâmpada fluorescente tubular queimou na sala onde os estagiários aguardam o momento de realizar os atendimentos no CEAPSI. </t>
  </si>
  <si>
    <t>1460/2023</t>
  </si>
  <si>
    <t>BEBEDOURO DO 2º PISO</t>
  </si>
  <si>
    <t>Mangueira do bebedouro do Bloco Didático II, 2º piso está vazando água.</t>
  </si>
  <si>
    <t>1461/2023</t>
  </si>
  <si>
    <t>GABINETE 1/D</t>
  </si>
  <si>
    <t xml:space="preserve">FECHADURA QUEBRADA </t>
  </si>
  <si>
    <t>1462/2023</t>
  </si>
  <si>
    <t>Ana Flávia</t>
  </si>
  <si>
    <t>Estacionamento</t>
  </si>
  <si>
    <t>Estacionamento ao lado do RU</t>
  </si>
  <si>
    <t>Retirada de decoração (panos coloridos) que se encontram na tenda montada ao lado do restaurante universitário</t>
  </si>
  <si>
    <t>1463/2023</t>
  </si>
  <si>
    <t>Solicito a instalação de duas tomadas próximas à geladeira.</t>
  </si>
  <si>
    <t xml:space="preserve">Material Faltante: 2 Tomada Dupla </t>
  </si>
  <si>
    <t>1464/2023</t>
  </si>
  <si>
    <t xml:space="preserve">area externa </t>
  </si>
  <si>
    <t xml:space="preserve">Instalação de sistema de irrigação </t>
  </si>
  <si>
    <t>1465/2023</t>
  </si>
  <si>
    <t xml:space="preserve">Sala principal </t>
  </si>
  <si>
    <t>Vazamento em torneira</t>
  </si>
  <si>
    <t>1466/2023</t>
  </si>
  <si>
    <t xml:space="preserve"> Vidro da janela da sala 104 do Bloco Didático II, se encontra trincado.</t>
  </si>
  <si>
    <t>1467/2023</t>
  </si>
  <si>
    <t>Bebedouro que fica localizado no corredor do Bloco D, precisa de manutenção pois o mesmo não está gelando água.</t>
  </si>
  <si>
    <t>1468/2023</t>
  </si>
  <si>
    <t>Bebedouro que fica localizado no corredor do Bloco G, precisa de manutenção pois o mesmo não está gelando água.</t>
  </si>
  <si>
    <t>1469/2023</t>
  </si>
  <si>
    <t>Em frente a sala 02</t>
  </si>
  <si>
    <t xml:space="preserve">Bebedouro grande não está gelando a água  </t>
  </si>
  <si>
    <t>1470/2023</t>
  </si>
  <si>
    <t>Sala 23</t>
  </si>
  <si>
    <t>Confeccionar reforço em "X" (de fundo ou lateral) para estabilizar estante de aço bamba.</t>
  </si>
  <si>
    <t>1471/2023</t>
  </si>
  <si>
    <t>Prezados(as), informo que várias lâmpadas do corredor do bloco E estão queimadas, solicito a troca, o mais rápido possível, pois a secretaria, diretoria do IEL e o Centro de Línguas funcionam nesse bloco.</t>
  </si>
  <si>
    <t>1472/2023</t>
  </si>
  <si>
    <t xml:space="preserve">Substituição da valvula de descarga </t>
  </si>
  <si>
    <t>1473/2023</t>
  </si>
  <si>
    <t xml:space="preserve">Remoção de projetor para manutenção
</t>
  </si>
  <si>
    <t>1474/2023</t>
  </si>
  <si>
    <t>Ralo do banheiro está entupido.</t>
  </si>
  <si>
    <t>1475/2023</t>
  </si>
  <si>
    <t>Infiltração no teto do banheiro do 205</t>
  </si>
  <si>
    <t>1476/2023</t>
  </si>
  <si>
    <t>Apto 301</t>
  </si>
  <si>
    <t>Ajustar as maçanetas do quarto C e banheiro, apto 301</t>
  </si>
  <si>
    <t>1477/2023</t>
  </si>
  <si>
    <t>Ajustar a tomada da cozinha que está solta</t>
  </si>
  <si>
    <t>1478/2023</t>
  </si>
  <si>
    <t>Infiltração no teto do banheiro do apto 301</t>
  </si>
  <si>
    <t>1479/2023</t>
  </si>
  <si>
    <t>Dar uma olhada na descarga do banheiro esquerdo do apto 406</t>
  </si>
  <si>
    <t>1480/2023</t>
  </si>
  <si>
    <t xml:space="preserve">válvula do chuveiro espanada, lado esquedo </t>
  </si>
  <si>
    <t>1481/2023</t>
  </si>
  <si>
    <t>Câmera Entrada Lateral</t>
  </si>
  <si>
    <t>imagens da câmera entrada lateral do Campus II esta escura.</t>
  </si>
  <si>
    <t>1482/2023</t>
  </si>
  <si>
    <t>Banheiro social - térreo</t>
  </si>
  <si>
    <t>Instalar chuveiro no banheiro social do térreo</t>
  </si>
  <si>
    <t>1483/2023</t>
  </si>
  <si>
    <t>Confecção de 24 estacas para afixação de tendas</t>
  </si>
  <si>
    <t>1484/2023</t>
  </si>
  <si>
    <t>Confecção de cavalete para montagem de tenda</t>
  </si>
  <si>
    <t>1485/2023</t>
  </si>
  <si>
    <t xml:space="preserve">laboratório </t>
  </si>
  <si>
    <t xml:space="preserve">Instalação de ruffo </t>
  </si>
  <si>
    <t>1486/2023</t>
  </si>
  <si>
    <t>Piso Administrativo da Biblioteca</t>
  </si>
  <si>
    <t>O bebedouro da entrada do piso administrativo da Biblioteca está vazando água.</t>
  </si>
  <si>
    <t>1487/2023</t>
  </si>
  <si>
    <t xml:space="preserve">Postes em frente ao Bloco N </t>
  </si>
  <si>
    <t xml:space="preserve">Postes em frente ao Bloco N, se encontram sem iluminação, dificultando a visualização de imagens pela câmera Dome (MULTI), para averiguação do estacionamento de motos, próximo ao local está tudo escuro. </t>
  </si>
  <si>
    <t>1488/2023</t>
  </si>
  <si>
    <t>Rejane/Erislane</t>
  </si>
  <si>
    <t xml:space="preserve">Sala 04 - Multimeios </t>
  </si>
  <si>
    <t>Afixar o quadro que está um pouco solto na parede.</t>
  </si>
  <si>
    <t>1489/2023</t>
  </si>
  <si>
    <t xml:space="preserve">Instalar bocal da lâmpada do ventilador que se soltou e substituir uma hélice </t>
  </si>
  <si>
    <t>1490/2023</t>
  </si>
  <si>
    <t>REFLETORES DO LETREIRO DA BIBLIOTECA UFCAT</t>
  </si>
  <si>
    <t>Refletores do letreiro da Biblioteca não estão funcionando</t>
  </si>
  <si>
    <t>1491/2023</t>
  </si>
  <si>
    <t>Bebedouro do Restaurante Universitário esta entupido.</t>
  </si>
  <si>
    <t>1492/2023</t>
  </si>
  <si>
    <t>Géssica C dos Reis</t>
  </si>
  <si>
    <t>2º do bloco didático 1</t>
  </si>
  <si>
    <t>O bebedouro do 2º do bloco didático 1 esta com vazamento. A solicitação é com urgência pois terá prova no próximo domingo (26/11/2023) do ENADE</t>
  </si>
  <si>
    <t>1493/2023</t>
  </si>
  <si>
    <t>SALA 04</t>
  </si>
  <si>
    <t>A chave emperrou na fechadura da porta da Sala 04 do Bloco H.</t>
  </si>
  <si>
    <t>1494/2023</t>
  </si>
  <si>
    <t>elaine R carbonero</t>
  </si>
  <si>
    <t>Antigo Xerox</t>
  </si>
  <si>
    <t>Instalação de prateleiras nas bancadas do lab de cromatografia (Antigo Xerox)</t>
  </si>
  <si>
    <t>1495/2023</t>
  </si>
  <si>
    <t>1496/2023</t>
  </si>
  <si>
    <t>O banheiro feminino 1º piso do Bloco Administrativo está entupido.</t>
  </si>
  <si>
    <t>1497/2023</t>
  </si>
  <si>
    <t>O trinco da porta da sala de aula 106 quebrou.</t>
  </si>
  <si>
    <t>1498/2023</t>
  </si>
  <si>
    <t>SUBSOLO</t>
  </si>
  <si>
    <t>Torneira vazando água no Subsolo, com mal funcionamento.</t>
  </si>
  <si>
    <t>1499/2023</t>
  </si>
  <si>
    <t xml:space="preserve">Banheiro não está dando descarga. </t>
  </si>
  <si>
    <t>1500/2023</t>
  </si>
  <si>
    <t xml:space="preserve">Instalação eletrica </t>
  </si>
  <si>
    <t>1501/2023</t>
  </si>
  <si>
    <t xml:space="preserve">campus II </t>
  </si>
  <si>
    <t xml:space="preserve">Substituição de 3 torneiras </t>
  </si>
  <si>
    <t>1502/2023</t>
  </si>
  <si>
    <t>Favor realizar a troca de lâmpada da sala da Coordenação do PPGEL.</t>
  </si>
  <si>
    <t>1503/2023</t>
  </si>
  <si>
    <t>Deivid Marques NUnes</t>
  </si>
  <si>
    <t xml:space="preserve">Àrea aberta do Campus onde montará uma tenda 10x10m. Anexo ao bloco. </t>
  </si>
  <si>
    <t xml:space="preserve">O evento é o Plantio Baobá e será montada uma tenda 10x10m no campus II e há necessidade de instalação de energia e iluminação da tenda para a realização do evento.
</t>
  </si>
  <si>
    <t>1504/2023</t>
  </si>
  <si>
    <t xml:space="preserve">Administrativo </t>
  </si>
  <si>
    <t xml:space="preserve">Instalação de bebedouro </t>
  </si>
  <si>
    <t>1505/2023</t>
  </si>
  <si>
    <t>Sala 5 - segundo piso</t>
  </si>
  <si>
    <t>Instalação de 4 tomadas na sala 05 (2 piso). Este pedido justifica-se pela demanda de utilização de equipamentos dos laboratórios, no entanto a falta de tomadas impossibilita a utilização de aparelhos o que impacta diretamente as atividades de ensino e pesquisa.</t>
  </si>
  <si>
    <t>Material Faltante: adaptador, conduletes e curva de eletroduto de 1/2</t>
  </si>
  <si>
    <t>1506/2023</t>
  </si>
  <si>
    <t xml:space="preserve">Passar silicone na grade do poço de ventilação no telhado </t>
  </si>
  <si>
    <t>1507/2023</t>
  </si>
  <si>
    <t>Ajustar a maçaneta do banheiro, apto 406</t>
  </si>
  <si>
    <t>1508/2023</t>
  </si>
  <si>
    <t>Tem um piso se soltando na varanda do apto 401</t>
  </si>
  <si>
    <t>1509/2023</t>
  </si>
  <si>
    <t>Gabriel de Melo Neto</t>
  </si>
  <si>
    <t>não uso</t>
  </si>
  <si>
    <t>Horta</t>
  </si>
  <si>
    <t>Instalação de luminárias na área da horta para a realização de atividades pedagógicas de práticas em Agroecologia.</t>
  </si>
  <si>
    <t>1510/2023</t>
  </si>
  <si>
    <t>Bebedouro da cozinha está com vazamento, apto 402</t>
  </si>
  <si>
    <t>1511/2023</t>
  </si>
  <si>
    <t>Não utilizo celular.</t>
  </si>
  <si>
    <t>Instalação de mais uma torneira no local.</t>
  </si>
  <si>
    <t>1512/2023</t>
  </si>
  <si>
    <t>não utilizo</t>
  </si>
  <si>
    <t>Instalação de reservatório de água permanente com no mínimo 500 litros para a realização de atividades pedagógicas de agroecologia.</t>
  </si>
  <si>
    <t>1513/2023</t>
  </si>
  <si>
    <t xml:space="preserve">apto 301 </t>
  </si>
  <si>
    <t xml:space="preserve">ventilador funcionando mal </t>
  </si>
  <si>
    <t>1514/2023</t>
  </si>
  <si>
    <t>Emival</t>
  </si>
  <si>
    <t>Sala 265, 267</t>
  </si>
  <si>
    <t>Luzes das salas 265 e 267 não pararam de funcionar</t>
  </si>
  <si>
    <t>1515/2023</t>
  </si>
  <si>
    <t>DVR DESCONECTADO</t>
  </si>
  <si>
    <t>1516/2023</t>
  </si>
  <si>
    <t>1517/2023</t>
  </si>
  <si>
    <t xml:space="preserve">Câmera DOME </t>
  </si>
  <si>
    <t>Câmera DOME do Bloco Didático I, se encontra com a imagem toda preta, sem visualização de imagens.</t>
  </si>
  <si>
    <t>1518/2023</t>
  </si>
  <si>
    <t xml:space="preserve">Quadra esportiva coberta  </t>
  </si>
  <si>
    <t xml:space="preserve">As luzes da quadra coberta não estão ligando. </t>
  </si>
  <si>
    <t>1519/2023</t>
  </si>
  <si>
    <t xml:space="preserve">Jogar veneno no formigueiros que estão no campo de futebol.  </t>
  </si>
  <si>
    <t>1520/2023</t>
  </si>
  <si>
    <t xml:space="preserve">Adubar a grama do campo de futebol. </t>
  </si>
  <si>
    <t>Ordem reaberta em 2024</t>
  </si>
  <si>
    <t>1521/2023</t>
  </si>
  <si>
    <t xml:space="preserve">Geaneliza Pimentel </t>
  </si>
  <si>
    <t>(64)993074781</t>
  </si>
  <si>
    <t>Odor fétido de animal em decomposição na sala 10 - Secretaria do Curso de História</t>
  </si>
  <si>
    <t>1522/2023</t>
  </si>
  <si>
    <t>Jeane Rabello</t>
  </si>
  <si>
    <t>211, 1º andar CEP UFCAT</t>
  </si>
  <si>
    <t>Confecção de 5 cabos de internet de 10 metros cada</t>
  </si>
  <si>
    <t>1523/2023</t>
  </si>
  <si>
    <t xml:space="preserve">Auditorio Sirlene </t>
  </si>
  <si>
    <t>Troca das lampadas queimadas</t>
  </si>
  <si>
    <t>1524/2023</t>
  </si>
  <si>
    <t>Almoxarifado prefeitura universitária</t>
  </si>
  <si>
    <t>Troca de lampadas queimadas</t>
  </si>
  <si>
    <t>1525/2023</t>
  </si>
  <si>
    <t xml:space="preserve">Poste lado externo </t>
  </si>
  <si>
    <t xml:space="preserve">poste lado externo caiu com a chuva e quebrou a lampada </t>
  </si>
  <si>
    <t>1526/2023</t>
  </si>
  <si>
    <t xml:space="preserve">Sala do Monitoramento </t>
  </si>
  <si>
    <t xml:space="preserve">Isolamento de parede com calha onde passa tubulação </t>
  </si>
  <si>
    <t>1527/2023</t>
  </si>
  <si>
    <t>Instalação de caixa dágua para abastecimento do restaurante</t>
  </si>
  <si>
    <t>1528/2023</t>
  </si>
  <si>
    <t>Trocar um hélice do ventilador, quarto A</t>
  </si>
  <si>
    <t>1529/2023</t>
  </si>
  <si>
    <t xml:space="preserve">Vestiários da piscina </t>
  </si>
  <si>
    <t xml:space="preserve">Está sem água nos vestiários da piscina </t>
  </si>
  <si>
    <t>1530/2023</t>
  </si>
  <si>
    <t>DVRs Prédio ADM/ L interno/Bloco N e Campus II</t>
  </si>
  <si>
    <t>DVRs Prédio ADM/ L interno /Bloco N e Campus II estão com data e hora incorretos</t>
  </si>
  <si>
    <t>1531/2023</t>
  </si>
  <si>
    <t>DVR câmeras desconectadas</t>
  </si>
  <si>
    <t>DVR das câmeras bloco O está desconectado</t>
  </si>
  <si>
    <t>1532/2023</t>
  </si>
  <si>
    <t>Sala 01</t>
  </si>
  <si>
    <t>Pintura da Sala 01</t>
  </si>
  <si>
    <t>1533/2023</t>
  </si>
  <si>
    <t>Falta de água (verificado parte eletrica)</t>
  </si>
  <si>
    <t>1534/2023</t>
  </si>
  <si>
    <t>Fazer a montagem de 10 bancos que serão utilizados na tenda da MUC</t>
  </si>
  <si>
    <t>Aguardando restante do material (140 parafusos com porca, 5 bancos prontos, restante para montar 5</t>
  </si>
  <si>
    <t>1535/2023</t>
  </si>
  <si>
    <t>Pia da cozinha está com vazamento, apto 302.</t>
  </si>
  <si>
    <t>1536/2023</t>
  </si>
  <si>
    <t xml:space="preserve">Sala direção </t>
  </si>
  <si>
    <t xml:space="preserve">Reinstalação do ar condicionado </t>
  </si>
  <si>
    <t>1537/2023</t>
  </si>
  <si>
    <t xml:space="preserve">Instalação de cuba </t>
  </si>
  <si>
    <t>1538/2023</t>
  </si>
  <si>
    <t>PORTA DO FUNDO</t>
  </si>
  <si>
    <t xml:space="preserve">A fechadura da porta do fundo esta danificada a chave está travada.
</t>
  </si>
  <si>
    <t>1539/2023</t>
  </si>
  <si>
    <t>Uma tampa de bueiro quebrada.</t>
  </si>
  <si>
    <t>1540/2023</t>
  </si>
  <si>
    <t>Porta da sala saiu do trilho, apto 402</t>
  </si>
  <si>
    <t>1541/2023</t>
  </si>
  <si>
    <t>Sensor de presença está fazendo muito barulho, 3º pavimento</t>
  </si>
  <si>
    <t>1542/2023</t>
  </si>
  <si>
    <t xml:space="preserve">Cola piso tátil </t>
  </si>
  <si>
    <t>1543/2023</t>
  </si>
  <si>
    <t>64 9 9699-0617</t>
  </si>
  <si>
    <t>Solicito desconexão de filtro de água do sistema hidráulico.</t>
  </si>
  <si>
    <t>1544/2023</t>
  </si>
  <si>
    <t>tenda no estacionamento</t>
  </si>
  <si>
    <t xml:space="preserve">Instalação de sistema  elétrico na tenda que será montada no campus 2. Para que possa ser utilizado computadores, microfone e caixa de som e iluminação. </t>
  </si>
  <si>
    <t xml:space="preserve">Ordens Suspensa por duplicidade </t>
  </si>
  <si>
    <t>1545/2023</t>
  </si>
  <si>
    <t>1546/2023</t>
  </si>
  <si>
    <t>Laboratório de Geotecnia - FENG</t>
  </si>
  <si>
    <t>Nenhuma das lâmpadas do Laboratório de Geotecnia estão acendendo. Não sei se foi alguma queda no disjuntor com as últimas oscilações de energia ou se todas as lâmpadas queimaram naquele dia em que houve queda total. Dessa maneira, gostaria que fosse avaliado, pois teremos aulas práticas no Laboratório em breve.</t>
  </si>
  <si>
    <t>1547/2023</t>
  </si>
  <si>
    <t>Ventilador está soltando do teto e falta 1 hélice. Quarto A, 402</t>
  </si>
  <si>
    <t>1548/2023</t>
  </si>
  <si>
    <t xml:space="preserve">Pintura lado externo auditorio </t>
  </si>
  <si>
    <t>1549/2023</t>
  </si>
  <si>
    <t xml:space="preserve">Telhado auditorio </t>
  </si>
  <si>
    <t xml:space="preserve">Reparo goteira telhado </t>
  </si>
  <si>
    <t>1550/2023</t>
  </si>
  <si>
    <t>Vazamento da descarga no vaso sanitário - apto 101</t>
  </si>
  <si>
    <t>1551/2023</t>
  </si>
  <si>
    <t>Copa, 3º piso</t>
  </si>
  <si>
    <t>Vazamento no registro de água</t>
  </si>
  <si>
    <t>1552/2023</t>
  </si>
  <si>
    <t>ENTRADA MONITORAMENTO</t>
  </si>
  <si>
    <t xml:space="preserve">Câmera entrada monitoramento com interferência. </t>
  </si>
  <si>
    <t>1553/2023</t>
  </si>
  <si>
    <t>Geaneliza de Fátima Rodrigues Rangel Pimentelel</t>
  </si>
  <si>
    <t>(64) 9 - 9307-4581</t>
  </si>
  <si>
    <t>Sala 10  Secretaria do Curso de História</t>
  </si>
  <si>
    <t>Lampada queimada na sala 10 do Bloco "C" precisa ser trocada,  uma vez que a secretaria do Curso de História funciona no período noturno.</t>
  </si>
  <si>
    <t>1554/2023</t>
  </si>
  <si>
    <t>Marcelo José Gomes de Lima</t>
  </si>
  <si>
    <t>64 99230 3609</t>
  </si>
  <si>
    <t>Tenda externa ao lado do Estacionamento da MUC</t>
  </si>
  <si>
    <t>Realizar a manutenção da tenda externa da Moradia Universitária porque chove mais dentro do que fora dependendo de como vem a chuva. A capa tá solta, falta pelo menos mais uma capa pra fechar em 3 partes e proteger melhor. Precisamos também reforçar a lona para não vazar água pra dentro. E por fim, realizar uma vistoria no teto para checar possíveis goteiras.</t>
  </si>
  <si>
    <t xml:space="preserve">Setor de manutenção não realiza este tipo de serviço, enviado e-mail informando </t>
  </si>
  <si>
    <t>1555/2023</t>
  </si>
  <si>
    <t>Filipe de Oliveira Batista</t>
  </si>
  <si>
    <t>Lote Ipanema DCE</t>
  </si>
  <si>
    <t>Lote Dce</t>
  </si>
  <si>
    <t>Realizar a roçagem do lote</t>
  </si>
  <si>
    <t>1556/2023</t>
  </si>
  <si>
    <t>Câmera 08 (Bicicletário)</t>
  </si>
  <si>
    <t>Câmera 08 (Bicicletário), do Bloco Didático I, se encontra com interferência no sinal.</t>
  </si>
  <si>
    <t>1557/2023</t>
  </si>
  <si>
    <t>Instalação de Switch</t>
  </si>
  <si>
    <t>Setor de manunteção não realiza instalação de aparelhom enviado e-mail</t>
  </si>
  <si>
    <t>1558/2023</t>
  </si>
  <si>
    <t xml:space="preserve">Está tendo infiltrações e vazamentos, goteiras no teto da sala 13  </t>
  </si>
  <si>
    <t>1559/2023</t>
  </si>
  <si>
    <t>Parte externa, recepção e banheiros da recepção do CEAPSI</t>
  </si>
  <si>
    <t>Nos espaços discriminados existem algumas rachaduras, que em momento de chuva escoam água dentro da recepção e dos banheiros</t>
  </si>
  <si>
    <t>1560/2023</t>
  </si>
  <si>
    <t>Confeccionar "pé cantoneira de aço" para:
- 6 arquivos de aço c/ 4 gavetas;
- 9 armários de aço c/ 2 portas; e
- 1 armário em MDF c/ 2 portas.</t>
  </si>
  <si>
    <t>1561/2023</t>
  </si>
  <si>
    <t>Cristiane da Silva Santos</t>
  </si>
  <si>
    <t>Pista de atletismo</t>
  </si>
  <si>
    <t>Banco de arremesso de peso e lançamento de disco para pessoas com deficiência.</t>
  </si>
  <si>
    <t>Falei com Sergio Idalino e estou ciente da demanda de voces, mas se pudesse fazer até  15 de fevereiro, o projeto só vai até junho</t>
  </si>
  <si>
    <t>1562/2023</t>
  </si>
  <si>
    <t>Hall da Engenharia de Minas</t>
  </si>
  <si>
    <t>O Bebedouro parou de sair água e estava vazando bastante. O servidor da Prefeitura Universitária recomendou abrir um chamado para a troca do bebedouro.</t>
  </si>
  <si>
    <t>Enviado e-mail para o setor solicitante verificar junto ao CEPATRI se tem o bebedouro disponivel</t>
  </si>
  <si>
    <t>1563/2023</t>
  </si>
  <si>
    <t>Salas 6 e 23</t>
  </si>
  <si>
    <t>- Realizar a vistoria de 3 armários de aço c/ 2 portas;
- Instalar e trocar (quando necessário) fechadura (c/ chave) de aço nos referidos armários; ou
- Instalar dobradiça (ou fecho lingueta) porta-cadeado de aço nos armários mencionados, que permita mantê-los fechados e trancados.</t>
  </si>
  <si>
    <t>1564/2023</t>
  </si>
  <si>
    <t xml:space="preserve">Sala 3 </t>
  </si>
  <si>
    <t xml:space="preserve">Reinstalar as cortinas da sala 03 (secretaria IEL), que foi recentemente reformada. As cortinas antigas se encontram na sala 02, do mesmo bloco. </t>
  </si>
  <si>
    <t>1565/2023</t>
  </si>
  <si>
    <t xml:space="preserve">Banheiros 1º andar - Corredor -  Sala 107 e 108 </t>
  </si>
  <si>
    <t xml:space="preserve">Ao acionar o interruptor as lâmpadas não acende. </t>
  </si>
  <si>
    <t>1566/2023</t>
  </si>
  <si>
    <t>apto 202</t>
  </si>
  <si>
    <t>maçaneta da porta de entrada com problema</t>
  </si>
  <si>
    <t>1567/2023</t>
  </si>
  <si>
    <t xml:space="preserve">lado externo </t>
  </si>
  <si>
    <t xml:space="preserve">Limpeza de banco após pinchar </t>
  </si>
  <si>
    <t>1568/2023</t>
  </si>
  <si>
    <t>BANHEIRO MASCULINO TÉRREO</t>
  </si>
  <si>
    <t>As cerâmicas estão soltando da parede do banheiro masculino do Bloco Didático, para evitar transtornos o banheiro foi fechado.</t>
  </si>
  <si>
    <t>1569/2023</t>
  </si>
  <si>
    <t>CORREDOR 1º PISO</t>
  </si>
  <si>
    <t>Relatou que as luzes do corredor do 1º piso do Bloco L, não estão acendendo.</t>
  </si>
  <si>
    <t>1570/2023</t>
  </si>
  <si>
    <t>BANHEIRO MASCULINO DO 1°PISO</t>
  </si>
  <si>
    <t>Há uma torneira com mal funcionamento, ao abrir a mesma ela não cessa a água sozinha, sendo necessário puxar o registro da torneira para cima para interromper com a vazão da água.</t>
  </si>
  <si>
    <t>1571/2023</t>
  </si>
  <si>
    <t xml:space="preserve">Instalação de caixa de água </t>
  </si>
  <si>
    <t>1572/2023</t>
  </si>
  <si>
    <t>Sala da Coordenação ode Atendimento, 2º piso</t>
  </si>
  <si>
    <t>A porta da Coordenação de Atendimento do 2º piso não abre, a chave está girando</t>
  </si>
  <si>
    <t>1573/2023</t>
  </si>
  <si>
    <t xml:space="preserve">Reparo da bomba de agua campus II </t>
  </si>
  <si>
    <t xml:space="preserve">Reparo da bomba de água campus II </t>
  </si>
  <si>
    <t>1574/2023</t>
  </si>
  <si>
    <t>Welliton Alves</t>
  </si>
  <si>
    <t>CCS</t>
  </si>
  <si>
    <t>Troca de lâmpada queimada</t>
  </si>
  <si>
    <t>1575/2023</t>
  </si>
  <si>
    <t>BEBEDOURO TÉRREO</t>
  </si>
  <si>
    <t>O bebedouro do térreo do Bloco Didático l, está vazando água. Relato também, que foi colocado uma sacola plástica para cessar o vazamento até ser feito o reparo.</t>
  </si>
  <si>
    <t>1576/2023</t>
  </si>
  <si>
    <t>HALL DE ENTRADA (SALA RACK)</t>
  </si>
  <si>
    <t xml:space="preserve">Configurações de menu na imagem. </t>
  </si>
  <si>
    <t>1577/2023</t>
  </si>
  <si>
    <t>Deusmar</t>
  </si>
  <si>
    <t>Corredor de acesso as cubas do Laboratório de Anatomia</t>
  </si>
  <si>
    <t>Vazamento de água do equipamento de proteção coletiva (Lava olhos + chuveiro), localizado no corredor de acesso do Laboratório de Anatomia Humana.</t>
  </si>
  <si>
    <t>1578/2023</t>
  </si>
  <si>
    <t xml:space="preserve">as câmeras da cerca lateral 1 e estacionamento estão com problemas, a reprodução do vídeo esta bem ruim </t>
  </si>
  <si>
    <t>1579/2023</t>
  </si>
  <si>
    <t>Construir um espaço para guardar os materiais que serão utilizados na horta, com ponto de energia e ponto de água para instalação de pia.  O dimensionamento será definido juntamente com o executor do serviço.</t>
  </si>
  <si>
    <t>1580/2023</t>
  </si>
  <si>
    <t>Confecção de apoio para cinto de segurança</t>
  </si>
  <si>
    <t>Enviado e-mail orientando que é com a SEINFRA</t>
  </si>
  <si>
    <t>1581/2023</t>
  </si>
  <si>
    <t>a lampada do ventilador queimou - quarto B</t>
  </si>
  <si>
    <t>1582/2023</t>
  </si>
  <si>
    <t>consertar maçaneta da porta do quarto A</t>
  </si>
  <si>
    <t>1583/2023</t>
  </si>
  <si>
    <t>1584/2023</t>
  </si>
  <si>
    <t>Entrada Laboratório térreo</t>
  </si>
  <si>
    <t xml:space="preserve">Centralizar a câmera. (OBS.: Acertaram uma bola nela). </t>
  </si>
  <si>
    <t>1585/2023</t>
  </si>
  <si>
    <t>Devido ao vento e chuva fortes a janela se soltou, quarto B, apto 305</t>
  </si>
  <si>
    <t>1586/2023</t>
  </si>
  <si>
    <t xml:space="preserve">Janela se soltou, corredor do 3º pavimento </t>
  </si>
  <si>
    <t>1587/2023</t>
  </si>
  <si>
    <t>Duas janelas do quarto A (apto 405) estão com dificuldade para fechar, não oferecendo proteção contra a chuva.</t>
  </si>
  <si>
    <t>1588/2023</t>
  </si>
  <si>
    <t>Porta da sala se soltou do trilho, devido ao vento forte. Apto 201</t>
  </si>
  <si>
    <t>1589/2023</t>
  </si>
  <si>
    <t>Cama do quarto B, apto 104, está quebrada. Dificuldade para apoiar o colchão.</t>
  </si>
  <si>
    <t>1590/2023</t>
  </si>
  <si>
    <t>Banheiro do apto 104 com problema na válvula sanitária.</t>
  </si>
  <si>
    <t>1591/2023</t>
  </si>
  <si>
    <t>A porta de vidro da sala saiu com o vento da última tempestade.</t>
  </si>
  <si>
    <t>1592/2023</t>
  </si>
  <si>
    <t xml:space="preserve">Câmera 07 - Garagem 1, desconectada. </t>
  </si>
  <si>
    <t>1593/2023</t>
  </si>
  <si>
    <t>1594/2023</t>
  </si>
  <si>
    <t>Instalar cortina na sala do apto 304</t>
  </si>
  <si>
    <t>1595/2023</t>
  </si>
  <si>
    <t xml:space="preserve">Reparo na calha telhado </t>
  </si>
  <si>
    <t>1596/2023</t>
  </si>
  <si>
    <t>Banheiro feminino (3º Andar)</t>
  </si>
  <si>
    <t>Desentupir 2 pias do banheiro feminino localizado no terceiro andar.</t>
  </si>
  <si>
    <t>1597/2023</t>
  </si>
  <si>
    <t>Intervenção nos projetores das Salas 109, 104, 103, 101, 201,  203, 204, 205, 211, 309, 307, 305, 303 e 301.</t>
  </si>
  <si>
    <t>1598/2023</t>
  </si>
  <si>
    <t xml:space="preserve">Banheiro Feminino Engenharia de Produção </t>
  </si>
  <si>
    <t>O lavatório e o ralinho, do  banheiro feminino do piso Engenharia de Produção. Estão entupidos.</t>
  </si>
  <si>
    <t>1599/2023</t>
  </si>
  <si>
    <t>mictório entupido , no banheiro do bloco D.</t>
  </si>
  <si>
    <t>1600/2023</t>
  </si>
  <si>
    <t>Porta da sala com dificuldade de abrir e fechar.</t>
  </si>
  <si>
    <t>1601/2023</t>
  </si>
  <si>
    <t>Dois pontos do varal se soltaram da parede.</t>
  </si>
  <si>
    <t>1602/2023</t>
  </si>
  <si>
    <t>Parafusar o arremate (moldura) da janela do quarto B, apto 206.</t>
  </si>
  <si>
    <t>1603/2023</t>
  </si>
  <si>
    <t>Horta da FAE</t>
  </si>
  <si>
    <t>Viabilizar e permitir o transporte de equipamentos (tratorito, roçadeira, ferramentas) entre os campus 1, 2 e a Moradia Universitária (MUC) para execução das atividades práticas de agroecologia.</t>
  </si>
  <si>
    <t>1604/2023</t>
  </si>
  <si>
    <t>Jardim entre os blocos da FAE</t>
  </si>
  <si>
    <t>Depositar a matéria orgânica oriunda de podas e folhagens próximo das pilhas de compostagem localizadas no Jardim da Faculdade de Educação e atrás da sala de Cartografia da Faculdade de Geografia.</t>
  </si>
  <si>
    <t>1605/2023</t>
  </si>
  <si>
    <t>Depósito</t>
  </si>
  <si>
    <t>Uso do triturador de galhos de árvore no depósito do Campus 2 para atividades práticas de agroecologia</t>
  </si>
  <si>
    <t xml:space="preserve">Equipamento não é de responsabilidade da Prefeitura Universitária </t>
  </si>
  <si>
    <t>1606/2023</t>
  </si>
  <si>
    <t xml:space="preserve">Instalação de reservatório de água próximo aos locais de realização das atividades (Horta atrás do BLOCO I; Espaço na atrás da sala da Cartografia do IGEO; Horta da Moradia Universitária (MUC)) e de preferência acoplados a calhas para o reaproveitamento da água da chuva.
</t>
  </si>
  <si>
    <t>1607/2023</t>
  </si>
  <si>
    <t>Fazer furos na parede. Fixação de switch  na parede.</t>
  </si>
  <si>
    <t>1608/2023</t>
  </si>
  <si>
    <t xml:space="preserve">recolocar as luminárias </t>
  </si>
  <si>
    <t>1609/2023</t>
  </si>
  <si>
    <t xml:space="preserve">Toda a extensao do campus I </t>
  </si>
  <si>
    <t xml:space="preserve">Troca de lampadas queimadas em toda a extensão do campus I, conforme levantamento em anexo </t>
  </si>
  <si>
    <t>1610/2023</t>
  </si>
  <si>
    <t>Sala da Coordenação da Eng. Civil</t>
  </si>
  <si>
    <t>Cadeira giratória com duas rodinhas quebradas e proteção do pistão quebrados, Cadeira sem patrimônio, está atualmente na coordenação da Eng. Civil, na FENG</t>
  </si>
  <si>
    <t xml:space="preserve">Não realizamos este tipo de reparo </t>
  </si>
  <si>
    <t>1611/2023</t>
  </si>
  <si>
    <t>Porta do banheiro não está fechando.</t>
  </si>
  <si>
    <t>1612/2023</t>
  </si>
  <si>
    <t>Torneira está solta e precisa ser ajustada.</t>
  </si>
  <si>
    <t>1613/2023</t>
  </si>
  <si>
    <t xml:space="preserve">Bebedouro esta entupido </t>
  </si>
  <si>
    <t>1614/2023</t>
  </si>
  <si>
    <t>DRV das câmeras esta desconectado.</t>
  </si>
  <si>
    <t>DVR das câmeras do Bloco desconectado.</t>
  </si>
  <si>
    <t>1615/2023</t>
  </si>
  <si>
    <t>Colar 1 piso tátil que se soltou do chão, 3º pavimento</t>
  </si>
  <si>
    <t>1616/2023</t>
  </si>
  <si>
    <t>Porta emperrando na hora de abrir e fechar (garrando no chão).</t>
  </si>
  <si>
    <t>1617/2023</t>
  </si>
  <si>
    <t>Copa - PROAF</t>
  </si>
  <si>
    <t>Vazamento na emenda do sifão sanfonado do bebedouro.</t>
  </si>
  <si>
    <t>1618/2023</t>
  </si>
  <si>
    <t>Colocação de lâmpadas na Capela. As lâmpadas já foram adquiridas e estão no laboratório.</t>
  </si>
  <si>
    <t>1619/2023</t>
  </si>
  <si>
    <t>Reinstalar a janela do corredor do 3º pavimento</t>
  </si>
  <si>
    <t>1620/2023</t>
  </si>
  <si>
    <t>Trocar alavanca -  Fecho Frontal Para Janela Maxim Ar Basculante, apto 304 C</t>
  </si>
  <si>
    <t xml:space="preserve">Alavanca </t>
  </si>
  <si>
    <t>1621/2023</t>
  </si>
  <si>
    <t>Substituir e instalar ventilador de teto, apto 302 B</t>
  </si>
  <si>
    <t xml:space="preserve">Falta ventilador </t>
  </si>
  <si>
    <t>1622/2023</t>
  </si>
  <si>
    <t>Sala 320</t>
  </si>
  <si>
    <t>Realizar reparo em cadeira giratória. Regulagem do encosto não está funcionando.</t>
  </si>
  <si>
    <t>1623/2023</t>
  </si>
  <si>
    <t xml:space="preserve">Entrada </t>
  </si>
  <si>
    <t>Há uma lâmpada (Das maiores) na entrada do Restaurante Universitário dependurada, podendo ocasionar algum acidente, caindo em alguém.</t>
  </si>
  <si>
    <t>1624/2023</t>
  </si>
  <si>
    <t xml:space="preserve">Ajustar a maçaneta da porta do quarto B, apto 202 </t>
  </si>
  <si>
    <t>1625/2023</t>
  </si>
  <si>
    <t>Todas as Câmeras do Bloco O estão off-line</t>
  </si>
  <si>
    <t>1626/2023</t>
  </si>
  <si>
    <t>Soquete da lâmpada do ventilador soltou</t>
  </si>
  <si>
    <t>1627/2023</t>
  </si>
  <si>
    <t>Depósito para guarda de ferramentas e equipamentos de jardinagem (enxadas, rastelos, cavadeira, par...) e insumos (adubos verdes, sementes...). Com aproximadamente 4 m2.</t>
  </si>
  <si>
    <t>1628/2023</t>
  </si>
  <si>
    <t xml:space="preserve">Reitoria </t>
  </si>
  <si>
    <t xml:space="preserve">Instalação de ar condicionado </t>
  </si>
  <si>
    <t>1629/2023</t>
  </si>
  <si>
    <t xml:space="preserve">Entrada Lateral </t>
  </si>
  <si>
    <t xml:space="preserve">Câmera "Entrada lateral" com interferência e imagem preta e branca. </t>
  </si>
  <si>
    <t>Troca camêra, material necessario: Tubo eletroduto 3/4</t>
  </si>
  <si>
    <t>1630/2023</t>
  </si>
  <si>
    <t>Sala 2, Gabinete D</t>
  </si>
  <si>
    <t>Manutenção do ventilador. Equipamento não está funcionando.</t>
  </si>
  <si>
    <t>1631/2023</t>
  </si>
  <si>
    <t>Não uso.</t>
  </si>
  <si>
    <t>Casa de vegetação</t>
  </si>
  <si>
    <t>Instalação de torneira e tanque próximo a Casa de Vegetação</t>
  </si>
  <si>
    <t>1632/2023</t>
  </si>
  <si>
    <t xml:space="preserve">Retirada de animal morto no forro do LAGED, o ambiente está com cheio de putrefação forte, imaginamos que um passarinho possa ter morrido no forro. </t>
  </si>
  <si>
    <t>1633/2023</t>
  </si>
  <si>
    <t xml:space="preserve">Realizar manutenção na fechadura da porta (sala 3), a mesma está muito dura para abrir e a porta está emperrando. </t>
  </si>
  <si>
    <t>1634/2023</t>
  </si>
  <si>
    <t>Cabo de rede para instalar no switch.</t>
  </si>
  <si>
    <t>1635/2023</t>
  </si>
  <si>
    <t>Neide da costa</t>
  </si>
  <si>
    <t xml:space="preserve">Camêras </t>
  </si>
  <si>
    <t>Camêras do bloco C ( Portão de entrada principal, Fundo do bloco C , Hall bloco C , Corredor gabinete  bloco C corredor do monitoramento central de operações .) Estão com interferência de sinal .</t>
  </si>
  <si>
    <t>1636/2023</t>
  </si>
  <si>
    <t xml:space="preserve">Neide da costa </t>
  </si>
  <si>
    <t>Camêra do bloco L</t>
  </si>
  <si>
    <t>Cam~era do bloco L interno (Hall 02) está com interferência de sinal.</t>
  </si>
  <si>
    <t>1637/2023</t>
  </si>
  <si>
    <t>Câmera entrada térreo ( Rampa de entrada do Prédio Administrativo)</t>
  </si>
  <si>
    <t xml:space="preserve">Câmera entrada térreo está preta </t>
  </si>
  <si>
    <t>1638/2023</t>
  </si>
  <si>
    <t>S03</t>
  </si>
  <si>
    <t>Ar-Condicionado com vazamento.</t>
  </si>
  <si>
    <t>1639/2023</t>
  </si>
  <si>
    <t>Bruna R. S. Ferreira</t>
  </si>
  <si>
    <t>3441-5302</t>
  </si>
  <si>
    <t xml:space="preserve">Há 7 lâmpadas (tubular) queimadas que necessitam troca. </t>
  </si>
  <si>
    <t>1640/2023</t>
  </si>
  <si>
    <t>Solicita trocar a lâmpada do banheiro que queimou.</t>
  </si>
  <si>
    <t>1641/2023</t>
  </si>
  <si>
    <t>Torneira pingando.</t>
  </si>
  <si>
    <t>1642/2023</t>
  </si>
  <si>
    <t>SETI/cercomp</t>
  </si>
  <si>
    <t>Ar condicionado está vazando agua para dentro da sala, pingando muito e gerando risco de choque elétrico. Solicitamos manutenção urgentemente.</t>
  </si>
  <si>
    <t>1643/2023</t>
  </si>
  <si>
    <t>Subsolo (quadro de energia)</t>
  </si>
  <si>
    <t>O interruptor ( número 4, da quadro de energia do subsolo da Biblioteca) voltou a dar curto circuito. (Ordem de serviço havia sito passada e já foi fechada, porem será necessário reabrir o chamado)</t>
  </si>
  <si>
    <t>1644/2023</t>
  </si>
  <si>
    <t>Solicitação de troca de 03 lâmpadas que estão queimadas</t>
  </si>
  <si>
    <t>1645/2023</t>
  </si>
  <si>
    <t>Sala 4 - em frente ao banheiro feminino</t>
  </si>
  <si>
    <t>As tomadas fazem barulho de estouro</t>
  </si>
  <si>
    <t>1646/2023</t>
  </si>
  <si>
    <t>Corredor entre a sala 7 e a cozinha</t>
  </si>
  <si>
    <t>trocar lâmpadas do corredor</t>
  </si>
  <si>
    <t>1647/2023</t>
  </si>
  <si>
    <t>Anivaldo Ferreira de Rezende</t>
  </si>
  <si>
    <t>(64)98121-9251</t>
  </si>
  <si>
    <t>A fechadura da porta da sala 214-Bloco N está com problemas no miolo, o mesmo está travando e as vezes impede a abertura. Solicitamos, por gentileza, a substituição do mesmo.</t>
  </si>
  <si>
    <t>1648/2023</t>
  </si>
  <si>
    <t>S14</t>
  </si>
  <si>
    <t>Remoção de TV em suporte fixo e instalação de nova TV no local.</t>
  </si>
  <si>
    <t>1649/2023</t>
  </si>
  <si>
    <t>Sala 35 (Laboratório de Laminação) - Piso Eng. Minas</t>
  </si>
  <si>
    <t>URGENTE: Infiltração e goteira na LAMPADA. A água vem de laboratório do piso acima (produção, ultimo laboratório à esquerda), com chuva forte a água entrou e está infiltrando e gotejando na Sala 35 da Engenharia de Minas, pela lâmpada. O Gesso está úmido e rachado e apresenta risco</t>
  </si>
  <si>
    <t>1650/2023</t>
  </si>
  <si>
    <t>Instalar Canaleta de PVC na parede para esconder cabo de rede de internet.</t>
  </si>
  <si>
    <t xml:space="preserve">Falta a canaleta </t>
  </si>
  <si>
    <t>1651/2023</t>
  </si>
  <si>
    <t>1652/2023</t>
  </si>
  <si>
    <t xml:space="preserve">Banheiro Especial Masculino </t>
  </si>
  <si>
    <t xml:space="preserve">Maçaneta com defeito </t>
  </si>
  <si>
    <t>1653/2023</t>
  </si>
  <si>
    <t>Karine Canuto Martins</t>
  </si>
  <si>
    <t>Banheiro Masculino - último andar - Engenharia de Produção</t>
  </si>
  <si>
    <t>precisamos de 2 sifões para troca no banheiro masculino do andar da engenharia de produção</t>
  </si>
  <si>
    <t>1654/2023</t>
  </si>
  <si>
    <t xml:space="preserve">Luzes da piscina queimadas, fixar as luzes do fundo da piscina com foco na direção da piscina (elas estão focalizadas para baixo). </t>
  </si>
  <si>
    <t>1655/2023</t>
  </si>
  <si>
    <t>Sala J-1 (Laboratório de Simulação de Mecanismos)</t>
  </si>
  <si>
    <t>Manutenção nas maçanetas das janelas (presilhas). As maçanetas estão bambeando, precisam de aperto e regulagem.</t>
  </si>
  <si>
    <t>1656/2023</t>
  </si>
  <si>
    <t>Em 3 vasos sanitários, trocar 3 válvulas de descarga</t>
  </si>
  <si>
    <t>1657/2023</t>
  </si>
  <si>
    <t>Sala de gases ao lado do bloco N.</t>
  </si>
  <si>
    <t>Trocar tomada.</t>
  </si>
  <si>
    <t>1658/2023</t>
  </si>
  <si>
    <t xml:space="preserve">Troca de Refletor logo UFCAT </t>
  </si>
  <si>
    <t>1659/2023</t>
  </si>
  <si>
    <t>A Pia da cozinha está entupida.</t>
  </si>
  <si>
    <t>1660/2023</t>
  </si>
  <si>
    <t>Laboratório de Hidráulica/Saneamento</t>
  </si>
  <si>
    <t>Retirada de bomba da bancada de Associação de Bombas para envio ao CEMEQ</t>
  </si>
  <si>
    <t>1661/2023</t>
  </si>
  <si>
    <t xml:space="preserve">Divino </t>
  </si>
  <si>
    <t>Sala J-1 (Laboratório de Tecnologias de Ensino)</t>
  </si>
  <si>
    <t>Reparo em interruptor com defeito</t>
  </si>
  <si>
    <t>1662/2023</t>
  </si>
  <si>
    <t>Verificar possibilidade de trocar conectores do osmose reversa. Urgente! Equipamento que fornece água para o laboratório está parado.</t>
  </si>
  <si>
    <t>1663/2023</t>
  </si>
  <si>
    <t xml:space="preserve">Marquise </t>
  </si>
  <si>
    <t xml:space="preserve">Marquisi do didatico I se soltou </t>
  </si>
  <si>
    <t>1664/2023</t>
  </si>
  <si>
    <t>Vaston  Costa</t>
  </si>
  <si>
    <t>Sala J3</t>
  </si>
  <si>
    <t xml:space="preserve">corte de placas de madeira para projeto de laboratório. </t>
  </si>
  <si>
    <t>1665/2023</t>
  </si>
  <si>
    <t>DVR Bloco E</t>
  </si>
  <si>
    <t>O DVR do Bloco E, se encontra off-line</t>
  </si>
  <si>
    <t>1666/2023</t>
  </si>
  <si>
    <t>Confecção de um suporte para AUTOCLAVE</t>
  </si>
  <si>
    <t>1667/2023</t>
  </si>
  <si>
    <t>Hall de Entrada (Está denominada como Sala Rack)</t>
  </si>
  <si>
    <t xml:space="preserve">Configuração Menu na Imagem. </t>
  </si>
  <si>
    <t>1668/2023</t>
  </si>
  <si>
    <t>Informo que o sistema SIM Next da Central de Operações, se encontra apresentando problemas há alguns dias, onde a todo momento cai o sinal e para de funcionar, dificultando a visualização das imagens, deixando as imagens muito lentas e travando, sendo necessário reiniciar os computadores durante toda a noite de trabalho. Com o sistema pesado a maioria dos DVR's acaba ficando off-line e caindo também, muitas vezes voltando somente alguns minutos depois.</t>
  </si>
  <si>
    <t>1669/2023</t>
  </si>
  <si>
    <t>Verificar e reparar rachadura próxima à janela do quarto A, apto 306.</t>
  </si>
  <si>
    <t>1670/2023</t>
  </si>
  <si>
    <t>Bruna Cristina Ferreira ALves</t>
  </si>
  <si>
    <t>64/34417610 / 64-992831026</t>
  </si>
  <si>
    <t xml:space="preserve">O ar condicionado da minha sala está a pelo menos dois dias com barulho diferente do comum, gostaria que pudessem dar uma olhada por gentileza. Quando ele começa a ventilar faz um barulho como aquelas maquina que tira pó. </t>
  </si>
  <si>
    <t>1671/2023</t>
  </si>
  <si>
    <t>S14 - PROAF</t>
  </si>
  <si>
    <t>Espelho de tomada saindo.</t>
  </si>
  <si>
    <t>1672/2023</t>
  </si>
  <si>
    <t>(77) 999477415</t>
  </si>
  <si>
    <t>Laboratório de Vibrações e Simulação de Mecanismos</t>
  </si>
  <si>
    <t>Instalação de uma tomada trifásica no laboratório.</t>
  </si>
  <si>
    <t>1673/2023</t>
  </si>
  <si>
    <t>Não uso</t>
  </si>
  <si>
    <t>Interromper vazamento na tubulação do encanamento entre o reservatório de água e a bomba.</t>
  </si>
  <si>
    <t>1674/2023</t>
  </si>
  <si>
    <t>Monitoramento</t>
  </si>
  <si>
    <t xml:space="preserve">Monitoramento </t>
  </si>
  <si>
    <t xml:space="preserve">Reforma e melhoria sala do monitoramento </t>
  </si>
  <si>
    <t>1675/2023</t>
  </si>
  <si>
    <t>Sala do Transporte (DLT)</t>
  </si>
  <si>
    <t>DTL</t>
  </si>
  <si>
    <t xml:space="preserve">Construção de banco </t>
  </si>
  <si>
    <t>1676/2023</t>
  </si>
  <si>
    <t>elaine R Carbonero</t>
  </si>
  <si>
    <t>Adequar as tomadas dos Aparelhos de ar condicionado</t>
  </si>
  <si>
    <t>1677/2023</t>
  </si>
  <si>
    <t>DLT</t>
  </si>
  <si>
    <t xml:space="preserve">Instalação de 2 aparelhos de ar condicionado </t>
  </si>
  <si>
    <t>1678/2023</t>
  </si>
  <si>
    <t>Sâmela Moreira de Lima</t>
  </si>
  <si>
    <t>manutenção estabilizador para instalação de uma impressora</t>
  </si>
  <si>
    <t>1679/2023</t>
  </si>
  <si>
    <t>Luis Filipe Barros</t>
  </si>
  <si>
    <t>Sala da coordenação da psicologia (104)</t>
  </si>
  <si>
    <t>Duas lâmpadas tubulares queimadas</t>
  </si>
  <si>
    <t>1680/2023</t>
  </si>
  <si>
    <t>Indisponível.</t>
  </si>
  <si>
    <t>Realizar a capina da área em volta da casa de vegetação e da casa de vegetação até o meio fio de acesso. Não realizar capina química (agrotóxico) em nenhuma hipótese.</t>
  </si>
  <si>
    <t>1681/2023</t>
  </si>
  <si>
    <t>Área entre o bananal/mandiocal e a Casa de Vegetação.</t>
  </si>
  <si>
    <t>Realizar roçagem do mato situado entre o bananal/mandiocal abaixo do depósito da Prefeitura e a Casa de vegetação</t>
  </si>
  <si>
    <t>1682/2023</t>
  </si>
  <si>
    <t>Trocar 8 dispenseres de papel higiênico e 1 de papel toalha</t>
  </si>
  <si>
    <t>1683/2023</t>
  </si>
  <si>
    <t>Trocar 1 dispenser no banheiro feminino e 1 no banheiro masculino</t>
  </si>
  <si>
    <t>1684/2023</t>
  </si>
  <si>
    <t>Eliane Justino</t>
  </si>
  <si>
    <t>64 984794313</t>
  </si>
  <si>
    <t>Andar Térreo do Curso de Engenharia Civil</t>
  </si>
  <si>
    <t>Precisamos que faça pés para dois armários que ficam no corredor, como na limpeza é jogado água, já perdemos um armário porque o excesso de água fez com que o mesmo oxidasse.</t>
  </si>
  <si>
    <t>1685/2023</t>
  </si>
  <si>
    <t>Camera</t>
  </si>
  <si>
    <t xml:space="preserve">Concerto da câmera de segurança </t>
  </si>
  <si>
    <t>1686/2023</t>
  </si>
  <si>
    <t>Editora Letras do Cerrado - Subsolo da biblioteca</t>
  </si>
  <si>
    <t xml:space="preserve">Tapar o buraco no gesso com a fiação elétrica aparente. </t>
  </si>
  <si>
    <t>1687/2023</t>
  </si>
  <si>
    <t xml:space="preserve">Vazamento valvula de descarga banheiro masculino 2° piso </t>
  </si>
  <si>
    <t>1688/2023</t>
  </si>
  <si>
    <t>Sala do transporte</t>
  </si>
  <si>
    <t xml:space="preserve">Instalação elétrica de aparelhos de ar condicionado </t>
  </si>
  <si>
    <t>duplicada</t>
  </si>
  <si>
    <t>1689/2023</t>
  </si>
  <si>
    <t>Câmera entrada térreo</t>
  </si>
  <si>
    <t xml:space="preserve"> Prédio ADM câmera entrada  térreo está escura</t>
  </si>
  <si>
    <t>1690/2023</t>
  </si>
  <si>
    <t>DVR das câmeras do Bloco O está desconectado.</t>
  </si>
  <si>
    <t>DVR das câmeras do Bloco O está desconectado</t>
  </si>
  <si>
    <t>1691/2023</t>
  </si>
  <si>
    <t>Entrada do Laboratório do Térreo do Bloco N, se encontra com a imagem escura.</t>
  </si>
  <si>
    <t>1692/2023</t>
  </si>
  <si>
    <t>Recepção</t>
  </si>
  <si>
    <t>O monitor de TV que fica na recepção da MUC parou de funcionar.</t>
  </si>
  <si>
    <t>1693/2023</t>
  </si>
  <si>
    <t>Trocar cooler do nobreak.  Urgente: nobreak está desligado porque as baterias estavam esquentando muito.</t>
  </si>
  <si>
    <t>1694/2023</t>
  </si>
  <si>
    <t xml:space="preserve">Confecção de janela para sala do monitoramento </t>
  </si>
  <si>
    <t>1695/2023</t>
  </si>
  <si>
    <t xml:space="preserve">Caixa d'água </t>
  </si>
  <si>
    <t xml:space="preserve">Fazer ladrão para caixa d'água </t>
  </si>
  <si>
    <t>1696/2023</t>
  </si>
  <si>
    <t xml:space="preserve">Vazamento de água na caixa d'água externa </t>
  </si>
  <si>
    <t>1699/2023</t>
  </si>
  <si>
    <t>Apto 306 - A</t>
  </si>
  <si>
    <t>Precisa selar a janela do quarto A (silicone ou PU). Janela estava solta e foi reparada a parte de alvenaria. Precisa passar silicone para selar a janela.</t>
  </si>
  <si>
    <t>1700/2023</t>
  </si>
  <si>
    <t xml:space="preserve">Desentupir banheiros </t>
  </si>
  <si>
    <t>1701/2023</t>
  </si>
  <si>
    <t>Câmera (Corredor Frente)</t>
  </si>
  <si>
    <t>A câmera (Corredor Frente) do Campus II, se encontra com letras na imagem (MENU).</t>
  </si>
  <si>
    <t>1702/2023</t>
  </si>
  <si>
    <t>Corredor em frente à sala dos Técnicos</t>
  </si>
  <si>
    <t>O bebedouro do andar da Minas não sai água e agora está apresentando vazamento pela base</t>
  </si>
  <si>
    <t>1703/2023</t>
  </si>
  <si>
    <t>Sala 02</t>
  </si>
  <si>
    <t>Estabilizador do hacker, apresenta barulho e piscando luz vermelha. Problema identificado desde do dia 26/12.</t>
  </si>
  <si>
    <t>1704/2023</t>
  </si>
  <si>
    <t>Luminária, soltando do teto, necessita de conserto.</t>
  </si>
  <si>
    <t>Quantidade de Ordens de Serviço ao longo dos anos</t>
  </si>
  <si>
    <t>Mês</t>
  </si>
  <si>
    <t>Janeiro</t>
  </si>
  <si>
    <t>Fevereiro</t>
  </si>
  <si>
    <t>Março</t>
  </si>
  <si>
    <t>Abril</t>
  </si>
  <si>
    <t>Maio</t>
  </si>
  <si>
    <t>Junho</t>
  </si>
  <si>
    <t>Julho</t>
  </si>
  <si>
    <t>Agosto</t>
  </si>
  <si>
    <t>Setembro</t>
  </si>
  <si>
    <t>Outubro</t>
  </si>
  <si>
    <t>Novembro</t>
  </si>
  <si>
    <t>Dezembro</t>
  </si>
  <si>
    <t>Total</t>
  </si>
  <si>
    <t>Quantidade de Ordens de Serviço por Local e Unidade</t>
  </si>
  <si>
    <t>Bloco</t>
  </si>
  <si>
    <t>Qnt de O.S'</t>
  </si>
  <si>
    <t>Percentual %</t>
  </si>
  <si>
    <t>Bloco Admin.</t>
  </si>
  <si>
    <t>Outros</t>
  </si>
  <si>
    <t xml:space="preserve">NOVAS ORDENS ABERTAS </t>
  </si>
  <si>
    <t>Em Andamento</t>
  </si>
  <si>
    <t>Pendente</t>
  </si>
  <si>
    <t>Sem Status</t>
  </si>
  <si>
    <t xml:space="preserve">Não Retornada </t>
  </si>
  <si>
    <t xml:space="preserve"> Cantina</t>
  </si>
  <si>
    <t>CERCOMP</t>
  </si>
  <si>
    <t>Serviços gerais</t>
  </si>
  <si>
    <t>Quadras</t>
  </si>
  <si>
    <t>Estacionamento/garagem</t>
  </si>
  <si>
    <t>TOTAL</t>
  </si>
  <si>
    <t>TOTAL:</t>
  </si>
  <si>
    <t>Tipo de Serviço</t>
  </si>
  <si>
    <t>Status</t>
  </si>
  <si>
    <t>Escolher</t>
  </si>
  <si>
    <t>Aguardando análise</t>
  </si>
  <si>
    <t xml:space="preserve">Contratação externa Unidade </t>
  </si>
  <si>
    <t xml:space="preserve">Ar Condicionado </t>
  </si>
  <si>
    <t>Contratação externa PREF</t>
  </si>
  <si>
    <t>Empresa contratada Acionada</t>
  </si>
  <si>
    <t>Não é atribuição da PREF</t>
  </si>
  <si>
    <t>Cancelada pelo solicitante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</si>
</sst>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d/mm/yyyy"/>
    <numFmt numFmtId="166" formatCode="d/m/yyyy"/>
    <numFmt numFmtId="167" formatCode="000/2022"/>
  </numFmts>
  <fonts count="19">
    <font>
      <sz val="11.0"/>
      <color theme="1"/>
      <name val="Verdana"/>
      <scheme val="minor"/>
    </font>
    <font>
      <sz val="11.0"/>
      <color rgb="FF000000"/>
      <name val="Calibri"/>
    </font>
    <font>
      <b/>
      <sz val="11.0"/>
      <color theme="1"/>
      <name val="Calibri"/>
    </font>
    <font>
      <b/>
      <sz val="11.0"/>
      <color rgb="FF1A1A1A"/>
      <name val="Calibri"/>
    </font>
    <font>
      <sz val="11.0"/>
      <color theme="1"/>
      <name val="Calibri"/>
    </font>
    <font>
      <sz val="11.0"/>
      <color rgb="FF1A1A1A"/>
      <name val="Calibri"/>
    </font>
    <font>
      <color theme="1"/>
      <name val="Calibri"/>
    </font>
    <font>
      <sz val="11.0"/>
      <color rgb="FF000000"/>
      <name val="Arial"/>
    </font>
    <font>
      <color theme="1"/>
      <name val="Verdana"/>
      <scheme val="minor"/>
    </font>
    <font>
      <b/>
      <sz val="16.0"/>
      <color theme="1"/>
      <name val="Verdana"/>
      <scheme val="minor"/>
    </font>
    <font>
      <sz val="9.0"/>
      <color rgb="FF000000"/>
      <name val="&quot;Google Sans Mono&quot;"/>
    </font>
    <font>
      <sz val="11.0"/>
      <color rgb="FFFFFFFF"/>
      <name val="Calibri"/>
    </font>
    <font>
      <b/>
      <sz val="16.0"/>
      <color rgb="FF1A1A1A"/>
      <name val="Verdana"/>
      <scheme val="minor"/>
    </font>
    <font>
      <b/>
      <sz val="12.0"/>
      <color rgb="FF1A1A1A"/>
      <name val="&quot;Times New Roman&quot;"/>
    </font>
    <font/>
    <font>
      <sz val="12.0"/>
      <color rgb="FF1A1A1A"/>
      <name val="&quot;Times New Roman&quot;"/>
    </font>
    <font>
      <b/>
      <color theme="1"/>
      <name val="Verdana"/>
      <scheme val="minor"/>
    </font>
    <font>
      <sz val="12.0"/>
      <color rgb="FF1A1A1A"/>
      <name val="Verdana"/>
      <scheme val="minor"/>
    </font>
    <font>
      <color theme="1"/>
      <name val="Times New Roman"/>
    </font>
  </fonts>
  <fills count="9">
    <fill>
      <patternFill patternType="none"/>
    </fill>
    <fill>
      <patternFill patternType="lightGray"/>
    </fill>
    <fill>
      <patternFill patternType="solid">
        <fgColor rgb="FF7F7F7F"/>
        <bgColor rgb="FF7F7F7F"/>
      </patternFill>
    </fill>
    <fill>
      <patternFill patternType="solid">
        <fgColor rgb="FFFFFF00"/>
        <bgColor rgb="FFFFFF00"/>
      </patternFill>
    </fill>
    <fill>
      <patternFill patternType="solid">
        <fgColor rgb="FFFFF2CC"/>
        <bgColor rgb="FFFFF2CC"/>
      </patternFill>
    </fill>
    <fill>
      <patternFill patternType="solid">
        <fgColor rgb="FFC1FFD6"/>
        <bgColor rgb="FFC1FFD6"/>
      </patternFill>
    </fill>
    <fill>
      <patternFill patternType="solid">
        <fgColor rgb="FFFFFFFF"/>
        <bgColor rgb="FFFFFFFF"/>
      </patternFill>
    </fill>
    <fill>
      <patternFill patternType="solid">
        <fgColor rgb="FF76A5AF"/>
        <bgColor rgb="FF76A5AF"/>
      </patternFill>
    </fill>
    <fill>
      <patternFill patternType="solid">
        <fgColor rgb="FFD8D8D8"/>
        <bgColor rgb="FFD8D8D8"/>
      </patternFill>
    </fill>
  </fills>
  <borders count="7">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0" fontId="1" numFmtId="0" xfId="0" applyBorder="1" applyFont="1"/>
    <xf borderId="1" fillId="2" fontId="2" numFmtId="164" xfId="0" applyAlignment="1" applyBorder="1" applyFill="1" applyFont="1" applyNumberFormat="1">
      <alignment horizontal="left" shrinkToFit="0" vertical="center" wrapText="1"/>
    </xf>
    <xf borderId="1" fillId="2" fontId="3"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center" shrinkToFit="0" vertical="center" wrapText="1"/>
    </xf>
    <xf borderId="1" fillId="3" fontId="2" numFmtId="0" xfId="0" applyAlignment="1" applyBorder="1" applyFill="1" applyFont="1">
      <alignment horizontal="center" shrinkToFit="0" vertical="center" wrapText="1"/>
    </xf>
    <xf borderId="1" fillId="4" fontId="1" numFmtId="0" xfId="0" applyAlignment="1" applyBorder="1" applyFill="1" applyFont="1">
      <alignment horizontal="left" readingOrder="0" shrinkToFit="0" vertical="center" wrapText="1"/>
    </xf>
    <xf borderId="1" fillId="4" fontId="1" numFmtId="165" xfId="0" applyAlignment="1" applyBorder="1" applyFont="1" applyNumberFormat="1">
      <alignment horizontal="left" readingOrder="0" shrinkToFit="0" vertical="center" wrapText="1"/>
    </xf>
    <xf borderId="1" fillId="4" fontId="4" numFmtId="0" xfId="0" applyAlignment="1" applyBorder="1" applyFont="1">
      <alignment horizontal="left" readingOrder="0" shrinkToFit="0" vertical="center" wrapText="1"/>
    </xf>
    <xf borderId="1" fillId="4" fontId="1" numFmtId="0" xfId="0" applyAlignment="1" applyBorder="1" applyFont="1">
      <alignment horizontal="center" readingOrder="0" shrinkToFit="0" vertical="center" wrapText="1"/>
    </xf>
    <xf borderId="1" fillId="5" fontId="5" numFmtId="164" xfId="0" applyAlignment="1" applyBorder="1" applyFill="1" applyFont="1" applyNumberFormat="1">
      <alignment horizontal="center" readingOrder="0" shrinkToFit="0" vertical="center" wrapText="1"/>
    </xf>
    <xf borderId="1" fillId="5" fontId="4" numFmtId="164" xfId="0" applyAlignment="1" applyBorder="1" applyFont="1" applyNumberFormat="1">
      <alignment horizontal="center" readingOrder="0" shrinkToFit="0" vertical="center" wrapText="1"/>
    </xf>
    <xf borderId="1" fillId="0" fontId="6" numFmtId="0" xfId="0" applyAlignment="1" applyBorder="1" applyFont="1">
      <alignment readingOrder="0" shrinkToFit="0" vertical="center" wrapText="1"/>
    </xf>
    <xf borderId="1" fillId="4" fontId="1" numFmtId="22" xfId="0" applyAlignment="1" applyBorder="1" applyFont="1" applyNumberFormat="1">
      <alignment horizontal="left" readingOrder="0" shrinkToFit="0" vertical="center" wrapText="1"/>
    </xf>
    <xf borderId="1" fillId="0" fontId="4" numFmtId="0" xfId="0" applyAlignment="1" applyBorder="1" applyFont="1">
      <alignment readingOrder="0" shrinkToFit="0" vertical="center" wrapText="1"/>
    </xf>
    <xf borderId="1" fillId="4" fontId="5" numFmtId="0" xfId="0" applyAlignment="1" applyBorder="1" applyFont="1">
      <alignment horizontal="left" readingOrder="0" shrinkToFit="0" vertical="center" wrapText="1"/>
    </xf>
    <xf borderId="1" fillId="5" fontId="5" numFmtId="165" xfId="0" applyAlignment="1" applyBorder="1" applyFont="1" applyNumberFormat="1">
      <alignment horizontal="center" readingOrder="0" shrinkToFit="0" vertical="center" wrapText="1"/>
    </xf>
    <xf borderId="1" fillId="4" fontId="1" numFmtId="165" xfId="0" applyAlignment="1" applyBorder="1" applyFont="1" applyNumberFormat="1">
      <alignment horizontal="center" readingOrder="0" shrinkToFit="0" vertical="center" wrapText="1"/>
    </xf>
    <xf borderId="0" fillId="0" fontId="4" numFmtId="0" xfId="0" applyAlignment="1" applyFont="1">
      <alignment readingOrder="0"/>
    </xf>
    <xf borderId="1" fillId="5" fontId="5" numFmtId="0" xfId="0" applyAlignment="1" applyBorder="1" applyFont="1">
      <alignment horizontal="left" readingOrder="0" shrinkToFit="0" vertical="center" wrapText="1"/>
    </xf>
    <xf borderId="1" fillId="0" fontId="4" numFmtId="165" xfId="0" applyAlignment="1" applyBorder="1" applyFont="1" applyNumberFormat="1">
      <alignment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wrapText="1"/>
    </xf>
    <xf borderId="1" fillId="0" fontId="6" numFmtId="0" xfId="0" applyAlignment="1" applyBorder="1" applyFont="1">
      <alignment readingOrder="0"/>
    </xf>
    <xf borderId="1" fillId="5" fontId="4" numFmtId="0" xfId="0" applyAlignment="1" applyBorder="1" applyFont="1">
      <alignment horizontal="left" shrinkToFit="0" vertical="center" wrapText="1"/>
    </xf>
    <xf borderId="1" fillId="5" fontId="1" numFmtId="0" xfId="0" applyAlignment="1" applyBorder="1" applyFont="1">
      <alignment horizontal="center"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horizontal="left" shrinkToFit="0" vertical="center" wrapText="1"/>
    </xf>
    <xf borderId="1" fillId="0" fontId="6" numFmtId="0" xfId="0" applyAlignment="1" applyBorder="1" applyFont="1">
      <alignment readingOrder="0" shrinkToFit="0" wrapText="1"/>
    </xf>
    <xf borderId="1" fillId="4" fontId="1"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4" fontId="1" numFmtId="0" xfId="0" applyAlignment="1" applyBorder="1" applyFont="1">
      <alignment horizontal="left" shrinkToFit="0" vertical="center" wrapText="1"/>
    </xf>
    <xf borderId="1" fillId="0" fontId="4" numFmtId="165" xfId="0" applyAlignment="1" applyBorder="1" applyFont="1" applyNumberFormat="1">
      <alignment vertical="center"/>
    </xf>
    <xf borderId="1" fillId="0" fontId="4" numFmtId="0" xfId="0" applyAlignment="1" applyBorder="1" applyFont="1">
      <alignment vertical="center"/>
    </xf>
    <xf borderId="1" fillId="0" fontId="4" numFmtId="0" xfId="0" applyAlignment="1" applyBorder="1" applyFont="1">
      <alignment horizontal="left" vertical="center"/>
    </xf>
    <xf borderId="1" fillId="0" fontId="4" numFmtId="0" xfId="0" applyAlignment="1" applyBorder="1" applyFont="1">
      <alignment readingOrder="0" vertical="center"/>
    </xf>
    <xf borderId="1" fillId="0" fontId="6" numFmtId="165" xfId="0" applyAlignment="1" applyBorder="1" applyFont="1" applyNumberForma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horizontal="left" shrinkToFit="0" vertical="bottom" wrapText="1"/>
    </xf>
    <xf borderId="1" fillId="0" fontId="4" numFmtId="0" xfId="0" applyAlignment="1" applyBorder="1" applyFont="1">
      <alignment horizontal="right" shrinkToFit="0" vertical="center" wrapText="1"/>
    </xf>
    <xf borderId="1" fillId="0" fontId="6" numFmtId="0" xfId="0" applyAlignment="1" applyBorder="1" applyFont="1">
      <alignment horizontal="right" shrinkToFit="0" vertical="bottom" wrapText="1"/>
    </xf>
    <xf borderId="1" fillId="0" fontId="4" numFmtId="0" xfId="0" applyAlignment="1" applyBorder="1" applyFont="1">
      <alignment horizontal="right" shrinkToFit="0" vertical="center" wrapText="1"/>
    </xf>
    <xf borderId="1" fillId="4" fontId="1" numFmtId="164" xfId="0" applyAlignment="1" applyBorder="1" applyFont="1" applyNumberFormat="1">
      <alignment horizontal="center" shrinkToFit="0" vertical="center" wrapText="1"/>
    </xf>
    <xf borderId="1" fillId="0" fontId="6" numFmtId="165" xfId="0" applyAlignment="1" applyBorder="1" applyFont="1" applyNumberFormat="1">
      <alignment shrinkToFit="0" vertical="center" wrapText="1"/>
    </xf>
    <xf borderId="1" fillId="0" fontId="6" numFmtId="0" xfId="0" applyAlignment="1" applyBorder="1" applyFont="1">
      <alignment shrinkToFit="0" vertical="center" wrapText="1"/>
    </xf>
    <xf borderId="1" fillId="0" fontId="6" numFmtId="0" xfId="0" applyAlignment="1" applyBorder="1" applyFont="1">
      <alignment horizontal="left" shrinkToFit="0" vertical="center" wrapText="1"/>
    </xf>
    <xf borderId="1" fillId="0" fontId="6" numFmtId="0" xfId="0" applyAlignment="1" applyBorder="1" applyFont="1">
      <alignment horizontal="right" shrinkToFit="0" vertical="center" wrapText="1"/>
    </xf>
    <xf borderId="0" fillId="0" fontId="4" numFmtId="0" xfId="0" applyAlignment="1" applyFont="1">
      <alignment readingOrder="0" shrinkToFit="0" wrapText="1"/>
    </xf>
    <xf borderId="1" fillId="6" fontId="4" numFmtId="165" xfId="0" applyAlignment="1" applyBorder="1" applyFill="1" applyFont="1" applyNumberFormat="1">
      <alignment shrinkToFit="0" vertical="center" wrapText="1"/>
    </xf>
    <xf borderId="1" fillId="6" fontId="4" numFmtId="0" xfId="0" applyAlignment="1" applyBorder="1" applyFont="1">
      <alignment shrinkToFit="0" vertical="center" wrapText="1"/>
    </xf>
    <xf borderId="1" fillId="6" fontId="4" numFmtId="0" xfId="0" applyAlignment="1" applyBorder="1" applyFont="1">
      <alignment horizontal="right" shrinkToFit="0" vertical="center" wrapText="1"/>
    </xf>
    <xf borderId="1" fillId="0" fontId="6" numFmtId="0" xfId="0" applyAlignment="1" applyBorder="1" applyFont="1">
      <alignment shrinkToFit="0" vertical="center" wrapText="1"/>
    </xf>
    <xf borderId="1" fillId="0" fontId="6" numFmtId="0" xfId="0" applyAlignment="1" applyBorder="1" applyFont="1">
      <alignment horizontal="right" shrinkToFit="0" vertical="center" wrapText="1"/>
    </xf>
    <xf borderId="1" fillId="4" fontId="1" numFmtId="0" xfId="0" applyAlignment="1" applyBorder="1" applyFont="1">
      <alignment horizontal="center" shrinkToFit="0" vertical="center" wrapText="1"/>
    </xf>
    <xf borderId="1" fillId="4" fontId="1" numFmtId="164" xfId="0" applyAlignment="1" applyBorder="1" applyFont="1" applyNumberFormat="1">
      <alignment horizontal="center" readingOrder="0" shrinkToFit="0" vertical="center" wrapText="1"/>
    </xf>
    <xf borderId="1" fillId="5" fontId="5" numFmtId="0" xfId="0" applyAlignment="1" applyBorder="1" applyFont="1">
      <alignment horizontal="center" readingOrder="0" vertical="center"/>
    </xf>
    <xf borderId="1" fillId="5" fontId="5" numFmtId="165" xfId="0" applyAlignment="1" applyBorder="1" applyFont="1" applyNumberFormat="1">
      <alignment horizontal="center" readingOrder="0" vertical="center"/>
    </xf>
    <xf borderId="1" fillId="5" fontId="5" numFmtId="0" xfId="0" applyAlignment="1" applyBorder="1" applyFont="1">
      <alignment horizontal="center" readingOrder="0" shrinkToFit="0" vertical="center" wrapText="1"/>
    </xf>
    <xf borderId="1" fillId="5" fontId="4" numFmtId="165" xfId="0" applyAlignment="1" applyBorder="1" applyFont="1" applyNumberFormat="1">
      <alignment horizontal="left" readingOrder="0" shrinkToFit="0" vertical="center" wrapText="1"/>
    </xf>
    <xf borderId="1" fillId="4" fontId="1" numFmtId="0" xfId="0" applyAlignment="1" applyBorder="1" applyFont="1">
      <alignment horizontal="left" shrinkToFit="0" vertical="center" wrapText="1"/>
    </xf>
    <xf borderId="1" fillId="5" fontId="4" numFmtId="0" xfId="0" applyAlignment="1" applyBorder="1" applyFont="1">
      <alignment horizontal="center" readingOrder="0" vertical="center"/>
    </xf>
    <xf borderId="1" fillId="5" fontId="4" numFmtId="165" xfId="0" applyAlignment="1" applyBorder="1" applyFont="1" applyNumberFormat="1">
      <alignment horizontal="center" readingOrder="0" vertical="center"/>
    </xf>
    <xf borderId="0" fillId="6" fontId="1" numFmtId="0" xfId="0" applyAlignment="1" applyFont="1">
      <alignment readingOrder="0"/>
    </xf>
    <xf borderId="1" fillId="5" fontId="4" numFmtId="165" xfId="0" applyAlignment="1" applyBorder="1" applyFont="1" applyNumberFormat="1">
      <alignment horizontal="center" readingOrder="0" shrinkToFit="0" vertical="center" wrapText="1"/>
    </xf>
    <xf borderId="1" fillId="4" fontId="4" numFmtId="0" xfId="0" applyAlignment="1" applyBorder="1" applyFont="1">
      <alignment horizontal="left" shrinkToFit="0" vertical="center" wrapText="1"/>
    </xf>
    <xf borderId="1" fillId="4" fontId="1" numFmtId="14" xfId="0" applyAlignment="1" applyBorder="1" applyFont="1" applyNumberFormat="1">
      <alignment horizontal="left" shrinkToFit="0" vertical="center" wrapText="1"/>
    </xf>
    <xf borderId="1" fillId="4" fontId="1" numFmtId="14" xfId="0" applyAlignment="1" applyBorder="1" applyFont="1" applyNumberFormat="1">
      <alignment horizontal="center" shrinkToFit="0" vertical="center" wrapText="1"/>
    </xf>
    <xf borderId="1" fillId="5" fontId="4" numFmtId="0" xfId="0" applyAlignment="1" applyBorder="1" applyFont="1">
      <alignment horizontal="center" shrinkToFit="0" vertical="center" wrapText="1"/>
    </xf>
    <xf borderId="1" fillId="4" fontId="1" numFmtId="166" xfId="0" applyAlignment="1" applyBorder="1" applyFont="1" applyNumberFormat="1">
      <alignment horizontal="center" readingOrder="0" shrinkToFit="0" vertical="center" wrapText="1"/>
    </xf>
    <xf borderId="0" fillId="4" fontId="1" numFmtId="0" xfId="0" applyAlignment="1" applyFont="1">
      <alignment horizontal="left" readingOrder="0" shrinkToFit="0" vertical="center" wrapText="1"/>
    </xf>
    <xf borderId="0" fillId="4" fontId="1" numFmtId="14" xfId="0" applyAlignment="1" applyFont="1" applyNumberFormat="1">
      <alignment horizontal="left" shrinkToFit="0" vertical="center" wrapText="1"/>
    </xf>
    <xf borderId="0" fillId="4" fontId="1" numFmtId="0" xfId="0" applyAlignment="1" applyFont="1">
      <alignment horizontal="left" shrinkToFit="0" vertical="center" wrapText="1"/>
    </xf>
    <xf borderId="0" fillId="4" fontId="1" numFmtId="0" xfId="0" applyAlignment="1" applyFont="1">
      <alignment horizontal="center" shrinkToFit="0" vertical="center" wrapText="1"/>
    </xf>
    <xf borderId="0" fillId="4" fontId="1" numFmtId="14" xfId="0" applyAlignment="1" applyFont="1" applyNumberFormat="1">
      <alignment horizontal="center" shrinkToFit="0" vertical="center" wrapText="1"/>
    </xf>
    <xf borderId="1" fillId="2" fontId="2" numFmtId="0" xfId="0" applyAlignment="1" applyBorder="1" applyFont="1">
      <alignment horizontal="left" readingOrder="0" shrinkToFit="0" vertical="center" wrapText="1"/>
    </xf>
    <xf borderId="0" fillId="3" fontId="2" numFmtId="0" xfId="0" applyAlignment="1" applyFont="1">
      <alignment horizontal="center" shrinkToFit="0" vertical="center" wrapText="1"/>
    </xf>
    <xf borderId="0" fillId="6" fontId="1" numFmtId="164" xfId="0" applyAlignment="1" applyFont="1" applyNumberFormat="1">
      <alignment horizontal="center" vertical="center"/>
    </xf>
    <xf borderId="1" fillId="4" fontId="4" numFmtId="165" xfId="0" applyAlignment="1" applyBorder="1" applyFont="1" applyNumberFormat="1">
      <alignment horizontal="left" readingOrder="0" shrinkToFit="0" vertical="center" wrapText="1"/>
    </xf>
    <xf borderId="1" fillId="4" fontId="5" numFmtId="0" xfId="0" applyAlignment="1" applyBorder="1" applyFont="1">
      <alignment horizontal="center" readingOrder="0" shrinkToFit="0" vertical="center" wrapText="1"/>
    </xf>
    <xf borderId="1" fillId="4" fontId="5" numFmtId="164" xfId="0" applyAlignment="1" applyBorder="1" applyFont="1" applyNumberFormat="1">
      <alignment horizontal="center" readingOrder="0" shrinkToFit="0" vertical="center" wrapText="1"/>
    </xf>
    <xf borderId="1" fillId="4" fontId="4" numFmtId="0" xfId="0" applyAlignment="1" applyBorder="1" applyFont="1">
      <alignment horizontal="center" shrinkToFit="0" vertical="center" wrapText="1"/>
    </xf>
    <xf borderId="1" fillId="5" fontId="4" numFmtId="164" xfId="0" applyAlignment="1" applyBorder="1" applyFont="1" applyNumberFormat="1">
      <alignment horizontal="center" shrinkToFit="0" vertical="center" wrapText="1"/>
    </xf>
    <xf borderId="1" fillId="5" fontId="5" numFmtId="165" xfId="0" applyAlignment="1" applyBorder="1" applyFont="1" applyNumberFormat="1">
      <alignment horizontal="left" readingOrder="0" shrinkToFit="0" vertical="center" wrapText="1"/>
    </xf>
    <xf borderId="1" fillId="4" fontId="5" numFmtId="165" xfId="0" applyAlignment="1" applyBorder="1" applyFont="1" applyNumberFormat="1">
      <alignment horizontal="left" readingOrder="0" shrinkToFit="0" vertical="center" wrapText="1"/>
    </xf>
    <xf quotePrefix="1" borderId="1" fillId="5" fontId="4" numFmtId="0" xfId="0" applyAlignment="1" applyBorder="1" applyFont="1">
      <alignment horizontal="left" shrinkToFit="0" vertical="center" wrapText="1"/>
    </xf>
    <xf borderId="1" fillId="5" fontId="4" numFmtId="164" xfId="0" applyAlignment="1" applyBorder="1" applyFont="1" applyNumberFormat="1">
      <alignment horizontal="center" readingOrder="0" vertical="center"/>
    </xf>
    <xf borderId="1" fillId="4" fontId="4" numFmtId="164" xfId="0" applyAlignment="1" applyBorder="1" applyFont="1" applyNumberFormat="1">
      <alignment horizontal="center" shrinkToFit="0" vertical="center" wrapText="1"/>
    </xf>
    <xf borderId="1" fillId="4" fontId="1" numFmtId="167" xfId="0" applyAlignment="1" applyBorder="1" applyFont="1" applyNumberFormat="1">
      <alignment horizontal="left" readingOrder="0" shrinkToFit="0" vertical="center" wrapText="1"/>
    </xf>
    <xf quotePrefix="1" borderId="1" fillId="4" fontId="1" numFmtId="0" xfId="0" applyAlignment="1" applyBorder="1" applyFont="1">
      <alignment horizontal="left" readingOrder="0" shrinkToFit="0" vertical="center" wrapText="1"/>
    </xf>
    <xf borderId="0" fillId="6" fontId="1" numFmtId="0" xfId="0" applyAlignment="1" applyFont="1">
      <alignment readingOrder="0"/>
    </xf>
    <xf borderId="1" fillId="4" fontId="7" numFmtId="0" xfId="0" applyAlignment="1" applyBorder="1" applyFont="1">
      <alignment horizontal="center" readingOrder="0" shrinkToFit="0" vertical="center" wrapText="1"/>
    </xf>
    <xf quotePrefix="1" borderId="1" fillId="4" fontId="4" numFmtId="0" xfId="0" applyAlignment="1" applyBorder="1" applyFont="1">
      <alignment horizontal="left" readingOrder="0" shrinkToFit="0" vertical="center" wrapText="1"/>
    </xf>
    <xf borderId="0" fillId="0" fontId="4" numFmtId="0" xfId="0" applyAlignment="1" applyFont="1">
      <alignment horizontal="center" vertical="center"/>
    </xf>
    <xf borderId="0" fillId="0" fontId="8" numFmtId="0" xfId="0" applyAlignment="1" applyFont="1">
      <alignment vertical="center"/>
    </xf>
    <xf borderId="0" fillId="6" fontId="2" numFmtId="0" xfId="0" applyAlignment="1" applyFont="1">
      <alignment horizontal="center" vertical="center"/>
    </xf>
    <xf borderId="0" fillId="6" fontId="2" numFmtId="0" xfId="0" applyAlignment="1" applyFont="1">
      <alignment horizontal="center" readingOrder="0" vertical="center"/>
    </xf>
    <xf borderId="0" fillId="6" fontId="4" numFmtId="0" xfId="0" applyAlignment="1" applyFont="1">
      <alignment horizontal="center" vertical="center"/>
    </xf>
    <xf borderId="0" fillId="0" fontId="9" numFmtId="0" xfId="0" applyAlignment="1" applyFont="1">
      <alignment horizontal="center" readingOrder="0" vertical="center"/>
    </xf>
    <xf borderId="0" fillId="6" fontId="10" numFmtId="0" xfId="0" applyAlignment="1" applyFont="1">
      <alignment horizontal="center" vertical="center"/>
    </xf>
    <xf borderId="1" fillId="7" fontId="2" numFmtId="0" xfId="0" applyAlignment="1" applyBorder="1" applyFill="1" applyFont="1">
      <alignment horizontal="center" vertical="center"/>
    </xf>
    <xf borderId="1" fillId="7" fontId="2" numFmtId="0" xfId="0" applyAlignment="1" applyBorder="1" applyFont="1">
      <alignment horizontal="center" readingOrder="0" vertical="center"/>
    </xf>
    <xf borderId="1" fillId="7" fontId="3" numFmtId="0" xfId="0" applyAlignment="1" applyBorder="1" applyFont="1">
      <alignment horizontal="center" readingOrder="0" vertical="center"/>
    </xf>
    <xf borderId="0" fillId="0" fontId="11" numFmtId="0" xfId="0" applyAlignment="1" applyFont="1">
      <alignment horizontal="center" vertical="center"/>
    </xf>
    <xf borderId="1" fillId="0" fontId="4" numFmtId="0" xfId="0" applyAlignment="1" applyBorder="1" applyFont="1">
      <alignment horizontal="center" vertical="center"/>
    </xf>
    <xf borderId="0" fillId="6" fontId="4" numFmtId="0" xfId="0" applyAlignment="1" applyFont="1">
      <alignment horizontal="center" readingOrder="0" vertical="center"/>
    </xf>
    <xf borderId="0" fillId="6" fontId="12" numFmtId="0" xfId="0" applyAlignment="1" applyFont="1">
      <alignment horizontal="center" readingOrder="0" vertical="center"/>
    </xf>
    <xf borderId="2" fillId="0" fontId="2" numFmtId="0" xfId="0" applyAlignment="1" applyBorder="1" applyFont="1">
      <alignment horizontal="center" vertical="center"/>
    </xf>
    <xf borderId="0" fillId="0" fontId="4" numFmtId="1" xfId="0" applyAlignment="1" applyFont="1" applyNumberFormat="1">
      <alignment horizontal="center" vertical="center"/>
    </xf>
    <xf borderId="1" fillId="0" fontId="2" numFmtId="0" xfId="0" applyAlignment="1" applyBorder="1" applyFont="1">
      <alignment horizontal="center" vertical="center"/>
    </xf>
    <xf borderId="1" fillId="0" fontId="4" numFmtId="0" xfId="0" applyAlignment="1" applyBorder="1" applyFont="1">
      <alignment horizontal="center" vertical="center"/>
    </xf>
    <xf borderId="1" fillId="0" fontId="4" numFmtId="10" xfId="0" applyAlignment="1" applyBorder="1" applyFont="1" applyNumberFormat="1">
      <alignment horizontal="center" vertical="center"/>
    </xf>
    <xf borderId="1" fillId="0" fontId="5" numFmtId="0" xfId="0" applyAlignment="1" applyBorder="1" applyFont="1">
      <alignment horizontal="center" readingOrder="0" vertical="center"/>
    </xf>
    <xf borderId="3" fillId="8" fontId="13" numFmtId="0" xfId="0" applyAlignment="1" applyBorder="1" applyFill="1" applyFont="1">
      <alignment horizontal="center" shrinkToFit="0" vertical="bottom" wrapText="1"/>
    </xf>
    <xf borderId="4" fillId="0" fontId="14" numFmtId="0" xfId="0" applyBorder="1" applyFont="1"/>
    <xf borderId="4" fillId="8" fontId="15" numFmtId="0" xfId="0" applyAlignment="1" applyBorder="1" applyFont="1">
      <alignment horizontal="center" shrinkToFit="0" vertical="bottom" wrapText="1"/>
    </xf>
    <xf borderId="4" fillId="8" fontId="15" numFmtId="1" xfId="0" applyAlignment="1" applyBorder="1" applyFont="1" applyNumberFormat="1">
      <alignment horizontal="center" shrinkToFit="0" vertical="bottom" wrapText="1"/>
    </xf>
    <xf borderId="5" fillId="0" fontId="15" numFmtId="0" xfId="0" applyAlignment="1" applyBorder="1" applyFont="1">
      <alignment shrinkToFit="0" vertical="top" wrapText="1"/>
    </xf>
    <xf borderId="6" fillId="0" fontId="15" numFmtId="0" xfId="0" applyAlignment="1" applyBorder="1" applyFont="1">
      <alignment horizontal="center" vertical="bottom"/>
    </xf>
    <xf borderId="1" fillId="0" fontId="3" numFmtId="0" xfId="0" applyAlignment="1" applyBorder="1" applyFont="1">
      <alignment horizontal="center" readingOrder="0" vertical="center"/>
    </xf>
    <xf borderId="0" fillId="0" fontId="4" numFmtId="2" xfId="0" applyAlignment="1" applyFont="1" applyNumberFormat="1">
      <alignment horizontal="center" vertical="center"/>
    </xf>
    <xf borderId="5" fillId="8" fontId="15" numFmtId="0" xfId="0" applyAlignment="1" applyBorder="1" applyFont="1">
      <alignment shrinkToFit="0" vertical="bottom" wrapText="1"/>
    </xf>
    <xf borderId="6" fillId="8" fontId="15" numFmtId="0" xfId="0" applyAlignment="1" applyBorder="1" applyFont="1">
      <alignment horizontal="center" vertical="bottom"/>
    </xf>
    <xf borderId="6" fillId="8" fontId="15" numFmtId="1" xfId="0" applyAlignment="1" applyBorder="1" applyFont="1" applyNumberFormat="1">
      <alignment horizontal="center" vertical="bottom"/>
    </xf>
    <xf borderId="0" fillId="0" fontId="4" numFmtId="0" xfId="0" applyAlignment="1" applyFont="1">
      <alignment horizontal="center" shrinkToFit="0" vertical="center" wrapText="1"/>
    </xf>
    <xf borderId="1" fillId="0" fontId="4" numFmtId="0" xfId="0" applyAlignment="1" applyBorder="1" applyFont="1">
      <alignment horizontal="center" shrinkToFit="0" vertical="center" wrapText="1"/>
    </xf>
    <xf borderId="0" fillId="0" fontId="16" numFmtId="0" xfId="0" applyFont="1"/>
    <xf borderId="0" fillId="0" fontId="8" numFmtId="0" xfId="0" applyFont="1"/>
    <xf borderId="0" fillId="0" fontId="17" numFmtId="0" xfId="0" applyAlignment="1" applyFont="1">
      <alignment shrinkToFit="0" vertical="top" wrapText="1"/>
    </xf>
    <xf borderId="0" fillId="0" fontId="8" numFmtId="0" xfId="0" applyAlignment="1" applyFont="1">
      <alignment readingOrder="0"/>
    </xf>
    <xf borderId="0" fillId="0" fontId="18" numFmtId="0" xfId="0" applyAlignment="1" applyFont="1">
      <alignment readingOrder="0"/>
    </xf>
  </cellXfs>
  <cellStyles count="1">
    <cellStyle xfId="0" name="Normal" builtinId="0"/>
  </cellStyles>
  <dxfs count="7">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3">
    <tableStyle count="3" pivot="0" name="Ordens de Serviço - 2024-style">
      <tableStyleElement dxfId="1" type="headerRow"/>
      <tableStyleElement dxfId="2" type="firstRowStripe"/>
      <tableStyleElement dxfId="3" type="secondRowStripe"/>
    </tableStyle>
    <tableStyle count="3" pivot="0" name="Ordens de Serviço - 2023-style">
      <tableStyleElement dxfId="1" type="headerRow"/>
      <tableStyleElement dxfId="2" type="firstRowStripe"/>
      <tableStyleElement dxfId="3" type="secondRowStripe"/>
    </tableStyle>
    <tableStyle count="3" pivot="0" name="Graficos Anual-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089844032653822"/>
          <c:y val="0.045407621979759366"/>
          <c:w val="0.8961274577519915"/>
          <c:h val="0.6768693508627778"/>
        </c:manualLayout>
      </c:layout>
      <c:barChart>
        <c:barDir val="col"/>
        <c:ser>
          <c:idx val="0"/>
          <c:order val="0"/>
          <c:tx>
            <c:v>2019</c:v>
          </c:tx>
          <c:spPr>
            <a:solidFill>
              <a:srgbClr val="F9CB9C"/>
            </a:solidFill>
            <a:ln cmpd="sng">
              <a:solidFill>
                <a:srgbClr val="000000"/>
              </a:solidFill>
            </a:ln>
          </c:spPr>
          <c:dPt>
            <c:idx val="7"/>
          </c:dPt>
          <c:dLbls>
            <c:numFmt formatCode="General" sourceLinked="1"/>
            <c:txPr>
              <a:bodyPr/>
              <a:lstStyle/>
              <a:p>
                <a:pPr lvl="0">
                  <a:defRPr b="0" i="0" sz="900">
                    <a:latin typeface="+mn-lt"/>
                  </a:defRPr>
                </a:pPr>
              </a:p>
            </c:txPr>
            <c:showLegendKey val="0"/>
            <c:showVal val="1"/>
            <c:showCatName val="0"/>
            <c:showSerName val="0"/>
            <c:showPercent val="0"/>
            <c:showBubbleSize val="0"/>
          </c:dLbls>
          <c:cat>
            <c:strRef>
              <c:f>'Graficos Anual'!$C$6:$C$17</c:f>
            </c:strRef>
          </c:cat>
          <c:val>
            <c:numRef>
              <c:f>'Graficos Anual'!$E$6:$E$17</c:f>
              <c:numCache/>
            </c:numRef>
          </c:val>
        </c:ser>
        <c:ser>
          <c:idx val="1"/>
          <c:order val="1"/>
          <c:tx>
            <c:v>2020</c:v>
          </c:tx>
          <c:spPr>
            <a:solidFill>
              <a:schemeClr val="accent3"/>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'Graficos Anual'!$C$6:$C$17</c:f>
            </c:strRef>
          </c:cat>
          <c:val>
            <c:numRef>
              <c:f>'Graficos Anual'!$F$6:$F$17</c:f>
              <c:numCache/>
            </c:numRef>
          </c:val>
        </c:ser>
        <c:ser>
          <c:idx val="2"/>
          <c:order val="2"/>
          <c:tx>
            <c:v>2021</c:v>
          </c:tx>
          <c:spPr>
            <a:solidFill>
              <a:srgbClr val="F4CCCC"/>
            </a:solidFill>
            <a:ln cmpd="sng">
              <a:solidFill>
                <a:srgbClr val="000000"/>
              </a:solidFill>
            </a:ln>
          </c:spPr>
          <c:dPt>
            <c:idx val="7"/>
          </c:dPt>
          <c:dLbls>
            <c:numFmt formatCode="General" sourceLinked="1"/>
            <c:txPr>
              <a:bodyPr/>
              <a:lstStyle/>
              <a:p>
                <a:pPr lvl="0">
                  <a:defRPr b="0" i="0" sz="900">
                    <a:latin typeface="+mn-lt"/>
                  </a:defRPr>
                </a:pPr>
              </a:p>
            </c:txPr>
            <c:showLegendKey val="0"/>
            <c:showVal val="1"/>
            <c:showCatName val="0"/>
            <c:showSerName val="0"/>
            <c:showPercent val="0"/>
            <c:showBubbleSize val="0"/>
          </c:dLbls>
          <c:cat>
            <c:strRef>
              <c:f>'Graficos Anual'!$C$6:$C$17</c:f>
            </c:strRef>
          </c:cat>
          <c:val>
            <c:numRef>
              <c:f>'Graficos Anual'!$G$6:$G$17</c:f>
              <c:numCache/>
            </c:numRef>
          </c:val>
        </c:ser>
        <c:ser>
          <c:idx val="3"/>
          <c:order val="3"/>
          <c:tx>
            <c:v>2022</c:v>
          </c:tx>
          <c:spPr>
            <a:solidFill>
              <a:srgbClr val="45818E"/>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'Graficos Anual'!$C$6:$C$17</c:f>
            </c:strRef>
          </c:cat>
          <c:val>
            <c:numRef>
              <c:f>'Graficos Anual'!$H$6:$H$17</c:f>
              <c:numCache/>
            </c:numRef>
          </c:val>
        </c:ser>
        <c:ser>
          <c:idx val="4"/>
          <c:order val="4"/>
          <c:tx>
            <c:strRef>
              <c:f>'Graficos Anual'!$AA$2</c:f>
            </c:strRef>
          </c:tx>
          <c:spPr>
            <a:solidFill>
              <a:srgbClr val="A64D79"/>
            </a:solidFill>
            <a:ln cmpd="sng">
              <a:solidFill>
                <a:srgbClr val="000000"/>
              </a:solidFill>
            </a:ln>
          </c:spPr>
          <c:dPt>
            <c:idx val="7"/>
          </c:dPt>
          <c:dLbls>
            <c:numFmt formatCode="General" sourceLinked="1"/>
            <c:txPr>
              <a:bodyPr/>
              <a:lstStyle/>
              <a:p>
                <a:pPr lvl="0">
                  <a:defRPr/>
                </a:pPr>
              </a:p>
            </c:txPr>
            <c:showLegendKey val="0"/>
            <c:showVal val="1"/>
            <c:showCatName val="0"/>
            <c:showSerName val="0"/>
            <c:showPercent val="0"/>
            <c:showBubbleSize val="0"/>
          </c:dLbls>
          <c:cat>
            <c:strRef>
              <c:f>'Graficos Anual'!$C$6:$C$17</c:f>
            </c:strRef>
          </c:cat>
          <c:val>
            <c:numRef>
              <c:f>'Graficos Anual'!$AA$3:$AA$15</c:f>
              <c:numCache/>
            </c:numRef>
          </c:val>
        </c:ser>
        <c:ser>
          <c:idx val="5"/>
          <c:order val="5"/>
          <c:tx>
            <c:strRef>
              <c:f>'Graficos Anual'!$I$5</c:f>
            </c:strRef>
          </c:tx>
          <c:cat>
            <c:strRef>
              <c:f>'Graficos Anual'!$C$6:$C$17</c:f>
            </c:strRef>
          </c:cat>
          <c:val>
            <c:numRef>
              <c:f>'Graficos Anual'!$I$6:$I$17</c:f>
              <c:numCache/>
            </c:numRef>
          </c:val>
        </c:ser>
        <c:axId val="1870613791"/>
        <c:axId val="504559301"/>
      </c:barChart>
      <c:catAx>
        <c:axId val="1870613791"/>
        <c:scaling>
          <c:orientation val="minMax"/>
        </c:scaling>
        <c:delete val="0"/>
        <c:axPos val="b"/>
        <c:title>
          <c:tx>
            <c:rich>
              <a:bodyPr/>
              <a:lstStyle/>
              <a:p>
                <a:pPr lvl="0">
                  <a:defRPr b="0" i="0" sz="1000">
                    <a:solidFill>
                      <a:srgbClr val="1A1A1A"/>
                    </a:solidFill>
                    <a:latin typeface="+mn-lt"/>
                  </a:defRPr>
                </a:pPr>
                <a:r>
                  <a:rPr b="0" i="0" sz="1000">
                    <a:solidFill>
                      <a:srgbClr val="1A1A1A"/>
                    </a:solidFill>
                    <a:latin typeface="+mn-lt"/>
                  </a:rPr>
                  <a:t>Mês</a:t>
                </a:r>
              </a:p>
            </c:rich>
          </c:tx>
          <c:overlay val="0"/>
        </c:title>
        <c:numFmt formatCode="General" sourceLinked="1"/>
        <c:majorTickMark val="none"/>
        <c:minorTickMark val="none"/>
        <c:spPr/>
        <c:txPr>
          <a:bodyPr/>
          <a:lstStyle/>
          <a:p>
            <a:pPr lvl="0">
              <a:defRPr b="0" i="0" sz="1200">
                <a:solidFill>
                  <a:srgbClr val="1A1A1A"/>
                </a:solidFill>
                <a:latin typeface="+mn-lt"/>
              </a:defRPr>
            </a:pPr>
          </a:p>
        </c:txPr>
        <c:crossAx val="504559301"/>
      </c:catAx>
      <c:valAx>
        <c:axId val="504559301"/>
        <c:scaling>
          <c:orientation val="minMax"/>
        </c:scaling>
        <c:delete val="0"/>
        <c:axPos val="l"/>
        <c:majorGridlines>
          <c:spPr>
            <a:ln>
              <a:solidFill>
                <a:srgbClr val="B7B7B7"/>
              </a:solidFill>
            </a:ln>
          </c:spPr>
        </c:majorGridlines>
        <c:title>
          <c:tx>
            <c:rich>
              <a:bodyPr/>
              <a:lstStyle/>
              <a:p>
                <a:pPr lvl="0">
                  <a:defRPr b="0" i="0" sz="1000">
                    <a:solidFill>
                      <a:srgbClr val="1A1A1A"/>
                    </a:solidFill>
                    <a:latin typeface="+mn-lt"/>
                  </a:defRPr>
                </a:pPr>
                <a:r>
                  <a:rPr b="0" i="0" sz="1000">
                    <a:solidFill>
                      <a:srgbClr val="1A1A1A"/>
                    </a:solidFill>
                    <a:latin typeface="+mn-lt"/>
                  </a:rPr>
                  <a:t>O.S.'s</a:t>
                </a:r>
              </a:p>
            </c:rich>
          </c:tx>
          <c:overlay val="0"/>
        </c:title>
        <c:numFmt formatCode="General" sourceLinked="1"/>
        <c:majorTickMark val="none"/>
        <c:minorTickMark val="none"/>
        <c:tickLblPos val="nextTo"/>
        <c:spPr>
          <a:ln/>
        </c:spPr>
        <c:txPr>
          <a:bodyPr/>
          <a:lstStyle/>
          <a:p>
            <a:pPr lvl="0">
              <a:defRPr b="0" i="0" sz="900">
                <a:solidFill>
                  <a:srgbClr val="1A1A1A"/>
                </a:solidFill>
                <a:latin typeface="+mn-lt"/>
              </a:defRPr>
            </a:pPr>
          </a:p>
        </c:txPr>
        <c:crossAx val="1870613791"/>
      </c:valAx>
    </c:plotArea>
    <c:legend>
      <c:legendPos val="b"/>
      <c:overlay val="0"/>
      <c:txPr>
        <a:bodyPr/>
        <a:lstStyle/>
        <a:p>
          <a:pPr lvl="0">
            <a:defRPr b="0" i="0" sz="1400">
              <a:solidFill>
                <a:srgbClr val="313131"/>
              </a:solidFill>
              <a:latin typeface="+mn-lt"/>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6"/>
            </a:solidFill>
            <a:ln cmpd="sng">
              <a:solidFill>
                <a:srgbClr val="000000"/>
              </a:solidFill>
            </a:ln>
          </c:spPr>
          <c:dPt>
            <c:idx val="2"/>
          </c:dPt>
          <c:dPt>
            <c:idx val="3"/>
          </c:dPt>
          <c:dLbls>
            <c:dLbl>
              <c:idx val="2"/>
              <c:numFmt formatCode="0.00%" sourceLinked="0"/>
              <c:txPr>
                <a:bodyPr/>
                <a:lstStyle/>
                <a:p>
                  <a:pPr lvl="0">
                    <a:defRPr>
                      <a:solidFill>
                        <a:srgbClr val="000000"/>
                      </a:solidFill>
                    </a:defRPr>
                  </a:pPr>
                </a:p>
              </c:txPr>
              <c:showLegendKey val="0"/>
              <c:showVal val="1"/>
              <c:showCatName val="0"/>
              <c:showSerName val="0"/>
              <c:showPercent val="0"/>
              <c:showBubbleSize val="0"/>
            </c:dLbl>
            <c:numFmt formatCode="0.00%" sourceLinked="0"/>
            <c:txPr>
              <a:bodyPr/>
              <a:lstStyle/>
              <a:p>
                <a:pPr lvl="0">
                  <a:defRPr b="1" i="0" sz="900">
                    <a:solidFill>
                      <a:srgbClr val="000000"/>
                    </a:solidFill>
                    <a:latin typeface="+mn-lt"/>
                  </a:defRPr>
                </a:pPr>
              </a:p>
            </c:txPr>
            <c:showLegendKey val="0"/>
            <c:showVal val="1"/>
            <c:showCatName val="0"/>
            <c:showSerName val="0"/>
            <c:showPercent val="0"/>
            <c:showBubbleSize val="0"/>
          </c:dLbls>
          <c:cat>
            <c:strRef>
              <c:f>'Graficos Anual'!$D$38:$D$66</c:f>
            </c:strRef>
          </c:cat>
          <c:val>
            <c:numRef>
              <c:f>'Graficos Anual'!$F$38:$F$66</c:f>
              <c:numCache/>
            </c:numRef>
          </c:val>
        </c:ser>
        <c:axId val="2137915907"/>
        <c:axId val="1815983896"/>
      </c:barChart>
      <c:catAx>
        <c:axId val="2137915907"/>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i="0" sz="900">
                <a:solidFill>
                  <a:srgbClr val="1A1A1A"/>
                </a:solidFill>
                <a:latin typeface="+mn-lt"/>
              </a:defRPr>
            </a:pPr>
          </a:p>
        </c:txPr>
        <c:crossAx val="1815983896"/>
      </c:catAx>
      <c:valAx>
        <c:axId val="1815983896"/>
        <c:scaling>
          <c:orientation val="minMax"/>
        </c:scaling>
        <c:delete val="0"/>
        <c:axPos val="l"/>
        <c:majorGridlines>
          <c:spPr>
            <a:ln>
              <a:solidFill>
                <a:srgbClr val="B7B7B7"/>
              </a:solidFill>
            </a:ln>
          </c:spPr>
        </c:maj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1A1A1A"/>
                </a:solidFill>
                <a:latin typeface="+mn-lt"/>
              </a:defRPr>
            </a:pPr>
          </a:p>
        </c:txPr>
        <c:crossAx val="2137915907"/>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tx>
            <c:strRef>
              <c:f>'Graficos Anual'!$N$56</c:f>
            </c:strRef>
          </c:tx>
          <c:dPt>
            <c:idx val="0"/>
            <c:spPr>
              <a:solidFill>
                <a:srgbClr val="1A9988"/>
              </a:solidFill>
            </c:spPr>
          </c:dPt>
          <c:dPt>
            <c:idx val="1"/>
            <c:spPr>
              <a:solidFill>
                <a:srgbClr val="2D729D"/>
              </a:solidFill>
            </c:spPr>
          </c:dPt>
          <c:dPt>
            <c:idx val="2"/>
            <c:spPr>
              <a:solidFill>
                <a:srgbClr val="1F3E78"/>
              </a:solidFill>
            </c:spPr>
          </c:dPt>
          <c:dPt>
            <c:idx val="3"/>
            <c:spPr>
              <a:solidFill>
                <a:srgbClr val="EB5600"/>
              </a:solidFill>
            </c:spPr>
          </c:dPt>
          <c:dPt>
            <c:idx val="4"/>
            <c:spPr>
              <a:solidFill>
                <a:srgbClr val="FF99AC"/>
              </a:solidFill>
            </c:spPr>
          </c:dPt>
          <c:dPt>
            <c:idx val="5"/>
            <c:spPr>
              <a:solidFill>
                <a:srgbClr val="FFD4B8"/>
              </a:solidFill>
            </c:spPr>
          </c:dPt>
          <c:dPt>
            <c:idx val="6"/>
            <c:spPr>
              <a:solidFill>
                <a:srgbClr val="5FB8AC"/>
              </a:solidFill>
            </c:spPr>
          </c:dPt>
          <c:dPt>
            <c:idx val="7"/>
            <c:spPr>
              <a:solidFill>
                <a:srgbClr val="6C9CBA"/>
              </a:solidFill>
            </c:spPr>
          </c:dPt>
          <c:dPt>
            <c:idx val="8"/>
            <c:spPr>
              <a:solidFill>
                <a:srgbClr val="6278A1"/>
              </a:solidFill>
            </c:spPr>
          </c:dPt>
          <c:dPt>
            <c:idx val="9"/>
            <c:spPr>
              <a:solidFill>
                <a:srgbClr val="F1894D"/>
              </a:solidFill>
            </c:spPr>
          </c:dPt>
          <c:dLbls>
            <c:showLegendKey val="0"/>
            <c:showVal val="0"/>
            <c:showCatName val="0"/>
            <c:showSerName val="0"/>
            <c:showPercent val="0"/>
            <c:showBubbleSize val="0"/>
            <c:showLeaderLines val="1"/>
          </c:dLbls>
          <c:cat>
            <c:strRef>
              <c:f>'Graficos Anual'!$M$57:$M$66</c:f>
            </c:strRef>
          </c:cat>
          <c:val>
            <c:numRef>
              <c:f>'Graficos Anual'!$N$57:$N$66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313131"/>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838383"/>
                </a:solidFill>
                <a:latin typeface="+mn-lt"/>
              </a:defRPr>
            </a:pPr>
            <a:r>
              <a:rPr b="0">
                <a:solidFill>
                  <a:srgbClr val="838383"/>
                </a:solidFill>
                <a:latin typeface="+mn-lt"/>
              </a:rPr>
              <a:t>Aguardando Disp. de M.O., Em Andamento, Realizado, Aguardando Mat./Equipam., Pendente…</a:t>
            </a:r>
          </a:p>
        </c:rich>
      </c:tx>
      <c:overlay val="0"/>
    </c:title>
    <c:plotArea>
      <c:layout/>
      <c:barChart>
        <c:barDir val="col"/>
        <c:grouping val="stacked"/>
        <c:ser>
          <c:idx val="0"/>
          <c:order val="0"/>
          <c:tx>
            <c:strRef>
              <c:f>'Graficos Anual'!$O$56</c:f>
            </c:strRef>
          </c:tx>
          <c:spPr>
            <a:solidFill>
              <a:schemeClr val="accent1"/>
            </a:solidFill>
            <a:ln cmpd="sng">
              <a:solidFill>
                <a:srgbClr val="000000"/>
              </a:solidFill>
            </a:ln>
          </c:spPr>
          <c:cat>
            <c:strRef>
              <c:f>'Graficos Anual'!$M$57:$M$66</c:f>
            </c:strRef>
          </c:cat>
          <c:val>
            <c:numRef>
              <c:f>'Graficos Anual'!$O$57:$O$66</c:f>
              <c:numCache/>
            </c:numRef>
          </c:val>
        </c:ser>
        <c:ser>
          <c:idx val="1"/>
          <c:order val="1"/>
          <c:tx>
            <c:strRef>
              <c:f>'Graficos Anual'!$P$56</c:f>
            </c:strRef>
          </c:tx>
          <c:spPr>
            <a:solidFill>
              <a:schemeClr val="accent2"/>
            </a:solidFill>
            <a:ln cmpd="sng">
              <a:solidFill>
                <a:srgbClr val="000000"/>
              </a:solidFill>
            </a:ln>
          </c:spPr>
          <c:cat>
            <c:strRef>
              <c:f>'Graficos Anual'!$M$57:$M$66</c:f>
            </c:strRef>
          </c:cat>
          <c:val>
            <c:numRef>
              <c:f>'Graficos Anual'!$P$57:$P$66</c:f>
              <c:numCache/>
            </c:numRef>
          </c:val>
        </c:ser>
        <c:ser>
          <c:idx val="2"/>
          <c:order val="2"/>
          <c:tx>
            <c:strRef>
              <c:f>'Graficos Anual'!$Q$56</c:f>
            </c:strRef>
          </c:tx>
          <c:spPr>
            <a:solidFill>
              <a:schemeClr val="accent3"/>
            </a:solidFill>
            <a:ln cmpd="sng">
              <a:solidFill>
                <a:srgbClr val="000000"/>
              </a:solidFill>
            </a:ln>
          </c:spPr>
          <c:cat>
            <c:strRef>
              <c:f>'Graficos Anual'!$M$57:$M$66</c:f>
            </c:strRef>
          </c:cat>
          <c:val>
            <c:numRef>
              <c:f>'Graficos Anual'!$Q$57:$Q$66</c:f>
              <c:numCache/>
            </c:numRef>
          </c:val>
        </c:ser>
        <c:ser>
          <c:idx val="3"/>
          <c:order val="3"/>
          <c:tx>
            <c:strRef>
              <c:f>'Graficos Anual'!$S$56</c:f>
            </c:strRef>
          </c:tx>
          <c:spPr>
            <a:solidFill>
              <a:schemeClr val="accent4"/>
            </a:solidFill>
            <a:ln cmpd="sng">
              <a:solidFill>
                <a:srgbClr val="000000"/>
              </a:solidFill>
            </a:ln>
          </c:spPr>
          <c:cat>
            <c:strRef>
              <c:f>'Graficos Anual'!$M$57:$M$66</c:f>
            </c:strRef>
          </c:cat>
          <c:val>
            <c:numRef>
              <c:f>'Graficos Anual'!$S$57:$S$66</c:f>
              <c:numCache/>
            </c:numRef>
          </c:val>
        </c:ser>
        <c:ser>
          <c:idx val="4"/>
          <c:order val="4"/>
          <c:tx>
            <c:strRef>
              <c:f>'Graficos Anual'!$T$56</c:f>
            </c:strRef>
          </c:tx>
          <c:spPr>
            <a:solidFill>
              <a:schemeClr val="accent5"/>
            </a:solidFill>
            <a:ln cmpd="sng">
              <a:solidFill>
                <a:srgbClr val="000000"/>
              </a:solidFill>
            </a:ln>
          </c:spPr>
          <c:cat>
            <c:strRef>
              <c:f>'Graficos Anual'!$M$57:$M$66</c:f>
            </c:strRef>
          </c:cat>
          <c:val>
            <c:numRef>
              <c:f>'Graficos Anual'!$T$57:$T$66</c:f>
              <c:numCache/>
            </c:numRef>
          </c:val>
        </c:ser>
        <c:ser>
          <c:idx val="5"/>
          <c:order val="5"/>
          <c:tx>
            <c:strRef>
              <c:f>'Graficos Anual'!$U$56</c:f>
            </c:strRef>
          </c:tx>
          <c:spPr>
            <a:solidFill>
              <a:schemeClr val="accent6"/>
            </a:solidFill>
            <a:ln cmpd="sng">
              <a:solidFill>
                <a:srgbClr val="000000"/>
              </a:solidFill>
            </a:ln>
          </c:spPr>
          <c:cat>
            <c:strRef>
              <c:f>'Graficos Anual'!$M$57:$M$66</c:f>
            </c:strRef>
          </c:cat>
          <c:val>
            <c:numRef>
              <c:f>'Graficos Anual'!$U$57:$U$66</c:f>
              <c:numCache/>
            </c:numRef>
          </c:val>
        </c:ser>
        <c:ser>
          <c:idx val="6"/>
          <c:order val="6"/>
          <c:tx>
            <c:strRef>
              <c:f>'Graficos Anual'!$V$56</c:f>
            </c:strRef>
          </c:tx>
          <c:spPr>
            <a:solidFill>
              <a:schemeClr val="accent1">
                <a:lumOff val="30000"/>
              </a:schemeClr>
            </a:solidFill>
            <a:ln cmpd="sng">
              <a:solidFill>
                <a:srgbClr val="000000"/>
              </a:solidFill>
            </a:ln>
          </c:spPr>
          <c:cat>
            <c:strRef>
              <c:f>'Graficos Anual'!$M$57:$M$66</c:f>
            </c:strRef>
          </c:cat>
          <c:val>
            <c:numRef>
              <c:f>'Graficos Anual'!$V$57:$V$66</c:f>
              <c:numCache/>
            </c:numRef>
          </c:val>
        </c:ser>
        <c:overlap val="100"/>
        <c:axId val="295788623"/>
        <c:axId val="1001215689"/>
      </c:barChart>
      <c:catAx>
        <c:axId val="295788623"/>
        <c:scaling>
          <c:orientation val="minMax"/>
        </c:scaling>
        <c:delete val="0"/>
        <c:axPos val="b"/>
        <c:title>
          <c:tx>
            <c:rich>
              <a:bodyPr/>
              <a:lstStyle/>
              <a:p>
                <a:pPr lvl="0">
                  <a:defRPr b="0">
                    <a:solidFill>
                      <a:srgbClr val="1A1A1A"/>
                    </a:solidFill>
                    <a:latin typeface="+mn-lt"/>
                  </a:defRPr>
                </a:pPr>
                <a:r>
                  <a:rPr b="0">
                    <a:solidFill>
                      <a:srgbClr val="1A1A1A"/>
                    </a:solidFill>
                    <a:latin typeface="+mn-lt"/>
                  </a:rPr>
                  <a:t>NOVAS ORDENS ABERTAS </a:t>
                </a:r>
              </a:p>
            </c:rich>
          </c:tx>
          <c:overlay val="0"/>
        </c:title>
        <c:numFmt formatCode="General" sourceLinked="1"/>
        <c:majorTickMark val="none"/>
        <c:minorTickMark val="none"/>
        <c:spPr/>
        <c:txPr>
          <a:bodyPr/>
          <a:lstStyle/>
          <a:p>
            <a:pPr lvl="0">
              <a:defRPr b="0">
                <a:solidFill>
                  <a:srgbClr val="1A1A1A"/>
                </a:solidFill>
                <a:latin typeface="+mn-lt"/>
              </a:defRPr>
            </a:pPr>
          </a:p>
        </c:txPr>
        <c:crossAx val="1001215689"/>
      </c:catAx>
      <c:valAx>
        <c:axId val="10012156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tickLblPos val="nextTo"/>
        <c:spPr>
          <a:ln/>
        </c:spPr>
        <c:txPr>
          <a:bodyPr/>
          <a:lstStyle/>
          <a:p>
            <a:pPr lvl="0">
              <a:defRPr b="0">
                <a:solidFill>
                  <a:srgbClr val="1A1A1A"/>
                </a:solidFill>
                <a:latin typeface="+mn-lt"/>
              </a:defRPr>
            </a:pPr>
          </a:p>
        </c:txPr>
        <c:crossAx val="295788623"/>
      </c:valAx>
    </c:plotArea>
    <c:legend>
      <c:legendPos val="r"/>
      <c:overlay val="0"/>
      <c:txPr>
        <a:bodyPr/>
        <a:lstStyle/>
        <a:p>
          <a:pPr lvl="0">
            <a:defRPr b="0">
              <a:solidFill>
                <a:srgbClr val="313131"/>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257175</xdr:colOff>
      <xdr:row>3</xdr:row>
      <xdr:rowOff>142875</xdr:rowOff>
    </xdr:from>
    <xdr:ext cx="11182350" cy="4581525"/>
    <xdr:graphicFrame>
      <xdr:nvGraphicFramePr>
        <xdr:cNvPr id="1317878908"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238125</xdr:colOff>
      <xdr:row>36</xdr:row>
      <xdr:rowOff>19050</xdr:rowOff>
    </xdr:from>
    <xdr:ext cx="8820150" cy="3333750"/>
    <xdr:graphicFrame>
      <xdr:nvGraphicFramePr>
        <xdr:cNvPr id="162165844"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9525</xdr:colOff>
      <xdr:row>68</xdr:row>
      <xdr:rowOff>0</xdr:rowOff>
    </xdr:from>
    <xdr:ext cx="5715000" cy="3533775"/>
    <xdr:graphicFrame>
      <xdr:nvGraphicFramePr>
        <xdr:cNvPr id="1821206279"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28575</xdr:colOff>
      <xdr:row>68</xdr:row>
      <xdr:rowOff>0</xdr:rowOff>
    </xdr:from>
    <xdr:ext cx="5715000" cy="3533775"/>
    <xdr:graphicFrame>
      <xdr:nvGraphicFramePr>
        <xdr:cNvPr id="2082568731" name="Chart 4"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P2088"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Ordens de Serviço - 2024-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N2072" displayName="Table_2" name="Table_2" id="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Ordens de Serviço - 2023-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D37:F66" displayName="Table_3" name="Table_3" id="3">
  <tableColumns count="3">
    <tableColumn name="Bloco" id="1"/>
    <tableColumn name="Qnt de O.S'" id="2"/>
    <tableColumn name="Percentual %" id="3"/>
  </tableColumns>
  <tableStyleInfo name="Graficos Anu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2.56"/>
    <col customWidth="1" min="2" max="2" width="14.56"/>
    <col customWidth="1" min="3" max="3" width="25.56"/>
    <col customWidth="1" min="4" max="4" width="26.78"/>
    <col customWidth="1" min="5" max="5" width="10.0"/>
    <col customWidth="1" min="6" max="6" width="26.89"/>
    <col customWidth="1" min="7" max="7" width="16.44"/>
    <col customWidth="1" min="8" max="8" width="27.22"/>
    <col customWidth="1" min="9" max="11" width="33.78"/>
    <col customWidth="1" min="12" max="12" width="81.78"/>
    <col customWidth="1" min="13" max="13" width="18.33"/>
    <col customWidth="1" min="14" max="14" width="21.56"/>
    <col customWidth="1" min="15" max="16" width="14.56"/>
  </cols>
  <sheetData>
    <row r="1">
      <c r="A1" s="1" t="str">
        <f>IFERROR(__xludf.DUMMYFUNCTION("IMPORTRANGE(""https://docs.google.com/spreadsheets/d/1txCfXatJhnbn9btD2212eP6I-uV4_deznkLlP0vFlO4/edit?usp=sharing"",""Ordens de Serviço - 2024!A1:O1000"")"),"NÚM. DA O.S.")</f>
        <v>NÚM. DA O.S.</v>
      </c>
      <c r="B1" s="2" t="str">
        <f>IFERROR(__xludf.DUMMYFUNCTION("""COMPUTED_VALUE"""),"DATA E HORA SOLICITAÇÃO")</f>
        <v>DATA E HORA SOLICITAÇÃO</v>
      </c>
      <c r="C1" s="3" t="str">
        <f>IFERROR(__xludf.DUMMYFUNCTION("""COMPUTED_VALUE"""),"E-MAIL")</f>
        <v>E-MAIL</v>
      </c>
      <c r="D1" s="4" t="str">
        <f>IFERROR(__xludf.DUMMYFUNCTION("""COMPUTED_VALUE""")," SOLICITANTE")</f>
        <v> SOLICITANTE</v>
      </c>
      <c r="E1" s="4" t="str">
        <f>IFERROR(__xludf.DUMMYFUNCTION("""COMPUTED_VALUE"""),"RAMAL")</f>
        <v>RAMAL</v>
      </c>
      <c r="F1" s="4" t="str">
        <f>IFERROR(__xludf.DUMMYFUNCTION("""COMPUTED_VALUE"""),"DEPTO")</f>
        <v>DEPTO</v>
      </c>
      <c r="G1" s="4" t="str">
        <f>IFERROR(__xludf.DUMMYFUNCTION("""COMPUTED_VALUE"""),"LOCAL ")</f>
        <v>LOCAL </v>
      </c>
      <c r="H1" s="4" t="str">
        <f>IFERROR(__xludf.DUMMYFUNCTION("""COMPUTED_VALUE"""),"LOCAL DO SERVIÇO ")</f>
        <v>LOCAL DO SERVIÇO </v>
      </c>
      <c r="I1" s="3" t="str">
        <f>IFERROR(__xludf.DUMMYFUNCTION("""COMPUTED_VALUE"""),"TIPO DE SERVIÇO")</f>
        <v>TIPO DE SERVIÇO</v>
      </c>
      <c r="J1" s="3" t="str">
        <f>IFERROR(__xludf.DUMMYFUNCTION("""COMPUTED_VALUE"""),"TIPO DE SERVIÇO COM PRAZO ")</f>
        <v>TIPO DE SERVIÇO COM PRAZO </v>
      </c>
      <c r="K1" s="3" t="str">
        <f>IFERROR(__xludf.DUMMYFUNCTION("""COMPUTED_VALUE"""),"PRAZO ESTIMADO EM DIAS ")</f>
        <v>PRAZO ESTIMADO EM DIAS </v>
      </c>
      <c r="L1" s="4" t="str">
        <f>IFERROR(__xludf.DUMMYFUNCTION("""COMPUTED_VALUE"""),"DESCRIÇÃO DO SERVIÇO")</f>
        <v>DESCRIÇÃO DO SERVIÇO</v>
      </c>
      <c r="M1" s="5" t="str">
        <f>IFERROR(__xludf.DUMMYFUNCTION("""COMPUTED_VALUE"""),"OBSERVAÇÃO ")</f>
        <v>OBSERVAÇÃO </v>
      </c>
      <c r="N1" s="6" t="str">
        <f>IFERROR(__xludf.DUMMYFUNCTION("""COMPUTED_VALUE"""),"SITUAÇÃO SERVIÇO")</f>
        <v>SITUAÇÃO SERVIÇO</v>
      </c>
      <c r="O1" s="6" t="str">
        <f>IFERROR(__xludf.DUMMYFUNCTION("""COMPUTED_VALUE"""),"DATA E HORA DA EXECUÇÃO")</f>
        <v>DATA E HORA DA EXECUÇÃO</v>
      </c>
      <c r="P1" s="6"/>
    </row>
    <row r="2" ht="27.0" customHeight="1">
      <c r="A2" s="7" t="str">
        <f>IFERROR(__xludf.DUMMYFUNCTION("""COMPUTED_VALUE"""),"001/2024")</f>
        <v>001/2024</v>
      </c>
      <c r="B2" s="8">
        <f>IFERROR(__xludf.DUMMYFUNCTION("""COMPUTED_VALUE"""),45292.0)</f>
        <v>45292</v>
      </c>
      <c r="C2" s="8" t="str">
        <f>IFERROR(__xludf.DUMMYFUNCTION("""COMPUTED_VALUE"""),"pref@ufcat.edu.br")</f>
        <v>pref@ufcat.edu.br</v>
      </c>
      <c r="D2" s="7" t="str">
        <f>IFERROR(__xludf.DUMMYFUNCTION("""COMPUTED_VALUE"""),"Nátaly")</f>
        <v>Nátaly</v>
      </c>
      <c r="E2" s="7">
        <f>IFERROR(__xludf.DUMMYFUNCTION("""COMPUTED_VALUE"""),5379.0)</f>
        <v>5379</v>
      </c>
      <c r="F2" s="7" t="str">
        <f>IFERROR(__xludf.DUMMYFUNCTION("""COMPUTED_VALUE"""),"PREF")</f>
        <v>PREF</v>
      </c>
      <c r="G2" s="9" t="str">
        <f>IFERROR(__xludf.DUMMYFUNCTION("""COMPUTED_VALUE"""),"Didático II")</f>
        <v>Didático II</v>
      </c>
      <c r="H2" s="7" t="str">
        <f>IFERROR(__xludf.DUMMYFUNCTION("""COMPUTED_VALUE"""),"Marquise da sala 301")</f>
        <v>Marquise da sala 301</v>
      </c>
      <c r="I2" s="7" t="str">
        <f>IFERROR(__xludf.DUMMYFUNCTION("""COMPUTED_VALUE"""),"Pintura")</f>
        <v>Pintura</v>
      </c>
      <c r="J2" s="7" t="str">
        <f>IFERROR(__xludf.DUMMYFUNCTION("""COMPUTED_VALUE"""),"06 Pintura / 47 - Outros (PRAZO DE ACORDO COM A DEMANDA)")</f>
        <v>06 Pintura / 47 - Outros (PRAZO DE ACORDO COM A DEMANDA)</v>
      </c>
      <c r="K2" s="7"/>
      <c r="L2" s="7" t="str">
        <f>IFERROR(__xludf.DUMMYFUNCTION("""COMPUTED_VALUE"""),"a vigia Carmem Lúcia (Delta 06) relatou que há água empossada na marquise da Sala 301 do Bloco Didático ll.")</f>
        <v>a vigia Carmem Lúcia (Delta 06) relatou que há água empossada na marquise da Sala 301 do Bloco Didático ll.</v>
      </c>
      <c r="M2" s="10"/>
      <c r="N2" s="10" t="str">
        <f>IFERROR(__xludf.DUMMYFUNCTION("""COMPUTED_VALUE"""),"Realizado")</f>
        <v>Realizado</v>
      </c>
      <c r="O2" s="11">
        <f>IFERROR(__xludf.DUMMYFUNCTION("""COMPUTED_VALUE"""),45386.0)</f>
        <v>45386</v>
      </c>
      <c r="P2" s="11"/>
    </row>
    <row r="3" ht="27.0" customHeight="1">
      <c r="A3" s="7" t="str">
        <f>IFERROR(__xludf.DUMMYFUNCTION("""COMPUTED_VALUE"""),"002/2024")</f>
        <v>002/2024</v>
      </c>
      <c r="B3" s="8">
        <f>IFERROR(__xludf.DUMMYFUNCTION("""COMPUTED_VALUE"""),45292.0)</f>
        <v>45292</v>
      </c>
      <c r="C3" s="8" t="str">
        <f>IFERROR(__xludf.DUMMYFUNCTION("""COMPUTED_VALUE"""),"pref@ufcat.edu.br")</f>
        <v>pref@ufcat.edu.br</v>
      </c>
      <c r="D3" s="7" t="str">
        <f>IFERROR(__xludf.DUMMYFUNCTION("""COMPUTED_VALUE"""),"Nátaly")</f>
        <v>Nátaly</v>
      </c>
      <c r="E3" s="7">
        <f>IFERROR(__xludf.DUMMYFUNCTION("""COMPUTED_VALUE"""),5379.0)</f>
        <v>5379</v>
      </c>
      <c r="F3" s="7" t="str">
        <f>IFERROR(__xludf.DUMMYFUNCTION("""COMPUTED_VALUE"""),"PREF")</f>
        <v>PREF</v>
      </c>
      <c r="G3" s="9" t="str">
        <f>IFERROR(__xludf.DUMMYFUNCTION("""COMPUTED_VALUE"""),"Didatico I")</f>
        <v>Didatico I</v>
      </c>
      <c r="H3" s="7" t="str">
        <f>IFERROR(__xludf.DUMMYFUNCTION("""COMPUTED_VALUE"""),"não informado")</f>
        <v>não informado</v>
      </c>
      <c r="I3" s="7" t="str">
        <f>IFERROR(__xludf.DUMMYFUNCTION("""COMPUTED_VALUE"""),"Instalações elétricas")</f>
        <v>Instalações elétricas</v>
      </c>
      <c r="J3" s="7" t="str">
        <f>IFERROR(__xludf.DUMMYFUNCTION("""COMPUTED_VALUE"""),"04 Elétrica / 37 - Outros (PRAZO DE ACORDO COM A DEMANDA)")</f>
        <v>04 Elétrica / 37 - Outros (PRAZO DE ACORDO COM A DEMANDA)</v>
      </c>
      <c r="K3" s="7"/>
      <c r="L3" s="7" t="str">
        <f>IFERROR(__xludf.DUMMYFUNCTION("""COMPUTED_VALUE"""),"no dia de hoje 25/12/2023 às 12:15 horas, que a vigilante Kássia Duarte (Bravo-3), relatou que há um poste sem parafusos, que com o vento poderia sair do lugar.")</f>
        <v>no dia de hoje 25/12/2023 às 12:15 horas, que a vigilante Kássia Duarte (Bravo-3), relatou que há um poste sem parafusos, que com o vento poderia sair do lugar.</v>
      </c>
      <c r="M3" s="10"/>
      <c r="N3" s="10" t="str">
        <f>IFERROR(__xludf.DUMMYFUNCTION("""COMPUTED_VALUE"""),"Realizado")</f>
        <v>Realizado</v>
      </c>
      <c r="O3" s="11">
        <f>IFERROR(__xludf.DUMMYFUNCTION("""COMPUTED_VALUE"""),45293.0)</f>
        <v>45293</v>
      </c>
      <c r="P3" s="11"/>
    </row>
    <row r="4" ht="27.0" customHeight="1">
      <c r="A4" s="7" t="str">
        <f>IFERROR(__xludf.DUMMYFUNCTION("""COMPUTED_VALUE"""),"003/2024")</f>
        <v>003/2024</v>
      </c>
      <c r="B4" s="8">
        <f>IFERROR(__xludf.DUMMYFUNCTION("""COMPUTED_VALUE"""),45292.0)</f>
        <v>45292</v>
      </c>
      <c r="C4" s="8" t="str">
        <f>IFERROR(__xludf.DUMMYFUNCTION("""COMPUTED_VALUE"""),"seguranca@ufcat.edu.br")</f>
        <v>seguranca@ufcat.edu.br</v>
      </c>
      <c r="D4" s="7" t="str">
        <f>IFERROR(__xludf.DUMMYFUNCTION("""COMPUTED_VALUE"""),"Maria Duarte ")</f>
        <v>Maria Duarte </v>
      </c>
      <c r="E4" s="7">
        <f>IFERROR(__xludf.DUMMYFUNCTION("""COMPUTED_VALUE"""),5318.0)</f>
        <v>5318</v>
      </c>
      <c r="F4" s="7" t="str">
        <f>IFERROR(__xludf.DUMMYFUNCTION("""COMPUTED_VALUE"""),"CENTRAL DE OPERAÇÕES VIGILÂNCIA")</f>
        <v>CENTRAL DE OPERAÇÕES VIGILÂNCIA</v>
      </c>
      <c r="G4" s="9" t="str">
        <f>IFERROR(__xludf.DUMMYFUNCTION("""COMPUTED_VALUE"""),"Bloco E")</f>
        <v>Bloco E</v>
      </c>
      <c r="H4" s="7" t="str">
        <f>IFERROR(__xludf.DUMMYFUNCTION("""COMPUTED_VALUE"""),"DVR Bloco E")</f>
        <v>DVR Bloco E</v>
      </c>
      <c r="I4" s="7" t="str">
        <f>IFERROR(__xludf.DUMMYFUNCTION("""COMPUTED_VALUE"""),"Instalações e/ou Manutenção em Cabeamento de Rede")</f>
        <v>Instalações e/ou Manutenção em Cabeamento de Rede</v>
      </c>
      <c r="J4" s="7" t="str">
        <f>IFERROR(__xludf.DUMMYFUNCTION("""COMPUTED_VALUE"""),"05 Telecomunicações / 39 - CFTV (PRAZO DE ATÉ 15 DIAS PARA ATENDIMENTO)")</f>
        <v>05 Telecomunicações / 39 - CFTV (PRAZO DE ATÉ 15 DIAS PARA ATENDIMENTO)</v>
      </c>
      <c r="K4" s="7"/>
      <c r="L4" s="7" t="str">
        <f>IFERROR(__xludf.DUMMYFUNCTION("""COMPUTED_VALUE"""),"Informo que desde o dia de ontem, das 17:50 horas, o Bloco E  se encontra desconectado, sem visualização de imagens do local, saliento que o local é de extrema importância, pois se trata das imagens de entrada do portão da Avenida Lamartine.")</f>
        <v>Informo que desde o dia de ontem, das 17:50 horas, o Bloco E  se encontra desconectado, sem visualização de imagens do local, saliento que o local é de extrema importância, pois se trata das imagens de entrada do portão da Avenida Lamartine.</v>
      </c>
      <c r="M4" s="10"/>
      <c r="N4" s="10" t="str">
        <f>IFERROR(__xludf.DUMMYFUNCTION("""COMPUTED_VALUE"""),"Realizado")</f>
        <v>Realizado</v>
      </c>
      <c r="O4" s="11">
        <f>IFERROR(__xludf.DUMMYFUNCTION("""COMPUTED_VALUE"""),45293.0)</f>
        <v>45293</v>
      </c>
      <c r="P4" s="11"/>
    </row>
    <row r="5" ht="27.0" customHeight="1">
      <c r="A5" s="7" t="str">
        <f>IFERROR(__xludf.DUMMYFUNCTION("""COMPUTED_VALUE"""),"004/2024")</f>
        <v>004/2024</v>
      </c>
      <c r="B5" s="8">
        <f>IFERROR(__xludf.DUMMYFUNCTION("""COMPUTED_VALUE"""),45292.0)</f>
        <v>45292</v>
      </c>
      <c r="C5" s="8" t="str">
        <f>IFERROR(__xludf.DUMMYFUNCTION("""COMPUTED_VALUE"""),"seguranca@ufcat.edu.br")</f>
        <v>seguranca@ufcat.edu.br</v>
      </c>
      <c r="D5" s="7" t="str">
        <f>IFERROR(__xludf.DUMMYFUNCTION("""COMPUTED_VALUE"""),"Maria Duarte")</f>
        <v>Maria Duarte</v>
      </c>
      <c r="E5" s="7">
        <f>IFERROR(__xludf.DUMMYFUNCTION("""COMPUTED_VALUE"""),5318.0)</f>
        <v>5318</v>
      </c>
      <c r="F5" s="7" t="str">
        <f>IFERROR(__xludf.DUMMYFUNCTION("""COMPUTED_VALUE"""),"CENTRAL DE OPERAÇÕES VIGILÂNCIA")</f>
        <v>CENTRAL DE OPERAÇÕES VIGILÂNCIA</v>
      </c>
      <c r="G5" s="9" t="str">
        <f>IFERROR(__xludf.DUMMYFUNCTION("""COMPUTED_VALUE"""),"Bloco H")</f>
        <v>Bloco H</v>
      </c>
      <c r="H5" s="7" t="str">
        <f>IFERROR(__xludf.DUMMYFUNCTION("""COMPUTED_VALUE"""),"DVR Bloco H")</f>
        <v>DVR Bloco H</v>
      </c>
      <c r="I5" s="7" t="str">
        <f>IFERROR(__xludf.DUMMYFUNCTION("""COMPUTED_VALUE"""),"Instalações e/ou Manutenção em Cabeamento de Rede")</f>
        <v>Instalações e/ou Manutenção em Cabeamento de Rede</v>
      </c>
      <c r="J5" s="7" t="str">
        <f>IFERROR(__xludf.DUMMYFUNCTION("""COMPUTED_VALUE"""),"05 Telecomunicações / 39 - CFTV (PRAZO DE ATÉ 15 DIAS PARA ATENDIMENTO)")</f>
        <v>05 Telecomunicações / 39 - CFTV (PRAZO DE ATÉ 15 DIAS PARA ATENDIMENTO)</v>
      </c>
      <c r="K5" s="7"/>
      <c r="L5" s="7" t="str">
        <f>IFERROR(__xludf.DUMMYFUNCTION("""COMPUTED_VALUE"""),"Informo que o Bloco H, se encontra descontado desde o dia de ontem das 17:50 horas, sem visualização de imagens.")</f>
        <v>Informo que o Bloco H, se encontra descontado desde o dia de ontem das 17:50 horas, sem visualização de imagens.</v>
      </c>
      <c r="M5" s="10"/>
      <c r="N5" s="10" t="str">
        <f>IFERROR(__xludf.DUMMYFUNCTION("""COMPUTED_VALUE"""),"Realizado")</f>
        <v>Realizado</v>
      </c>
      <c r="O5" s="11">
        <f>IFERROR(__xludf.DUMMYFUNCTION("""COMPUTED_VALUE"""),45301.0)</f>
        <v>45301</v>
      </c>
      <c r="P5" s="11"/>
    </row>
    <row r="6" ht="27.0" customHeight="1">
      <c r="A6" s="7" t="str">
        <f>IFERROR(__xludf.DUMMYFUNCTION("""COMPUTED_VALUE"""),"005/2024")</f>
        <v>005/2024</v>
      </c>
      <c r="B6" s="8">
        <f>IFERROR(__xludf.DUMMYFUNCTION("""COMPUTED_VALUE"""),45292.0)</f>
        <v>45292</v>
      </c>
      <c r="C6" s="8" t="str">
        <f>IFERROR(__xludf.DUMMYFUNCTION("""COMPUTED_VALUE"""),"seguranca@ufcat.edu.br")</f>
        <v>seguranca@ufcat.edu.br</v>
      </c>
      <c r="D6" s="7" t="str">
        <f>IFERROR(__xludf.DUMMYFUNCTION("""COMPUTED_VALUE"""),"Maria Duarte")</f>
        <v>Maria Duarte</v>
      </c>
      <c r="E6" s="7">
        <f>IFERROR(__xludf.DUMMYFUNCTION("""COMPUTED_VALUE"""),5318.0)</f>
        <v>5318</v>
      </c>
      <c r="F6" s="7" t="str">
        <f>IFERROR(__xludf.DUMMYFUNCTION("""COMPUTED_VALUE"""),"CENTRAL DE OPERAÇÕES VIGILÂNCIA")</f>
        <v>CENTRAL DE OPERAÇÕES VIGILÂNCIA</v>
      </c>
      <c r="G6" s="9" t="str">
        <f>IFERROR(__xludf.DUMMYFUNCTION("""COMPUTED_VALUE"""),"Bloco E")</f>
        <v>Bloco E</v>
      </c>
      <c r="H6" s="7" t="str">
        <f>IFERROR(__xludf.DUMMYFUNCTION("""COMPUTED_VALUE"""),"DVR Bloco E")</f>
        <v>DVR Bloco E</v>
      </c>
      <c r="I6" s="7" t="str">
        <f>IFERROR(__xludf.DUMMYFUNCTION("""COMPUTED_VALUE"""),"Instalações e/ou Manutenção em Cabeamento de Rede")</f>
        <v>Instalações e/ou Manutenção em Cabeamento de Rede</v>
      </c>
      <c r="J6" s="7" t="str">
        <f>IFERROR(__xludf.DUMMYFUNCTION("""COMPUTED_VALUE"""),"05 Telecomunicações / 39 - CFTV (PRAZO DE ATÉ 15 DIAS PARA ATENDIMENTO)")</f>
        <v>05 Telecomunicações / 39 - CFTV (PRAZO DE ATÉ 15 DIAS PARA ATENDIMENTO)</v>
      </c>
      <c r="K6" s="7"/>
      <c r="L6" s="7" t="str">
        <f>IFERROR(__xludf.DUMMYFUNCTION("""COMPUTED_VALUE"""),"Informo que o DVR do Bloco E, desconectou novamente às 18:27.")</f>
        <v>Informo que o DVR do Bloco E, desconectou novamente às 18:27.</v>
      </c>
      <c r="M6" s="10"/>
      <c r="N6" s="10" t="str">
        <f>IFERROR(__xludf.DUMMYFUNCTION("""COMPUTED_VALUE"""),"Realizado")</f>
        <v>Realizado</v>
      </c>
      <c r="O6" s="11">
        <f>IFERROR(__xludf.DUMMYFUNCTION("""COMPUTED_VALUE"""),45293.0)</f>
        <v>45293</v>
      </c>
      <c r="P6" s="11"/>
    </row>
    <row r="7" ht="27.0" customHeight="1">
      <c r="A7" s="7" t="str">
        <f>IFERROR(__xludf.DUMMYFUNCTION("""COMPUTED_VALUE"""),"006/2024")</f>
        <v>006/2024</v>
      </c>
      <c r="B7" s="8">
        <f>IFERROR(__xludf.DUMMYFUNCTION("""COMPUTED_VALUE"""),45292.0)</f>
        <v>45292</v>
      </c>
      <c r="C7" s="8" t="str">
        <f>IFERROR(__xludf.DUMMYFUNCTION("""COMPUTED_VALUE"""),"seguranca@ufcat.edu.br")</f>
        <v>seguranca@ufcat.edu.br</v>
      </c>
      <c r="D7" s="7" t="str">
        <f>IFERROR(__xludf.DUMMYFUNCTION("""COMPUTED_VALUE"""),"Maria Duarte")</f>
        <v>Maria Duarte</v>
      </c>
      <c r="E7" s="7">
        <f>IFERROR(__xludf.DUMMYFUNCTION("""COMPUTED_VALUE"""),5318.0)</f>
        <v>5318</v>
      </c>
      <c r="F7" s="7" t="str">
        <f>IFERROR(__xludf.DUMMYFUNCTION("""COMPUTED_VALUE"""),"CENTRAL DE OPERAÇÕES VIGILÂNCIA")</f>
        <v>CENTRAL DE OPERAÇÕES VIGILÂNCIA</v>
      </c>
      <c r="G7" s="9" t="str">
        <f>IFERROR(__xludf.DUMMYFUNCTION("""COMPUTED_VALUE"""),"Bloco H")</f>
        <v>Bloco H</v>
      </c>
      <c r="H7" s="7" t="str">
        <f>IFERROR(__xludf.DUMMYFUNCTION("""COMPUTED_VALUE"""),"DVR Bloco H")</f>
        <v>DVR Bloco H</v>
      </c>
      <c r="I7" s="7" t="str">
        <f>IFERROR(__xludf.DUMMYFUNCTION("""COMPUTED_VALUE"""),"Instalações e/ou Manutenção em Cabeamento de Rede")</f>
        <v>Instalações e/ou Manutenção em Cabeamento de Rede</v>
      </c>
      <c r="J7" s="7" t="str">
        <f>IFERROR(__xludf.DUMMYFUNCTION("""COMPUTED_VALUE"""),"05 Telecomunicações / 39 - CFTV (PRAZO DE ATÉ 15 DIAS PARA ATENDIMENTO)")</f>
        <v>05 Telecomunicações / 39 - CFTV (PRAZO DE ATÉ 15 DIAS PARA ATENDIMENTO)</v>
      </c>
      <c r="K7" s="7"/>
      <c r="L7" s="7" t="str">
        <f>IFERROR(__xludf.DUMMYFUNCTION("""COMPUTED_VALUE"""),"Informo que o DVR do Bloco H, desconectou novamente às 18:27.")</f>
        <v>Informo que o DVR do Bloco H, desconectou novamente às 18:27.</v>
      </c>
      <c r="M7" s="10"/>
      <c r="N7" s="10" t="str">
        <f>IFERROR(__xludf.DUMMYFUNCTION("""COMPUTED_VALUE"""),"Realizado")</f>
        <v>Realizado</v>
      </c>
      <c r="O7" s="11">
        <f>IFERROR(__xludf.DUMMYFUNCTION("""COMPUTED_VALUE"""),45293.0)</f>
        <v>45293</v>
      </c>
      <c r="P7" s="11"/>
    </row>
    <row r="8" ht="27.0" customHeight="1">
      <c r="A8" s="7" t="str">
        <f>IFERROR(__xludf.DUMMYFUNCTION("""COMPUTED_VALUE"""),"007/2024")</f>
        <v>007/2024</v>
      </c>
      <c r="B8" s="8">
        <f>IFERROR(__xludf.DUMMYFUNCTION("""COMPUTED_VALUE"""),45292.0)</f>
        <v>45292</v>
      </c>
      <c r="C8" s="8" t="str">
        <f>IFERROR(__xludf.DUMMYFUNCTION("""COMPUTED_VALUE"""),"seguranca@ufcat.edu.br")</f>
        <v>seguranca@ufcat.edu.br</v>
      </c>
      <c r="D8" s="7" t="str">
        <f>IFERROR(__xludf.DUMMYFUNCTION("""COMPUTED_VALUE"""),"Carla Braz")</f>
        <v>Carla Braz</v>
      </c>
      <c r="E8" s="7">
        <f>IFERROR(__xludf.DUMMYFUNCTION("""COMPUTED_VALUE"""),5318.0)</f>
        <v>5318</v>
      </c>
      <c r="F8" s="7" t="str">
        <f>IFERROR(__xludf.DUMMYFUNCTION("""COMPUTED_VALUE"""),"CENTRAL DE OPERAÇÕES VIGILÂNCIA")</f>
        <v>CENTRAL DE OPERAÇÕES VIGILÂNCIA</v>
      </c>
      <c r="G8" s="9" t="str">
        <f>IFERROR(__xludf.DUMMYFUNCTION("""COMPUTED_VALUE"""),"Bloco M")</f>
        <v>Bloco M</v>
      </c>
      <c r="H8" s="7" t="str">
        <f>IFERROR(__xludf.DUMMYFUNCTION("""COMPUTED_VALUE"""),"""4 Corredor Matemática 1""")</f>
        <v>"4 Corredor Matemática 1"</v>
      </c>
      <c r="I8" s="7" t="str">
        <f>IFERROR(__xludf.DUMMYFUNCTION("""COMPUTED_VALUE"""),"Instalações e/ou Manutenção em Cabeamento de Rede")</f>
        <v>Instalações e/ou Manutenção em Cabeamento de Rede</v>
      </c>
      <c r="J8" s="7" t="str">
        <f>IFERROR(__xludf.DUMMYFUNCTION("""COMPUTED_VALUE"""),"05 Telecomunicações / 39 - CFTV (PRAZO DE ATÉ 15 DIAS PARA ATENDIMENTO)")</f>
        <v>05 Telecomunicações / 39 - CFTV (PRAZO DE ATÉ 15 DIAS PARA ATENDIMENTO)</v>
      </c>
      <c r="K8" s="7"/>
      <c r="L8" s="7" t="str">
        <f>IFERROR(__xludf.DUMMYFUNCTION("""COMPUTED_VALUE"""),"Menu configurações na tela. ")</f>
        <v>Menu configurações na tela. </v>
      </c>
      <c r="M8" s="10"/>
      <c r="N8" s="10" t="str">
        <f>IFERROR(__xludf.DUMMYFUNCTION("""COMPUTED_VALUE"""),"Realizado")</f>
        <v>Realizado</v>
      </c>
      <c r="O8" s="11">
        <f>IFERROR(__xludf.DUMMYFUNCTION("""COMPUTED_VALUE"""),45293.0)</f>
        <v>45293</v>
      </c>
      <c r="P8" s="11"/>
    </row>
    <row r="9" ht="27.0" customHeight="1">
      <c r="A9" s="7" t="str">
        <f>IFERROR(__xludf.DUMMYFUNCTION("""COMPUTED_VALUE"""),"008/2024")</f>
        <v>008/2024</v>
      </c>
      <c r="B9" s="8">
        <f>IFERROR(__xludf.DUMMYFUNCTION("""COMPUTED_VALUE"""),45292.0)</f>
        <v>45292</v>
      </c>
      <c r="C9" s="8" t="str">
        <f>IFERROR(__xludf.DUMMYFUNCTION("""COMPUTED_VALUE"""),"seguranca@ufcat.edu.br")</f>
        <v>seguranca@ufcat.edu.br</v>
      </c>
      <c r="D9" s="7" t="str">
        <f>IFERROR(__xludf.DUMMYFUNCTION("""COMPUTED_VALUE"""),"Carla Braz")</f>
        <v>Carla Braz</v>
      </c>
      <c r="E9" s="7">
        <f>IFERROR(__xludf.DUMMYFUNCTION("""COMPUTED_VALUE"""),5318.0)</f>
        <v>5318</v>
      </c>
      <c r="F9" s="7" t="str">
        <f>IFERROR(__xludf.DUMMYFUNCTION("""COMPUTED_VALUE"""),"CENTRAL DE OPERAÇÕES VIGILÂNCIA")</f>
        <v>CENTRAL DE OPERAÇÕES VIGILÂNCIA</v>
      </c>
      <c r="G9" s="9" t="str">
        <f>IFERROR(__xludf.DUMMYFUNCTION("""COMPUTED_VALUE"""),"Biblioteca")</f>
        <v>Biblioteca</v>
      </c>
      <c r="H9" s="7" t="str">
        <f>IFERROR(__xludf.DUMMYFUNCTION("""COMPUTED_VALUE"""),"CAM 10 (SALA RACK)")</f>
        <v>CAM 10 (SALA RACK)</v>
      </c>
      <c r="I9" s="7" t="str">
        <f>IFERROR(__xludf.DUMMYFUNCTION("""COMPUTED_VALUE"""),"Instalações e/ou Manutenção em Cabeamento de Rede")</f>
        <v>Instalações e/ou Manutenção em Cabeamento de Rede</v>
      </c>
      <c r="J9" s="7" t="str">
        <f>IFERROR(__xludf.DUMMYFUNCTION("""COMPUTED_VALUE"""),"05 Telecomunicações / 39 - CFTV (PRAZO DE ATÉ 15 DIAS PARA ATENDIMENTO)")</f>
        <v>05 Telecomunicações / 39 - CFTV (PRAZO DE ATÉ 15 DIAS PARA ATENDIMENTO)</v>
      </c>
      <c r="K9" s="7"/>
      <c r="L9" s="7" t="str">
        <f>IFERROR(__xludf.DUMMYFUNCTION("""COMPUTED_VALUE"""),"Obstrução parcial na imagem, devido teia de aranha. ")</f>
        <v>Obstrução parcial na imagem, devido teia de aranha. </v>
      </c>
      <c r="M9" s="10"/>
      <c r="N9" s="10" t="str">
        <f>IFERROR(__xludf.DUMMYFUNCTION("""COMPUTED_VALUE"""),"Realizado")</f>
        <v>Realizado</v>
      </c>
      <c r="O9" s="11">
        <f>IFERROR(__xludf.DUMMYFUNCTION("""COMPUTED_VALUE"""),45293.0)</f>
        <v>45293</v>
      </c>
      <c r="P9" s="11"/>
    </row>
    <row r="10" ht="27.0" customHeight="1">
      <c r="A10" s="7" t="str">
        <f>IFERROR(__xludf.DUMMYFUNCTION("""COMPUTED_VALUE"""),"009/2024")</f>
        <v>009/2024</v>
      </c>
      <c r="B10" s="8">
        <f>IFERROR(__xludf.DUMMYFUNCTION("""COMPUTED_VALUE"""),45292.0)</f>
        <v>45292</v>
      </c>
      <c r="C10" s="8" t="str">
        <f>IFERROR(__xludf.DUMMYFUNCTION("""COMPUTED_VALUE"""),"seguranca@ufcat.edu.br")</f>
        <v>seguranca@ufcat.edu.br</v>
      </c>
      <c r="D10" s="7" t="str">
        <f>IFERROR(__xludf.DUMMYFUNCTION("""COMPUTED_VALUE"""),"Alexandra Nascimento")</f>
        <v>Alexandra Nascimento</v>
      </c>
      <c r="E10" s="7">
        <f>IFERROR(__xludf.DUMMYFUNCTION("""COMPUTED_VALUE"""),5318.0)</f>
        <v>5318</v>
      </c>
      <c r="F10" s="7" t="str">
        <f>IFERROR(__xludf.DUMMYFUNCTION("""COMPUTED_VALUE"""),"CENTRAL DE OPERAÇÕES VIGILÂNCIA")</f>
        <v>CENTRAL DE OPERAÇÕES VIGILÂNCIA</v>
      </c>
      <c r="G10" s="9" t="str">
        <f>IFERROR(__xludf.DUMMYFUNCTION("""COMPUTED_VALUE"""),"Bloco M")</f>
        <v>Bloco M</v>
      </c>
      <c r="H10" s="7" t="str">
        <f>IFERROR(__xludf.DUMMYFUNCTION("""COMPUTED_VALUE"""),"Camera Speed Dome esta travada não aceitando comando.")</f>
        <v>Camera Speed Dome esta travada não aceitando comando.</v>
      </c>
      <c r="I10" s="7" t="str">
        <f>IFERROR(__xludf.DUMMYFUNCTION("""COMPUTED_VALUE"""),"Instalações e/ou Manutenção em Cabeamento de Rede")</f>
        <v>Instalações e/ou Manutenção em Cabeamento de Rede</v>
      </c>
      <c r="J10" s="7" t="str">
        <f>IFERROR(__xludf.DUMMYFUNCTION("""COMPUTED_VALUE"""),"05 Telecomunicações / 39 - CFTV (PRAZO DE ATÉ 15 DIAS PARA ATENDIMENTO)")</f>
        <v>05 Telecomunicações / 39 - CFTV (PRAZO DE ATÉ 15 DIAS PARA ATENDIMENTO)</v>
      </c>
      <c r="K10" s="7"/>
      <c r="L10" s="7" t="str">
        <f>IFERROR(__xludf.DUMMYFUNCTION("""COMPUTED_VALUE"""),"Câmera Speed Dome travada não esta aceitando comando.")</f>
        <v>Câmera Speed Dome travada não esta aceitando comando.</v>
      </c>
      <c r="M10" s="10"/>
      <c r="N10" s="10" t="str">
        <f>IFERROR(__xludf.DUMMYFUNCTION("""COMPUTED_VALUE"""),"Realizado")</f>
        <v>Realizado</v>
      </c>
      <c r="O10" s="11">
        <f>IFERROR(__xludf.DUMMYFUNCTION("""COMPUTED_VALUE"""),45301.0)</f>
        <v>45301</v>
      </c>
      <c r="P10" s="11"/>
    </row>
    <row r="11" ht="27.0" customHeight="1">
      <c r="A11" s="7" t="str">
        <f>IFERROR(__xludf.DUMMYFUNCTION("""COMPUTED_VALUE"""),"010/2024")</f>
        <v>010/2024</v>
      </c>
      <c r="B11" s="8">
        <f>IFERROR(__xludf.DUMMYFUNCTION("""COMPUTED_VALUE"""),45292.68917686342)</f>
        <v>45292.68918</v>
      </c>
      <c r="C11" s="8" t="str">
        <f>IFERROR(__xludf.DUMMYFUNCTION("""COMPUTED_VALUE"""),"seguranca@ufcat.edu.br")</f>
        <v>seguranca@ufcat.edu.br</v>
      </c>
      <c r="D11" s="7" t="str">
        <f>IFERROR(__xludf.DUMMYFUNCTION("""COMPUTED_VALUE"""),"Carla Braz")</f>
        <v>Carla Braz</v>
      </c>
      <c r="E11" s="7">
        <f>IFERROR(__xludf.DUMMYFUNCTION("""COMPUTED_VALUE"""),5318.0)</f>
        <v>5318</v>
      </c>
      <c r="F11" s="7" t="str">
        <f>IFERROR(__xludf.DUMMYFUNCTION("""COMPUTED_VALUE"""),"CENTRAL DE OPERAÇÕES VIGILÂNCIA")</f>
        <v>CENTRAL DE OPERAÇÕES VIGILÂNCIA</v>
      </c>
      <c r="G11" s="9" t="str">
        <f>IFERROR(__xludf.DUMMYFUNCTION("""COMPUTED_VALUE"""),"Bloco O")</f>
        <v>Bloco O</v>
      </c>
      <c r="H11" s="7" t="str">
        <f>IFERROR(__xludf.DUMMYFUNCTION("""COMPUTED_VALUE"""),"SALA RACK")</f>
        <v>SALA RACK</v>
      </c>
      <c r="I11" s="7" t="str">
        <f>IFERROR(__xludf.DUMMYFUNCTION("""COMPUTED_VALUE"""),"Instalações e/ou Manutenção em Cabeamento de Rede")</f>
        <v>Instalações e/ou Manutenção em Cabeamento de Rede</v>
      </c>
      <c r="J11" s="7" t="str">
        <f>IFERROR(__xludf.DUMMYFUNCTION("""COMPUTED_VALUE"""),"05 Telecomunicações / 39 - CFTV (PRAZO DE ATÉ 15 DIAS PARA ATENDIMENTO)")</f>
        <v>05 Telecomunicações / 39 - CFTV (PRAZO DE ATÉ 15 DIAS PARA ATENDIMENTO)</v>
      </c>
      <c r="K11" s="7"/>
      <c r="L11" s="7" t="str">
        <f>IFERROR(__xludf.DUMMYFUNCTION("""COMPUTED_VALUE"""),"DVR DESCONECTADO")</f>
        <v>DVR DESCONECTADO</v>
      </c>
      <c r="M11" s="10"/>
      <c r="N11" s="10" t="str">
        <f>IFERROR(__xludf.DUMMYFUNCTION("""COMPUTED_VALUE"""),"Realizado")</f>
        <v>Realizado</v>
      </c>
      <c r="O11" s="11">
        <f>IFERROR(__xludf.DUMMYFUNCTION("""COMPUTED_VALUE"""),45293.0)</f>
        <v>45293</v>
      </c>
      <c r="P11" s="11"/>
    </row>
    <row r="12" ht="27.0" customHeight="1">
      <c r="A12" s="7" t="str">
        <f>IFERROR(__xludf.DUMMYFUNCTION("""COMPUTED_VALUE"""),"011/2024")</f>
        <v>011/2024</v>
      </c>
      <c r="B12" s="8">
        <f>IFERROR(__xludf.DUMMYFUNCTION("""COMPUTED_VALUE"""),45293.296817118055)</f>
        <v>45293.29682</v>
      </c>
      <c r="C12" s="8" t="str">
        <f>IFERROR(__xludf.DUMMYFUNCTION("""COMPUTED_VALUE"""),"seguranca@ufcat.edu.br")</f>
        <v>seguranca@ufcat.edu.br</v>
      </c>
      <c r="D12" s="7" t="str">
        <f>IFERROR(__xludf.DUMMYFUNCTION("""COMPUTED_VALUE"""),"Maria Duarte")</f>
        <v>Maria Duarte</v>
      </c>
      <c r="E12" s="7">
        <f>IFERROR(__xludf.DUMMYFUNCTION("""COMPUTED_VALUE"""),5318.0)</f>
        <v>5318</v>
      </c>
      <c r="F12" s="7" t="str">
        <f>IFERROR(__xludf.DUMMYFUNCTION("""COMPUTED_VALUE"""),"CENTRAL DE OPERAÇÕES VIGILÂNCIA")</f>
        <v>CENTRAL DE OPERAÇÕES VIGILÂNCIA</v>
      </c>
      <c r="G12" s="9" t="str">
        <f>IFERROR(__xludf.DUMMYFUNCTION("""COMPUTED_VALUE"""),"Bloco O")</f>
        <v>Bloco O</v>
      </c>
      <c r="H12" s="7" t="str">
        <f>IFERROR(__xludf.DUMMYFUNCTION("""COMPUTED_VALUE"""),"DVR do Bloco O")</f>
        <v>DVR do Bloco O</v>
      </c>
      <c r="I12" s="7" t="str">
        <f>IFERROR(__xludf.DUMMYFUNCTION("""COMPUTED_VALUE"""),"Instalações e/ou Manutenção em Cabeamento de Rede")</f>
        <v>Instalações e/ou Manutenção em Cabeamento de Rede</v>
      </c>
      <c r="J12" s="7" t="str">
        <f>IFERROR(__xludf.DUMMYFUNCTION("""COMPUTED_VALUE"""),"05 Telecomunicações / 39 - CFTV (PRAZO DE ATÉ 15 DIAS PARA ATENDIMENTO)")</f>
        <v>05 Telecomunicações / 39 - CFTV (PRAZO DE ATÉ 15 DIAS PARA ATENDIMENTO)</v>
      </c>
      <c r="K12" s="7"/>
      <c r="L12" s="7" t="str">
        <f>IFERROR(__xludf.DUMMYFUNCTION("""COMPUTED_VALUE"""),"DVR do Bloco O, se encontra off-line")</f>
        <v>DVR do Bloco O, se encontra off-line</v>
      </c>
      <c r="M12" s="10"/>
      <c r="N12" s="10" t="str">
        <f>IFERROR(__xludf.DUMMYFUNCTION("""COMPUTED_VALUE"""),"Realizado")</f>
        <v>Realizado</v>
      </c>
      <c r="O12" s="11">
        <f>IFERROR(__xludf.DUMMYFUNCTION("""COMPUTED_VALUE"""),45293.0)</f>
        <v>45293</v>
      </c>
      <c r="P12" s="11"/>
    </row>
    <row r="13" ht="27.0" customHeight="1">
      <c r="A13" s="7" t="str">
        <f>IFERROR(__xludf.DUMMYFUNCTION("""COMPUTED_VALUE"""),"012/2024")</f>
        <v>012/2024</v>
      </c>
      <c r="B13" s="8">
        <f>IFERROR(__xludf.DUMMYFUNCTION("""COMPUTED_VALUE"""),45293.711123298606)</f>
        <v>45293.71112</v>
      </c>
      <c r="C13" s="8" t="str">
        <f>IFERROR(__xludf.DUMMYFUNCTION("""COMPUTED_VALUE"""),"seguranca@ufcat.edu.br")</f>
        <v>seguranca@ufcat.edu.br</v>
      </c>
      <c r="D13" s="7" t="str">
        <f>IFERROR(__xludf.DUMMYFUNCTION("""COMPUTED_VALUE"""),"Maria Duarte")</f>
        <v>Maria Duarte</v>
      </c>
      <c r="E13" s="7">
        <f>IFERROR(__xludf.DUMMYFUNCTION("""COMPUTED_VALUE"""),5318.0)</f>
        <v>5318</v>
      </c>
      <c r="F13" s="7" t="str">
        <f>IFERROR(__xludf.DUMMYFUNCTION("""COMPUTED_VALUE"""),"CENTRAL DE OPERAÇÕES VIGILÂNCIA")</f>
        <v>CENTRAL DE OPERAÇÕES VIGILÂNCIA</v>
      </c>
      <c r="G13" s="9" t="str">
        <f>IFERROR(__xludf.DUMMYFUNCTION("""COMPUTED_VALUE"""),"Bloco M")</f>
        <v>Bloco M</v>
      </c>
      <c r="H13" s="7" t="str">
        <f>IFERROR(__xludf.DUMMYFUNCTION("""COMPUTED_VALUE"""),"DVR Bloco M")</f>
        <v>DVR Bloco M</v>
      </c>
      <c r="I13" s="7" t="str">
        <f>IFERROR(__xludf.DUMMYFUNCTION("""COMPUTED_VALUE"""),"Instalações e/ou Manutenção em Cabeamento de Rede")</f>
        <v>Instalações e/ou Manutenção em Cabeamento de Rede</v>
      </c>
      <c r="J13" s="7" t="str">
        <f>IFERROR(__xludf.DUMMYFUNCTION("""COMPUTED_VALUE"""),"05 Telecomunicações / 39 - CFTV (PRAZO DE ATÉ 15 DIAS PARA ATENDIMENTO)")</f>
        <v>05 Telecomunicações / 39 - CFTV (PRAZO DE ATÉ 15 DIAS PARA ATENDIMENTO)</v>
      </c>
      <c r="K13" s="7"/>
      <c r="L13" s="7" t="str">
        <f>IFERROR(__xludf.DUMMYFUNCTION("""COMPUTED_VALUE"""),"DVR do Bloco Multi I, se encontra off-line, desde às 02:03 da madrugada do dia de hoje.")</f>
        <v>DVR do Bloco Multi I, se encontra off-line, desde às 02:03 da madrugada do dia de hoje.</v>
      </c>
      <c r="M13" s="10"/>
      <c r="N13" s="10" t="str">
        <f>IFERROR(__xludf.DUMMYFUNCTION("""COMPUTED_VALUE"""),"Realizado")</f>
        <v>Realizado</v>
      </c>
      <c r="O13" s="11">
        <f>IFERROR(__xludf.DUMMYFUNCTION("""COMPUTED_VALUE"""),45295.0)</f>
        <v>45295</v>
      </c>
      <c r="P13" s="11"/>
    </row>
    <row r="14" ht="27.0" customHeight="1">
      <c r="A14" s="7" t="str">
        <f>IFERROR(__xludf.DUMMYFUNCTION("""COMPUTED_VALUE"""),"013/2024")</f>
        <v>013/2024</v>
      </c>
      <c r="B14" s="8">
        <f>IFERROR(__xludf.DUMMYFUNCTION("""COMPUTED_VALUE"""),45294.32537600695)</f>
        <v>45294.32538</v>
      </c>
      <c r="C14" s="8" t="str">
        <f>IFERROR(__xludf.DUMMYFUNCTION("""COMPUTED_VALUE"""),"seguranca@ufcat.edu.br")</f>
        <v>seguranca@ufcat.edu.br</v>
      </c>
      <c r="D14" s="7" t="str">
        <f>IFERROR(__xludf.DUMMYFUNCTION("""COMPUTED_VALUE"""),"Carla Braz")</f>
        <v>Carla Braz</v>
      </c>
      <c r="E14" s="7">
        <f>IFERROR(__xludf.DUMMYFUNCTION("""COMPUTED_VALUE"""),5318.0)</f>
        <v>5318</v>
      </c>
      <c r="F14" s="7" t="str">
        <f>IFERROR(__xludf.DUMMYFUNCTION("""COMPUTED_VALUE"""),"CENTRAL DE OPERAÇÕES VIGILÂNCIA")</f>
        <v>CENTRAL DE OPERAÇÕES VIGILÂNCIA</v>
      </c>
      <c r="G14" s="9" t="str">
        <f>IFERROR(__xludf.DUMMYFUNCTION("""COMPUTED_VALUE"""),"Bloco Administrativo")</f>
        <v>Bloco Administrativo</v>
      </c>
      <c r="H14" s="7" t="str">
        <f>IFERROR(__xludf.DUMMYFUNCTION("""COMPUTED_VALUE"""),"Almoxarifado ")</f>
        <v>Almoxarifado </v>
      </c>
      <c r="I14" s="7" t="str">
        <f>IFERROR(__xludf.DUMMYFUNCTION("""COMPUTED_VALUE"""),"Instalações e/ou Manutenção em Cabeamento de Rede")</f>
        <v>Instalações e/ou Manutenção em Cabeamento de Rede</v>
      </c>
      <c r="J14" s="7" t="str">
        <f>IFERROR(__xludf.DUMMYFUNCTION("""COMPUTED_VALUE"""),"05 Telecomunicações / 39 - CFTV (PRAZO DE ATÉ 15 DIAS PARA ATENDIMENTO)")</f>
        <v>05 Telecomunicações / 39 - CFTV (PRAZO DE ATÉ 15 DIAS PARA ATENDIMENTO)</v>
      </c>
      <c r="K14" s="7"/>
      <c r="L14" s="7" t="str">
        <f>IFERROR(__xludf.DUMMYFUNCTION("""COMPUTED_VALUE"""),"Câmera desconectada. ")</f>
        <v>Câmera desconectada. </v>
      </c>
      <c r="M14" s="10"/>
      <c r="N14" s="10" t="str">
        <f>IFERROR(__xludf.DUMMYFUNCTION("""COMPUTED_VALUE"""),"Realizado")</f>
        <v>Realizado</v>
      </c>
      <c r="O14" s="11">
        <f>IFERROR(__xludf.DUMMYFUNCTION("""COMPUTED_VALUE"""),45295.0)</f>
        <v>45295</v>
      </c>
      <c r="P14" s="11"/>
    </row>
    <row r="15" ht="27.0" customHeight="1">
      <c r="A15" s="7" t="str">
        <f>IFERROR(__xludf.DUMMYFUNCTION("""COMPUTED_VALUE"""),"014/2024")</f>
        <v>014/2024</v>
      </c>
      <c r="B15" s="8">
        <f>IFERROR(__xludf.DUMMYFUNCTION("""COMPUTED_VALUE"""),45294.3258859375)</f>
        <v>45294.32589</v>
      </c>
      <c r="C15" s="8" t="str">
        <f>IFERROR(__xludf.DUMMYFUNCTION("""COMPUTED_VALUE"""),"seguranca@ufcat.edu.br")</f>
        <v>seguranca@ufcat.edu.br</v>
      </c>
      <c r="D15" s="7" t="str">
        <f>IFERROR(__xludf.DUMMYFUNCTION("""COMPUTED_VALUE"""),"Carla Braz")</f>
        <v>Carla Braz</v>
      </c>
      <c r="E15" s="7">
        <f>IFERROR(__xludf.DUMMYFUNCTION("""COMPUTED_VALUE"""),5318.0)</f>
        <v>5318</v>
      </c>
      <c r="F15" s="7" t="str">
        <f>IFERROR(__xludf.DUMMYFUNCTION("""COMPUTED_VALUE"""),"CENTRAL DE OPERAÇÕES VIGILÂNCIA")</f>
        <v>CENTRAL DE OPERAÇÕES VIGILÂNCIA</v>
      </c>
      <c r="G15" s="9" t="str">
        <f>IFERROR(__xludf.DUMMYFUNCTION("""COMPUTED_VALUE"""),"Bloco E")</f>
        <v>Bloco E</v>
      </c>
      <c r="H15" s="7" t="str">
        <f>IFERROR(__xludf.DUMMYFUNCTION("""COMPUTED_VALUE"""),"Sala Rack ")</f>
        <v>Sala Rack </v>
      </c>
      <c r="I15" s="7" t="str">
        <f>IFERROR(__xludf.DUMMYFUNCTION("""COMPUTED_VALUE"""),"Instalações e/ou Manutenção em Cabeamento de Rede")</f>
        <v>Instalações e/ou Manutenção em Cabeamento de Rede</v>
      </c>
      <c r="J15" s="7" t="str">
        <f>IFERROR(__xludf.DUMMYFUNCTION("""COMPUTED_VALUE"""),"05 Telecomunicações / 39 - CFTV (PRAZO DE ATÉ 15 DIAS PARA ATENDIMENTO)")</f>
        <v>05 Telecomunicações / 39 - CFTV (PRAZO DE ATÉ 15 DIAS PARA ATENDIMENTO)</v>
      </c>
      <c r="K15" s="7"/>
      <c r="L15" s="7" t="str">
        <f>IFERROR(__xludf.DUMMYFUNCTION("""COMPUTED_VALUE"""),"DVR DESCONECTADO. ")</f>
        <v>DVR DESCONECTADO. </v>
      </c>
      <c r="M15" s="10"/>
      <c r="N15" s="10" t="str">
        <f>IFERROR(__xludf.DUMMYFUNCTION("""COMPUTED_VALUE"""),"Realizado")</f>
        <v>Realizado</v>
      </c>
      <c r="O15" s="11">
        <f>IFERROR(__xludf.DUMMYFUNCTION("""COMPUTED_VALUE"""),45295.0)</f>
        <v>45295</v>
      </c>
      <c r="P15" s="11"/>
    </row>
    <row r="16" ht="27.0" customHeight="1">
      <c r="A16" s="7" t="str">
        <f>IFERROR(__xludf.DUMMYFUNCTION("""COMPUTED_VALUE"""),"015/2024")</f>
        <v>015/2024</v>
      </c>
      <c r="B16" s="8">
        <f>IFERROR(__xludf.DUMMYFUNCTION("""COMPUTED_VALUE"""),45294.32644146991)</f>
        <v>45294.32644</v>
      </c>
      <c r="C16" s="8" t="str">
        <f>IFERROR(__xludf.DUMMYFUNCTION("""COMPUTED_VALUE"""),"seguranca@ufcat.edu.br")</f>
        <v>seguranca@ufcat.edu.br</v>
      </c>
      <c r="D16" s="7" t="str">
        <f>IFERROR(__xludf.DUMMYFUNCTION("""COMPUTED_VALUE"""),"Carla Braz")</f>
        <v>Carla Braz</v>
      </c>
      <c r="E16" s="7">
        <f>IFERROR(__xludf.DUMMYFUNCTION("""COMPUTED_VALUE"""),5318.0)</f>
        <v>5318</v>
      </c>
      <c r="F16" s="7" t="str">
        <f>IFERROR(__xludf.DUMMYFUNCTION("""COMPUTED_VALUE"""),"CENTRAL DE OPERAÇÕES VIGILÂNCIA")</f>
        <v>CENTRAL DE OPERAÇÕES VIGILÂNCIA</v>
      </c>
      <c r="G16" s="9" t="str">
        <f>IFERROR(__xludf.DUMMYFUNCTION("""COMPUTED_VALUE"""),"Bloco H")</f>
        <v>Bloco H</v>
      </c>
      <c r="H16" s="7" t="str">
        <f>IFERROR(__xludf.DUMMYFUNCTION("""COMPUTED_VALUE"""),"Sala Rack")</f>
        <v>Sala Rack</v>
      </c>
      <c r="I16" s="7" t="str">
        <f>IFERROR(__xludf.DUMMYFUNCTION("""COMPUTED_VALUE"""),"Instalações e/ou Manutenção em Cabeamento de Rede")</f>
        <v>Instalações e/ou Manutenção em Cabeamento de Rede</v>
      </c>
      <c r="J16" s="7" t="str">
        <f>IFERROR(__xludf.DUMMYFUNCTION("""COMPUTED_VALUE"""),"05 Telecomunicações / 39 - CFTV (PRAZO DE ATÉ 15 DIAS PARA ATENDIMENTO)")</f>
        <v>05 Telecomunicações / 39 - CFTV (PRAZO DE ATÉ 15 DIAS PARA ATENDIMENTO)</v>
      </c>
      <c r="K16" s="7"/>
      <c r="L16" s="7" t="str">
        <f>IFERROR(__xludf.DUMMYFUNCTION("""COMPUTED_VALUE"""),"DVR DESCONECTADO. ")</f>
        <v>DVR DESCONECTADO. </v>
      </c>
      <c r="M16" s="10"/>
      <c r="N16" s="10" t="str">
        <f>IFERROR(__xludf.DUMMYFUNCTION("""COMPUTED_VALUE"""),"Realizado")</f>
        <v>Realizado</v>
      </c>
      <c r="O16" s="11">
        <f>IFERROR(__xludf.DUMMYFUNCTION("""COMPUTED_VALUE"""),45295.0)</f>
        <v>45295</v>
      </c>
      <c r="P16" s="11"/>
    </row>
    <row r="17" ht="27.0" customHeight="1">
      <c r="A17" s="7" t="str">
        <f>IFERROR(__xludf.DUMMYFUNCTION("""COMPUTED_VALUE"""),"016/2024")</f>
        <v>016/2024</v>
      </c>
      <c r="B17" s="8">
        <f>IFERROR(__xludf.DUMMYFUNCTION("""COMPUTED_VALUE"""),45294.4634078588)</f>
        <v>45294.46341</v>
      </c>
      <c r="C17" s="8" t="str">
        <f>IFERROR(__xludf.DUMMYFUNCTION("""COMPUTED_VALUE"""),"rafael.pereira@ufcat.edu.br")</f>
        <v>rafael.pereira@ufcat.edu.br</v>
      </c>
      <c r="D17" s="7" t="str">
        <f>IFERROR(__xludf.DUMMYFUNCTION("""COMPUTED_VALUE"""),"Rafael Pereira")</f>
        <v>Rafael Pereira</v>
      </c>
      <c r="E17" s="7">
        <f>IFERROR(__xludf.DUMMYFUNCTION("""COMPUTED_VALUE"""),5363.0)</f>
        <v>5363</v>
      </c>
      <c r="F17" s="7" t="str">
        <f>IFERROR(__xludf.DUMMYFUNCTION("""COMPUTED_VALUE"""),"FENG - Engenharia Civil")</f>
        <v>FENG - Engenharia Civil</v>
      </c>
      <c r="G17" s="9" t="str">
        <f>IFERROR(__xludf.DUMMYFUNCTION("""COMPUTED_VALUE"""),"Bloco O")</f>
        <v>Bloco O</v>
      </c>
      <c r="H17" s="7" t="str">
        <f>IFERROR(__xludf.DUMMYFUNCTION("""COMPUTED_VALUE"""),"Laboratório de estruturas ")</f>
        <v>Laboratório de estruturas </v>
      </c>
      <c r="I17" s="7" t="str">
        <f>IFERROR(__xludf.DUMMYFUNCTION("""COMPUTED_VALUE"""),"Pintura")</f>
        <v>Pintura</v>
      </c>
      <c r="J17" s="7" t="str">
        <f>IFERROR(__xludf.DUMMYFUNCTION("""COMPUTED_VALUE"""),"06 Pintura / 47 - Outros (PRAZO DE ACORDO COM A DEMANDA)")</f>
        <v>06 Pintura / 47 - Outros (PRAZO DE ACORDO COM A DEMANDA)</v>
      </c>
      <c r="K17" s="7"/>
      <c r="L17" s="7" t="str">
        <f>IFERROR(__xludf.DUMMYFUNCTION("""COMPUTED_VALUE"""),"Pintura de peças para estudo de pórticos planos no laboratório de estruturas. Trata-se de 12 peças de aproximadamente 20 cm de comprimento. ")</f>
        <v>Pintura de peças para estudo de pórticos planos no laboratório de estruturas. Trata-se de 12 peças de aproximadamente 20 cm de comprimento. </v>
      </c>
      <c r="M17" s="10"/>
      <c r="N17" s="10" t="str">
        <f>IFERROR(__xludf.DUMMYFUNCTION("""COMPUTED_VALUE"""),"Realizado")</f>
        <v>Realizado</v>
      </c>
      <c r="O17" s="11">
        <f>IFERROR(__xludf.DUMMYFUNCTION("""COMPUTED_VALUE"""),45300.0)</f>
        <v>45300</v>
      </c>
      <c r="P17" s="11"/>
    </row>
    <row r="18" ht="27.0" customHeight="1">
      <c r="A18" s="7" t="str">
        <f>IFERROR(__xludf.DUMMYFUNCTION("""COMPUTED_VALUE"""),"017/2024")</f>
        <v>017/2024</v>
      </c>
      <c r="B18" s="8">
        <f>IFERROR(__xludf.DUMMYFUNCTION("""COMPUTED_VALUE"""),45294.47967914352)</f>
        <v>45294.47968</v>
      </c>
      <c r="C18" s="8" t="str">
        <f>IFERROR(__xludf.DUMMYFUNCTION("""COMPUTED_VALUE"""),"muc.prpe@ufcat.edu.br")</f>
        <v>muc.prpe@ufcat.edu.br</v>
      </c>
      <c r="D18" s="7" t="str">
        <f>IFERROR(__xludf.DUMMYFUNCTION("""COMPUTED_VALUE"""),"DANIEL SIMOES")</f>
        <v>DANIEL SIMOES</v>
      </c>
      <c r="E18" s="7">
        <f>IFERROR(__xludf.DUMMYFUNCTION("""COMPUTED_VALUE"""),5333.0)</f>
        <v>5333</v>
      </c>
      <c r="F18" s="7" t="str">
        <f>IFERROR(__xludf.DUMMYFUNCTION("""COMPUTED_VALUE"""),"PRPE")</f>
        <v>PRPE</v>
      </c>
      <c r="G18" s="9" t="str">
        <f>IFERROR(__xludf.DUMMYFUNCTION("""COMPUTED_VALUE"""),"MUC")</f>
        <v>MUC</v>
      </c>
      <c r="H18" s="7" t="str">
        <f>IFERROR(__xludf.DUMMYFUNCTION("""COMPUTED_VALUE"""),"Apto 405")</f>
        <v>Apto 405</v>
      </c>
      <c r="I18" s="7" t="str">
        <f>IFERROR(__xludf.DUMMYFUNCTION("""COMPUTED_VALUE"""),"Instalações elétricas")</f>
        <v>Instalações elétricas</v>
      </c>
      <c r="J18" s="7" t="str">
        <f>IFERROR(__xludf.DUMMYFUNCTION("""COMPUTED_VALUE"""),"04 Elétrica / 37 - Outros (PRAZO DE ACORDO COM A DEMANDA)")</f>
        <v>04 Elétrica / 37 - Outros (PRAZO DE ACORDO COM A DEMANDA)</v>
      </c>
      <c r="K18" s="7"/>
      <c r="L18" s="7" t="str">
        <f>IFERROR(__xludf.DUMMYFUNCTION("""COMPUTED_VALUE"""),"Ventilador parou de funcionar. Apto 405.")</f>
        <v>Ventilador parou de funcionar. Apto 405.</v>
      </c>
      <c r="M18" s="7" t="str">
        <f>IFERROR(__xludf.DUMMYFUNCTION("""COMPUTED_VALUE"""),"Ventilador danificado, não temos ventilador disponivél ")</f>
        <v>Ventilador danificado, não temos ventilador disponivél </v>
      </c>
      <c r="N18" s="10" t="str">
        <f>IFERROR(__xludf.DUMMYFUNCTION("""COMPUTED_VALUE"""),"Realizado")</f>
        <v>Realizado</v>
      </c>
      <c r="O18" s="11">
        <f>IFERROR(__xludf.DUMMYFUNCTION("""COMPUTED_VALUE"""),45302.0)</f>
        <v>45302</v>
      </c>
      <c r="P18" s="11"/>
    </row>
    <row r="19" ht="27.0" customHeight="1">
      <c r="A19" s="7" t="str">
        <f>IFERROR(__xludf.DUMMYFUNCTION("""COMPUTED_VALUE"""),"018/2024")</f>
        <v>018/2024</v>
      </c>
      <c r="B19" s="8">
        <f>IFERROR(__xludf.DUMMYFUNCTION("""COMPUTED_VALUE"""),45294.57428490741)</f>
        <v>45294.57428</v>
      </c>
      <c r="C19" s="8" t="str">
        <f>IFERROR(__xludf.DUMMYFUNCTION("""COMPUTED_VALUE"""),"lailton_ribeiro@ufcat.edu.br")</f>
        <v>lailton_ribeiro@ufcat.edu.br</v>
      </c>
      <c r="D19" s="7" t="str">
        <f>IFERROR(__xludf.DUMMYFUNCTION("""COMPUTED_VALUE"""),"Lailton Martins Ribeiro")</f>
        <v>Lailton Martins Ribeiro</v>
      </c>
      <c r="E19" s="7" t="str">
        <f>IFERROR(__xludf.DUMMYFUNCTION("""COMPUTED_VALUE"""),"3441-5343")</f>
        <v>3441-5343</v>
      </c>
      <c r="F19" s="7" t="str">
        <f>IFERROR(__xludf.DUMMYFUNCTION("""COMPUTED_VALUE"""),"CPATRI")</f>
        <v>CPATRI</v>
      </c>
      <c r="G19" s="9" t="str">
        <f>IFERROR(__xludf.DUMMYFUNCTION("""COMPUTED_VALUE"""),"Bloco O")</f>
        <v>Bloco O</v>
      </c>
      <c r="H19" s="7" t="str">
        <f>IFERROR(__xludf.DUMMYFUNCTION("""COMPUTED_VALUE"""),"S11")</f>
        <v>S11</v>
      </c>
      <c r="I19" s="7" t="str">
        <f>IFERROR(__xludf.DUMMYFUNCTION("""COMPUTED_VALUE"""),"Reparos (alvenaria, piso, forro e telhado)")</f>
        <v>Reparos (alvenaria, piso, forro e telhado)</v>
      </c>
      <c r="J19" s="7" t="str">
        <f>IFERROR(__xludf.DUMMYFUNCTION("""COMPUTED_VALUE"""),"01 Alvenaria / 06 - Outros (PRAZO DE ATÉ 60 DIAS PARA ATENDIMENTO)")</f>
        <v>01 Alvenaria / 06 - Outros (PRAZO DE ATÉ 60 DIAS PARA ATENDIMENTO)</v>
      </c>
      <c r="K19" s="7"/>
      <c r="L19" s="7" t="str">
        <f>IFERROR(__xludf.DUMMYFUNCTION("""COMPUTED_VALUE"""),"Abertura de porta entre as salas S11 e S09, e de janela entre a Sala S11 e o almoxarifado.")</f>
        <v>Abertura de porta entre as salas S11 e S09, e de janela entre a Sala S11 e o almoxarifado.</v>
      </c>
      <c r="M19" s="10"/>
      <c r="N19" s="10" t="str">
        <f>IFERROR(__xludf.DUMMYFUNCTION("""COMPUTED_VALUE"""),"Realizado")</f>
        <v>Realizado</v>
      </c>
      <c r="O19" s="11">
        <f>IFERROR(__xludf.DUMMYFUNCTION("""COMPUTED_VALUE"""),45307.0)</f>
        <v>45307</v>
      </c>
      <c r="P19" s="11"/>
    </row>
    <row r="20" ht="27.0" customHeight="1">
      <c r="A20" s="7" t="str">
        <f>IFERROR(__xludf.DUMMYFUNCTION("""COMPUTED_VALUE"""),"019/2024")</f>
        <v>019/2024</v>
      </c>
      <c r="B20" s="8">
        <f>IFERROR(__xludf.DUMMYFUNCTION("""COMPUTED_VALUE"""),45294.57563116898)</f>
        <v>45294.57563</v>
      </c>
      <c r="C20" s="8" t="str">
        <f>IFERROR(__xludf.DUMMYFUNCTION("""COMPUTED_VALUE"""),"lailton_ribeiro@ufcat.edu.br")</f>
        <v>lailton_ribeiro@ufcat.edu.br</v>
      </c>
      <c r="D20" s="7" t="str">
        <f>IFERROR(__xludf.DUMMYFUNCTION("""COMPUTED_VALUE"""),"Lailton Martins Ribeiro")</f>
        <v>Lailton Martins Ribeiro</v>
      </c>
      <c r="E20" s="7" t="str">
        <f>IFERROR(__xludf.DUMMYFUNCTION("""COMPUTED_VALUE"""),"64 3441-5343")</f>
        <v>64 3441-5343</v>
      </c>
      <c r="F20" s="7" t="str">
        <f>IFERROR(__xludf.DUMMYFUNCTION("""COMPUTED_VALUE"""),"PROAF")</f>
        <v>PROAF</v>
      </c>
      <c r="G20" s="9" t="str">
        <f>IFERROR(__xludf.DUMMYFUNCTION("""COMPUTED_VALUE"""),"Bloco Administrativo")</f>
        <v>Bloco Administrativo</v>
      </c>
      <c r="H20" s="7" t="str">
        <f>IFERROR(__xludf.DUMMYFUNCTION("""COMPUTED_VALUE"""),"Entrada da PROAF")</f>
        <v>Entrada da PROAF</v>
      </c>
      <c r="I20" s="7" t="str">
        <f>IFERROR(__xludf.DUMMYFUNCTION("""COMPUTED_VALUE"""),"Reparos (alvenaria, piso, forro e telhado)")</f>
        <v>Reparos (alvenaria, piso, forro e telhado)</v>
      </c>
      <c r="J20" s="7" t="str">
        <f>IFERROR(__xludf.DUMMYFUNCTION("""COMPUTED_VALUE"""),"01 Alvenaria / 06 - Outros (PRAZO DE ATÉ 60 DIAS PARA ATENDIMENTO)")</f>
        <v>01 Alvenaria / 06 - Outros (PRAZO DE ATÉ 60 DIAS PARA ATENDIMENTO)</v>
      </c>
      <c r="K20" s="7"/>
      <c r="L20" s="7" t="str">
        <f>IFERROR(__xludf.DUMMYFUNCTION("""COMPUTED_VALUE"""),"Mudança da localização da porta de entrada.")</f>
        <v>Mudança da localização da porta de entrada.</v>
      </c>
      <c r="M20" s="10"/>
      <c r="N20" s="10" t="str">
        <f>IFERROR(__xludf.DUMMYFUNCTION("""COMPUTED_VALUE"""),"Realizado")</f>
        <v>Realizado</v>
      </c>
      <c r="O20" s="11">
        <f>IFERROR(__xludf.DUMMYFUNCTION("""COMPUTED_VALUE"""),45307.0)</f>
        <v>45307</v>
      </c>
      <c r="P20" s="11"/>
    </row>
    <row r="21" ht="27.0" customHeight="1">
      <c r="A21" s="7" t="str">
        <f>IFERROR(__xludf.DUMMYFUNCTION("""COMPUTED_VALUE"""),"020/2024")</f>
        <v>020/2024</v>
      </c>
      <c r="B21" s="8">
        <f>IFERROR(__xludf.DUMMYFUNCTION("""COMPUTED_VALUE"""),45295.34798668981)</f>
        <v>45295.34799</v>
      </c>
      <c r="C21" s="8" t="str">
        <f>IFERROR(__xludf.DUMMYFUNCTION("""COMPUTED_VALUE"""),"mariaeduarda.borges@ufcat.edu.br")</f>
        <v>mariaeduarda.borges@ufcat.edu.br</v>
      </c>
      <c r="D21" s="7" t="str">
        <f>IFERROR(__xludf.DUMMYFUNCTION("""COMPUTED_VALUE"""),"Maria Eduarda Silva Borges ")</f>
        <v>Maria Eduarda Silva Borges </v>
      </c>
      <c r="E21" s="7">
        <f>IFERROR(__xludf.DUMMYFUNCTION("""COMPUTED_VALUE"""),5340.0)</f>
        <v>5340</v>
      </c>
      <c r="F21" s="7" t="str">
        <f>IFERROR(__xludf.DUMMYFUNCTION("""COMPUTED_VALUE"""),"PREF")</f>
        <v>PREF</v>
      </c>
      <c r="G21" s="9" t="str">
        <f>IFERROR(__xludf.DUMMYFUNCTION("""COMPUTED_VALUE"""),"Didatico I")</f>
        <v>Didatico I</v>
      </c>
      <c r="H21" s="7" t="str">
        <f>IFERROR(__xludf.DUMMYFUNCTION("""COMPUTED_VALUE"""),"BANHEIRO ESPECIAL TÉRREO")</f>
        <v>BANHEIRO ESPECIAL TÉRREO</v>
      </c>
      <c r="I21" s="7" t="str">
        <f>IFERROR(__xludf.DUMMYFUNCTION("""COMPUTED_VALUE"""),"Instalações Hidrossanitárias")</f>
        <v>Instalações Hidrossanitárias</v>
      </c>
      <c r="J21"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21" s="7"/>
      <c r="L21" s="7" t="str">
        <f>IFERROR(__xludf.DUMMYFUNCTION("""COMPUTED_VALUE"""),"A válvula da descarga do vaso sanitário do banheiro especial térreo do Bloco Didático l, está danificada.")</f>
        <v>A válvula da descarga do vaso sanitário do banheiro especial térreo do Bloco Didático l, está danificada.</v>
      </c>
      <c r="M21" s="10"/>
      <c r="N21" s="10" t="str">
        <f>IFERROR(__xludf.DUMMYFUNCTION("""COMPUTED_VALUE"""),"Realizado")</f>
        <v>Realizado</v>
      </c>
      <c r="O21" s="11">
        <f>IFERROR(__xludf.DUMMYFUNCTION("""COMPUTED_VALUE"""),45299.0)</f>
        <v>45299</v>
      </c>
      <c r="P21" s="11"/>
    </row>
    <row r="22" ht="27.0" customHeight="1">
      <c r="A22" s="7" t="str">
        <f>IFERROR(__xludf.DUMMYFUNCTION("""COMPUTED_VALUE"""),"021/2024")</f>
        <v>021/2024</v>
      </c>
      <c r="B22" s="8">
        <f>IFERROR(__xludf.DUMMYFUNCTION("""COMPUTED_VALUE"""),45295.40312990741)</f>
        <v>45295.40313</v>
      </c>
      <c r="C22" s="8" t="str">
        <f>IFERROR(__xludf.DUMMYFUNCTION("""COMPUTED_VALUE"""),"seguranca@ufcat.edu.br")</f>
        <v>seguranca@ufcat.edu.br</v>
      </c>
      <c r="D22" s="7" t="str">
        <f>IFERROR(__xludf.DUMMYFUNCTION("""COMPUTED_VALUE"""),"Maria Duarte")</f>
        <v>Maria Duarte</v>
      </c>
      <c r="E22" s="7">
        <f>IFERROR(__xludf.DUMMYFUNCTION("""COMPUTED_VALUE"""),5318.0)</f>
        <v>5318</v>
      </c>
      <c r="F22" s="7" t="str">
        <f>IFERROR(__xludf.DUMMYFUNCTION("""COMPUTED_VALUE"""),"CENTRAL DE OPERAÇÕES VIGILÂNCIA")</f>
        <v>CENTRAL DE OPERAÇÕES VIGILÂNCIA</v>
      </c>
      <c r="G22" s="9" t="str">
        <f>IFERROR(__xludf.DUMMYFUNCTION("""COMPUTED_VALUE"""),"Bloco P")</f>
        <v>Bloco P</v>
      </c>
      <c r="H22" s="7" t="str">
        <f>IFERROR(__xludf.DUMMYFUNCTION("""COMPUTED_VALUE"""),"Bloco Prefeitura")</f>
        <v>Bloco Prefeitura</v>
      </c>
      <c r="I22" s="7" t="str">
        <f>IFERROR(__xludf.DUMMYFUNCTION("""COMPUTED_VALUE"""),"Instalações e/ou Manutenção em Cabeamento de Rede")</f>
        <v>Instalações e/ou Manutenção em Cabeamento de Rede</v>
      </c>
      <c r="J22" s="7" t="str">
        <f>IFERROR(__xludf.DUMMYFUNCTION("""COMPUTED_VALUE"""),"05 Telecomunicações / 39 - CFTV (PRAZO DE ATÉ 15 DIAS PARA ATENDIMENTO)")</f>
        <v>05 Telecomunicações / 39 - CFTV (PRAZO DE ATÉ 15 DIAS PARA ATENDIMENTO)</v>
      </c>
      <c r="K22" s="7"/>
      <c r="L22" s="7" t="str">
        <f>IFERROR(__xludf.DUMMYFUNCTION("""COMPUTED_VALUE"""),"DVR da Prefeitura se encontra off-line")</f>
        <v>DVR da Prefeitura se encontra off-line</v>
      </c>
      <c r="M22" s="10"/>
      <c r="N22" s="10" t="str">
        <f>IFERROR(__xludf.DUMMYFUNCTION("""COMPUTED_VALUE"""),"Realizado")</f>
        <v>Realizado</v>
      </c>
      <c r="O22" s="11">
        <f>IFERROR(__xludf.DUMMYFUNCTION("""COMPUTED_VALUE"""),45295.0)</f>
        <v>45295</v>
      </c>
      <c r="P22" s="11"/>
    </row>
    <row r="23" ht="27.0" customHeight="1">
      <c r="A23" s="7" t="str">
        <f>IFERROR(__xludf.DUMMYFUNCTION("""COMPUTED_VALUE"""),"022/2024")</f>
        <v>022/2024</v>
      </c>
      <c r="B23" s="8">
        <f>IFERROR(__xludf.DUMMYFUNCTION("""COMPUTED_VALUE"""),45295.54278053241)</f>
        <v>45295.54278</v>
      </c>
      <c r="C23" s="8" t="str">
        <f>IFERROR(__xludf.DUMMYFUNCTION("""COMPUTED_VALUE"""),"seguranca@ufcat.edu.br")</f>
        <v>seguranca@ufcat.edu.br</v>
      </c>
      <c r="D23" s="7" t="str">
        <f>IFERROR(__xludf.DUMMYFUNCTION("""COMPUTED_VALUE"""),"Maria Duarte")</f>
        <v>Maria Duarte</v>
      </c>
      <c r="E23" s="7">
        <f>IFERROR(__xludf.DUMMYFUNCTION("""COMPUTED_VALUE"""),5318.0)</f>
        <v>5318</v>
      </c>
      <c r="F23" s="7" t="str">
        <f>IFERROR(__xludf.DUMMYFUNCTION("""COMPUTED_VALUE"""),"CENTRAL DE OPERAÇÕES VIGILÂNCIA")</f>
        <v>CENTRAL DE OPERAÇÕES VIGILÂNCIA</v>
      </c>
      <c r="G23" s="9" t="str">
        <f>IFERROR(__xludf.DUMMYFUNCTION("""COMPUTED_VALUE"""),"Bloco Administrativo")</f>
        <v>Bloco Administrativo</v>
      </c>
      <c r="H23" s="7" t="str">
        <f>IFERROR(__xludf.DUMMYFUNCTION("""COMPUTED_VALUE"""),"DVR Bloco ADM ")</f>
        <v>DVR Bloco ADM </v>
      </c>
      <c r="I23" s="7" t="str">
        <f>IFERROR(__xludf.DUMMYFUNCTION("""COMPUTED_VALUE"""),"Instalações e/ou Manutenção em Cabeamento de Rede")</f>
        <v>Instalações e/ou Manutenção em Cabeamento de Rede</v>
      </c>
      <c r="J23" s="7" t="str">
        <f>IFERROR(__xludf.DUMMYFUNCTION("""COMPUTED_VALUE"""),"05 Telecomunicações / 39 - CFTV (PRAZO DE ATÉ 15 DIAS PARA ATENDIMENTO)")</f>
        <v>05 Telecomunicações / 39 - CFTV (PRAZO DE ATÉ 15 DIAS PARA ATENDIMENTO)</v>
      </c>
      <c r="K23" s="7"/>
      <c r="L23" s="7" t="str">
        <f>IFERROR(__xludf.DUMMYFUNCTION("""COMPUTED_VALUE"""),"DVR Bloco ADM, se encontra com o horário e a data incorretos, com isso se for necessário baixar imagens do local vai ser dificultado.")</f>
        <v>DVR Bloco ADM, se encontra com o horário e a data incorretos, com isso se for necessário baixar imagens do local vai ser dificultado.</v>
      </c>
      <c r="M23" s="10"/>
      <c r="N23" s="10" t="str">
        <f>IFERROR(__xludf.DUMMYFUNCTION("""COMPUTED_VALUE"""),"Realizado")</f>
        <v>Realizado</v>
      </c>
      <c r="O23" s="11">
        <f>IFERROR(__xludf.DUMMYFUNCTION("""COMPUTED_VALUE"""),45295.0)</f>
        <v>45295</v>
      </c>
      <c r="P23" s="11"/>
    </row>
    <row r="24" ht="27.0" customHeight="1">
      <c r="A24" s="7" t="str">
        <f>IFERROR(__xludf.DUMMYFUNCTION("""COMPUTED_VALUE"""),"023/2024")</f>
        <v>023/2024</v>
      </c>
      <c r="B24" s="8">
        <f>IFERROR(__xludf.DUMMYFUNCTION("""COMPUTED_VALUE"""),45295.54428835648)</f>
        <v>45295.54429</v>
      </c>
      <c r="C24" s="8" t="str">
        <f>IFERROR(__xludf.DUMMYFUNCTION("""COMPUTED_VALUE"""),"seguranca@ufcat.edu.br")</f>
        <v>seguranca@ufcat.edu.br</v>
      </c>
      <c r="D24" s="7" t="str">
        <f>IFERROR(__xludf.DUMMYFUNCTION("""COMPUTED_VALUE"""),"Maria Duarte")</f>
        <v>Maria Duarte</v>
      </c>
      <c r="E24" s="7">
        <f>IFERROR(__xludf.DUMMYFUNCTION("""COMPUTED_VALUE"""),5318.0)</f>
        <v>5318</v>
      </c>
      <c r="F24" s="7" t="str">
        <f>IFERROR(__xludf.DUMMYFUNCTION("""COMPUTED_VALUE"""),"CENTRAL DE OPERAÇÕES VIGILÂNCIA")</f>
        <v>CENTRAL DE OPERAÇÕES VIGILÂNCIA</v>
      </c>
      <c r="G24" s="9" t="str">
        <f>IFERROR(__xludf.DUMMYFUNCTION("""COMPUTED_VALUE"""),"Bloco L")</f>
        <v>Bloco L</v>
      </c>
      <c r="H24" s="7" t="str">
        <f>IFERROR(__xludf.DUMMYFUNCTION("""COMPUTED_VALUE"""),"DVR Bloco L Interno ")</f>
        <v>DVR Bloco L Interno </v>
      </c>
      <c r="I24" s="7" t="str">
        <f>IFERROR(__xludf.DUMMYFUNCTION("""COMPUTED_VALUE"""),"Instalações e/ou Manutenção em Cabeamento de Rede")</f>
        <v>Instalações e/ou Manutenção em Cabeamento de Rede</v>
      </c>
      <c r="J24" s="7" t="str">
        <f>IFERROR(__xludf.DUMMYFUNCTION("""COMPUTED_VALUE"""),"05 Telecomunicações / 39 - CFTV (PRAZO DE ATÉ 15 DIAS PARA ATENDIMENTO)")</f>
        <v>05 Telecomunicações / 39 - CFTV (PRAZO DE ATÉ 15 DIAS PARA ATENDIMENTO)</v>
      </c>
      <c r="K24" s="7"/>
      <c r="L24" s="7" t="str">
        <f>IFERROR(__xludf.DUMMYFUNCTION("""COMPUTED_VALUE"""),"DVR Bloco L Interno, se encontra com o horário e a data incorretos, com isso se for necessário baixar imagens do local vai ser dificultado.")</f>
        <v>DVR Bloco L Interno, se encontra com o horário e a data incorretos, com isso se for necessário baixar imagens do local vai ser dificultado.</v>
      </c>
      <c r="M24" s="10"/>
      <c r="N24" s="10" t="str">
        <f>IFERROR(__xludf.DUMMYFUNCTION("""COMPUTED_VALUE"""),"Realizado")</f>
        <v>Realizado</v>
      </c>
      <c r="O24" s="11">
        <f>IFERROR(__xludf.DUMMYFUNCTION("""COMPUTED_VALUE"""),45295.0)</f>
        <v>45295</v>
      </c>
      <c r="P24" s="11"/>
    </row>
    <row r="25" ht="27.0" customHeight="1">
      <c r="A25" s="7" t="str">
        <f>IFERROR(__xludf.DUMMYFUNCTION("""COMPUTED_VALUE"""),"024/2024")</f>
        <v>024/2024</v>
      </c>
      <c r="B25" s="8">
        <f>IFERROR(__xludf.DUMMYFUNCTION("""COMPUTED_VALUE"""),45295.54558148148)</f>
        <v>45295.54558</v>
      </c>
      <c r="C25" s="8" t="str">
        <f>IFERROR(__xludf.DUMMYFUNCTION("""COMPUTED_VALUE"""),"seguranca@ufcat.edu.br")</f>
        <v>seguranca@ufcat.edu.br</v>
      </c>
      <c r="D25" s="7" t="str">
        <f>IFERROR(__xludf.DUMMYFUNCTION("""COMPUTED_VALUE"""),"Maria Duarte")</f>
        <v>Maria Duarte</v>
      </c>
      <c r="E25" s="7">
        <f>IFERROR(__xludf.DUMMYFUNCTION("""COMPUTED_VALUE"""),5318.0)</f>
        <v>5318</v>
      </c>
      <c r="F25" s="7" t="str">
        <f>IFERROR(__xludf.DUMMYFUNCTION("""COMPUTED_VALUE"""),"CENTRAL DE OPERAÇÕES VIGILÂNCIA")</f>
        <v>CENTRAL DE OPERAÇÕES VIGILÂNCIA</v>
      </c>
      <c r="G25" s="9" t="str">
        <f>IFERROR(__xludf.DUMMYFUNCTION("""COMPUTED_VALUE"""),"Campus II")</f>
        <v>Campus II</v>
      </c>
      <c r="H25" s="7" t="str">
        <f>IFERROR(__xludf.DUMMYFUNCTION("""COMPUTED_VALUE"""),"DVR Campus II")</f>
        <v>DVR Campus II</v>
      </c>
      <c r="I25" s="7" t="str">
        <f>IFERROR(__xludf.DUMMYFUNCTION("""COMPUTED_VALUE"""),"Instalações e/ou Manutenção em Cabeamento de Rede")</f>
        <v>Instalações e/ou Manutenção em Cabeamento de Rede</v>
      </c>
      <c r="J25" s="7" t="str">
        <f>IFERROR(__xludf.DUMMYFUNCTION("""COMPUTED_VALUE"""),"05 Telecomunicações / 39 - CFTV (PRAZO DE ATÉ 15 DIAS PARA ATENDIMENTO)")</f>
        <v>05 Telecomunicações / 39 - CFTV (PRAZO DE ATÉ 15 DIAS PARA ATENDIMENTO)</v>
      </c>
      <c r="K25" s="7"/>
      <c r="L25" s="7" t="str">
        <f>IFERROR(__xludf.DUMMYFUNCTION("""COMPUTED_VALUE"""),"DVR  Campus II, se encontra com o horário e a data incorretos, com isso se for necessário baixar imagens do local vai ser dificultado.")</f>
        <v>DVR  Campus II, se encontra com o horário e a data incorretos, com isso se for necessário baixar imagens do local vai ser dificultado.</v>
      </c>
      <c r="M25" s="10"/>
      <c r="N25" s="10" t="str">
        <f>IFERROR(__xludf.DUMMYFUNCTION("""COMPUTED_VALUE"""),"Realizado")</f>
        <v>Realizado</v>
      </c>
      <c r="O25" s="11">
        <f>IFERROR(__xludf.DUMMYFUNCTION("""COMPUTED_VALUE"""),45302.0)</f>
        <v>45302</v>
      </c>
      <c r="P25" s="11"/>
    </row>
    <row r="26" ht="27.0" customHeight="1">
      <c r="A26" s="7" t="str">
        <f>IFERROR(__xludf.DUMMYFUNCTION("""COMPUTED_VALUE"""),"025/2024")</f>
        <v>025/2024</v>
      </c>
      <c r="B26" s="8">
        <f>IFERROR(__xludf.DUMMYFUNCTION("""COMPUTED_VALUE"""),45295.571365763884)</f>
        <v>45295.57137</v>
      </c>
      <c r="C26" s="8" t="str">
        <f>IFERROR(__xludf.DUMMYFUNCTION("""COMPUTED_VALUE"""),"rafael.pereira@ufcat.edu.br")</f>
        <v>rafael.pereira@ufcat.edu.br</v>
      </c>
      <c r="D26" s="7" t="str">
        <f>IFERROR(__xludf.DUMMYFUNCTION("""COMPUTED_VALUE"""),"Rafael Pereira")</f>
        <v>Rafael Pereira</v>
      </c>
      <c r="E26" s="7">
        <f>IFERROR(__xludf.DUMMYFUNCTION("""COMPUTED_VALUE"""),5363.0)</f>
        <v>5363</v>
      </c>
      <c r="F26" s="7" t="str">
        <f>IFERROR(__xludf.DUMMYFUNCTION("""COMPUTED_VALUE"""),"SEINFRA")</f>
        <v>SEINFRA</v>
      </c>
      <c r="G26" s="9" t="str">
        <f>IFERROR(__xludf.DUMMYFUNCTION("""COMPUTED_VALUE"""),"Bloco O")</f>
        <v>Bloco O</v>
      </c>
      <c r="H26" s="7" t="str">
        <f>IFERROR(__xludf.DUMMYFUNCTION("""COMPUTED_VALUE"""),"Corredor da fachada frontal no 2º Piso da FENG")</f>
        <v>Corredor da fachada frontal no 2º Piso da FENG</v>
      </c>
      <c r="I26" s="7" t="str">
        <f>IFERROR(__xludf.DUMMYFUNCTION("""COMPUTED_VALUE"""),"Serralheria")</f>
        <v>Serralheria</v>
      </c>
      <c r="J26" s="7" t="str">
        <f>IFERROR(__xludf.DUMMYFUNCTION("""COMPUTED_VALUE"""),"08 Serralheria / 56 - Outros (PRAZO DE ACORDO COM A DEMANDA)")</f>
        <v>08 Serralheria / 56 - Outros (PRAZO DE ACORDO COM A DEMANDA)</v>
      </c>
      <c r="K26" s="7"/>
      <c r="L26" s="7" t="str">
        <f>IFERROR(__xludf.DUMMYFUNCTION("""COMPUTED_VALUE"""),"Instalação de telas de proteção contra pássaros - prédio da FENG UFCAT")</f>
        <v>Instalação de telas de proteção contra pássaros - prédio da FENG UFCAT</v>
      </c>
      <c r="M26" s="10"/>
      <c r="N26" s="10" t="str">
        <f>IFERROR(__xludf.DUMMYFUNCTION("""COMPUTED_VALUE"""),"Realizado")</f>
        <v>Realizado</v>
      </c>
      <c r="O26" s="11">
        <f>IFERROR(__xludf.DUMMYFUNCTION("""COMPUTED_VALUE"""),45341.0)</f>
        <v>45341</v>
      </c>
      <c r="P26" s="11"/>
    </row>
    <row r="27" ht="27.0" customHeight="1">
      <c r="A27" s="7" t="str">
        <f>IFERROR(__xludf.DUMMYFUNCTION("""COMPUTED_VALUE"""),"026/2024")</f>
        <v>026/2024</v>
      </c>
      <c r="B27" s="8">
        <f>IFERROR(__xludf.DUMMYFUNCTION("""COMPUTED_VALUE"""),45295.69693427083)</f>
        <v>45295.69693</v>
      </c>
      <c r="C27" s="8" t="str">
        <f>IFERROR(__xludf.DUMMYFUNCTION("""COMPUTED_VALUE"""),"ccs@ufcat.edu.br")</f>
        <v>ccs@ufcat.edu.br</v>
      </c>
      <c r="D27" s="7" t="str">
        <f>IFERROR(__xludf.DUMMYFUNCTION("""COMPUTED_VALUE"""),"Welliton Alves")</f>
        <v>Welliton Alves</v>
      </c>
      <c r="E27" s="7">
        <f>IFERROR(__xludf.DUMMYFUNCTION("""COMPUTED_VALUE"""),5345.0)</f>
        <v>5345</v>
      </c>
      <c r="F27" s="7" t="str">
        <f>IFERROR(__xludf.DUMMYFUNCTION("""COMPUTED_VALUE"""),"REITORIA")</f>
        <v>REITORIA</v>
      </c>
      <c r="G27" s="9" t="str">
        <f>IFERROR(__xludf.DUMMYFUNCTION("""COMPUTED_VALUE"""),"Bloco Administrativo")</f>
        <v>Bloco Administrativo</v>
      </c>
      <c r="H27" s="7">
        <f>IFERROR(__xludf.DUMMYFUNCTION("""COMPUTED_VALUE"""),111.0)</f>
        <v>111</v>
      </c>
      <c r="I27" s="7" t="str">
        <f>IFERROR(__xludf.DUMMYFUNCTION("""COMPUTED_VALUE"""),"Instalações elétricas")</f>
        <v>Instalações elétricas</v>
      </c>
      <c r="J27" s="7" t="str">
        <f>IFERROR(__xludf.DUMMYFUNCTION("""COMPUTED_VALUE"""),"04 Elétrica / 35 - Troca de Lâmpadas (PRAZO DE ATÉ 15 DIAS PARA ATENDIMENTO)")</f>
        <v>04 Elétrica / 35 - Troca de Lâmpadas (PRAZO DE ATÉ 15 DIAS PARA ATENDIMENTO)</v>
      </c>
      <c r="K27" s="7"/>
      <c r="L27" s="7" t="str">
        <f>IFERROR(__xludf.DUMMYFUNCTION("""COMPUTED_VALUE"""),"Troca das duas lâmpadas da luminária central da sala")</f>
        <v>Troca das duas lâmpadas da luminária central da sala</v>
      </c>
      <c r="M27" s="10"/>
      <c r="N27" s="10" t="str">
        <f>IFERROR(__xludf.DUMMYFUNCTION("""COMPUTED_VALUE"""),"Realizado")</f>
        <v>Realizado</v>
      </c>
      <c r="O27" s="11">
        <f>IFERROR(__xludf.DUMMYFUNCTION("""COMPUTED_VALUE"""),45296.0)</f>
        <v>45296</v>
      </c>
      <c r="P27" s="11"/>
    </row>
    <row r="28" ht="27.0" customHeight="1">
      <c r="A28" s="7" t="str">
        <f>IFERROR(__xludf.DUMMYFUNCTION("""COMPUTED_VALUE"""),"027/2024")</f>
        <v>027/2024</v>
      </c>
      <c r="B28" s="8">
        <f>IFERROR(__xludf.DUMMYFUNCTION("""COMPUTED_VALUE"""),45296.23314763889)</f>
        <v>45296.23315</v>
      </c>
      <c r="C28" s="8" t="str">
        <f>IFERROR(__xludf.DUMMYFUNCTION("""COMPUTED_VALUE"""),"seguranca@ufcat.edu.br")</f>
        <v>seguranca@ufcat.edu.br</v>
      </c>
      <c r="D28" s="7" t="str">
        <f>IFERROR(__xludf.DUMMYFUNCTION("""COMPUTED_VALUE"""),"neide da costa")</f>
        <v>neide da costa</v>
      </c>
      <c r="E28" s="7">
        <f>IFERROR(__xludf.DUMMYFUNCTION("""COMPUTED_VALUE"""),5318.0)</f>
        <v>5318</v>
      </c>
      <c r="F28" s="7" t="str">
        <f>IFERROR(__xludf.DUMMYFUNCTION("""COMPUTED_VALUE"""),"CENTRAL DE OPERAÇÕES VIGILÂNCIA")</f>
        <v>CENTRAL DE OPERAÇÕES VIGILÂNCIA</v>
      </c>
      <c r="G28" s="9" t="str">
        <f>IFERROR(__xludf.DUMMYFUNCTION("""COMPUTED_VALUE"""),"Bloco C")</f>
        <v>Bloco C</v>
      </c>
      <c r="H28" s="7" t="str">
        <f>IFERROR(__xludf.DUMMYFUNCTION("""COMPUTED_VALUE"""),"Camêras fundo do bloco c e portãp de entrada tambem do bloco c estão com interferência ")</f>
        <v>Camêras fundo do bloco c e portãp de entrada tambem do bloco c estão com interferência </v>
      </c>
      <c r="I28" s="7" t="str">
        <f>IFERROR(__xludf.DUMMYFUNCTION("""COMPUTED_VALUE"""),"Instalações e/ou Manutenção em Cabeamento de Rede")</f>
        <v>Instalações e/ou Manutenção em Cabeamento de Rede</v>
      </c>
      <c r="J28" s="7" t="str">
        <f>IFERROR(__xludf.DUMMYFUNCTION("""COMPUTED_VALUE"""),"05 Telecomunicações / 39 - CFTV (PRAZO DE ATÉ 15 DIAS PARA ATENDIMENTO)")</f>
        <v>05 Telecomunicações / 39 - CFTV (PRAZO DE ATÉ 15 DIAS PARA ATENDIMENTO)</v>
      </c>
      <c r="K28" s="7"/>
      <c r="L28" s="7" t="str">
        <f>IFERROR(__xludf.DUMMYFUNCTION("""COMPUTED_VALUE"""),"camêras do bloco c fundo do bloco c e portão de entrada estão com interferência")</f>
        <v>camêras do bloco c fundo do bloco c e portão de entrada estão com interferência</v>
      </c>
      <c r="M28" s="10"/>
      <c r="N28" s="10" t="str">
        <f>IFERROR(__xludf.DUMMYFUNCTION("""COMPUTED_VALUE"""),"Realizado")</f>
        <v>Realizado</v>
      </c>
      <c r="O28" s="11">
        <f>IFERROR(__xludf.DUMMYFUNCTION("""COMPUTED_VALUE"""),45296.0)</f>
        <v>45296</v>
      </c>
      <c r="P28" s="11"/>
    </row>
    <row r="29" ht="27.0" customHeight="1">
      <c r="A29" s="7" t="str">
        <f>IFERROR(__xludf.DUMMYFUNCTION("""COMPUTED_VALUE"""),"028/2024")</f>
        <v>028/2024</v>
      </c>
      <c r="B29" s="8">
        <f>IFERROR(__xludf.DUMMYFUNCTION("""COMPUTED_VALUE"""),45296.804213634256)</f>
        <v>45296.80421</v>
      </c>
      <c r="C29" s="8" t="str">
        <f>IFERROR(__xludf.DUMMYFUNCTION("""COMPUTED_VALUE"""),"seguranca@ufcat.edu.br")</f>
        <v>seguranca@ufcat.edu.br</v>
      </c>
      <c r="D29" s="7" t="str">
        <f>IFERROR(__xludf.DUMMYFUNCTION("""COMPUTED_VALUE"""),"Neide da costa ")</f>
        <v>Neide da costa </v>
      </c>
      <c r="E29" s="7">
        <f>IFERROR(__xludf.DUMMYFUNCTION("""COMPUTED_VALUE"""),5318.0)</f>
        <v>5318</v>
      </c>
      <c r="F29" s="7" t="str">
        <f>IFERROR(__xludf.DUMMYFUNCTION("""COMPUTED_VALUE"""),"CENTRAL DE OPERAÇÕES VIGILÂNCIA")</f>
        <v>CENTRAL DE OPERAÇÕES VIGILÂNCIA</v>
      </c>
      <c r="G29" s="9" t="str">
        <f>IFERROR(__xludf.DUMMYFUNCTION("""COMPUTED_VALUE"""),"Didatico I")</f>
        <v>Didatico I</v>
      </c>
      <c r="H29" s="7" t="str">
        <f>IFERROR(__xludf.DUMMYFUNCTION("""COMPUTED_VALUE"""),"corredor piso 2 ")</f>
        <v>corredor piso 2 </v>
      </c>
      <c r="I29" s="7" t="str">
        <f>IFERROR(__xludf.DUMMYFUNCTION("""COMPUTED_VALUE"""),"Instalações e/ou Manutenção em Cabeamento de Rede")</f>
        <v>Instalações e/ou Manutenção em Cabeamento de Rede</v>
      </c>
      <c r="J29" s="7" t="str">
        <f>IFERROR(__xludf.DUMMYFUNCTION("""COMPUTED_VALUE"""),"05 Telecomunicações / 39 - CFTV (PRAZO DE ATÉ 15 DIAS PARA ATENDIMENTO)")</f>
        <v>05 Telecomunicações / 39 - CFTV (PRAZO DE ATÉ 15 DIAS PARA ATENDIMENTO)</v>
      </c>
      <c r="K29" s="7"/>
      <c r="L29" s="7" t="str">
        <f>IFERROR(__xludf.DUMMYFUNCTION("""COMPUTED_VALUE"""),"camêra está rodando normalmente mas a tela está preta ")</f>
        <v>camêra está rodando normalmente mas a tela está preta </v>
      </c>
      <c r="M29" s="10"/>
      <c r="N29" s="10" t="str">
        <f>IFERROR(__xludf.DUMMYFUNCTION("""COMPUTED_VALUE"""),"Realizado")</f>
        <v>Realizado</v>
      </c>
      <c r="O29" s="11">
        <f>IFERROR(__xludf.DUMMYFUNCTION("""COMPUTED_VALUE"""),45299.0)</f>
        <v>45299</v>
      </c>
      <c r="P29" s="11"/>
    </row>
    <row r="30" ht="27.0" customHeight="1">
      <c r="A30" s="7" t="str">
        <f>IFERROR(__xludf.DUMMYFUNCTION("""COMPUTED_VALUE"""),"029/2024")</f>
        <v>029/2024</v>
      </c>
      <c r="B30" s="8">
        <f>IFERROR(__xludf.DUMMYFUNCTION("""COMPUTED_VALUE"""),45296.8055421412)</f>
        <v>45296.80554</v>
      </c>
      <c r="C30" s="8" t="str">
        <f>IFERROR(__xludf.DUMMYFUNCTION("""COMPUTED_VALUE"""),"seguranca@ufcat.edu.br")</f>
        <v>seguranca@ufcat.edu.br</v>
      </c>
      <c r="D30" s="7" t="str">
        <f>IFERROR(__xludf.DUMMYFUNCTION("""COMPUTED_VALUE"""),"Neide da costa ")</f>
        <v>Neide da costa </v>
      </c>
      <c r="E30" s="7">
        <f>IFERROR(__xludf.DUMMYFUNCTION("""COMPUTED_VALUE"""),5318.0)</f>
        <v>5318</v>
      </c>
      <c r="F30" s="7" t="str">
        <f>IFERROR(__xludf.DUMMYFUNCTION("""COMPUTED_VALUE"""),"CENTRAL DE OPERAÇÕES VIGILÂNCIA")</f>
        <v>CENTRAL DE OPERAÇÕES VIGILÂNCIA</v>
      </c>
      <c r="G30" s="9" t="str">
        <f>IFERROR(__xludf.DUMMYFUNCTION("""COMPUTED_VALUE"""),"Didatico I")</f>
        <v>Didatico I</v>
      </c>
      <c r="H30" s="7" t="str">
        <f>IFERROR(__xludf.DUMMYFUNCTION("""COMPUTED_VALUE"""),"camêra dome ")</f>
        <v>camêra dome </v>
      </c>
      <c r="I30" s="7" t="str">
        <f>IFERROR(__xludf.DUMMYFUNCTION("""COMPUTED_VALUE"""),"Instalações e/ou Manutenção em Cabeamento de Rede")</f>
        <v>Instalações e/ou Manutenção em Cabeamento de Rede</v>
      </c>
      <c r="J30" s="7" t="str">
        <f>IFERROR(__xludf.DUMMYFUNCTION("""COMPUTED_VALUE"""),"05 Telecomunicações / 39 - CFTV (PRAZO DE ATÉ 15 DIAS PARA ATENDIMENTO)")</f>
        <v>05 Telecomunicações / 39 - CFTV (PRAZO DE ATÉ 15 DIAS PARA ATENDIMENTO)</v>
      </c>
      <c r="K30" s="7"/>
      <c r="L30" s="7" t="str">
        <f>IFERROR(__xludf.DUMMYFUNCTION("""COMPUTED_VALUE"""),"camêra dome está rodando normalmente mas está preta a tela ")</f>
        <v>camêra dome está rodando normalmente mas está preta a tela </v>
      </c>
      <c r="M30" s="10"/>
      <c r="N30" s="10" t="str">
        <f>IFERROR(__xludf.DUMMYFUNCTION("""COMPUTED_VALUE"""),"Realizado")</f>
        <v>Realizado</v>
      </c>
      <c r="O30" s="11">
        <f>IFERROR(__xludf.DUMMYFUNCTION("""COMPUTED_VALUE"""),45299.0)</f>
        <v>45299</v>
      </c>
      <c r="P30" s="11"/>
    </row>
    <row r="31" ht="27.0" customHeight="1">
      <c r="A31" s="7" t="str">
        <f>IFERROR(__xludf.DUMMYFUNCTION("""COMPUTED_VALUE"""),"030/2024")</f>
        <v>030/2024</v>
      </c>
      <c r="B31" s="8">
        <f>IFERROR(__xludf.DUMMYFUNCTION("""COMPUTED_VALUE"""),45297.26119887731)</f>
        <v>45297.2612</v>
      </c>
      <c r="C31" s="8" t="str">
        <f>IFERROR(__xludf.DUMMYFUNCTION("""COMPUTED_VALUE"""),"seguranca@ufcat.edu.br")</f>
        <v>seguranca@ufcat.edu.br</v>
      </c>
      <c r="D31" s="7" t="str">
        <f>IFERROR(__xludf.DUMMYFUNCTION("""COMPUTED_VALUE"""),"neide da costa ")</f>
        <v>neide da costa </v>
      </c>
      <c r="E31" s="7">
        <f>IFERROR(__xludf.DUMMYFUNCTION("""COMPUTED_VALUE"""),5318.0)</f>
        <v>5318</v>
      </c>
      <c r="F31" s="7" t="str">
        <f>IFERROR(__xludf.DUMMYFUNCTION("""COMPUTED_VALUE"""),"CENTRAL DE OPERAÇÕES VIGILÂNCIA")</f>
        <v>CENTRAL DE OPERAÇÕES VIGILÂNCIA</v>
      </c>
      <c r="G31" s="9" t="str">
        <f>IFERROR(__xludf.DUMMYFUNCTION("""COMPUTED_VALUE"""),"Bloco O")</f>
        <v>Bloco O</v>
      </c>
      <c r="H31" s="7" t="str">
        <f>IFERROR(__xludf.DUMMYFUNCTION("""COMPUTED_VALUE"""),"camera 7 e 8 estão funcionando normal mas a tela está preta ")</f>
        <v>camera 7 e 8 estão funcionando normal mas a tela está preta </v>
      </c>
      <c r="I31" s="7" t="str">
        <f>IFERROR(__xludf.DUMMYFUNCTION("""COMPUTED_VALUE"""),"Instalações e/ou Manutenção em Cabeamento de Rede")</f>
        <v>Instalações e/ou Manutenção em Cabeamento de Rede</v>
      </c>
      <c r="J31" s="7" t="str">
        <f>IFERROR(__xludf.DUMMYFUNCTION("""COMPUTED_VALUE"""),"05 Telecomunicações / 39 - CFTV (PRAZO DE ATÉ 15 DIAS PARA ATENDIMENTO)")</f>
        <v>05 Telecomunicações / 39 - CFTV (PRAZO DE ATÉ 15 DIAS PARA ATENDIMENTO)</v>
      </c>
      <c r="K31" s="7"/>
      <c r="L31" s="7" t="str">
        <f>IFERROR(__xludf.DUMMYFUNCTION("""COMPUTED_VALUE"""),"As camêras do bloco O 7 e 8 estao funcionando normal mais esta preta a tela ")</f>
        <v>As camêras do bloco O 7 e 8 estao funcionando normal mais esta preta a tela </v>
      </c>
      <c r="M31" s="10"/>
      <c r="N31" s="10" t="str">
        <f>IFERROR(__xludf.DUMMYFUNCTION("""COMPUTED_VALUE"""),"Realizado")</f>
        <v>Realizado</v>
      </c>
      <c r="O31" s="11">
        <f>IFERROR(__xludf.DUMMYFUNCTION("""COMPUTED_VALUE"""),45301.0)</f>
        <v>45301</v>
      </c>
      <c r="P31" s="11"/>
    </row>
    <row r="32" ht="27.0" customHeight="1">
      <c r="A32" s="7" t="str">
        <f>IFERROR(__xludf.DUMMYFUNCTION("""COMPUTED_VALUE"""),"031/2024")</f>
        <v>031/2024</v>
      </c>
      <c r="B32" s="8">
        <f>IFERROR(__xludf.DUMMYFUNCTION("""COMPUTED_VALUE"""),45297.263529421296)</f>
        <v>45297.26353</v>
      </c>
      <c r="C32" s="8" t="str">
        <f>IFERROR(__xludf.DUMMYFUNCTION("""COMPUTED_VALUE"""),"seguranca@ufcat.edu.br")</f>
        <v>seguranca@ufcat.edu.br</v>
      </c>
      <c r="D32" s="7" t="str">
        <f>IFERROR(__xludf.DUMMYFUNCTION("""COMPUTED_VALUE"""),"neide da costa")</f>
        <v>neide da costa</v>
      </c>
      <c r="E32" s="7">
        <f>IFERROR(__xludf.DUMMYFUNCTION("""COMPUTED_VALUE"""),5318.0)</f>
        <v>5318</v>
      </c>
      <c r="F32" s="7" t="str">
        <f>IFERROR(__xludf.DUMMYFUNCTION("""COMPUTED_VALUE"""),"CENTRAL DE OPERAÇÕES VIGILÂNCIA")</f>
        <v>CENTRAL DE OPERAÇÕES VIGILÂNCIA</v>
      </c>
      <c r="G32" s="9" t="str">
        <f>IFERROR(__xludf.DUMMYFUNCTION("""COMPUTED_VALUE"""),"Didatico I")</f>
        <v>Didatico I</v>
      </c>
      <c r="H32" s="7" t="str">
        <f>IFERROR(__xludf.DUMMYFUNCTION("""COMPUTED_VALUE"""),"camera dome esta funcionando normal mais está com a tela preta")</f>
        <v>camera dome esta funcionando normal mais está com a tela preta</v>
      </c>
      <c r="I32" s="7" t="str">
        <f>IFERROR(__xludf.DUMMYFUNCTION("""COMPUTED_VALUE"""),"Instalações e/ou Manutenção em Cabeamento de Rede")</f>
        <v>Instalações e/ou Manutenção em Cabeamento de Rede</v>
      </c>
      <c r="J32" s="7" t="str">
        <f>IFERROR(__xludf.DUMMYFUNCTION("""COMPUTED_VALUE"""),"05 Telecomunicações / 39 - CFTV (PRAZO DE ATÉ 15 DIAS PARA ATENDIMENTO)")</f>
        <v>05 Telecomunicações / 39 - CFTV (PRAZO DE ATÉ 15 DIAS PARA ATENDIMENTO)</v>
      </c>
      <c r="K32" s="7"/>
      <c r="L32" s="7" t="str">
        <f>IFERROR(__xludf.DUMMYFUNCTION("""COMPUTED_VALUE"""),"a camera dome do didatico 1 esta funcionando normal mas a tela está preta")</f>
        <v>a camera dome do didatico 1 esta funcionando normal mas a tela está preta</v>
      </c>
      <c r="M32" s="10"/>
      <c r="N32" s="10" t="str">
        <f>IFERROR(__xludf.DUMMYFUNCTION("""COMPUTED_VALUE"""),"Realizado")</f>
        <v>Realizado</v>
      </c>
      <c r="O32" s="11">
        <f>IFERROR(__xludf.DUMMYFUNCTION("""COMPUTED_VALUE"""),45299.0)</f>
        <v>45299</v>
      </c>
      <c r="P32" s="11"/>
    </row>
    <row r="33" ht="27.0" customHeight="1">
      <c r="A33" s="7" t="str">
        <f>IFERROR(__xludf.DUMMYFUNCTION("""COMPUTED_VALUE"""),"032/2024")</f>
        <v>032/2024</v>
      </c>
      <c r="B33" s="8">
        <f>IFERROR(__xludf.DUMMYFUNCTION("""COMPUTED_VALUE"""),45297.42524236111)</f>
        <v>45297.42524</v>
      </c>
      <c r="C33" s="8" t="str">
        <f>IFERROR(__xludf.DUMMYFUNCTION("""COMPUTED_VALUE"""),"seguranca@ufcat.edu.br")</f>
        <v>seguranca@ufcat.edu.br</v>
      </c>
      <c r="D33" s="7" t="str">
        <f>IFERROR(__xludf.DUMMYFUNCTION("""COMPUTED_VALUE"""),"Maria Duarte")</f>
        <v>Maria Duarte</v>
      </c>
      <c r="E33" s="7">
        <f>IFERROR(__xludf.DUMMYFUNCTION("""COMPUTED_VALUE"""),5318.0)</f>
        <v>5318</v>
      </c>
      <c r="F33" s="7" t="str">
        <f>IFERROR(__xludf.DUMMYFUNCTION("""COMPUTED_VALUE"""),"CENTRAL DE OPERAÇÕES VIGILÂNCIA")</f>
        <v>CENTRAL DE OPERAÇÕES VIGILÂNCIA</v>
      </c>
      <c r="G33" s="9" t="str">
        <f>IFERROR(__xludf.DUMMYFUNCTION("""COMPUTED_VALUE"""),"Bloco N")</f>
        <v>Bloco N</v>
      </c>
      <c r="H33" s="7" t="str">
        <f>IFERROR(__xludf.DUMMYFUNCTION("""COMPUTED_VALUE"""),"DVR Bloco N")</f>
        <v>DVR Bloco N</v>
      </c>
      <c r="I33" s="7" t="str">
        <f>IFERROR(__xludf.DUMMYFUNCTION("""COMPUTED_VALUE"""),"Instalações e/ou Manutenção em Cabeamento de Rede")</f>
        <v>Instalações e/ou Manutenção em Cabeamento de Rede</v>
      </c>
      <c r="J33" s="7" t="str">
        <f>IFERROR(__xludf.DUMMYFUNCTION("""COMPUTED_VALUE"""),"05 Telecomunicações / 39 - CFTV (PRAZO DE ATÉ 15 DIAS PARA ATENDIMENTO)")</f>
        <v>05 Telecomunicações / 39 - CFTV (PRAZO DE ATÉ 15 DIAS PARA ATENDIMENTO)</v>
      </c>
      <c r="K33" s="7"/>
      <c r="L33" s="7" t="str">
        <f>IFERROR(__xludf.DUMMYFUNCTION("""COMPUTED_VALUE"""),"Informo que o horário e a data do DVR do Bloco N, se encontra incorreto, onde se for preciso buscar imagens do local pode ser dificultado.")</f>
        <v>Informo que o horário e a data do DVR do Bloco N, se encontra incorreto, onde se for preciso buscar imagens do local pode ser dificultado.</v>
      </c>
      <c r="M33" s="10"/>
      <c r="N33" s="10" t="str">
        <f>IFERROR(__xludf.DUMMYFUNCTION("""COMPUTED_VALUE"""),"Realizado")</f>
        <v>Realizado</v>
      </c>
      <c r="O33" s="11">
        <f>IFERROR(__xludf.DUMMYFUNCTION("""COMPUTED_VALUE"""),45299.0)</f>
        <v>45299</v>
      </c>
      <c r="P33" s="11"/>
    </row>
    <row r="34" ht="27.0" customHeight="1">
      <c r="A34" s="7" t="str">
        <f>IFERROR(__xludf.DUMMYFUNCTION("""COMPUTED_VALUE"""),"033/2024")</f>
        <v>033/2024</v>
      </c>
      <c r="B34" s="8">
        <f>IFERROR(__xludf.DUMMYFUNCTION("""COMPUTED_VALUE"""),45299.37518200232)</f>
        <v>45299.37518</v>
      </c>
      <c r="C34" s="8" t="str">
        <f>IFERROR(__xludf.DUMMYFUNCTION("""COMPUTED_VALUE"""),"mirian.lima@ufcat.edu.br")</f>
        <v>mirian.lima@ufcat.edu.br</v>
      </c>
      <c r="D34" s="7" t="str">
        <f>IFERROR(__xludf.DUMMYFUNCTION("""COMPUTED_VALUE"""),"Mirian de Jesus Lima")</f>
        <v>Mirian de Jesus Lima</v>
      </c>
      <c r="E34" s="7">
        <f>IFERROR(__xludf.DUMMYFUNCTION("""COMPUTED_VALUE"""),5323.0)</f>
        <v>5323</v>
      </c>
      <c r="F34" s="7" t="str">
        <f>IFERROR(__xludf.DUMMYFUNCTION("""COMPUTED_VALUE"""),"IBIOTEC  - Secretaria Administrativa")</f>
        <v>IBIOTEC  - Secretaria Administrativa</v>
      </c>
      <c r="G34" s="9" t="str">
        <f>IFERROR(__xludf.DUMMYFUNCTION("""COMPUTED_VALUE"""),"Bloco M")</f>
        <v>Bloco M</v>
      </c>
      <c r="H34" s="7" t="str">
        <f>IFERROR(__xludf.DUMMYFUNCTION("""COMPUTED_VALUE"""),"COPA - COZINHA (3º Andar)")</f>
        <v>COPA - COZINHA (3º Andar)</v>
      </c>
      <c r="I34" s="7" t="str">
        <f>IFERROR(__xludf.DUMMYFUNCTION("""COMPUTED_VALUE"""),"Pequenos serviços de reparos em Marcenaria")</f>
        <v>Pequenos serviços de reparos em Marcenaria</v>
      </c>
      <c r="J34" s="7" t="str">
        <f>IFERROR(__xludf.DUMMYFUNCTION("""COMPUTED_VALUE"""),"03 Marcenaria / 24 - Conserto de Móveis (PRAZO DE ATÉ 60 DIAS PARA ATENDIMENTO)")</f>
        <v>03 Marcenaria / 24 - Conserto de Móveis (PRAZO DE ATÉ 60 DIAS PARA ATENDIMENTO)</v>
      </c>
      <c r="K34" s="7"/>
      <c r="L34" s="7" t="str">
        <f>IFERROR(__xludf.DUMMYFUNCTION("""COMPUTED_VALUE"""),"Realizar o reparo em fechadura da gaveta do armarinho de MDF localizado na cozinha.")</f>
        <v>Realizar o reparo em fechadura da gaveta do armarinho de MDF localizado na cozinha.</v>
      </c>
      <c r="M34" s="10"/>
      <c r="N34" s="10" t="str">
        <f>IFERROR(__xludf.DUMMYFUNCTION("""COMPUTED_VALUE"""),"Realizado")</f>
        <v>Realizado</v>
      </c>
      <c r="O34" s="11">
        <f>IFERROR(__xludf.DUMMYFUNCTION("""COMPUTED_VALUE"""),-619443.0)</f>
        <v>-619443</v>
      </c>
      <c r="P34" s="11"/>
    </row>
    <row r="35" ht="27.0" customHeight="1">
      <c r="A35" s="7" t="str">
        <f>IFERROR(__xludf.DUMMYFUNCTION("""COMPUTED_VALUE"""),"034/2024")</f>
        <v>034/2024</v>
      </c>
      <c r="B35" s="8">
        <f>IFERROR(__xludf.DUMMYFUNCTION("""COMPUTED_VALUE"""),45299.47018466435)</f>
        <v>45299.47018</v>
      </c>
      <c r="C35" s="8" t="str">
        <f>IFERROR(__xludf.DUMMYFUNCTION("""COMPUTED_VALUE"""),"mariaeduarda.borges@ufcat.edu.br")</f>
        <v>mariaeduarda.borges@ufcat.edu.br</v>
      </c>
      <c r="D35" s="7" t="str">
        <f>IFERROR(__xludf.DUMMYFUNCTION("""COMPUTED_VALUE"""),"Maria Eduarda Silva Borges ")</f>
        <v>Maria Eduarda Silva Borges </v>
      </c>
      <c r="E35" s="7">
        <f>IFERROR(__xludf.DUMMYFUNCTION("""COMPUTED_VALUE"""),5340.0)</f>
        <v>5340</v>
      </c>
      <c r="F35" s="7" t="str">
        <f>IFERROR(__xludf.DUMMYFUNCTION("""COMPUTED_VALUE"""),"PREF")</f>
        <v>PREF</v>
      </c>
      <c r="G35" s="9" t="str">
        <f>IFERROR(__xludf.DUMMYFUNCTION("""COMPUTED_VALUE"""),"Bloco J")</f>
        <v>Bloco J</v>
      </c>
      <c r="H35" s="7" t="str">
        <f>IFERROR(__xludf.DUMMYFUNCTION("""COMPUTED_VALUE"""),"JANELA DO CORREDOR")</f>
        <v>JANELA DO CORREDOR</v>
      </c>
      <c r="I35" s="7" t="str">
        <f>IFERROR(__xludf.DUMMYFUNCTION("""COMPUTED_VALUE"""),"Vidraçaria ")</f>
        <v>Vidraçaria </v>
      </c>
      <c r="J35" s="7" t="str">
        <f>IFERROR(__xludf.DUMMYFUNCTION("""COMPUTED_VALUE"""),"07 Vidraçaria / 48 - Vidro de Janela (PRAZO DE ATÉ 60 DIAS PARA ATENDIMENTO)")</f>
        <v>07 Vidraçaria / 48 - Vidro de Janela (PRAZO DE ATÉ 60 DIAS PARA ATENDIMENTO)</v>
      </c>
      <c r="K35" s="7"/>
      <c r="L35" s="7" t="str">
        <f>IFERROR(__xludf.DUMMYFUNCTION("""COMPUTED_VALUE"""),"Relatou que ao realizar sua ronda no Bloco J, identificou que havia um trincado em uma das janelas do corredor.")</f>
        <v>Relatou que ao realizar sua ronda no Bloco J, identificou que havia um trincado em uma das janelas do corredor.</v>
      </c>
      <c r="M35" s="10" t="str">
        <f>IFERROR(__xludf.DUMMYFUNCTION("""COMPUTED_VALUE"""),"Falta de material e mão de obra")</f>
        <v>Falta de material e mão de obra</v>
      </c>
      <c r="N35" s="10" t="str">
        <f>IFERROR(__xludf.DUMMYFUNCTION("""COMPUTED_VALUE"""),"Contratação externa PREF")</f>
        <v>Contratação externa PREF</v>
      </c>
      <c r="O35" s="11">
        <f>IFERROR(__xludf.DUMMYFUNCTION("""COMPUTED_VALUE"""),45357.0)</f>
        <v>45357</v>
      </c>
      <c r="P35" s="11"/>
    </row>
    <row r="36" ht="27.0" customHeight="1">
      <c r="A36" s="7" t="str">
        <f>IFERROR(__xludf.DUMMYFUNCTION("""COMPUTED_VALUE"""),"035/2024")</f>
        <v>035/2024</v>
      </c>
      <c r="B36" s="8">
        <f>IFERROR(__xludf.DUMMYFUNCTION("""COMPUTED_VALUE"""),45299.61722530093)</f>
        <v>45299.61723</v>
      </c>
      <c r="C36" s="8" t="str">
        <f>IFERROR(__xludf.DUMMYFUNCTION("""COMPUTED_VALUE"""),"amanda.lopes@ufcat.edu.br")</f>
        <v>amanda.lopes@ufcat.edu.br</v>
      </c>
      <c r="D36" s="7" t="str">
        <f>IFERROR(__xludf.DUMMYFUNCTION("""COMPUTED_VALUE"""),"Amanda Matos ")</f>
        <v>Amanda Matos </v>
      </c>
      <c r="E36" s="7">
        <f>IFERROR(__xludf.DUMMYFUNCTION("""COMPUTED_VALUE"""),5340.0)</f>
        <v>5340</v>
      </c>
      <c r="F36" s="7" t="str">
        <f>IFERROR(__xludf.DUMMYFUNCTION("""COMPUTED_VALUE"""),"PREF")</f>
        <v>PREF</v>
      </c>
      <c r="G36" s="9" t="str">
        <f>IFERROR(__xludf.DUMMYFUNCTION("""COMPUTED_VALUE"""),"Didático II")</f>
        <v>Didático II</v>
      </c>
      <c r="H36" s="7" t="str">
        <f>IFERROR(__xludf.DUMMYFUNCTION("""COMPUTED_VALUE"""),"Banheiro Masculino ")</f>
        <v>Banheiro Masculino </v>
      </c>
      <c r="I36" s="7" t="str">
        <f>IFERROR(__xludf.DUMMYFUNCTION("""COMPUTED_VALUE"""),"Instalações Hidrossanitárias")</f>
        <v>Instalações Hidrossanitárias</v>
      </c>
      <c r="J36" s="7" t="str">
        <f>IFERROR(__xludf.DUMMYFUNCTION("""COMPUTED_VALUE"""),"02 Hidráulica / 07 - Desentupimento (PRAZO DE 1 ATÉ 5 DIAS PARA ATENDIMENTO)")</f>
        <v>02 Hidráulica / 07 - Desentupimento (PRAZO DE 1 ATÉ 5 DIAS PARA ATENDIMENTO)</v>
      </c>
      <c r="K36" s="7"/>
      <c r="L36" s="7" t="str">
        <f>IFERROR(__xludf.DUMMYFUNCTION("""COMPUTED_VALUE"""),"Desentupir ralo banheiro masculino ")</f>
        <v>Desentupir ralo banheiro masculino </v>
      </c>
      <c r="M36" s="10"/>
      <c r="N36" s="10" t="str">
        <f>IFERROR(__xludf.DUMMYFUNCTION("""COMPUTED_VALUE"""),"Realizado")</f>
        <v>Realizado</v>
      </c>
      <c r="O36" s="11">
        <f>IFERROR(__xludf.DUMMYFUNCTION("""COMPUTED_VALUE"""),45299.0)</f>
        <v>45299</v>
      </c>
      <c r="P36" s="11"/>
    </row>
    <row r="37" ht="27.0" customHeight="1">
      <c r="A37" s="7" t="str">
        <f>IFERROR(__xludf.DUMMYFUNCTION("""COMPUTED_VALUE"""),"036/2024")</f>
        <v>036/2024</v>
      </c>
      <c r="B37" s="8">
        <f>IFERROR(__xludf.DUMMYFUNCTION("""COMPUTED_VALUE"""),45299.66660894676)</f>
        <v>45299.66661</v>
      </c>
      <c r="C37" s="8" t="str">
        <f>IFERROR(__xludf.DUMMYFUNCTION("""COMPUTED_VALUE"""),"amanda.lopes@ufcat.edu.br")</f>
        <v>amanda.lopes@ufcat.edu.br</v>
      </c>
      <c r="D37" s="7" t="str">
        <f>IFERROR(__xludf.DUMMYFUNCTION("""COMPUTED_VALUE"""),"Amanda Matos ")</f>
        <v>Amanda Matos </v>
      </c>
      <c r="E37" s="7">
        <f>IFERROR(__xludf.DUMMYFUNCTION("""COMPUTED_VALUE"""),5340.0)</f>
        <v>5340</v>
      </c>
      <c r="F37" s="7" t="str">
        <f>IFERROR(__xludf.DUMMYFUNCTION("""COMPUTED_VALUE"""),"PREF")</f>
        <v>PREF</v>
      </c>
      <c r="G37" s="9" t="str">
        <f>IFERROR(__xludf.DUMMYFUNCTION("""COMPUTED_VALUE"""),"Bloco Administrativo")</f>
        <v>Bloco Administrativo</v>
      </c>
      <c r="H37" s="7" t="str">
        <f>IFERROR(__xludf.DUMMYFUNCTION("""COMPUTED_VALUE"""),"Toda a extensão da faculdade ")</f>
        <v>Toda a extensão da faculdade </v>
      </c>
      <c r="I37" s="7" t="str">
        <f>IFERROR(__xludf.DUMMYFUNCTION("""COMPUTED_VALUE"""),"Instalações elétricas")</f>
        <v>Instalações elétricas</v>
      </c>
      <c r="J37" s="7" t="str">
        <f>IFERROR(__xludf.DUMMYFUNCTION("""COMPUTED_VALUE"""),"04 Elétrica / 37 - Outros (PRAZO DE ACORDO COM A DEMANDA)")</f>
        <v>04 Elétrica / 37 - Outros (PRAZO DE ACORDO COM A DEMANDA)</v>
      </c>
      <c r="K37" s="7"/>
      <c r="L37" s="7" t="str">
        <f>IFERROR(__xludf.DUMMYFUNCTION("""COMPUTED_VALUE"""),"Troca de refletores de toda areá externa campus I ")</f>
        <v>Troca de refletores de toda areá externa campus I </v>
      </c>
      <c r="M37" s="10"/>
      <c r="N37" s="10" t="str">
        <f>IFERROR(__xludf.DUMMYFUNCTION("""COMPUTED_VALUE"""),"Realizado")</f>
        <v>Realizado</v>
      </c>
      <c r="O37" s="11">
        <f>IFERROR(__xludf.DUMMYFUNCTION("""COMPUTED_VALUE"""),45301.0)</f>
        <v>45301</v>
      </c>
      <c r="P37" s="11"/>
    </row>
    <row r="38" ht="27.0" customHeight="1">
      <c r="A38" s="7" t="str">
        <f>IFERROR(__xludf.DUMMYFUNCTION("""COMPUTED_VALUE"""),"037/2024")</f>
        <v>037/2024</v>
      </c>
      <c r="B38" s="8">
        <f>IFERROR(__xludf.DUMMYFUNCTION("""COMPUTED_VALUE"""),45300.383061747685)</f>
        <v>45300.38306</v>
      </c>
      <c r="C38" s="8" t="str">
        <f>IFERROR(__xludf.DUMMYFUNCTION("""COMPUTED_VALUE"""),"letras.ingles@ufcat.edu.br")</f>
        <v>letras.ingles@ufcat.edu.br</v>
      </c>
      <c r="D38" s="7" t="str">
        <f>IFERROR(__xludf.DUMMYFUNCTION("""COMPUTED_VALUE"""),"Rejane")</f>
        <v>Rejane</v>
      </c>
      <c r="E38" s="7">
        <f>IFERROR(__xludf.DUMMYFUNCTION("""COMPUTED_VALUE"""),5304.0)</f>
        <v>5304</v>
      </c>
      <c r="F38" s="7" t="str">
        <f>IFERROR(__xludf.DUMMYFUNCTION("""COMPUTED_VALUE"""),"IEL")</f>
        <v>IEL</v>
      </c>
      <c r="G38" s="9" t="str">
        <f>IFERROR(__xludf.DUMMYFUNCTION("""COMPUTED_VALUE"""),"Bloco G")</f>
        <v>Bloco G</v>
      </c>
      <c r="H38" s="7" t="str">
        <f>IFERROR(__xludf.DUMMYFUNCTION("""COMPUTED_VALUE"""),"Banheiro feminino")</f>
        <v>Banheiro feminino</v>
      </c>
      <c r="I38" s="7" t="str">
        <f>IFERROR(__xludf.DUMMYFUNCTION("""COMPUTED_VALUE"""),"Instalações Hidrossanitárias")</f>
        <v>Instalações Hidrossanitárias</v>
      </c>
      <c r="J38"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38" s="7"/>
      <c r="L38" s="7" t="str">
        <f>IFERROR(__xludf.DUMMYFUNCTION("""COMPUTED_VALUE"""),"Vazamento no vaso sanitário feminino. ")</f>
        <v>Vazamento no vaso sanitário feminino. </v>
      </c>
      <c r="M38" s="10"/>
      <c r="N38" s="10" t="str">
        <f>IFERROR(__xludf.DUMMYFUNCTION("""COMPUTED_VALUE"""),"Realizado")</f>
        <v>Realizado</v>
      </c>
      <c r="O38" s="11">
        <f>IFERROR(__xludf.DUMMYFUNCTION("""COMPUTED_VALUE"""),45341.0)</f>
        <v>45341</v>
      </c>
      <c r="P38" s="11"/>
    </row>
    <row r="39" ht="27.0" customHeight="1">
      <c r="A39" s="7" t="str">
        <f>IFERROR(__xludf.DUMMYFUNCTION("""COMPUTED_VALUE"""),"038/2024")</f>
        <v>038/2024</v>
      </c>
      <c r="B39" s="8">
        <f>IFERROR(__xludf.DUMMYFUNCTION("""COMPUTED_VALUE"""),45300.646404803236)</f>
        <v>45300.6464</v>
      </c>
      <c r="C39" s="8" t="str">
        <f>IFERROR(__xludf.DUMMYFUNCTION("""COMPUTED_VALUE"""),"guaraciaraap@ufcat.edu.br")</f>
        <v>guaraciaraap@ufcat.edu.br</v>
      </c>
      <c r="D39" s="7" t="str">
        <f>IFERROR(__xludf.DUMMYFUNCTION("""COMPUTED_VALUE"""),"Guaraciara Picanço")</f>
        <v>Guaraciara Picanço</v>
      </c>
      <c r="E39" s="7" t="str">
        <f>IFERROR(__xludf.DUMMYFUNCTION("""COMPUTED_VALUE"""),"3441-7601")</f>
        <v>3441-7601</v>
      </c>
      <c r="F39" s="7" t="str">
        <f>IFERROR(__xludf.DUMMYFUNCTION("""COMPUTED_VALUE"""),"IBIOTEC - Medicina")</f>
        <v>IBIOTEC - Medicina</v>
      </c>
      <c r="G39" s="9" t="str">
        <f>IFERROR(__xludf.DUMMYFUNCTION("""COMPUTED_VALUE"""),"Campus II")</f>
        <v>Campus II</v>
      </c>
      <c r="H39" s="7" t="str">
        <f>IFERROR(__xludf.DUMMYFUNCTION("""COMPUTED_VALUE"""),"Hall do segundo andar")</f>
        <v>Hall do segundo andar</v>
      </c>
      <c r="I39" s="7" t="str">
        <f>IFERROR(__xludf.DUMMYFUNCTION("""COMPUTED_VALUE"""),"Instalações Hidrossanitárias")</f>
        <v>Instalações Hidrossanitárias</v>
      </c>
      <c r="J39" s="7" t="str">
        <f>IFERROR(__xludf.DUMMYFUNCTION("""COMPUTED_VALUE"""),"02 Hidráulica / 20 - Vazamento em bebedouros (PRAZO DE 1 a 5 DIAS PARA ATENDIMENTO)")</f>
        <v>02 Hidráulica / 20 - Vazamento em bebedouros (PRAZO DE 1 a 5 DIAS PARA ATENDIMENTO)</v>
      </c>
      <c r="K39" s="7"/>
      <c r="L39" s="7" t="str">
        <f>IFERROR(__xludf.DUMMYFUNCTION("""COMPUTED_VALUE"""),"A manguei do bebedouro está com vazamento.")</f>
        <v>A manguei do bebedouro está com vazamento.</v>
      </c>
      <c r="M39" s="10"/>
      <c r="N39" s="10" t="str">
        <f>IFERROR(__xludf.DUMMYFUNCTION("""COMPUTED_VALUE"""),"Realizado")</f>
        <v>Realizado</v>
      </c>
      <c r="O39" s="11">
        <f>IFERROR(__xludf.DUMMYFUNCTION("""COMPUTED_VALUE"""),45302.0)</f>
        <v>45302</v>
      </c>
      <c r="P39" s="11"/>
    </row>
    <row r="40" ht="27.0" customHeight="1">
      <c r="A40" s="7" t="str">
        <f>IFERROR(__xludf.DUMMYFUNCTION("""COMPUTED_VALUE"""),"039/2024")</f>
        <v>039/2024</v>
      </c>
      <c r="B40" s="8">
        <f>IFERROR(__xludf.DUMMYFUNCTION("""COMPUTED_VALUE"""),45300.67650417824)</f>
        <v>45300.6765</v>
      </c>
      <c r="C40" s="8" t="str">
        <f>IFERROR(__xludf.DUMMYFUNCTION("""COMPUTED_VALUE"""),"amanda.lopes@ufcat.edu.br")</f>
        <v>amanda.lopes@ufcat.edu.br</v>
      </c>
      <c r="D40" s="7" t="str">
        <f>IFERROR(__xludf.DUMMYFUNCTION("""COMPUTED_VALUE"""),"Amanda Matos ")</f>
        <v>Amanda Matos </v>
      </c>
      <c r="E40" s="7">
        <f>IFERROR(__xludf.DUMMYFUNCTION("""COMPUTED_VALUE"""),5340.0)</f>
        <v>5340</v>
      </c>
      <c r="F40" s="7" t="str">
        <f>IFERROR(__xludf.DUMMYFUNCTION("""COMPUTED_VALUE"""),"PREF")</f>
        <v>PREF</v>
      </c>
      <c r="G40" s="9" t="str">
        <f>IFERROR(__xludf.DUMMYFUNCTION("""COMPUTED_VALUE"""),"Bloco D")</f>
        <v>Bloco D</v>
      </c>
      <c r="H40" s="7" t="str">
        <f>IFERROR(__xludf.DUMMYFUNCTION("""COMPUTED_VALUE"""),"Banheiro Masculino ")</f>
        <v>Banheiro Masculino </v>
      </c>
      <c r="I40" s="7" t="str">
        <f>IFERROR(__xludf.DUMMYFUNCTION("""COMPUTED_VALUE"""),"Instalações Hidrossanitárias")</f>
        <v>Instalações Hidrossanitárias</v>
      </c>
      <c r="J40" s="7" t="str">
        <f>IFERROR(__xludf.DUMMYFUNCTION("""COMPUTED_VALUE"""),"02 Hidráulica / 07 - Desentupimento (PRAZO DE 1 ATÉ 5 DIAS PARA ATENDIMENTO)")</f>
        <v>02 Hidráulica / 07 - Desentupimento (PRAZO DE 1 ATÉ 5 DIAS PARA ATENDIMENTO)</v>
      </c>
      <c r="K40" s="7"/>
      <c r="L40" s="7" t="str">
        <f>IFERROR(__xludf.DUMMYFUNCTION("""COMPUTED_VALUE"""),"Desentupir mictorio ")</f>
        <v>Desentupir mictorio </v>
      </c>
      <c r="M40" s="10"/>
      <c r="N40" s="10" t="str">
        <f>IFERROR(__xludf.DUMMYFUNCTION("""COMPUTED_VALUE"""),"Realizado")</f>
        <v>Realizado</v>
      </c>
      <c r="O40" s="11">
        <f>IFERROR(__xludf.DUMMYFUNCTION("""COMPUTED_VALUE"""),45301.0)</f>
        <v>45301</v>
      </c>
      <c r="P40" s="11"/>
    </row>
    <row r="41" ht="27.0" customHeight="1">
      <c r="A41" s="7" t="str">
        <f>IFERROR(__xludf.DUMMYFUNCTION("""COMPUTED_VALUE"""),"040/2024")</f>
        <v>040/2024</v>
      </c>
      <c r="B41" s="8">
        <f>IFERROR(__xludf.DUMMYFUNCTION("""COMPUTED_VALUE"""),45300.9082546412)</f>
        <v>45300.90825</v>
      </c>
      <c r="C41" s="8" t="str">
        <f>IFERROR(__xludf.DUMMYFUNCTION("""COMPUTED_VALUE"""),"seguranca@ufcat.edu.br")</f>
        <v>seguranca@ufcat.edu.br</v>
      </c>
      <c r="D41" s="7" t="str">
        <f>IFERROR(__xludf.DUMMYFUNCTION("""COMPUTED_VALUE"""),"Alexandra Nascimento")</f>
        <v>Alexandra Nascimento</v>
      </c>
      <c r="E41" s="7">
        <f>IFERROR(__xludf.DUMMYFUNCTION("""COMPUTED_VALUE"""),5318.0)</f>
        <v>5318</v>
      </c>
      <c r="F41" s="7" t="str">
        <f>IFERROR(__xludf.DUMMYFUNCTION("""COMPUTED_VALUE"""),"CENTRAL DE OPERAÇÕES VIGILÂNCIA")</f>
        <v>CENTRAL DE OPERAÇÕES VIGILÂNCIA</v>
      </c>
      <c r="G41" s="9" t="str">
        <f>IFERROR(__xludf.DUMMYFUNCTION("""COMPUTED_VALUE"""),"Campus II")</f>
        <v>Campus II</v>
      </c>
      <c r="H41" s="7" t="str">
        <f>IFERROR(__xludf.DUMMYFUNCTION("""COMPUTED_VALUE"""),"DVR das câmeras está desconectado")</f>
        <v>DVR das câmeras está desconectado</v>
      </c>
      <c r="I41" s="7" t="str">
        <f>IFERROR(__xludf.DUMMYFUNCTION("""COMPUTED_VALUE"""),"Instalações e/ou Manutenção em Cabeamento de Rede")</f>
        <v>Instalações e/ou Manutenção em Cabeamento de Rede</v>
      </c>
      <c r="J41" s="7" t="str">
        <f>IFERROR(__xludf.DUMMYFUNCTION("""COMPUTED_VALUE"""),"05 Telecomunicações / 39 - CFTV (PRAZO DE ATÉ 15 DIAS PARA ATENDIMENTO)")</f>
        <v>05 Telecomunicações / 39 - CFTV (PRAZO DE ATÉ 15 DIAS PARA ATENDIMENTO)</v>
      </c>
      <c r="K41" s="7"/>
      <c r="L41" s="7" t="str">
        <f>IFERROR(__xludf.DUMMYFUNCTION("""COMPUTED_VALUE"""),"DVR das câmeras está desconectado")</f>
        <v>DVR das câmeras está desconectado</v>
      </c>
      <c r="M41" s="10"/>
      <c r="N41" s="10" t="str">
        <f>IFERROR(__xludf.DUMMYFUNCTION("""COMPUTED_VALUE"""),"Realizado")</f>
        <v>Realizado</v>
      </c>
      <c r="O41" s="11">
        <f>IFERROR(__xludf.DUMMYFUNCTION("""COMPUTED_VALUE"""),45302.0)</f>
        <v>45302</v>
      </c>
      <c r="P41" s="11"/>
    </row>
    <row r="42" ht="27.0" customHeight="1">
      <c r="A42" s="7" t="str">
        <f>IFERROR(__xludf.DUMMYFUNCTION("""COMPUTED_VALUE"""),"041/2024")</f>
        <v>041/2024</v>
      </c>
      <c r="B42" s="8">
        <f>IFERROR(__xludf.DUMMYFUNCTION("""COMPUTED_VALUE"""),45301.29943009259)</f>
        <v>45301.29943</v>
      </c>
      <c r="C42" s="8" t="str">
        <f>IFERROR(__xludf.DUMMYFUNCTION("""COMPUTED_VALUE"""),"seguranca@ufcat.edu.br")</f>
        <v>seguranca@ufcat.edu.br</v>
      </c>
      <c r="D42" s="7" t="str">
        <f>IFERROR(__xludf.DUMMYFUNCTION("""COMPUTED_VALUE"""),"Maria Duarte")</f>
        <v>Maria Duarte</v>
      </c>
      <c r="E42" s="7">
        <f>IFERROR(__xludf.DUMMYFUNCTION("""COMPUTED_VALUE"""),5318.0)</f>
        <v>5318</v>
      </c>
      <c r="F42" s="7" t="str">
        <f>IFERROR(__xludf.DUMMYFUNCTION("""COMPUTED_VALUE"""),"CENTRAL DE OPERAÇÕES VIGILÂNCIA")</f>
        <v>CENTRAL DE OPERAÇÕES VIGILÂNCIA</v>
      </c>
      <c r="G42" s="9" t="str">
        <f>IFERROR(__xludf.DUMMYFUNCTION("""COMPUTED_VALUE"""),"Biblioteca")</f>
        <v>Biblioteca</v>
      </c>
      <c r="H42" s="7" t="str">
        <f>IFERROR(__xludf.DUMMYFUNCTION("""COMPUTED_VALUE"""),"DVR Biblioteca")</f>
        <v>DVR Biblioteca</v>
      </c>
      <c r="I42" s="7" t="str">
        <f>IFERROR(__xludf.DUMMYFUNCTION("""COMPUTED_VALUE"""),"Instalações e/ou Manutenção em Cabeamento de Rede")</f>
        <v>Instalações e/ou Manutenção em Cabeamento de Rede</v>
      </c>
      <c r="J42" s="7" t="str">
        <f>IFERROR(__xludf.DUMMYFUNCTION("""COMPUTED_VALUE"""),"05 Telecomunicações / 39 - CFTV (PRAZO DE ATÉ 15 DIAS PARA ATENDIMENTO)")</f>
        <v>05 Telecomunicações / 39 - CFTV (PRAZO DE ATÉ 15 DIAS PARA ATENDIMENTO)</v>
      </c>
      <c r="K42" s="7"/>
      <c r="L42" s="7" t="str">
        <f>IFERROR(__xludf.DUMMYFUNCTION("""COMPUTED_VALUE"""),"Câmera 08 (Entrada Biblioteca), da Biblioteca, se encontra com a imagem totalmente escura.")</f>
        <v>Câmera 08 (Entrada Biblioteca), da Biblioteca, se encontra com a imagem totalmente escura.</v>
      </c>
      <c r="M42" s="10"/>
      <c r="N42" s="10" t="str">
        <f>IFERROR(__xludf.DUMMYFUNCTION("""COMPUTED_VALUE"""),"Realizado")</f>
        <v>Realizado</v>
      </c>
      <c r="O42" s="11">
        <f>IFERROR(__xludf.DUMMYFUNCTION("""COMPUTED_VALUE"""),45301.0)</f>
        <v>45301</v>
      </c>
      <c r="P42" s="11"/>
    </row>
    <row r="43" ht="27.0" customHeight="1">
      <c r="A43" s="7" t="str">
        <f>IFERROR(__xludf.DUMMYFUNCTION("""COMPUTED_VALUE"""),"042/2024")</f>
        <v>042/2024</v>
      </c>
      <c r="B43" s="8">
        <f>IFERROR(__xludf.DUMMYFUNCTION("""COMPUTED_VALUE"""),45301.35822540509)</f>
        <v>45301.35823</v>
      </c>
      <c r="C43" s="8" t="str">
        <f>IFERROR(__xludf.DUMMYFUNCTION("""COMPUTED_VALUE"""),"reservacac@gmail.com")</f>
        <v>reservacac@gmail.com</v>
      </c>
      <c r="D43" s="7" t="str">
        <f>IFERROR(__xludf.DUMMYFUNCTION("""COMPUTED_VALUE"""),"Diretoria de Cultura ")</f>
        <v>Diretoria de Cultura </v>
      </c>
      <c r="E43" s="7">
        <f>IFERROR(__xludf.DUMMYFUNCTION("""COMPUTED_VALUE"""),5347.0)</f>
        <v>5347</v>
      </c>
      <c r="F43" s="7" t="str">
        <f>IFERROR(__xludf.DUMMYFUNCTION("""COMPUTED_VALUE"""),"PROEC")</f>
        <v>PROEC</v>
      </c>
      <c r="G43" s="9" t="str">
        <f>IFERROR(__xludf.DUMMYFUNCTION("""COMPUTED_VALUE"""),"Auditório Paulo de Bastos")</f>
        <v>Auditório Paulo de Bastos</v>
      </c>
      <c r="H43" s="7" t="str">
        <f>IFERROR(__xludf.DUMMYFUNCTION("""COMPUTED_VALUE"""),"Plateia (parte superior no lado esquerdo) ")</f>
        <v>Plateia (parte superior no lado esquerdo) </v>
      </c>
      <c r="I43" s="7" t="str">
        <f>IFERROR(__xludf.DUMMYFUNCTION("""COMPUTED_VALUE"""),"Serralheria")</f>
        <v>Serralheria</v>
      </c>
      <c r="J43" s="7" t="str">
        <f>IFERROR(__xludf.DUMMYFUNCTION("""COMPUTED_VALUE"""),"08 Serralheria / 56 - Outros (PRAZO DE ACORDO COM A DEMANDA)")</f>
        <v>08 Serralheria / 56 - Outros (PRAZO DE ACORDO COM A DEMANDA)</v>
      </c>
      <c r="K43" s="7"/>
      <c r="L43" s="7" t="str">
        <f>IFERROR(__xludf.DUMMYFUNCTION("""COMPUTED_VALUE"""),"Soldar um suporte para uma longarina. ")</f>
        <v>Soldar um suporte para uma longarina. </v>
      </c>
      <c r="M43" s="10"/>
      <c r="N43" s="10" t="str">
        <f>IFERROR(__xludf.DUMMYFUNCTION("""COMPUTED_VALUE"""),"Realizado")</f>
        <v>Realizado</v>
      </c>
      <c r="O43" s="11">
        <f>IFERROR(__xludf.DUMMYFUNCTION("""COMPUTED_VALUE"""),45331.0)</f>
        <v>45331</v>
      </c>
      <c r="P43" s="11"/>
    </row>
    <row r="44" ht="27.0" customHeight="1">
      <c r="A44" s="7" t="str">
        <f>IFERROR(__xludf.DUMMYFUNCTION("""COMPUTED_VALUE"""),"043/2024")</f>
        <v>043/2024</v>
      </c>
      <c r="B44" s="8">
        <f>IFERROR(__xludf.DUMMYFUNCTION("""COMPUTED_VALUE"""),45301.359760590276)</f>
        <v>45301.35976</v>
      </c>
      <c r="C44" s="8" t="str">
        <f>IFERROR(__xludf.DUMMYFUNCTION("""COMPUTED_VALUE"""),"divinosilva@ufcat.edu.br")</f>
        <v>divinosilva@ufcat.edu.br</v>
      </c>
      <c r="D44" s="7" t="str">
        <f>IFERROR(__xludf.DUMMYFUNCTION("""COMPUTED_VALUE"""),"divino")</f>
        <v>divino</v>
      </c>
      <c r="E44" s="7">
        <f>IFERROR(__xludf.DUMMYFUNCTION("""COMPUTED_VALUE"""),5320.0)</f>
        <v>5320</v>
      </c>
      <c r="F44" s="7" t="str">
        <f>IFERROR(__xludf.DUMMYFUNCTION("""COMPUTED_VALUE"""),"IMTec")</f>
        <v>IMTec</v>
      </c>
      <c r="G44" s="9" t="str">
        <f>IFERROR(__xludf.DUMMYFUNCTION("""COMPUTED_VALUE"""),"Bloco M")</f>
        <v>Bloco M</v>
      </c>
      <c r="H44" s="7" t="str">
        <f>IFERROR(__xludf.DUMMYFUNCTION("""COMPUTED_VALUE"""),"sala 11  - Prof. Porfirio")</f>
        <v>sala 11  - Prof. Porfirio</v>
      </c>
      <c r="I44" s="7" t="str">
        <f>IFERROR(__xludf.DUMMYFUNCTION("""COMPUTED_VALUE"""),"Reparos (alvenaria, piso, forro e telhado)")</f>
        <v>Reparos (alvenaria, piso, forro e telhado)</v>
      </c>
      <c r="J44" s="7" t="str">
        <f>IFERROR(__xludf.DUMMYFUNCTION("""COMPUTED_VALUE"""),"01 Alvenaria / 06 - Outros (PRAZO DE ATÉ 60 DIAS PARA ATENDIMENTO)")</f>
        <v>01 Alvenaria / 06 - Outros (PRAZO DE ATÉ 60 DIAS PARA ATENDIMENTO)</v>
      </c>
      <c r="K44" s="7"/>
      <c r="L44" s="7" t="str">
        <f>IFERROR(__xludf.DUMMYFUNCTION("""COMPUTED_VALUE"""),"Verificação em reparo no telhado (infiltração e vazamento de água(goteiras)).")</f>
        <v>Verificação em reparo no telhado (infiltração e vazamento de água(goteiras)).</v>
      </c>
      <c r="M44" s="10"/>
      <c r="N44" s="10" t="str">
        <f>IFERROR(__xludf.DUMMYFUNCTION("""COMPUTED_VALUE"""),"Realizado")</f>
        <v>Realizado</v>
      </c>
      <c r="O44" s="11">
        <f>IFERROR(__xludf.DUMMYFUNCTION("""COMPUTED_VALUE"""),45315.0)</f>
        <v>45315</v>
      </c>
      <c r="P44" s="11"/>
    </row>
    <row r="45" ht="27.0" customHeight="1">
      <c r="A45" s="7" t="str">
        <f>IFERROR(__xludf.DUMMYFUNCTION("""COMPUTED_VALUE"""),"044/2024")</f>
        <v>044/2024</v>
      </c>
      <c r="B45" s="8">
        <f>IFERROR(__xludf.DUMMYFUNCTION("""COMPUTED_VALUE"""),45301.363764594906)</f>
        <v>45301.36376</v>
      </c>
      <c r="C45" s="8" t="str">
        <f>IFERROR(__xludf.DUMMYFUNCTION("""COMPUTED_VALUE"""),"amanda.lopes@ufcat.edu.br")</f>
        <v>amanda.lopes@ufcat.edu.br</v>
      </c>
      <c r="D45" s="7" t="str">
        <f>IFERROR(__xludf.DUMMYFUNCTION("""COMPUTED_VALUE"""),"Amanda Matos ")</f>
        <v>Amanda Matos </v>
      </c>
      <c r="E45" s="7">
        <f>IFERROR(__xludf.DUMMYFUNCTION("""COMPUTED_VALUE"""),5340.0)</f>
        <v>5340</v>
      </c>
      <c r="F45" s="7" t="str">
        <f>IFERROR(__xludf.DUMMYFUNCTION("""COMPUTED_VALUE"""),"PREF")</f>
        <v>PREF</v>
      </c>
      <c r="G45" s="9" t="str">
        <f>IFERROR(__xludf.DUMMYFUNCTION("""COMPUTED_VALUE"""),"Bloco Administrativo")</f>
        <v>Bloco Administrativo</v>
      </c>
      <c r="H45" s="7" t="str">
        <f>IFERROR(__xludf.DUMMYFUNCTION("""COMPUTED_VALUE"""),"Sala servidor ")</f>
        <v>Sala servidor </v>
      </c>
      <c r="I45" s="7" t="str">
        <f>IFERROR(__xludf.DUMMYFUNCTION("""COMPUTED_VALUE"""),"Reparos (alvenaria, piso, forro e telhado)")</f>
        <v>Reparos (alvenaria, piso, forro e telhado)</v>
      </c>
      <c r="J45" s="7" t="str">
        <f>IFERROR(__xludf.DUMMYFUNCTION("""COMPUTED_VALUE"""),"01 Alvenaria / 06 - Outros (PRAZO DE ATÉ 60 DIAS PARA ATENDIMENTO)")</f>
        <v>01 Alvenaria / 06 - Outros (PRAZO DE ATÉ 60 DIAS PARA ATENDIMENTO)</v>
      </c>
      <c r="K45" s="7"/>
      <c r="L45" s="7" t="str">
        <f>IFERROR(__xludf.DUMMYFUNCTION("""COMPUTED_VALUE"""),"Goteiras em toda a sala do servidor ")</f>
        <v>Goteiras em toda a sala do servidor </v>
      </c>
      <c r="M45" s="10"/>
      <c r="N45" s="10" t="str">
        <f>IFERROR(__xludf.DUMMYFUNCTION("""COMPUTED_VALUE"""),"Realizado")</f>
        <v>Realizado</v>
      </c>
      <c r="O45" s="11">
        <f>IFERROR(__xludf.DUMMYFUNCTION("""COMPUTED_VALUE"""),45307.0)</f>
        <v>45307</v>
      </c>
      <c r="P45" s="11"/>
    </row>
    <row r="46" ht="27.0" customHeight="1">
      <c r="A46" s="7" t="str">
        <f>IFERROR(__xludf.DUMMYFUNCTION("""COMPUTED_VALUE"""),"045/2024")</f>
        <v>045/2024</v>
      </c>
      <c r="B46" s="8">
        <f>IFERROR(__xludf.DUMMYFUNCTION("""COMPUTED_VALUE"""),45301.41198909722)</f>
        <v>45301.41199</v>
      </c>
      <c r="C46" s="8" t="str">
        <f>IFERROR(__xludf.DUMMYFUNCTION("""COMPUTED_VALUE"""),"iana.abrantes@ufcat.edu.br")</f>
        <v>iana.abrantes@ufcat.edu.br</v>
      </c>
      <c r="D46" s="7" t="str">
        <f>IFERROR(__xludf.DUMMYFUNCTION("""COMPUTED_VALUE"""),"Iana Grecco")</f>
        <v>Iana Grecco</v>
      </c>
      <c r="E46" s="7" t="str">
        <f>IFERROR(__xludf.DUMMYFUNCTION("""COMPUTED_VALUE"""),"62 9 8331-8743")</f>
        <v>62 9 8331-8743</v>
      </c>
      <c r="F46" s="7" t="str">
        <f>IFERROR(__xludf.DUMMYFUNCTION("""COMPUTED_VALUE"""),"FENG - Engenharia Civil")</f>
        <v>FENG - Engenharia Civil</v>
      </c>
      <c r="G46" s="9" t="str">
        <f>IFERROR(__xludf.DUMMYFUNCTION("""COMPUTED_VALUE"""),"Bloco O")</f>
        <v>Bloco O</v>
      </c>
      <c r="H46" s="7" t="str">
        <f>IFERROR(__xludf.DUMMYFUNCTION("""COMPUTED_VALUE"""),"Porta de entrada pelo lado da secretaria da Minas")</f>
        <v>Porta de entrada pelo lado da secretaria da Minas</v>
      </c>
      <c r="I46" s="7" t="str">
        <f>IFERROR(__xludf.DUMMYFUNCTION("""COMPUTED_VALUE"""),"Vidraçaria ")</f>
        <v>Vidraçaria </v>
      </c>
      <c r="J46" s="7" t="str">
        <f>IFERROR(__xludf.DUMMYFUNCTION("""COMPUTED_VALUE"""),"07 Vidraçaria / 51 - Outros (PRAZO DE ACORDO COM A DEMANDA)")</f>
        <v>07 Vidraçaria / 51 - Outros (PRAZO DE ACORDO COM A DEMANDA)</v>
      </c>
      <c r="K46" s="7"/>
      <c r="L46" s="7" t="str">
        <f>IFERROR(__xludf.DUMMYFUNCTION("""COMPUTED_VALUE"""),"Porta de entrada está difícil de abrir, principalmente a folha do lado direito. O trilho parece está apertado, a porta emperra e, se forçar, pode ser que danifique, caindo ou quebrando.")</f>
        <v>Porta de entrada está difícil de abrir, principalmente a folha do lado direito. O trilho parece está apertado, a porta emperra e, se forçar, pode ser que danifique, caindo ou quebrando.</v>
      </c>
      <c r="M46" s="10"/>
      <c r="N46" s="10" t="str">
        <f>IFERROR(__xludf.DUMMYFUNCTION("""COMPUTED_VALUE"""),"Realizado")</f>
        <v>Realizado</v>
      </c>
      <c r="O46" s="11">
        <f>IFERROR(__xludf.DUMMYFUNCTION("""COMPUTED_VALUE"""),45322.0)</f>
        <v>45322</v>
      </c>
      <c r="P46" s="11"/>
    </row>
    <row r="47" ht="27.0" customHeight="1">
      <c r="A47" s="7" t="str">
        <f>IFERROR(__xludf.DUMMYFUNCTION("""COMPUTED_VALUE"""),"046/2024")</f>
        <v>046/2024</v>
      </c>
      <c r="B47" s="8">
        <f>IFERROR(__xludf.DUMMYFUNCTION("""COMPUTED_VALUE"""),45301.640988831015)</f>
        <v>45301.64099</v>
      </c>
      <c r="C47" s="8" t="str">
        <f>IFERROR(__xludf.DUMMYFUNCTION("""COMPUTED_VALUE"""),"nayara_silva@ufcat.edu.br")</f>
        <v>nayara_silva@ufcat.edu.br</v>
      </c>
      <c r="D47" s="7" t="str">
        <f>IFERROR(__xludf.DUMMYFUNCTION("""COMPUTED_VALUE"""),"Nayara de Souza Silva")</f>
        <v>Nayara de Souza Silva</v>
      </c>
      <c r="E47" s="7" t="str">
        <f>IFERROR(__xludf.DUMMYFUNCTION("""COMPUTED_VALUE"""),"5316 ou 5320")</f>
        <v>5316 ou 5320</v>
      </c>
      <c r="F47" s="7" t="str">
        <f>IFERROR(__xludf.DUMMYFUNCTION("""COMPUTED_VALUE"""),"IMTec")</f>
        <v>IMTec</v>
      </c>
      <c r="G47" s="9" t="str">
        <f>IFERROR(__xludf.DUMMYFUNCTION("""COMPUTED_VALUE"""),"Bloco M")</f>
        <v>Bloco M</v>
      </c>
      <c r="H47" s="7" t="str">
        <f>IFERROR(__xludf.DUMMYFUNCTION("""COMPUTED_VALUE"""),"Sala 11")</f>
        <v>Sala 11</v>
      </c>
      <c r="I47" s="7" t="str">
        <f>IFERROR(__xludf.DUMMYFUNCTION("""COMPUTED_VALUE"""),"Instalações elétricas")</f>
        <v>Instalações elétricas</v>
      </c>
      <c r="J47" s="7" t="str">
        <f>IFERROR(__xludf.DUMMYFUNCTION("""COMPUTED_VALUE"""),"04 Elétrica / 34 - Tomada Uso Geral (PRAZO DE ATÉ 15 DIAS PARA ATENDIMENTO)")</f>
        <v>04 Elétrica / 34 - Tomada Uso Geral (PRAZO DE ATÉ 15 DIAS PARA ATENDIMENTO)</v>
      </c>
      <c r="K47" s="7"/>
      <c r="L47" s="7" t="str">
        <f>IFERROR(__xludf.DUMMYFUNCTION("""COMPUTED_VALUE"""),"Instalar uma tomada de energia na sala 11 e trocar o pino de uma extensão")</f>
        <v>Instalar uma tomada de energia na sala 11 e trocar o pino de uma extensão</v>
      </c>
      <c r="M47" s="10"/>
      <c r="N47" s="10" t="str">
        <f>IFERROR(__xludf.DUMMYFUNCTION("""COMPUTED_VALUE"""),"Realizado")</f>
        <v>Realizado</v>
      </c>
      <c r="O47" s="11">
        <f>IFERROR(__xludf.DUMMYFUNCTION("""COMPUTED_VALUE"""),45306.0)</f>
        <v>45306</v>
      </c>
      <c r="P47" s="11"/>
    </row>
    <row r="48" ht="27.0" customHeight="1">
      <c r="A48" s="7" t="str">
        <f>IFERROR(__xludf.DUMMYFUNCTION("""COMPUTED_VALUE"""),"047/2024")</f>
        <v>047/2024</v>
      </c>
      <c r="B48" s="8">
        <f>IFERROR(__xludf.DUMMYFUNCTION("""COMPUTED_VALUE"""),45301.65534189815)</f>
        <v>45301.65534</v>
      </c>
      <c r="C48" s="8" t="str">
        <f>IFERROR(__xludf.DUMMYFUNCTION("""COMPUTED_VALUE"""),"amanda.lopes@ufcat.edu.br")</f>
        <v>amanda.lopes@ufcat.edu.br</v>
      </c>
      <c r="D48" s="7" t="str">
        <f>IFERROR(__xludf.DUMMYFUNCTION("""COMPUTED_VALUE"""),"Amanda Matos ")</f>
        <v>Amanda Matos </v>
      </c>
      <c r="E48" s="7">
        <f>IFERROR(__xludf.DUMMYFUNCTION("""COMPUTED_VALUE"""),5340.0)</f>
        <v>5340</v>
      </c>
      <c r="F48" s="7" t="str">
        <f>IFERROR(__xludf.DUMMYFUNCTION("""COMPUTED_VALUE"""),"PREF")</f>
        <v>PREF</v>
      </c>
      <c r="G48" s="9" t="str">
        <f>IFERROR(__xludf.DUMMYFUNCTION("""COMPUTED_VALUE"""),"Sala do Transporte (DLT)")</f>
        <v>Sala do Transporte (DLT)</v>
      </c>
      <c r="H48" s="7" t="str">
        <f>IFERROR(__xludf.DUMMYFUNCTION("""COMPUTED_VALUE"""),"Banheiros ")</f>
        <v>Banheiros </v>
      </c>
      <c r="I48" s="7" t="str">
        <f>IFERROR(__xludf.DUMMYFUNCTION("""COMPUTED_VALUE"""),"Instalações Hidrossanitárias")</f>
        <v>Instalações Hidrossanitárias</v>
      </c>
      <c r="J48" s="7" t="str">
        <f>IFERROR(__xludf.DUMMYFUNCTION("""COMPUTED_VALUE"""),"02 Hidráulica / 14 - Instalação de dispenser Papel Higiênico (PRAZO DE 15 a 60 DIAS PARA ATENDIMENTO)")</f>
        <v>02 Hidráulica / 14 - Instalação de dispenser Papel Higiênico (PRAZO DE 15 a 60 DIAS PARA ATENDIMENTO)</v>
      </c>
      <c r="K48" s="7"/>
      <c r="L48" s="7" t="str">
        <f>IFERROR(__xludf.DUMMYFUNCTION("""COMPUTED_VALUE"""),"Instalação de tampa de vaso, portal papel toalha e higienico nos banheiros ")</f>
        <v>Instalação de tampa de vaso, portal papel toalha e higienico nos banheiros </v>
      </c>
      <c r="M48" s="10"/>
      <c r="N48" s="10" t="str">
        <f>IFERROR(__xludf.DUMMYFUNCTION("""COMPUTED_VALUE"""),"Realizado")</f>
        <v>Realizado</v>
      </c>
      <c r="O48" s="11">
        <f>IFERROR(__xludf.DUMMYFUNCTION("""COMPUTED_VALUE"""),45306.0)</f>
        <v>45306</v>
      </c>
      <c r="P48" s="11"/>
    </row>
    <row r="49" ht="27.0" customHeight="1">
      <c r="A49" s="7" t="str">
        <f>IFERROR(__xludf.DUMMYFUNCTION("""COMPUTED_VALUE"""),"048/2024")</f>
        <v>048/2024</v>
      </c>
      <c r="B49" s="8">
        <f>IFERROR(__xludf.DUMMYFUNCTION("""COMPUTED_VALUE"""),45301.65643471065)</f>
        <v>45301.65643</v>
      </c>
      <c r="C49" s="8" t="str">
        <f>IFERROR(__xludf.DUMMYFUNCTION("""COMPUTED_VALUE"""),"amanda.lopes@ufcat.edu.br")</f>
        <v>amanda.lopes@ufcat.edu.br</v>
      </c>
      <c r="D49" s="7" t="str">
        <f>IFERROR(__xludf.DUMMYFUNCTION("""COMPUTED_VALUE"""),"Amanda Matos ")</f>
        <v>Amanda Matos </v>
      </c>
      <c r="E49" s="7">
        <f>IFERROR(__xludf.DUMMYFUNCTION("""COMPUTED_VALUE"""),5340.0)</f>
        <v>5340</v>
      </c>
      <c r="F49" s="7" t="str">
        <f>IFERROR(__xludf.DUMMYFUNCTION("""COMPUTED_VALUE"""),"PREF")</f>
        <v>PREF</v>
      </c>
      <c r="G49" s="9" t="str">
        <f>IFERROR(__xludf.DUMMYFUNCTION("""COMPUTED_VALUE"""),"Bloco P")</f>
        <v>Bloco P</v>
      </c>
      <c r="H49" s="7" t="str">
        <f>IFERROR(__xludf.DUMMYFUNCTION("""COMPUTED_VALUE"""),"Limpeza")</f>
        <v>Limpeza</v>
      </c>
      <c r="I49" s="7" t="str">
        <f>IFERROR(__xludf.DUMMYFUNCTION("""COMPUTED_VALUE"""),"Instalações elétricas")</f>
        <v>Instalações elétricas</v>
      </c>
      <c r="J49" s="7" t="str">
        <f>IFERROR(__xludf.DUMMYFUNCTION("""COMPUTED_VALUE"""),"04 Elétrica / 37 - Outros (PRAZO DE ACORDO COM A DEMANDA)")</f>
        <v>04 Elétrica / 37 - Outros (PRAZO DE ACORDO COM A DEMANDA)</v>
      </c>
      <c r="K49" s="7"/>
      <c r="L49" s="7" t="str">
        <f>IFERROR(__xludf.DUMMYFUNCTION("""COMPUTED_VALUE"""),"Troca do plug femea extensão da limpeza ")</f>
        <v>Troca do plug femea extensão da limpeza </v>
      </c>
      <c r="M49" s="10"/>
      <c r="N49" s="10" t="str">
        <f>IFERROR(__xludf.DUMMYFUNCTION("""COMPUTED_VALUE"""),"Realizado")</f>
        <v>Realizado</v>
      </c>
      <c r="O49" s="11">
        <f>IFERROR(__xludf.DUMMYFUNCTION("""COMPUTED_VALUE"""),45302.0)</f>
        <v>45302</v>
      </c>
      <c r="P49" s="11"/>
    </row>
    <row r="50" ht="27.0" customHeight="1">
      <c r="A50" s="7" t="str">
        <f>IFERROR(__xludf.DUMMYFUNCTION("""COMPUTED_VALUE"""),"049/2024")</f>
        <v>049/2024</v>
      </c>
      <c r="B50" s="8">
        <f>IFERROR(__xludf.DUMMYFUNCTION("""COMPUTED_VALUE"""),45301.692138819446)</f>
        <v>45301.69214</v>
      </c>
      <c r="C50" s="8" t="str">
        <f>IFERROR(__xludf.DUMMYFUNCTION("""COMPUTED_VALUE"""),"mariaeduarda.borges@ufcat.edu.br")</f>
        <v>mariaeduarda.borges@ufcat.edu.br</v>
      </c>
      <c r="D50" s="7" t="str">
        <f>IFERROR(__xludf.DUMMYFUNCTION("""COMPUTED_VALUE"""),"Maria Eduarda Silva Borges ")</f>
        <v>Maria Eduarda Silva Borges </v>
      </c>
      <c r="E50" s="7">
        <f>IFERROR(__xludf.DUMMYFUNCTION("""COMPUTED_VALUE"""),5340.0)</f>
        <v>5340</v>
      </c>
      <c r="F50" s="7" t="str">
        <f>IFERROR(__xludf.DUMMYFUNCTION("""COMPUTED_VALUE"""),"PREF")</f>
        <v>PREF</v>
      </c>
      <c r="G50" s="9" t="str">
        <f>IFERROR(__xludf.DUMMYFUNCTION("""COMPUTED_VALUE"""),"Bloco K")</f>
        <v>Bloco K</v>
      </c>
      <c r="H50" s="7" t="str">
        <f>IFERROR(__xludf.DUMMYFUNCTION("""COMPUTED_VALUE"""),"PORTA DE ENTRADA")</f>
        <v>PORTA DE ENTRADA</v>
      </c>
      <c r="I50" s="7" t="str">
        <f>IFERROR(__xludf.DUMMYFUNCTION("""COMPUTED_VALUE"""),"Pequenos serviços de reparos em Marcenaria")</f>
        <v>Pequenos serviços de reparos em Marcenaria</v>
      </c>
      <c r="J50" s="7" t="str">
        <f>IFERROR(__xludf.DUMMYFUNCTION("""COMPUTED_VALUE"""),"03 Marcenaria / 29 - Outros (PRAZO DE ACORDO COM A DEMANDA)")</f>
        <v>03 Marcenaria / 29 - Outros (PRAZO DE ACORDO COM A DEMANDA)</v>
      </c>
      <c r="K50" s="7"/>
      <c r="L50" s="7" t="str">
        <f>IFERROR(__xludf.DUMMYFUNCTION("""COMPUTED_VALUE"""),"A porta de entrada da direção ao Bloco M, o tambor da fechadura apresentou problemas, não sendo possível trancar a porta.")</f>
        <v>A porta de entrada da direção ao Bloco M, o tambor da fechadura apresentou problemas, não sendo possível trancar a porta.</v>
      </c>
      <c r="M50" s="10"/>
      <c r="N50" s="10" t="str">
        <f>IFERROR(__xludf.DUMMYFUNCTION("""COMPUTED_VALUE"""),"Realizado")</f>
        <v>Realizado</v>
      </c>
      <c r="O50" s="11">
        <f>IFERROR(__xludf.DUMMYFUNCTION("""COMPUTED_VALUE"""),45302.0)</f>
        <v>45302</v>
      </c>
      <c r="P50" s="11"/>
    </row>
    <row r="51" ht="27.0" customHeight="1">
      <c r="A51" s="7" t="str">
        <f>IFERROR(__xludf.DUMMYFUNCTION("""COMPUTED_VALUE"""),"050/2024")</f>
        <v>050/2024</v>
      </c>
      <c r="B51" s="8">
        <f>IFERROR(__xludf.DUMMYFUNCTION("""COMPUTED_VALUE"""),45301.69383966435)</f>
        <v>45301.69384</v>
      </c>
      <c r="C51" s="8" t="str">
        <f>IFERROR(__xludf.DUMMYFUNCTION("""COMPUTED_VALUE"""),"mariaeduarda.borges@ufcat.edu.br")</f>
        <v>mariaeduarda.borges@ufcat.edu.br</v>
      </c>
      <c r="D51" s="7" t="str">
        <f>IFERROR(__xludf.DUMMYFUNCTION("""COMPUTED_VALUE"""),"Maria Eduarda Silva Borges ")</f>
        <v>Maria Eduarda Silva Borges </v>
      </c>
      <c r="E51" s="7">
        <f>IFERROR(__xludf.DUMMYFUNCTION("""COMPUTED_VALUE"""),5340.0)</f>
        <v>5340</v>
      </c>
      <c r="F51" s="7" t="str">
        <f>IFERROR(__xludf.DUMMYFUNCTION("""COMPUTED_VALUE"""),"PREF")</f>
        <v>PREF</v>
      </c>
      <c r="G51" s="9" t="str">
        <f>IFERROR(__xludf.DUMMYFUNCTION("""COMPUTED_VALUE"""),"Didatico I")</f>
        <v>Didatico I</v>
      </c>
      <c r="H51" s="7" t="str">
        <f>IFERROR(__xludf.DUMMYFUNCTION("""COMPUTED_VALUE"""),"SALA 301")</f>
        <v>SALA 301</v>
      </c>
      <c r="I51" s="7" t="str">
        <f>IFERROR(__xludf.DUMMYFUNCTION("""COMPUTED_VALUE"""),"Reparos (alvenaria, piso, forro e telhado)")</f>
        <v>Reparos (alvenaria, piso, forro e telhado)</v>
      </c>
      <c r="J51" s="7" t="str">
        <f>IFERROR(__xludf.DUMMYFUNCTION("""COMPUTED_VALUE"""),"01 Alvenaria / 06 - Outros (PRAZO DE ATÉ 60 DIAS PARA ATENDIMENTO)")</f>
        <v>01 Alvenaria / 06 - Outros (PRAZO DE ATÉ 60 DIAS PARA ATENDIMENTO)</v>
      </c>
      <c r="K51" s="7"/>
      <c r="L51" s="7" t="str">
        <f>IFERROR(__xludf.DUMMYFUNCTION("""COMPUTED_VALUE"""),"Ao realizar conferência no Bloco Didático I, foi relatado que na sala 301 tem goteira em toda sala.")</f>
        <v>Ao realizar conferência no Bloco Didático I, foi relatado que na sala 301 tem goteira em toda sala.</v>
      </c>
      <c r="M51" s="10"/>
      <c r="N51" s="10" t="str">
        <f>IFERROR(__xludf.DUMMYFUNCTION("""COMPUTED_VALUE"""),"Realizado")</f>
        <v>Realizado</v>
      </c>
      <c r="O51" s="11">
        <f>IFERROR(__xludf.DUMMYFUNCTION("""COMPUTED_VALUE"""),45342.0)</f>
        <v>45342</v>
      </c>
      <c r="P51" s="11"/>
    </row>
    <row r="52" ht="27.0" customHeight="1">
      <c r="A52" s="7" t="str">
        <f>IFERROR(__xludf.DUMMYFUNCTION("""COMPUTED_VALUE"""),"051/2024")</f>
        <v>051/2024</v>
      </c>
      <c r="B52" s="8">
        <f>IFERROR(__xludf.DUMMYFUNCTION("""COMPUTED_VALUE"""),45301.69523965278)</f>
        <v>45301.69524</v>
      </c>
      <c r="C52" s="8" t="str">
        <f>IFERROR(__xludf.DUMMYFUNCTION("""COMPUTED_VALUE"""),"mariaeduarda.borges@ufcat.edu.br")</f>
        <v>mariaeduarda.borges@ufcat.edu.br</v>
      </c>
      <c r="D52" s="7" t="str">
        <f>IFERROR(__xludf.DUMMYFUNCTION("""COMPUTED_VALUE"""),"Maria Eduarda Silva Borges ")</f>
        <v>Maria Eduarda Silva Borges </v>
      </c>
      <c r="E52" s="7">
        <f>IFERROR(__xludf.DUMMYFUNCTION("""COMPUTED_VALUE"""),5340.0)</f>
        <v>5340</v>
      </c>
      <c r="F52" s="7" t="str">
        <f>IFERROR(__xludf.DUMMYFUNCTION("""COMPUTED_VALUE"""),"PREF")</f>
        <v>PREF</v>
      </c>
      <c r="G52" s="9" t="str">
        <f>IFERROR(__xludf.DUMMYFUNCTION("""COMPUTED_VALUE"""),"Didatico I")</f>
        <v>Didatico I</v>
      </c>
      <c r="H52" s="7" t="str">
        <f>IFERROR(__xludf.DUMMYFUNCTION("""COMPUTED_VALUE"""),"SALA 305")</f>
        <v>SALA 305</v>
      </c>
      <c r="I52" s="7" t="str">
        <f>IFERROR(__xludf.DUMMYFUNCTION("""COMPUTED_VALUE"""),"Reparos (alvenaria, piso, forro e telhado)")</f>
        <v>Reparos (alvenaria, piso, forro e telhado)</v>
      </c>
      <c r="J52" s="7" t="str">
        <f>IFERROR(__xludf.DUMMYFUNCTION("""COMPUTED_VALUE"""),"01 Alvenaria / 06 - Outros (PRAZO DE ATÉ 60 DIAS PARA ATENDIMENTO)")</f>
        <v>01 Alvenaria / 06 - Outros (PRAZO DE ATÉ 60 DIAS PARA ATENDIMENTO)</v>
      </c>
      <c r="K52" s="7"/>
      <c r="L52" s="7" t="str">
        <f>IFERROR(__xludf.DUMMYFUNCTION("""COMPUTED_VALUE"""),"Ao realizar conferência no Bloco Didático I, foi relatado que na sala 305 está tendo infiltração de água na parede.")</f>
        <v>Ao realizar conferência no Bloco Didático I, foi relatado que na sala 305 está tendo infiltração de água na parede.</v>
      </c>
      <c r="M52" s="10"/>
      <c r="N52" s="10" t="str">
        <f>IFERROR(__xludf.DUMMYFUNCTION("""COMPUTED_VALUE"""),"Realizado")</f>
        <v>Realizado</v>
      </c>
      <c r="O52" s="11">
        <f>IFERROR(__xludf.DUMMYFUNCTION("""COMPUTED_VALUE"""),45342.0)</f>
        <v>45342</v>
      </c>
      <c r="P52" s="11"/>
    </row>
    <row r="53" ht="27.0" customHeight="1">
      <c r="A53" s="7" t="str">
        <f>IFERROR(__xludf.DUMMYFUNCTION("""COMPUTED_VALUE"""),"052/2024")</f>
        <v>052/2024</v>
      </c>
      <c r="B53" s="8">
        <f>IFERROR(__xludf.DUMMYFUNCTION("""COMPUTED_VALUE"""),45301.69662956019)</f>
        <v>45301.69663</v>
      </c>
      <c r="C53" s="8" t="str">
        <f>IFERROR(__xludf.DUMMYFUNCTION("""COMPUTED_VALUE"""),"mariaeduarda.borges@ufcat.edu.br")</f>
        <v>mariaeduarda.borges@ufcat.edu.br</v>
      </c>
      <c r="D53" s="7" t="str">
        <f>IFERROR(__xludf.DUMMYFUNCTION("""COMPUTED_VALUE"""),"Maria Eduarda Silva Borges ")</f>
        <v>Maria Eduarda Silva Borges </v>
      </c>
      <c r="E53" s="7">
        <f>IFERROR(__xludf.DUMMYFUNCTION("""COMPUTED_VALUE"""),5340.0)</f>
        <v>5340</v>
      </c>
      <c r="F53" s="7" t="str">
        <f>IFERROR(__xludf.DUMMYFUNCTION("""COMPUTED_VALUE"""),"PREF")</f>
        <v>PREF</v>
      </c>
      <c r="G53" s="9" t="str">
        <f>IFERROR(__xludf.DUMMYFUNCTION("""COMPUTED_VALUE"""),"Didatico I")</f>
        <v>Didatico I</v>
      </c>
      <c r="H53" s="7" t="str">
        <f>IFERROR(__xludf.DUMMYFUNCTION("""COMPUTED_VALUE"""),"SALA 307")</f>
        <v>SALA 307</v>
      </c>
      <c r="I53" s="7" t="str">
        <f>IFERROR(__xludf.DUMMYFUNCTION("""COMPUTED_VALUE"""),"Reparos (alvenaria, piso, forro e telhado)")</f>
        <v>Reparos (alvenaria, piso, forro e telhado)</v>
      </c>
      <c r="J53" s="7" t="str">
        <f>IFERROR(__xludf.DUMMYFUNCTION("""COMPUTED_VALUE"""),"01 Alvenaria / 06 - Outros (PRAZO DE ATÉ 60 DIAS PARA ATENDIMENTO)")</f>
        <v>01 Alvenaria / 06 - Outros (PRAZO DE ATÉ 60 DIAS PARA ATENDIMENTO)</v>
      </c>
      <c r="K53" s="7"/>
      <c r="L53" s="7" t="str">
        <f>IFERROR(__xludf.DUMMYFUNCTION("""COMPUTED_VALUE"""),"Ao realizar conferência no Bloco Didático I, foi relatado que na sala 307 está tendo infiltração de água pelas luminárias armazenando água e queimado as lâmpadas.")</f>
        <v>Ao realizar conferência no Bloco Didático I, foi relatado que na sala 307 está tendo infiltração de água pelas luminárias armazenando água e queimado as lâmpadas.</v>
      </c>
      <c r="M53" s="10"/>
      <c r="N53" s="10" t="str">
        <f>IFERROR(__xludf.DUMMYFUNCTION("""COMPUTED_VALUE"""),"Realizado")</f>
        <v>Realizado</v>
      </c>
      <c r="O53" s="11">
        <f>IFERROR(__xludf.DUMMYFUNCTION("""COMPUTED_VALUE"""),45342.0)</f>
        <v>45342</v>
      </c>
      <c r="P53" s="11"/>
    </row>
    <row r="54" ht="27.0" customHeight="1">
      <c r="A54" s="7" t="str">
        <f>IFERROR(__xludf.DUMMYFUNCTION("""COMPUTED_VALUE"""),"053/2024")</f>
        <v>053/2024</v>
      </c>
      <c r="B54" s="8">
        <f>IFERROR(__xludf.DUMMYFUNCTION("""COMPUTED_VALUE"""),45301.699534155094)</f>
        <v>45301.69953</v>
      </c>
      <c r="C54" s="8" t="str">
        <f>IFERROR(__xludf.DUMMYFUNCTION("""COMPUTED_VALUE"""),"mariaeduarda.borges@ufcat.edu.br")</f>
        <v>mariaeduarda.borges@ufcat.edu.br</v>
      </c>
      <c r="D54" s="7" t="str">
        <f>IFERROR(__xludf.DUMMYFUNCTION("""COMPUTED_VALUE"""),"Maria Eduarda Silva Borges ")</f>
        <v>Maria Eduarda Silva Borges </v>
      </c>
      <c r="E54" s="7">
        <f>IFERROR(__xludf.DUMMYFUNCTION("""COMPUTED_VALUE"""),5340.0)</f>
        <v>5340</v>
      </c>
      <c r="F54" s="7" t="str">
        <f>IFERROR(__xludf.DUMMYFUNCTION("""COMPUTED_VALUE"""),"PREF")</f>
        <v>PREF</v>
      </c>
      <c r="G54" s="9" t="str">
        <f>IFERROR(__xludf.DUMMYFUNCTION("""COMPUTED_VALUE"""),"Bloco K")</f>
        <v>Bloco K</v>
      </c>
      <c r="H54" s="7" t="str">
        <f>IFERROR(__xludf.DUMMYFUNCTION("""COMPUTED_VALUE"""),"PORTA DE ENTRDA DO BLOCO K")</f>
        <v>PORTA DE ENTRDA DO BLOCO K</v>
      </c>
      <c r="I54" s="7" t="str">
        <f>IFERROR(__xludf.DUMMYFUNCTION("""COMPUTED_VALUE"""),"Pequenos serviços de reparos em Marcenaria")</f>
        <v>Pequenos serviços de reparos em Marcenaria</v>
      </c>
      <c r="J54" s="7" t="str">
        <f>IFERROR(__xludf.DUMMYFUNCTION("""COMPUTED_VALUE"""),"03 Marcenaria / 29 - Outros (PRAZO DE ACORDO COM A DEMANDA)")</f>
        <v>03 Marcenaria / 29 - Outros (PRAZO DE ACORDO COM A DEMANDA)</v>
      </c>
      <c r="K54" s="7"/>
      <c r="L54" s="7" t="str">
        <f>IFERROR(__xludf.DUMMYFUNCTION("""COMPUTED_VALUE"""),"Relatou que a chave da porta de entrada do Bloco K, não está trancando a fechadura.")</f>
        <v>Relatou que a chave da porta de entrada do Bloco K, não está trancando a fechadura.</v>
      </c>
      <c r="M54" s="10"/>
      <c r="N54" s="10" t="str">
        <f>IFERROR(__xludf.DUMMYFUNCTION("""COMPUTED_VALUE"""),"Realizado")</f>
        <v>Realizado</v>
      </c>
      <c r="O54" s="11">
        <f>IFERROR(__xludf.DUMMYFUNCTION("""COMPUTED_VALUE"""),45302.0)</f>
        <v>45302</v>
      </c>
      <c r="P54" s="11"/>
    </row>
    <row r="55" ht="27.0" customHeight="1">
      <c r="A55" s="7" t="str">
        <f>IFERROR(__xludf.DUMMYFUNCTION("""COMPUTED_VALUE"""),"054/2024")</f>
        <v>054/2024</v>
      </c>
      <c r="B55" s="8">
        <f>IFERROR(__xludf.DUMMYFUNCTION("""COMPUTED_VALUE"""),45302.043063425925)</f>
        <v>45302.04306</v>
      </c>
      <c r="C55" s="8" t="str">
        <f>IFERROR(__xludf.DUMMYFUNCTION("""COMPUTED_VALUE"""),"seguranca@ufcat.edu.br")</f>
        <v>seguranca@ufcat.edu.br</v>
      </c>
      <c r="D55" s="7" t="str">
        <f>IFERROR(__xludf.DUMMYFUNCTION("""COMPUTED_VALUE"""),"Neide da costa ")</f>
        <v>Neide da costa </v>
      </c>
      <c r="E55" s="7">
        <f>IFERROR(__xludf.DUMMYFUNCTION("""COMPUTED_VALUE"""),5318.0)</f>
        <v>5318</v>
      </c>
      <c r="F55" s="7" t="str">
        <f>IFERROR(__xludf.DUMMYFUNCTION("""COMPUTED_VALUE"""),"CENTRAL DE OPERAÇÕES VIGILÂNCIA")</f>
        <v>CENTRAL DE OPERAÇÕES VIGILÂNCIA</v>
      </c>
      <c r="G55" s="9" t="str">
        <f>IFERROR(__xludf.DUMMYFUNCTION("""COMPUTED_VALUE"""),"Bloco E")</f>
        <v>Bloco E</v>
      </c>
      <c r="H55" s="7" t="str">
        <f>IFERROR(__xludf.DUMMYFUNCTION("""COMPUTED_VALUE"""),"Entrada avenida")</f>
        <v>Entrada avenida</v>
      </c>
      <c r="I55" s="7" t="str">
        <f>IFERROR(__xludf.DUMMYFUNCTION("""COMPUTED_VALUE"""),"Instalações e/ou Manutenção em Cabeamento de Rede")</f>
        <v>Instalações e/ou Manutenção em Cabeamento de Rede</v>
      </c>
      <c r="J55" s="7" t="str">
        <f>IFERROR(__xludf.DUMMYFUNCTION("""COMPUTED_VALUE"""),"05 Telecomunicações / 39 - CFTV (PRAZO DE ATÉ 15 DIAS PARA ATENDIMENTO)")</f>
        <v>05 Telecomunicações / 39 - CFTV (PRAZO DE ATÉ 15 DIAS PARA ATENDIMENTO)</v>
      </c>
      <c r="K55" s="7"/>
      <c r="L55" s="7" t="str">
        <f>IFERROR(__xludf.DUMMYFUNCTION("""COMPUTED_VALUE"""),"Câmera entrada avenida ficou preta ")</f>
        <v>Câmera entrada avenida ficou preta </v>
      </c>
      <c r="M55" s="10"/>
      <c r="N55" s="10" t="str">
        <f>IFERROR(__xludf.DUMMYFUNCTION("""COMPUTED_VALUE"""),"Realizado")</f>
        <v>Realizado</v>
      </c>
      <c r="O55" s="11">
        <f>IFERROR(__xludf.DUMMYFUNCTION("""COMPUTED_VALUE"""),45302.0)</f>
        <v>45302</v>
      </c>
      <c r="P55" s="11"/>
    </row>
    <row r="56" ht="27.0" customHeight="1">
      <c r="A56" s="7" t="str">
        <f>IFERROR(__xludf.DUMMYFUNCTION("""COMPUTED_VALUE"""),"055/2024")</f>
        <v>055/2024</v>
      </c>
      <c r="B56" s="8">
        <f>IFERROR(__xludf.DUMMYFUNCTION("""COMPUTED_VALUE"""),45302.231785069445)</f>
        <v>45302.23179</v>
      </c>
      <c r="C56" s="8" t="str">
        <f>IFERROR(__xludf.DUMMYFUNCTION("""COMPUTED_VALUE"""),"seguranca@ufcat.edu.br")</f>
        <v>seguranca@ufcat.edu.br</v>
      </c>
      <c r="D56" s="7" t="str">
        <f>IFERROR(__xludf.DUMMYFUNCTION("""COMPUTED_VALUE"""),"neide da costa ")</f>
        <v>neide da costa </v>
      </c>
      <c r="E56" s="7">
        <f>IFERROR(__xludf.DUMMYFUNCTION("""COMPUTED_VALUE"""),5318.0)</f>
        <v>5318</v>
      </c>
      <c r="F56" s="7" t="str">
        <f>IFERROR(__xludf.DUMMYFUNCTION("""COMPUTED_VALUE"""),"CENTRAL DE OPERAÇÕES VIGILÂNCIA")</f>
        <v>CENTRAL DE OPERAÇÕES VIGILÂNCIA</v>
      </c>
      <c r="G56" s="9" t="str">
        <f>IFERROR(__xludf.DUMMYFUNCTION("""COMPUTED_VALUE"""),"Bloco E")</f>
        <v>Bloco E</v>
      </c>
      <c r="H56" s="7" t="str">
        <f>IFERROR(__xludf.DUMMYFUNCTION("""COMPUTED_VALUE"""),"Rua principal ")</f>
        <v>Rua principal </v>
      </c>
      <c r="I56" s="7" t="str">
        <f>IFERROR(__xludf.DUMMYFUNCTION("""COMPUTED_VALUE"""),"Instalações e/ou Manutenção em Cabeamento de Rede")</f>
        <v>Instalações e/ou Manutenção em Cabeamento de Rede</v>
      </c>
      <c r="J56" s="7" t="str">
        <f>IFERROR(__xludf.DUMMYFUNCTION("""COMPUTED_VALUE"""),"04 Elétrica / 31 - Iluminação Externa (PRAZO DE ATÉ 15 DIAS PARA ATENDIMENTO)")</f>
        <v>04 Elétrica / 31 - Iluminação Externa (PRAZO DE ATÉ 15 DIAS PARA ATENDIMENTO)</v>
      </c>
      <c r="K56" s="7"/>
      <c r="L56" s="7" t="str">
        <f>IFERROR(__xludf.DUMMYFUNCTION("""COMPUTED_VALUE"""),"As lampadas da rua principal do inicio da avenida ate o final que da acesso ao RU apagaram do nada e ficaram a noite toda ate o momento se encontra apagadas por gentileza deem uma verificada pra evitar transtornos ")</f>
        <v>As lampadas da rua principal do inicio da avenida ate o final que da acesso ao RU apagaram do nada e ficaram a noite toda ate o momento se encontra apagadas por gentileza deem uma verificada pra evitar transtornos </v>
      </c>
      <c r="M56" s="10"/>
      <c r="N56" s="10" t="str">
        <f>IFERROR(__xludf.DUMMYFUNCTION("""COMPUTED_VALUE"""),"Realizado")</f>
        <v>Realizado</v>
      </c>
      <c r="O56" s="11">
        <f>IFERROR(__xludf.DUMMYFUNCTION("""COMPUTED_VALUE"""),45302.0)</f>
        <v>45302</v>
      </c>
      <c r="P56" s="11"/>
    </row>
    <row r="57" ht="27.0" customHeight="1">
      <c r="A57" s="7" t="str">
        <f>IFERROR(__xludf.DUMMYFUNCTION("""COMPUTED_VALUE"""),"056/2024")</f>
        <v>056/2024</v>
      </c>
      <c r="B57" s="8">
        <f>IFERROR(__xludf.DUMMYFUNCTION("""COMPUTED_VALUE"""),45302.29506371528)</f>
        <v>45302.29506</v>
      </c>
      <c r="C57" s="8" t="str">
        <f>IFERROR(__xludf.DUMMYFUNCTION("""COMPUTED_VALUE"""),"seguranca@ufcat.edu.br")</f>
        <v>seguranca@ufcat.edu.br</v>
      </c>
      <c r="D57" s="7" t="str">
        <f>IFERROR(__xludf.DUMMYFUNCTION("""COMPUTED_VALUE"""),"Maria Duarte")</f>
        <v>Maria Duarte</v>
      </c>
      <c r="E57" s="7">
        <f>IFERROR(__xludf.DUMMYFUNCTION("""COMPUTED_VALUE"""),5318.0)</f>
        <v>5318</v>
      </c>
      <c r="F57" s="7" t="str">
        <f>IFERROR(__xludf.DUMMYFUNCTION("""COMPUTED_VALUE"""),"CENTRAL DE OPERAÇÕES VIGILÂNCIA")</f>
        <v>CENTRAL DE OPERAÇÕES VIGILÂNCIA</v>
      </c>
      <c r="G57" s="9" t="str">
        <f>IFERROR(__xludf.DUMMYFUNCTION("""COMPUTED_VALUE"""),"Bloco M")</f>
        <v>Bloco M</v>
      </c>
      <c r="H57" s="7" t="str">
        <f>IFERROR(__xludf.DUMMYFUNCTION("""COMPUTED_VALUE"""),"DVR Bloco M")</f>
        <v>DVR Bloco M</v>
      </c>
      <c r="I57" s="7" t="str">
        <f>IFERROR(__xludf.DUMMYFUNCTION("""COMPUTED_VALUE"""),"Instalações e/ou Manutenção em Cabeamento de Rede")</f>
        <v>Instalações e/ou Manutenção em Cabeamento de Rede</v>
      </c>
      <c r="J57" s="7" t="str">
        <f>IFERROR(__xludf.DUMMYFUNCTION("""COMPUTED_VALUE"""),"05 Telecomunicações / 39 - CFTV (PRAZO DE ATÉ 15 DIAS PARA ATENDIMENTO)")</f>
        <v>05 Telecomunicações / 39 - CFTV (PRAZO DE ATÉ 15 DIAS PARA ATENDIMENTO)</v>
      </c>
      <c r="K57" s="7"/>
      <c r="L57" s="7" t="str">
        <f>IFERROR(__xludf.DUMMYFUNCTION("""COMPUTED_VALUE"""),"DVR Bloco M Câmera 13 (Entrada Térreo 2), se encontra com o MENU na imagem (Letras).")</f>
        <v>DVR Bloco M Câmera 13 (Entrada Térreo 2), se encontra com o MENU na imagem (Letras).</v>
      </c>
      <c r="M57" s="10"/>
      <c r="N57" s="10" t="str">
        <f>IFERROR(__xludf.DUMMYFUNCTION("""COMPUTED_VALUE"""),"Realizado")</f>
        <v>Realizado</v>
      </c>
      <c r="O57" s="11">
        <f>IFERROR(__xludf.DUMMYFUNCTION("""COMPUTED_VALUE"""),45306.0)</f>
        <v>45306</v>
      </c>
      <c r="P57" s="11"/>
    </row>
    <row r="58" ht="27.0" customHeight="1">
      <c r="A58" s="7" t="str">
        <f>IFERROR(__xludf.DUMMYFUNCTION("""COMPUTED_VALUE"""),"057/2024")</f>
        <v>057/2024</v>
      </c>
      <c r="B58" s="8">
        <f>IFERROR(__xludf.DUMMYFUNCTION("""COMPUTED_VALUE"""),45302.34871644676)</f>
        <v>45302.34872</v>
      </c>
      <c r="C58" s="8" t="str">
        <f>IFERROR(__xludf.DUMMYFUNCTION("""COMPUTED_VALUE"""),"mariaeduarda.borges@ufcat.edu.br")</f>
        <v>mariaeduarda.borges@ufcat.edu.br</v>
      </c>
      <c r="D58" s="7" t="str">
        <f>IFERROR(__xludf.DUMMYFUNCTION("""COMPUTED_VALUE"""),"Maria Eduarda Silva Borges ")</f>
        <v>Maria Eduarda Silva Borges </v>
      </c>
      <c r="E58" s="7">
        <f>IFERROR(__xludf.DUMMYFUNCTION("""COMPUTED_VALUE"""),5340.0)</f>
        <v>5340</v>
      </c>
      <c r="F58" s="7" t="str">
        <f>IFERROR(__xludf.DUMMYFUNCTION("""COMPUTED_VALUE"""),"PREF")</f>
        <v>PREF</v>
      </c>
      <c r="G58" s="9" t="str">
        <f>IFERROR(__xludf.DUMMYFUNCTION("""COMPUTED_VALUE"""),"Bloco C")</f>
        <v>Bloco C</v>
      </c>
      <c r="H58" s="7" t="str">
        <f>IFERROR(__xludf.DUMMYFUNCTION("""COMPUTED_VALUE"""),"LUZES DA AVENIDA PRINCIPAL APAGARAM E NÃO VOLTARAM")</f>
        <v>LUZES DA AVENIDA PRINCIPAL APAGARAM E NÃO VOLTARAM</v>
      </c>
      <c r="I58" s="7" t="str">
        <f>IFERROR(__xludf.DUMMYFUNCTION("""COMPUTED_VALUE"""),"Instalações elétricas")</f>
        <v>Instalações elétricas</v>
      </c>
      <c r="J58" s="7" t="str">
        <f>IFERROR(__xludf.DUMMYFUNCTION("""COMPUTED_VALUE"""),"04 Elétrica / 30 - Falta de Energia (PRAZO DE 1 a 5 DIAS PARA ATENDIMENTO)")</f>
        <v>04 Elétrica / 30 - Falta de Energia (PRAZO DE 1 a 5 DIAS PARA ATENDIMENTO)</v>
      </c>
      <c r="K58" s="7"/>
      <c r="L58" s="7" t="str">
        <f>IFERROR(__xludf.DUMMYFUNCTION("""COMPUTED_VALUE"""),"As lâmpadas (luzes) da rua principal do início da entrada da avenida Bloco C Bloco E, ate o final que da acesso ao RU apagaram sem motivos do nada e até o momento se encontram apagadas peço por gentileza que o pessoal responsável deem uma verificada para "&amp;"ver o que houve e evitar possíveis transtornos .")</f>
        <v>As lâmpadas (luzes) da rua principal do início da entrada da avenida Bloco C Bloco E, ate o final que da acesso ao RU apagaram sem motivos do nada e até o momento se encontram apagadas peço por gentileza que o pessoal responsável deem uma verificada para ver o que houve e evitar possíveis transtornos .</v>
      </c>
      <c r="M58" s="10"/>
      <c r="N58" s="10" t="str">
        <f>IFERROR(__xludf.DUMMYFUNCTION("""COMPUTED_VALUE"""),"Realizado")</f>
        <v>Realizado</v>
      </c>
      <c r="O58" s="11">
        <f>IFERROR(__xludf.DUMMYFUNCTION("""COMPUTED_VALUE"""),45302.0)</f>
        <v>45302</v>
      </c>
      <c r="P58" s="11"/>
    </row>
    <row r="59" ht="27.0" customHeight="1">
      <c r="A59" s="7" t="str">
        <f>IFERROR(__xludf.DUMMYFUNCTION("""COMPUTED_VALUE"""),"058/2024")</f>
        <v>058/2024</v>
      </c>
      <c r="B59" s="8">
        <f>IFERROR(__xludf.DUMMYFUNCTION("""COMPUTED_VALUE"""),45302.417459131946)</f>
        <v>45302.41746</v>
      </c>
      <c r="C59" s="8" t="str">
        <f>IFERROR(__xludf.DUMMYFUNCTION("""COMPUTED_VALUE"""),"muc.prpe@ufcat.edu.br")</f>
        <v>muc.prpe@ufcat.edu.br</v>
      </c>
      <c r="D59" s="7" t="str">
        <f>IFERROR(__xludf.DUMMYFUNCTION("""COMPUTED_VALUE"""),"DANIEL DOS REIS SIMÕES")</f>
        <v>DANIEL DOS REIS SIMÕES</v>
      </c>
      <c r="E59" s="7">
        <f>IFERROR(__xludf.DUMMYFUNCTION("""COMPUTED_VALUE"""),5333.0)</f>
        <v>5333</v>
      </c>
      <c r="F59" s="7" t="str">
        <f>IFERROR(__xludf.DUMMYFUNCTION("""COMPUTED_VALUE"""),"PRPE")</f>
        <v>PRPE</v>
      </c>
      <c r="G59" s="9" t="str">
        <f>IFERROR(__xludf.DUMMYFUNCTION("""COMPUTED_VALUE"""),"MUC")</f>
        <v>MUC</v>
      </c>
      <c r="H59" s="7" t="str">
        <f>IFERROR(__xludf.DUMMYFUNCTION("""COMPUTED_VALUE"""),"Apto 302")</f>
        <v>Apto 302</v>
      </c>
      <c r="I59" s="7" t="str">
        <f>IFERROR(__xludf.DUMMYFUNCTION("""COMPUTED_VALUE"""),"Instalações Hidrossanitárias")</f>
        <v>Instalações Hidrossanitárias</v>
      </c>
      <c r="J59" s="7" t="str">
        <f>IFERROR(__xludf.DUMMYFUNCTION("""COMPUTED_VALUE"""),"02 Hidráulica / 09 - Vazamento de Pia (PRAZO DE 15 a 60 DIAS PARA ATENDIMENTO)")</f>
        <v>02 Hidráulica / 09 - Vazamento de Pia (PRAZO DE 15 a 60 DIAS PARA ATENDIMENTO)</v>
      </c>
      <c r="K59" s="7"/>
      <c r="L59" s="7" t="str">
        <f>IFERROR(__xludf.DUMMYFUNCTION("""COMPUTED_VALUE"""),"Vazamento na pia do banheiro. Precisa fazer a troca da válvula da pia.")</f>
        <v>Vazamento na pia do banheiro. Precisa fazer a troca da válvula da pia.</v>
      </c>
      <c r="M59" s="10"/>
      <c r="N59" s="10" t="str">
        <f>IFERROR(__xludf.DUMMYFUNCTION("""COMPUTED_VALUE"""),"Realizado")</f>
        <v>Realizado</v>
      </c>
      <c r="O59" s="11">
        <f>IFERROR(__xludf.DUMMYFUNCTION("""COMPUTED_VALUE"""),45303.0)</f>
        <v>45303</v>
      </c>
      <c r="P59" s="11"/>
    </row>
    <row r="60" ht="27.0" customHeight="1">
      <c r="A60" s="7" t="str">
        <f>IFERROR(__xludf.DUMMYFUNCTION("""COMPUTED_VALUE"""),"059/2024")</f>
        <v>059/2024</v>
      </c>
      <c r="B60" s="8">
        <f>IFERROR(__xludf.DUMMYFUNCTION("""COMPUTED_VALUE"""),45302.42708648148)</f>
        <v>45302.42709</v>
      </c>
      <c r="C60" s="8" t="str">
        <f>IFERROR(__xludf.DUMMYFUNCTION("""COMPUTED_VALUE"""),"muc.prpe@ufcat.edu.br")</f>
        <v>muc.prpe@ufcat.edu.br</v>
      </c>
      <c r="D60" s="7" t="str">
        <f>IFERROR(__xludf.DUMMYFUNCTION("""COMPUTED_VALUE"""),"DANIEL DOS REIS SIMÕES")</f>
        <v>DANIEL DOS REIS SIMÕES</v>
      </c>
      <c r="E60" s="7">
        <f>IFERROR(__xludf.DUMMYFUNCTION("""COMPUTED_VALUE"""),5333.0)</f>
        <v>5333</v>
      </c>
      <c r="F60" s="7" t="str">
        <f>IFERROR(__xludf.DUMMYFUNCTION("""COMPUTED_VALUE"""),"PRPE")</f>
        <v>PRPE</v>
      </c>
      <c r="G60" s="9" t="str">
        <f>IFERROR(__xludf.DUMMYFUNCTION("""COMPUTED_VALUE"""),"MUC")</f>
        <v>MUC</v>
      </c>
      <c r="H60" s="7" t="str">
        <f>IFERROR(__xludf.DUMMYFUNCTION("""COMPUTED_VALUE"""),"Recepção")</f>
        <v>Recepção</v>
      </c>
      <c r="I60" s="7" t="str">
        <f>IFERROR(__xludf.DUMMYFUNCTION("""COMPUTED_VALUE"""),"Instalações elétricas")</f>
        <v>Instalações elétricas</v>
      </c>
      <c r="J60" s="7" t="str">
        <f>IFERROR(__xludf.DUMMYFUNCTION("""COMPUTED_VALUE"""),"04 Elétrica / 37 - Outros (PRAZO DE ACORDO COM A DEMANDA)")</f>
        <v>04 Elétrica / 37 - Outros (PRAZO DE ACORDO COM A DEMANDA)</v>
      </c>
      <c r="K60" s="7"/>
      <c r="L60" s="7" t="str">
        <f>IFERROR(__xludf.DUMMYFUNCTION("""COMPUTED_VALUE"""),"Uma câmera de vigilância parou de funcionar.")</f>
        <v>Uma câmera de vigilância parou de funcionar.</v>
      </c>
      <c r="M60" s="10"/>
      <c r="N60" s="10" t="str">
        <f>IFERROR(__xludf.DUMMYFUNCTION("""COMPUTED_VALUE"""),"Realizado")</f>
        <v>Realizado</v>
      </c>
      <c r="O60" s="11">
        <f>IFERROR(__xludf.DUMMYFUNCTION("""COMPUTED_VALUE"""),45303.0)</f>
        <v>45303</v>
      </c>
      <c r="P60" s="11"/>
    </row>
    <row r="61" ht="27.0" customHeight="1">
      <c r="A61" s="7" t="str">
        <f>IFERROR(__xludf.DUMMYFUNCTION("""COMPUTED_VALUE"""),"060/2024")</f>
        <v>060/2024</v>
      </c>
      <c r="B61" s="8">
        <f>IFERROR(__xludf.DUMMYFUNCTION("""COMPUTED_VALUE"""),45302.436461377314)</f>
        <v>45302.43646</v>
      </c>
      <c r="C61" s="8" t="str">
        <f>IFERROR(__xludf.DUMMYFUNCTION("""COMPUTED_VALUE"""),"muc.prpe@ufcat.edu.br")</f>
        <v>muc.prpe@ufcat.edu.br</v>
      </c>
      <c r="D61" s="7" t="str">
        <f>IFERROR(__xludf.DUMMYFUNCTION("""COMPUTED_VALUE"""),"DANIEL DOS REIS SIMÕES")</f>
        <v>DANIEL DOS REIS SIMÕES</v>
      </c>
      <c r="E61" s="7">
        <f>IFERROR(__xludf.DUMMYFUNCTION("""COMPUTED_VALUE"""),5333.0)</f>
        <v>5333</v>
      </c>
      <c r="F61" s="7" t="str">
        <f>IFERROR(__xludf.DUMMYFUNCTION("""COMPUTED_VALUE"""),"PRPE")</f>
        <v>PRPE</v>
      </c>
      <c r="G61" s="9" t="str">
        <f>IFERROR(__xludf.DUMMYFUNCTION("""COMPUTED_VALUE"""),"MUC")</f>
        <v>MUC</v>
      </c>
      <c r="H61" s="7" t="str">
        <f>IFERROR(__xludf.DUMMYFUNCTION("""COMPUTED_VALUE"""),"Apto 104")</f>
        <v>Apto 104</v>
      </c>
      <c r="I61" s="7" t="str">
        <f>IFERROR(__xludf.DUMMYFUNCTION("""COMPUTED_VALUE"""),"Instalações Hidrossanitárias")</f>
        <v>Instalações Hidrossanitárias</v>
      </c>
      <c r="J61"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61" s="7"/>
      <c r="L61" s="7" t="str">
        <f>IFERROR(__xludf.DUMMYFUNCTION("""COMPUTED_VALUE"""),"Verificar a válvula de descarga do banheiro que não está funcionando bem.")</f>
        <v>Verificar a válvula de descarga do banheiro que não está funcionando bem.</v>
      </c>
      <c r="M61" s="10"/>
      <c r="N61" s="10" t="str">
        <f>IFERROR(__xludf.DUMMYFUNCTION("""COMPUTED_VALUE"""),"Realizado")</f>
        <v>Realizado</v>
      </c>
      <c r="O61" s="11">
        <f>IFERROR(__xludf.DUMMYFUNCTION("""COMPUTED_VALUE"""),45303.0)</f>
        <v>45303</v>
      </c>
      <c r="P61" s="11"/>
    </row>
    <row r="62" ht="27.0" customHeight="1">
      <c r="A62" s="7" t="str">
        <f>IFERROR(__xludf.DUMMYFUNCTION("""COMPUTED_VALUE"""),"061/2024")</f>
        <v>061/2024</v>
      </c>
      <c r="B62" s="8">
        <f>IFERROR(__xludf.DUMMYFUNCTION("""COMPUTED_VALUE"""),45302.45073130787)</f>
        <v>45302.45073</v>
      </c>
      <c r="C62" s="8" t="str">
        <f>IFERROR(__xludf.DUMMYFUNCTION("""COMPUTED_VALUE"""),"amanda.lopes@ufcat.edu.br")</f>
        <v>amanda.lopes@ufcat.edu.br</v>
      </c>
      <c r="D62" s="7" t="str">
        <f>IFERROR(__xludf.DUMMYFUNCTION("""COMPUTED_VALUE"""),"Amanda Matos ")</f>
        <v>Amanda Matos </v>
      </c>
      <c r="E62" s="7">
        <f>IFERROR(__xludf.DUMMYFUNCTION("""COMPUTED_VALUE"""),5340.0)</f>
        <v>5340</v>
      </c>
      <c r="F62" s="7" t="str">
        <f>IFERROR(__xludf.DUMMYFUNCTION("""COMPUTED_VALUE"""),"PREF")</f>
        <v>PREF</v>
      </c>
      <c r="G62" s="9" t="str">
        <f>IFERROR(__xludf.DUMMYFUNCTION("""COMPUTED_VALUE"""),"Bloco C")</f>
        <v>Bloco C</v>
      </c>
      <c r="H62" s="7" t="str">
        <f>IFERROR(__xludf.DUMMYFUNCTION("""COMPUTED_VALUE"""),"Sala 10")</f>
        <v>Sala 10</v>
      </c>
      <c r="I62" s="7" t="str">
        <f>IFERROR(__xludf.DUMMYFUNCTION("""COMPUTED_VALUE"""),"Instalações Hidrossanitárias")</f>
        <v>Instalações Hidrossanitárias</v>
      </c>
      <c r="J62" s="7" t="str">
        <f>IFERROR(__xludf.DUMMYFUNCTION("""COMPUTED_VALUE"""),"02 Hidráulica / 11 - Vazamento em Tubulação interna (PRAZO DE 15 a 60 DIAS PARA ATENDIMENTO)")</f>
        <v>02 Hidráulica / 11 - Vazamento em Tubulação interna (PRAZO DE 15 a 60 DIAS PARA ATENDIMENTO)</v>
      </c>
      <c r="K62" s="7"/>
      <c r="L62" s="7" t="str">
        <f>IFERROR(__xludf.DUMMYFUNCTION("""COMPUTED_VALUE"""),"Vazamento de água na sala ")</f>
        <v>Vazamento de água na sala </v>
      </c>
      <c r="M62" s="10"/>
      <c r="N62" s="10" t="str">
        <f>IFERROR(__xludf.DUMMYFUNCTION("""COMPUTED_VALUE"""),"Realizado")</f>
        <v>Realizado</v>
      </c>
      <c r="O62" s="11">
        <f>IFERROR(__xludf.DUMMYFUNCTION("""COMPUTED_VALUE"""),45317.0)</f>
        <v>45317</v>
      </c>
      <c r="P62" s="11"/>
    </row>
    <row r="63" ht="27.0" customHeight="1">
      <c r="A63" s="7" t="str">
        <f>IFERROR(__xludf.DUMMYFUNCTION("""COMPUTED_VALUE"""),"062/2024")</f>
        <v>062/2024</v>
      </c>
      <c r="B63" s="8">
        <f>IFERROR(__xludf.DUMMYFUNCTION("""COMPUTED_VALUE"""),45302.60506619213)</f>
        <v>45302.60507</v>
      </c>
      <c r="C63" s="8" t="str">
        <f>IFERROR(__xludf.DUMMYFUNCTION("""COMPUTED_VALUE"""),"mariaeduarda.borges@ufcat.edu.br")</f>
        <v>mariaeduarda.borges@ufcat.edu.br</v>
      </c>
      <c r="D63" s="7" t="str">
        <f>IFERROR(__xludf.DUMMYFUNCTION("""COMPUTED_VALUE"""),"Maria Eduarda Silva Borges ")</f>
        <v>Maria Eduarda Silva Borges </v>
      </c>
      <c r="E63" s="7">
        <f>IFERROR(__xludf.DUMMYFUNCTION("""COMPUTED_VALUE"""),5340.0)</f>
        <v>5340</v>
      </c>
      <c r="F63" s="7" t="str">
        <f>IFERROR(__xludf.DUMMYFUNCTION("""COMPUTED_VALUE"""),"PREF")</f>
        <v>PREF</v>
      </c>
      <c r="G63" s="9" t="str">
        <f>IFERROR(__xludf.DUMMYFUNCTION("""COMPUTED_VALUE"""),"Bloco G")</f>
        <v>Bloco G</v>
      </c>
      <c r="H63" s="7" t="str">
        <f>IFERROR(__xludf.DUMMYFUNCTION("""COMPUTED_VALUE"""),"BANHEIRO FEMININO")</f>
        <v>BANHEIRO FEMININO</v>
      </c>
      <c r="I63" s="7" t="str">
        <f>IFERROR(__xludf.DUMMYFUNCTION("""COMPUTED_VALUE"""),"Instalações Hidrossanitárias")</f>
        <v>Instalações Hidrossanitárias</v>
      </c>
      <c r="J63" s="7" t="str">
        <f>IFERROR(__xludf.DUMMYFUNCTION("""COMPUTED_VALUE"""),"02 Hidráulica / 22 - Outros (PRAZO DE 15 a 60 DIAS PARA ATENDIMENTO)")</f>
        <v>02 Hidráulica / 22 - Outros (PRAZO DE 15 a 60 DIAS PARA ATENDIMENTO)</v>
      </c>
      <c r="K63" s="7"/>
      <c r="L63" s="7" t="str">
        <f>IFERROR(__xludf.DUMMYFUNCTION("""COMPUTED_VALUE"""),"Foi relatado que no banheiro Feminino do Bloco G se encontra alagado, não sendo possível identificar de onde seria o vazamento.")</f>
        <v>Foi relatado que no banheiro Feminino do Bloco G se encontra alagado, não sendo possível identificar de onde seria o vazamento.</v>
      </c>
      <c r="M63" s="10"/>
      <c r="N63" s="10" t="str">
        <f>IFERROR(__xludf.DUMMYFUNCTION("""COMPUTED_VALUE"""),"Realizado")</f>
        <v>Realizado</v>
      </c>
      <c r="O63" s="11">
        <f>IFERROR(__xludf.DUMMYFUNCTION("""COMPUTED_VALUE"""),45303.0)</f>
        <v>45303</v>
      </c>
      <c r="P63" s="11"/>
    </row>
    <row r="64" ht="27.0" customHeight="1">
      <c r="A64" s="7" t="str">
        <f>IFERROR(__xludf.DUMMYFUNCTION("""COMPUTED_VALUE"""),"062/2024")</f>
        <v>062/2024</v>
      </c>
      <c r="B64" s="8">
        <f>IFERROR(__xludf.DUMMYFUNCTION("""COMPUTED_VALUE"""),45303.309842048606)</f>
        <v>45303.30984</v>
      </c>
      <c r="C64" s="8" t="str">
        <f>IFERROR(__xludf.DUMMYFUNCTION("""COMPUTED_VALUE"""),"seguranca@ufcat.edu.br")</f>
        <v>seguranca@ufcat.edu.br</v>
      </c>
      <c r="D64" s="7" t="str">
        <f>IFERROR(__xludf.DUMMYFUNCTION("""COMPUTED_VALUE"""),"Maria Duarte")</f>
        <v>Maria Duarte</v>
      </c>
      <c r="E64" s="7">
        <f>IFERROR(__xludf.DUMMYFUNCTION("""COMPUTED_VALUE"""),5318.0)</f>
        <v>5318</v>
      </c>
      <c r="F64" s="7" t="str">
        <f>IFERROR(__xludf.DUMMYFUNCTION("""COMPUTED_VALUE"""),"CENTRAL DE OPERAÇÕES VIGILÂNCIA")</f>
        <v>CENTRAL DE OPERAÇÕES VIGILÂNCIA</v>
      </c>
      <c r="G64" s="9" t="str">
        <f>IFERROR(__xludf.DUMMYFUNCTION("""COMPUTED_VALUE"""),"Didatico I")</f>
        <v>Didatico I</v>
      </c>
      <c r="H64" s="7" t="str">
        <f>IFERROR(__xludf.DUMMYFUNCTION("""COMPUTED_VALUE"""),"DVR do Bloco Didático I")</f>
        <v>DVR do Bloco Didático I</v>
      </c>
      <c r="I64" s="7" t="str">
        <f>IFERROR(__xludf.DUMMYFUNCTION("""COMPUTED_VALUE"""),"Instalações e/ou Manutenção em Cabeamento de Rede")</f>
        <v>Instalações e/ou Manutenção em Cabeamento de Rede</v>
      </c>
      <c r="J64" s="7" t="str">
        <f>IFERROR(__xludf.DUMMYFUNCTION("""COMPUTED_VALUE"""),"05 Telecomunicações / 39 - CFTV (PRAZO DE ATÉ 15 DIAS PARA ATENDIMENTO)")</f>
        <v>05 Telecomunicações / 39 - CFTV (PRAZO DE ATÉ 15 DIAS PARA ATENDIMENTO)</v>
      </c>
      <c r="K64" s="7"/>
      <c r="L64" s="7" t="str">
        <f>IFERROR(__xludf.DUMMYFUNCTION("""COMPUTED_VALUE"""),"A câmera Dome do Bloco Didático I, mudou de posição sozinha, anteriormente estava focada no portão lateral, agora está muito longe da visualização do portão, e a câmera não obedece comando para retornar para focar no portão.")</f>
        <v>A câmera Dome do Bloco Didático I, mudou de posição sozinha, anteriormente estava focada no portão lateral, agora está muito longe da visualização do portão, e a câmera não obedece comando para retornar para focar no portão.</v>
      </c>
      <c r="M64" s="10"/>
      <c r="N64" s="10" t="str">
        <f>IFERROR(__xludf.DUMMYFUNCTION("""COMPUTED_VALUE"""),"Realizado")</f>
        <v>Realizado</v>
      </c>
      <c r="O64" s="11">
        <f>IFERROR(__xludf.DUMMYFUNCTION("""COMPUTED_VALUE"""),45306.0)</f>
        <v>45306</v>
      </c>
      <c r="P64" s="11"/>
    </row>
    <row r="65" ht="27.0" customHeight="1">
      <c r="A65" s="7" t="str">
        <f>IFERROR(__xludf.DUMMYFUNCTION("""COMPUTED_VALUE"""),"063/2024")</f>
        <v>063/2024</v>
      </c>
      <c r="B65" s="8">
        <f>IFERROR(__xludf.DUMMYFUNCTION("""COMPUTED_VALUE"""),45303.31914651621)</f>
        <v>45303.31915</v>
      </c>
      <c r="C65" s="8" t="str">
        <f>IFERROR(__xludf.DUMMYFUNCTION("""COMPUTED_VALUE"""),"amanda.lopes@ufcat.edu.br")</f>
        <v>amanda.lopes@ufcat.edu.br</v>
      </c>
      <c r="D65" s="7" t="str">
        <f>IFERROR(__xludf.DUMMYFUNCTION("""COMPUTED_VALUE"""),"Amanda Matos ")</f>
        <v>Amanda Matos </v>
      </c>
      <c r="E65" s="7">
        <f>IFERROR(__xludf.DUMMYFUNCTION("""COMPUTED_VALUE"""),5340.0)</f>
        <v>5340</v>
      </c>
      <c r="F65" s="7" t="str">
        <f>IFERROR(__xludf.DUMMYFUNCTION("""COMPUTED_VALUE"""),"PREF")</f>
        <v>PREF</v>
      </c>
      <c r="G65" s="9" t="str">
        <f>IFERROR(__xludf.DUMMYFUNCTION("""COMPUTED_VALUE"""),"Monitoramento")</f>
        <v>Monitoramento</v>
      </c>
      <c r="H65" s="7" t="str">
        <f>IFERROR(__xludf.DUMMYFUNCTION("""COMPUTED_VALUE"""),"Bloco C ")</f>
        <v>Bloco C </v>
      </c>
      <c r="I65" s="7" t="str">
        <f>IFERROR(__xludf.DUMMYFUNCTION("""COMPUTED_VALUE"""),"Pequenos serviços de reparos em Marcenaria")</f>
        <v>Pequenos serviços de reparos em Marcenaria</v>
      </c>
      <c r="J65" s="7" t="str">
        <f>IFERROR(__xludf.DUMMYFUNCTION("""COMPUTED_VALUE"""),"03 Marcenaria / 29 - Outros (PRAZO DE ACORDO COM A DEMANDA)")</f>
        <v>03 Marcenaria / 29 - Outros (PRAZO DE ACORDO COM A DEMANDA)</v>
      </c>
      <c r="K65" s="7"/>
      <c r="L65" s="7" t="str">
        <f>IFERROR(__xludf.DUMMYFUNCTION("""COMPUTED_VALUE"""),"Instalar mão francesa na pastilheira ")</f>
        <v>Instalar mão francesa na pastilheira </v>
      </c>
      <c r="M65" s="10"/>
      <c r="N65" s="10" t="str">
        <f>IFERROR(__xludf.DUMMYFUNCTION("""COMPUTED_VALUE"""),"Realizado")</f>
        <v>Realizado</v>
      </c>
      <c r="O65" s="11">
        <f>IFERROR(__xludf.DUMMYFUNCTION("""COMPUTED_VALUE"""),45303.0)</f>
        <v>45303</v>
      </c>
      <c r="P65" s="11"/>
    </row>
    <row r="66" ht="27.0" customHeight="1">
      <c r="A66" s="7" t="str">
        <f>IFERROR(__xludf.DUMMYFUNCTION("""COMPUTED_VALUE"""),"064/2024")</f>
        <v>064/2024</v>
      </c>
      <c r="B66" s="8">
        <f>IFERROR(__xludf.DUMMYFUNCTION("""COMPUTED_VALUE"""),45303.32710930555)</f>
        <v>45303.32711</v>
      </c>
      <c r="C66" s="8" t="str">
        <f>IFERROR(__xludf.DUMMYFUNCTION("""COMPUTED_VALUE"""),"mariaeduarda.borges@ufcat.edu.br")</f>
        <v>mariaeduarda.borges@ufcat.edu.br</v>
      </c>
      <c r="D66" s="7" t="str">
        <f>IFERROR(__xludf.DUMMYFUNCTION("""COMPUTED_VALUE"""),"Maria Eduarda Silva Borges ")</f>
        <v>Maria Eduarda Silva Borges </v>
      </c>
      <c r="E66" s="7">
        <f>IFERROR(__xludf.DUMMYFUNCTION("""COMPUTED_VALUE"""),5340.0)</f>
        <v>5340</v>
      </c>
      <c r="F66" s="7" t="str">
        <f>IFERROR(__xludf.DUMMYFUNCTION("""COMPUTED_VALUE"""),"PREF")</f>
        <v>PREF</v>
      </c>
      <c r="G66" s="9" t="str">
        <f>IFERROR(__xludf.DUMMYFUNCTION("""COMPUTED_VALUE"""),"Didatico I")</f>
        <v>Didatico I</v>
      </c>
      <c r="H66" s="7" t="str">
        <f>IFERROR(__xludf.DUMMYFUNCTION("""COMPUTED_VALUE"""),"BLOCO DIDÁTICO I")</f>
        <v>BLOCO DIDÁTICO I</v>
      </c>
      <c r="I66" s="7" t="str">
        <f>IFERROR(__xludf.DUMMYFUNCTION("""COMPUTED_VALUE"""),"Instalações Hidrossanitárias")</f>
        <v>Instalações Hidrossanitárias</v>
      </c>
      <c r="J66" s="7" t="str">
        <f>IFERROR(__xludf.DUMMYFUNCTION("""COMPUTED_VALUE"""),"02 Hidráulica / 22 - Outros (PRAZO DE 15 a 60 DIAS PARA ATENDIMENTO)")</f>
        <v>02 Hidráulica / 22 - Outros (PRAZO DE 15 a 60 DIAS PARA ATENDIMENTO)</v>
      </c>
      <c r="K66" s="7"/>
      <c r="L66" s="7" t="str">
        <f>IFERROR(__xludf.DUMMYFUNCTION("""COMPUTED_VALUE"""),"Relatou que com a chuva que houve, todos os corredores, salas e banheiros do Térreo do Bloco Didático I, ficaram alagadas, onde assim que possível as funcionárias da limpeza irão realizar a limpeza do local.")</f>
        <v>Relatou que com a chuva que houve, todos os corredores, salas e banheiros do Térreo do Bloco Didático I, ficaram alagadas, onde assim que possível as funcionárias da limpeza irão realizar a limpeza do local.</v>
      </c>
      <c r="M66" s="10"/>
      <c r="N66" s="10" t="str">
        <f>IFERROR(__xludf.DUMMYFUNCTION("""COMPUTED_VALUE"""),"Realizado")</f>
        <v>Realizado</v>
      </c>
      <c r="O66" s="11">
        <f>IFERROR(__xludf.DUMMYFUNCTION("""COMPUTED_VALUE"""),45331.0)</f>
        <v>45331</v>
      </c>
      <c r="P66" s="11"/>
    </row>
    <row r="67" ht="27.0" customHeight="1">
      <c r="A67" s="7" t="str">
        <f>IFERROR(__xludf.DUMMYFUNCTION("""COMPUTED_VALUE"""),"065/2024")</f>
        <v>065/2024</v>
      </c>
      <c r="B67" s="8">
        <f>IFERROR(__xludf.DUMMYFUNCTION("""COMPUTED_VALUE"""),45303.41837526621)</f>
        <v>45303.41838</v>
      </c>
      <c r="C67" s="8" t="str">
        <f>IFERROR(__xludf.DUMMYFUNCTION("""COMPUTED_VALUE"""),"paulo@ufcat.edu.br")</f>
        <v>paulo@ufcat.edu.br</v>
      </c>
      <c r="D67" s="7" t="str">
        <f>IFERROR(__xludf.DUMMYFUNCTION("""COMPUTED_VALUE"""),"Paulo Henrique Silva Azevedo")</f>
        <v>Paulo Henrique Silva Azevedo</v>
      </c>
      <c r="E67" s="7">
        <f>IFERROR(__xludf.DUMMYFUNCTION("""COMPUTED_VALUE"""),3.4415337E7)</f>
        <v>34415337</v>
      </c>
      <c r="F67" s="7" t="str">
        <f>IFERROR(__xludf.DUMMYFUNCTION("""COMPUTED_VALUE"""),"SETI")</f>
        <v>SETI</v>
      </c>
      <c r="G67" s="9" t="str">
        <f>IFERROR(__xludf.DUMMYFUNCTION("""COMPUTED_VALUE"""),"SETI")</f>
        <v>SETI</v>
      </c>
      <c r="H67" s="7" t="str">
        <f>IFERROR(__xludf.DUMMYFUNCTION("""COMPUTED_VALUE"""),"Sala do Datacenter")</f>
        <v>Sala do Datacenter</v>
      </c>
      <c r="I67" s="7" t="str">
        <f>IFERROR(__xludf.DUMMYFUNCTION("""COMPUTED_VALUE"""),"Reparos (alvenaria, piso, forro e telhado)")</f>
        <v>Reparos (alvenaria, piso, forro e telhado)</v>
      </c>
      <c r="J67" s="7" t="str">
        <f>IFERROR(__xludf.DUMMYFUNCTION("""COMPUTED_VALUE"""),"01 Alvenaria / 06 - Outros (PRAZO DE ATÉ 60 DIAS PARA ATENDIMENTO)")</f>
        <v>01 Alvenaria / 06 - Outros (PRAZO DE ATÉ 60 DIAS PARA ATENDIMENTO)</v>
      </c>
      <c r="K67" s="7"/>
      <c r="L67" s="7" t="str">
        <f>IFERROR(__xludf.DUMMYFUNCTION("""COMPUTED_VALUE"""),"Goteira na sala do datacenter, que está caindo em cima do banco de baterias.")</f>
        <v>Goteira na sala do datacenter, que está caindo em cima do banco de baterias.</v>
      </c>
      <c r="M67" s="10"/>
      <c r="N67" s="10" t="str">
        <f>IFERROR(__xludf.DUMMYFUNCTION("""COMPUTED_VALUE"""),"Realizado")</f>
        <v>Realizado</v>
      </c>
      <c r="O67" s="11">
        <f>IFERROR(__xludf.DUMMYFUNCTION("""COMPUTED_VALUE"""),45315.0)</f>
        <v>45315</v>
      </c>
      <c r="P67" s="11"/>
    </row>
    <row r="68" ht="27.0" customHeight="1">
      <c r="A68" s="7" t="str">
        <f>IFERROR(__xludf.DUMMYFUNCTION("""COMPUTED_VALUE"""),"066/2024")</f>
        <v>066/2024</v>
      </c>
      <c r="B68" s="8">
        <f>IFERROR(__xludf.DUMMYFUNCTION("""COMPUTED_VALUE"""),45303.460676331015)</f>
        <v>45303.46068</v>
      </c>
      <c r="C68" s="8" t="str">
        <f>IFERROR(__xludf.DUMMYFUNCTION("""COMPUTED_VALUE"""),"muc.prpe@ufcat.edu.br")</f>
        <v>muc.prpe@ufcat.edu.br</v>
      </c>
      <c r="D68" s="7" t="str">
        <f>IFERROR(__xludf.DUMMYFUNCTION("""COMPUTED_VALUE"""),"DANIEL DOS REIS SIMÕES")</f>
        <v>DANIEL DOS REIS SIMÕES</v>
      </c>
      <c r="E68" s="7">
        <f>IFERROR(__xludf.DUMMYFUNCTION("""COMPUTED_VALUE"""),5333.0)</f>
        <v>5333</v>
      </c>
      <c r="F68" s="7" t="str">
        <f>IFERROR(__xludf.DUMMYFUNCTION("""COMPUTED_VALUE"""),"PRPE")</f>
        <v>PRPE</v>
      </c>
      <c r="G68" s="9" t="str">
        <f>IFERROR(__xludf.DUMMYFUNCTION("""COMPUTED_VALUE"""),"MUC")</f>
        <v>MUC</v>
      </c>
      <c r="H68" s="7" t="str">
        <f>IFERROR(__xludf.DUMMYFUNCTION("""COMPUTED_VALUE"""),"Apto 302")</f>
        <v>Apto 302</v>
      </c>
      <c r="I68" s="7" t="str">
        <f>IFERROR(__xludf.DUMMYFUNCTION("""COMPUTED_VALUE"""),"Reparos (alvenaria, piso, forro e telhado)")</f>
        <v>Reparos (alvenaria, piso, forro e telhado)</v>
      </c>
      <c r="J68" s="7" t="str">
        <f>IFERROR(__xludf.DUMMYFUNCTION("""COMPUTED_VALUE"""),"01 Alvenaria / 06 - Outros (PRAZO DE ATÉ 60 DIAS PARA ATENDIMENTO)")</f>
        <v>01 Alvenaria / 06 - Outros (PRAZO DE ATÉ 60 DIAS PARA ATENDIMENTO)</v>
      </c>
      <c r="K68" s="7"/>
      <c r="L68" s="7" t="str">
        <f>IFERROR(__xludf.DUMMYFUNCTION("""COMPUTED_VALUE"""),"Colocar silicone na janela do quarto A, apto 302. Quando chove entra água no quarto.")</f>
        <v>Colocar silicone na janela do quarto A, apto 302. Quando chove entra água no quarto.</v>
      </c>
      <c r="M68" s="10"/>
      <c r="N68" s="10" t="str">
        <f>IFERROR(__xludf.DUMMYFUNCTION("""COMPUTED_VALUE"""),"Realizado")</f>
        <v>Realizado</v>
      </c>
      <c r="O68" s="11">
        <f>IFERROR(__xludf.DUMMYFUNCTION("""COMPUTED_VALUE"""),45307.0)</f>
        <v>45307</v>
      </c>
      <c r="P68" s="11"/>
    </row>
    <row r="69" ht="27.0" customHeight="1">
      <c r="A69" s="7" t="str">
        <f>IFERROR(__xludf.DUMMYFUNCTION("""COMPUTED_VALUE"""),"067/2024")</f>
        <v>067/2024</v>
      </c>
      <c r="B69" s="8">
        <f>IFERROR(__xludf.DUMMYFUNCTION("""COMPUTED_VALUE"""),45303.58486333334)</f>
        <v>45303.58486</v>
      </c>
      <c r="C69" s="8" t="str">
        <f>IFERROR(__xludf.DUMMYFUNCTION("""COMPUTED_VALUE"""),"berenicevieira@ufcat.edu.br")</f>
        <v>berenicevieira@ufcat.edu.br</v>
      </c>
      <c r="D69" s="7" t="str">
        <f>IFERROR(__xludf.DUMMYFUNCTION("""COMPUTED_VALUE"""),"Berenice")</f>
        <v>Berenice</v>
      </c>
      <c r="E69" s="7">
        <f>IFERROR(__xludf.DUMMYFUNCTION("""COMPUTED_VALUE"""),5341.0)</f>
        <v>5341</v>
      </c>
      <c r="F69" s="7" t="str">
        <f>IFERROR(__xludf.DUMMYFUNCTION("""COMPUTED_VALUE"""),"SERVIÇO DE LIMPEZA")</f>
        <v>SERVIÇO DE LIMPEZA</v>
      </c>
      <c r="G69" s="9" t="str">
        <f>IFERROR(__xludf.DUMMYFUNCTION("""COMPUTED_VALUE"""),"Bloco C")</f>
        <v>Bloco C</v>
      </c>
      <c r="H69" s="7" t="str">
        <f>IFERROR(__xludf.DUMMYFUNCTION("""COMPUTED_VALUE"""),"Copa")</f>
        <v>Copa</v>
      </c>
      <c r="I69" s="7" t="str">
        <f>IFERROR(__xludf.DUMMYFUNCTION("""COMPUTED_VALUE"""),"Pequenos serviços de reparos em Marcenaria")</f>
        <v>Pequenos serviços de reparos em Marcenaria</v>
      </c>
      <c r="J69" s="7" t="str">
        <f>IFERROR(__xludf.DUMMYFUNCTION("""COMPUTED_VALUE"""),"03 Marcenaria / 29 - Outros (PRAZO DE ACORDO COM A DEMANDA)")</f>
        <v>03 Marcenaria / 29 - Outros (PRAZO DE ACORDO COM A DEMANDA)</v>
      </c>
      <c r="K69" s="7"/>
      <c r="L69" s="7" t="str">
        <f>IFERROR(__xludf.DUMMYFUNCTION("""COMPUTED_VALUE"""),"Colocar sustentação no pé de duas escadas de alumínio")</f>
        <v>Colocar sustentação no pé de duas escadas de alumínio</v>
      </c>
      <c r="M69" s="10"/>
      <c r="N69" s="10" t="str">
        <f>IFERROR(__xludf.DUMMYFUNCTION("""COMPUTED_VALUE"""),"Realizado")</f>
        <v>Realizado</v>
      </c>
      <c r="O69" s="11">
        <f>IFERROR(__xludf.DUMMYFUNCTION("""COMPUTED_VALUE"""),45307.0)</f>
        <v>45307</v>
      </c>
      <c r="P69" s="11"/>
    </row>
    <row r="70" ht="27.0" customHeight="1">
      <c r="A70" s="7" t="str">
        <f>IFERROR(__xludf.DUMMYFUNCTION("""COMPUTED_VALUE"""),"068/2024")</f>
        <v>068/2024</v>
      </c>
      <c r="B70" s="8">
        <f>IFERROR(__xludf.DUMMYFUNCTION("""COMPUTED_VALUE"""),45305.72799784722)</f>
        <v>45305.728</v>
      </c>
      <c r="C70" s="8" t="str">
        <f>IFERROR(__xludf.DUMMYFUNCTION("""COMPUTED_VALUE"""),"seguranca@ufcat.edu.br")</f>
        <v>seguranca@ufcat.edu.br</v>
      </c>
      <c r="D70" s="7" t="str">
        <f>IFERROR(__xludf.DUMMYFUNCTION("""COMPUTED_VALUE"""),"Maria Duarte")</f>
        <v>Maria Duarte</v>
      </c>
      <c r="E70" s="7">
        <f>IFERROR(__xludf.DUMMYFUNCTION("""COMPUTED_VALUE"""),5318.0)</f>
        <v>5318</v>
      </c>
      <c r="F70" s="7" t="str">
        <f>IFERROR(__xludf.DUMMYFUNCTION("""COMPUTED_VALUE"""),"CENTRAL DE OPERAÇÕES VIGILÂNCIA")</f>
        <v>CENTRAL DE OPERAÇÕES VIGILÂNCIA</v>
      </c>
      <c r="G70" s="9" t="str">
        <f>IFERROR(__xludf.DUMMYFUNCTION("""COMPUTED_VALUE"""),"Bloco O")</f>
        <v>Bloco O</v>
      </c>
      <c r="H70" s="7" t="str">
        <f>IFERROR(__xludf.DUMMYFUNCTION("""COMPUTED_VALUE"""),"DVR do Bloco O")</f>
        <v>DVR do Bloco O</v>
      </c>
      <c r="I70" s="7" t="str">
        <f>IFERROR(__xludf.DUMMYFUNCTION("""COMPUTED_VALUE"""),"Instalações e/ou Manutenção em Cabeamento de Rede")</f>
        <v>Instalações e/ou Manutenção em Cabeamento de Rede</v>
      </c>
      <c r="J70" s="7" t="str">
        <f>IFERROR(__xludf.DUMMYFUNCTION("""COMPUTED_VALUE"""),"05 Telecomunicações / 39 - CFTV (PRAZO DE ATÉ 15 DIAS PARA ATENDIMENTO)")</f>
        <v>05 Telecomunicações / 39 - CFTV (PRAZO DE ATÉ 15 DIAS PARA ATENDIMENTO)</v>
      </c>
      <c r="K70" s="7"/>
      <c r="L70" s="7" t="str">
        <f>IFERROR(__xludf.DUMMYFUNCTION("""COMPUTED_VALUE"""),"DVR do Bloco O, se encontra off-line devido a uma queda de energia.")</f>
        <v>DVR do Bloco O, se encontra off-line devido a uma queda de energia.</v>
      </c>
      <c r="M70" s="10"/>
      <c r="N70" s="10" t="str">
        <f>IFERROR(__xludf.DUMMYFUNCTION("""COMPUTED_VALUE"""),"Realizado")</f>
        <v>Realizado</v>
      </c>
      <c r="O70" s="11">
        <f>IFERROR(__xludf.DUMMYFUNCTION("""COMPUTED_VALUE"""),45306.0)</f>
        <v>45306</v>
      </c>
      <c r="P70" s="11"/>
    </row>
    <row r="71" ht="27.0" customHeight="1">
      <c r="A71" s="7" t="str">
        <f>IFERROR(__xludf.DUMMYFUNCTION("""COMPUTED_VALUE"""),"069/2024")</f>
        <v>069/2024</v>
      </c>
      <c r="B71" s="8">
        <f>IFERROR(__xludf.DUMMYFUNCTION("""COMPUTED_VALUE"""),45306.382898587966)</f>
        <v>45306.3829</v>
      </c>
      <c r="C71" s="8" t="str">
        <f>IFERROR(__xludf.DUMMYFUNCTION("""COMPUTED_VALUE"""),"kellenrabello@ufcat.edu.br")</f>
        <v>kellenrabello@ufcat.edu.br</v>
      </c>
      <c r="D71" s="7" t="str">
        <f>IFERROR(__xludf.DUMMYFUNCTION("""COMPUTED_VALUE"""),"Kellen Rabello ")</f>
        <v>Kellen Rabello </v>
      </c>
      <c r="E71" s="7">
        <f>IFERROR(__xludf.DUMMYFUNCTION("""COMPUTED_VALUE"""),3.441536E7)</f>
        <v>34415360</v>
      </c>
      <c r="F71" s="7" t="str">
        <f>IFERROR(__xludf.DUMMYFUNCTION("""COMPUTED_VALUE"""),"PREF")</f>
        <v>PREF</v>
      </c>
      <c r="G71" s="9" t="str">
        <f>IFERROR(__xludf.DUMMYFUNCTION("""COMPUTED_VALUE"""),"Bloco M")</f>
        <v>Bloco M</v>
      </c>
      <c r="H71" s="7" t="str">
        <f>IFERROR(__xludf.DUMMYFUNCTION("""COMPUTED_VALUE"""),"Banheiro Masculino 1º Piso ")</f>
        <v>Banheiro Masculino 1º Piso </v>
      </c>
      <c r="I71" s="7" t="str">
        <f>IFERROR(__xludf.DUMMYFUNCTION("""COMPUTED_VALUE"""),"Instalações elétricas")</f>
        <v>Instalações elétricas</v>
      </c>
      <c r="J71" s="7" t="str">
        <f>IFERROR(__xludf.DUMMYFUNCTION("""COMPUTED_VALUE"""),"04 Elétrica / 35 - Troca de Lâmpadas (PRAZO DE ATÉ 15 DIAS PARA ATENDIMENTO)")</f>
        <v>04 Elétrica / 35 - Troca de Lâmpadas (PRAZO DE ATÉ 15 DIAS PARA ATENDIMENTO)</v>
      </c>
      <c r="K71" s="7"/>
      <c r="L71" s="7" t="str">
        <f>IFERROR(__xludf.DUMMYFUNCTION("""COMPUTED_VALUE"""),"Banheiro Masculino com a lampada queimada - 1º Piso ")</f>
        <v>Banheiro Masculino com a lampada queimada - 1º Piso </v>
      </c>
      <c r="M71" s="10"/>
      <c r="N71" s="10" t="str">
        <f>IFERROR(__xludf.DUMMYFUNCTION("""COMPUTED_VALUE"""),"Realizado")</f>
        <v>Realizado</v>
      </c>
      <c r="O71" s="11">
        <f>IFERROR(__xludf.DUMMYFUNCTION("""COMPUTED_VALUE"""),45307.0)</f>
        <v>45307</v>
      </c>
      <c r="P71" s="11"/>
    </row>
    <row r="72" ht="27.0" customHeight="1">
      <c r="A72" s="7" t="str">
        <f>IFERROR(__xludf.DUMMYFUNCTION("""COMPUTED_VALUE"""),"070/2024")</f>
        <v>070/2024</v>
      </c>
      <c r="B72" s="8">
        <f>IFERROR(__xludf.DUMMYFUNCTION("""COMPUTED_VALUE"""),45306.44899795139)</f>
        <v>45306.449</v>
      </c>
      <c r="C72" s="8" t="str">
        <f>IFERROR(__xludf.DUMMYFUNCTION("""COMPUTED_VALUE"""),"letras.ingles@ufcat.edu.br")</f>
        <v>letras.ingles@ufcat.edu.br</v>
      </c>
      <c r="D72" s="7" t="str">
        <f>IFERROR(__xludf.DUMMYFUNCTION("""COMPUTED_VALUE"""),"Ulysses/Rejane")</f>
        <v>Ulysses/Rejane</v>
      </c>
      <c r="E72" s="7">
        <f>IFERROR(__xludf.DUMMYFUNCTION("""COMPUTED_VALUE"""),5304.0)</f>
        <v>5304</v>
      </c>
      <c r="F72" s="7" t="str">
        <f>IFERROR(__xludf.DUMMYFUNCTION("""COMPUTED_VALUE"""),"IEL")</f>
        <v>IEL</v>
      </c>
      <c r="G72" s="9" t="str">
        <f>IFERROR(__xludf.DUMMYFUNCTION("""COMPUTED_VALUE"""),"Bloco G")</f>
        <v>Bloco G</v>
      </c>
      <c r="H72" s="7" t="str">
        <f>IFERROR(__xludf.DUMMYFUNCTION("""COMPUTED_VALUE"""),"Gabinete 4c da sala 04")</f>
        <v>Gabinete 4c da sala 04</v>
      </c>
      <c r="I72" s="7" t="str">
        <f>IFERROR(__xludf.DUMMYFUNCTION("""COMPUTED_VALUE"""),"Reparos (alvenaria, piso, forro e telhado)")</f>
        <v>Reparos (alvenaria, piso, forro e telhado)</v>
      </c>
      <c r="J72" s="7" t="str">
        <f>IFERROR(__xludf.DUMMYFUNCTION("""COMPUTED_VALUE"""),"01 Alvenaria / 06 - Outros (PRAZO DE ATÉ 60 DIAS PARA ATENDIMENTO)")</f>
        <v>01 Alvenaria / 06 - Outros (PRAZO DE ATÉ 60 DIAS PARA ATENDIMENTO)</v>
      </c>
      <c r="K72" s="7"/>
      <c r="L72" s="7" t="str">
        <f>IFERROR(__xludf.DUMMYFUNCTION("""COMPUTED_VALUE"""),"Goteira no gabinete em cima da mesa e piso. ")</f>
        <v>Goteira no gabinete em cima da mesa e piso. </v>
      </c>
      <c r="M72" s="10"/>
      <c r="N72" s="10" t="str">
        <f>IFERROR(__xludf.DUMMYFUNCTION("""COMPUTED_VALUE"""),"Realizado")</f>
        <v>Realizado</v>
      </c>
      <c r="O72" s="11">
        <f>IFERROR(__xludf.DUMMYFUNCTION("""COMPUTED_VALUE"""),45324.0)</f>
        <v>45324</v>
      </c>
      <c r="P72" s="11"/>
    </row>
    <row r="73" ht="27.0" customHeight="1">
      <c r="A73" s="7" t="str">
        <f>IFERROR(__xludf.DUMMYFUNCTION("""COMPUTED_VALUE"""),"071/2024")</f>
        <v>071/2024</v>
      </c>
      <c r="B73" s="8">
        <f>IFERROR(__xludf.DUMMYFUNCTION("""COMPUTED_VALUE"""),45306.58614090278)</f>
        <v>45306.58614</v>
      </c>
      <c r="C73" s="8" t="str">
        <f>IFERROR(__xludf.DUMMYFUNCTION("""COMPUTED_VALUE"""),"ana.rodrigues@ufcat.edu.br")</f>
        <v>ana.rodrigues@ufcat.edu.br</v>
      </c>
      <c r="D73" s="7" t="str">
        <f>IFERROR(__xludf.DUMMYFUNCTION("""COMPUTED_VALUE"""),"Ana Laura Evaristo")</f>
        <v>Ana Laura Evaristo</v>
      </c>
      <c r="E73" s="7">
        <f>IFERROR(__xludf.DUMMYFUNCTION("""COMPUTED_VALUE"""),6.4999116167E10)</f>
        <v>64999116167</v>
      </c>
      <c r="F73" s="7" t="str">
        <f>IFERROR(__xludf.DUMMYFUNCTION("""COMPUTED_VALUE"""),"PROAF")</f>
        <v>PROAF</v>
      </c>
      <c r="G73" s="9" t="str">
        <f>IFERROR(__xludf.DUMMYFUNCTION("""COMPUTED_VALUE"""),"Bloco Administrativo")</f>
        <v>Bloco Administrativo</v>
      </c>
      <c r="H73" s="7" t="str">
        <f>IFERROR(__xludf.DUMMYFUNCTION("""COMPUTED_VALUE"""),"Sala 5 e sala 9")</f>
        <v>Sala 5 e sala 9</v>
      </c>
      <c r="I73" s="7" t="str">
        <f>IFERROR(__xludf.DUMMYFUNCTION("""COMPUTED_VALUE"""),"Instalações e/ou Manutenção em Cabeamento de Rede")</f>
        <v>Instalações e/ou Manutenção em Cabeamento de Rede</v>
      </c>
      <c r="J73" s="7" t="str">
        <f>IFERROR(__xludf.DUMMYFUNCTION("""COMPUTED_VALUE"""),"05 Telecomunicações / 38 - Cabeamento de Rede (PRAZO DE ATÉ 15 DIAS PARA ATENDIMENTO)")</f>
        <v>05 Telecomunicações / 38 - Cabeamento de Rede (PRAZO DE ATÉ 15 DIAS PARA ATENDIMENTO)</v>
      </c>
      <c r="K73" s="7"/>
      <c r="L73" s="7" t="str">
        <f>IFERROR(__xludf.DUMMYFUNCTION("""COMPUTED_VALUE"""),"Crimpagem cabo de rede")</f>
        <v>Crimpagem cabo de rede</v>
      </c>
      <c r="M73" s="10"/>
      <c r="N73" s="10" t="str">
        <f>IFERROR(__xludf.DUMMYFUNCTION("""COMPUTED_VALUE"""),"Realizado")</f>
        <v>Realizado</v>
      </c>
      <c r="O73" s="11">
        <f>IFERROR(__xludf.DUMMYFUNCTION("""COMPUTED_VALUE"""),45307.0)</f>
        <v>45307</v>
      </c>
      <c r="P73" s="11"/>
    </row>
    <row r="74" ht="27.0" customHeight="1">
      <c r="A74" s="7" t="str">
        <f>IFERROR(__xludf.DUMMYFUNCTION("""COMPUTED_VALUE"""),"072/2024")</f>
        <v>072/2024</v>
      </c>
      <c r="B74" s="8">
        <f>IFERROR(__xludf.DUMMYFUNCTION("""COMPUTED_VALUE"""),45306.67156099537)</f>
        <v>45306.67156</v>
      </c>
      <c r="C74" s="8" t="str">
        <f>IFERROR(__xludf.DUMMYFUNCTION("""COMPUTED_VALUE"""),"muc.prpe@ufcat.edu.br")</f>
        <v>muc.prpe@ufcat.edu.br</v>
      </c>
      <c r="D74" s="7" t="str">
        <f>IFERROR(__xludf.DUMMYFUNCTION("""COMPUTED_VALUE"""),"DANIEL DOS REIS SIMÕES")</f>
        <v>DANIEL DOS REIS SIMÕES</v>
      </c>
      <c r="E74" s="7">
        <f>IFERROR(__xludf.DUMMYFUNCTION("""COMPUTED_VALUE"""),5333.0)</f>
        <v>5333</v>
      </c>
      <c r="F74" s="7" t="str">
        <f>IFERROR(__xludf.DUMMYFUNCTION("""COMPUTED_VALUE"""),"PRPE")</f>
        <v>PRPE</v>
      </c>
      <c r="G74" s="9" t="str">
        <f>IFERROR(__xludf.DUMMYFUNCTION("""COMPUTED_VALUE"""),"MUC")</f>
        <v>MUC</v>
      </c>
      <c r="H74" s="7" t="str">
        <f>IFERROR(__xludf.DUMMYFUNCTION("""COMPUTED_VALUE"""),"Apto 402")</f>
        <v>Apto 402</v>
      </c>
      <c r="I74" s="7" t="str">
        <f>IFERROR(__xludf.DUMMYFUNCTION("""COMPUTED_VALUE"""),"Instalações Hidrossanitárias")</f>
        <v>Instalações Hidrossanitárias</v>
      </c>
      <c r="J74" s="7" t="str">
        <f>IFERROR(__xludf.DUMMYFUNCTION("""COMPUTED_VALUE"""),"02 Hidráulica / 07 - Desentupimento (PRAZO DE 1 ATÉ 5 DIAS PARA ATENDIMENTO)")</f>
        <v>02 Hidráulica / 07 - Desentupimento (PRAZO DE 1 ATÉ 5 DIAS PARA ATENDIMENTO)</v>
      </c>
      <c r="K74" s="7"/>
      <c r="L74" s="7" t="str">
        <f>IFERROR(__xludf.DUMMYFUNCTION("""COMPUTED_VALUE"""),"Pia do banheiro está entupida.")</f>
        <v>Pia do banheiro está entupida.</v>
      </c>
      <c r="M74" s="10"/>
      <c r="N74" s="10" t="str">
        <f>IFERROR(__xludf.DUMMYFUNCTION("""COMPUTED_VALUE"""),"Realizado")</f>
        <v>Realizado</v>
      </c>
      <c r="O74" s="11">
        <f>IFERROR(__xludf.DUMMYFUNCTION("""COMPUTED_VALUE"""),45307.0)</f>
        <v>45307</v>
      </c>
      <c r="P74" s="11"/>
    </row>
    <row r="75" ht="27.0" customHeight="1">
      <c r="A75" s="7" t="str">
        <f>IFERROR(__xludf.DUMMYFUNCTION("""COMPUTED_VALUE"""),"073/2024")</f>
        <v>073/2024</v>
      </c>
      <c r="B75" s="8">
        <f>IFERROR(__xludf.DUMMYFUNCTION("""COMPUTED_VALUE"""),45306.67367766204)</f>
        <v>45306.67368</v>
      </c>
      <c r="C75" s="8" t="str">
        <f>IFERROR(__xludf.DUMMYFUNCTION("""COMPUTED_VALUE"""),"muc.prpe@ufcat.edu.br")</f>
        <v>muc.prpe@ufcat.edu.br</v>
      </c>
      <c r="D75" s="7" t="str">
        <f>IFERROR(__xludf.DUMMYFUNCTION("""COMPUTED_VALUE"""),"DANIEL DOS REIS SIMÕES")</f>
        <v>DANIEL DOS REIS SIMÕES</v>
      </c>
      <c r="E75" s="7">
        <f>IFERROR(__xludf.DUMMYFUNCTION("""COMPUTED_VALUE"""),5333.0)</f>
        <v>5333</v>
      </c>
      <c r="F75" s="7" t="str">
        <f>IFERROR(__xludf.DUMMYFUNCTION("""COMPUTED_VALUE"""),"PRPE")</f>
        <v>PRPE</v>
      </c>
      <c r="G75" s="9" t="str">
        <f>IFERROR(__xludf.DUMMYFUNCTION("""COMPUTED_VALUE"""),"MUC")</f>
        <v>MUC</v>
      </c>
      <c r="H75" s="7" t="str">
        <f>IFERROR(__xludf.DUMMYFUNCTION("""COMPUTED_VALUE"""),"Apto 402")</f>
        <v>Apto 402</v>
      </c>
      <c r="I75" s="7" t="str">
        <f>IFERROR(__xludf.DUMMYFUNCTION("""COMPUTED_VALUE"""),"Instalações elétricas")</f>
        <v>Instalações elétricas</v>
      </c>
      <c r="J75" s="7" t="str">
        <f>IFERROR(__xludf.DUMMYFUNCTION("""COMPUTED_VALUE"""),"04 Elétrica / 37 - Outros (PRAZO DE ACORDO COM A DEMANDA)")</f>
        <v>04 Elétrica / 37 - Outros (PRAZO DE ACORDO COM A DEMANDA)</v>
      </c>
      <c r="K75" s="7"/>
      <c r="L75" s="7" t="str">
        <f>IFERROR(__xludf.DUMMYFUNCTION("""COMPUTED_VALUE"""),"Ventilador parou de funcionar. Apto 402. Quarto C")</f>
        <v>Ventilador parou de funcionar. Apto 402. Quarto C</v>
      </c>
      <c r="M75" s="10"/>
      <c r="N75" s="10" t="str">
        <f>IFERROR(__xludf.DUMMYFUNCTION("""COMPUTED_VALUE"""),"Realizado")</f>
        <v>Realizado</v>
      </c>
      <c r="O75" s="11">
        <f>IFERROR(__xludf.DUMMYFUNCTION("""COMPUTED_VALUE"""),45307.0)</f>
        <v>45307</v>
      </c>
      <c r="P75" s="11"/>
    </row>
    <row r="76" ht="27.0" customHeight="1">
      <c r="A76" s="7" t="str">
        <f>IFERROR(__xludf.DUMMYFUNCTION("""COMPUTED_VALUE"""),"074/2024")</f>
        <v>074/2024</v>
      </c>
      <c r="B76" s="8">
        <f>IFERROR(__xludf.DUMMYFUNCTION("""COMPUTED_VALUE"""),45306.68165346065)</f>
        <v>45306.68165</v>
      </c>
      <c r="C76" s="8" t="str">
        <f>IFERROR(__xludf.DUMMYFUNCTION("""COMPUTED_VALUE"""),"vania.lucas@ufcat.edu.br")</f>
        <v>vania.lucas@ufcat.edu.br</v>
      </c>
      <c r="D76" s="7" t="str">
        <f>IFERROR(__xludf.DUMMYFUNCTION("""COMPUTED_VALUE"""),"Vânia de Avelar Lucas ")</f>
        <v>Vânia de Avelar Lucas </v>
      </c>
      <c r="E76" s="7" t="str">
        <f>IFERROR(__xludf.DUMMYFUNCTION("""COMPUTED_VALUE"""),"6499699-0617")</f>
        <v>6499699-0617</v>
      </c>
      <c r="F76" s="7" t="str">
        <f>IFERROR(__xludf.DUMMYFUNCTION("""COMPUTED_VALUE"""),"IBIOTEC - Ciências Biológicas")</f>
        <v>IBIOTEC - Ciências Biológicas</v>
      </c>
      <c r="G76" s="9" t="str">
        <f>IFERROR(__xludf.DUMMYFUNCTION("""COMPUTED_VALUE"""),"Bloco N")</f>
        <v>Bloco N</v>
      </c>
      <c r="H76" s="7" t="str">
        <f>IFERROR(__xludf.DUMMYFUNCTION("""COMPUTED_VALUE"""),"Sala 209")</f>
        <v>Sala 209</v>
      </c>
      <c r="I76" s="7" t="str">
        <f>IFERROR(__xludf.DUMMYFUNCTION("""COMPUTED_VALUE"""),"Instalações elétricas")</f>
        <v>Instalações elétricas</v>
      </c>
      <c r="J76" s="7" t="str">
        <f>IFERROR(__xludf.DUMMYFUNCTION("""COMPUTED_VALUE"""),"04 Elétrica / 37 - Outros (PRAZO DE ACORDO COM A DEMANDA)")</f>
        <v>04 Elétrica / 37 - Outros (PRAZO DE ACORDO COM A DEMANDA)</v>
      </c>
      <c r="K76" s="7"/>
      <c r="L76" s="7" t="str">
        <f>IFERROR(__xludf.DUMMYFUNCTION("""COMPUTED_VALUE"""),"Solicito a substituição de uma tomada de 10 A para uma de 20 A, pois o equipamento é de alta potência (Ultrafreezer). Se possível, verificar o disjuntor do quadro de distribuição se ele suporta a corrente  demandada.")</f>
        <v>Solicito a substituição de uma tomada de 10 A para uma de 20 A, pois o equipamento é de alta potência (Ultrafreezer). Se possível, verificar o disjuntor do quadro de distribuição se ele suporta a corrente  demandada.</v>
      </c>
      <c r="M76" s="10"/>
      <c r="N76" s="10" t="str">
        <f>IFERROR(__xludf.DUMMYFUNCTION("""COMPUTED_VALUE"""),"Realizado")</f>
        <v>Realizado</v>
      </c>
      <c r="O76" s="11">
        <f>IFERROR(__xludf.DUMMYFUNCTION("""COMPUTED_VALUE"""),45307.0)</f>
        <v>45307</v>
      </c>
      <c r="P76" s="11"/>
    </row>
    <row r="77" ht="27.0" customHeight="1">
      <c r="A77" s="7" t="str">
        <f>IFERROR(__xludf.DUMMYFUNCTION("""COMPUTED_VALUE"""),"075/2024")</f>
        <v>075/2024</v>
      </c>
      <c r="B77" s="8">
        <f>IFERROR(__xludf.DUMMYFUNCTION("""COMPUTED_VALUE"""),45306.692686678245)</f>
        <v>45306.69269</v>
      </c>
      <c r="C77" s="8" t="str">
        <f>IFERROR(__xludf.DUMMYFUNCTION("""COMPUTED_VALUE"""),"vania.lucas@ufcat.edu.br")</f>
        <v>vania.lucas@ufcat.edu.br</v>
      </c>
      <c r="D77" s="7" t="str">
        <f>IFERROR(__xludf.DUMMYFUNCTION("""COMPUTED_VALUE"""),"Vânia de Avelar Lucas")</f>
        <v>Vânia de Avelar Lucas</v>
      </c>
      <c r="E77" s="7" t="str">
        <f>IFERROR(__xludf.DUMMYFUNCTION("""COMPUTED_VALUE"""),"64 99699-0617")</f>
        <v>64 99699-0617</v>
      </c>
      <c r="F77" s="7" t="str">
        <f>IFERROR(__xludf.DUMMYFUNCTION("""COMPUTED_VALUE"""),"IBIOTEC - Ciências Biológicas")</f>
        <v>IBIOTEC - Ciências Biológicas</v>
      </c>
      <c r="G77" s="9" t="str">
        <f>IFERROR(__xludf.DUMMYFUNCTION("""COMPUTED_VALUE"""),"Bloco N")</f>
        <v>Bloco N</v>
      </c>
      <c r="H77" s="7" t="str">
        <f>IFERROR(__xludf.DUMMYFUNCTION("""COMPUTED_VALUE"""),"Sala 209")</f>
        <v>Sala 209</v>
      </c>
      <c r="I77" s="7" t="str">
        <f>IFERROR(__xludf.DUMMYFUNCTION("""COMPUTED_VALUE"""),"Serralheria")</f>
        <v>Serralheria</v>
      </c>
      <c r="J77" s="7" t="str">
        <f>IFERROR(__xludf.DUMMYFUNCTION("""COMPUTED_VALUE"""),"08 Serralheria / 56 - Outros (PRAZO DE ACORDO COM A DEMANDA)")</f>
        <v>08 Serralheria / 56 - Outros (PRAZO DE ACORDO COM A DEMANDA)</v>
      </c>
      <c r="K77" s="7"/>
      <c r="L77" s="7" t="str">
        <f>IFERROR(__xludf.DUMMYFUNCTION("""COMPUTED_VALUE"""),"Solicito o conserto ou troca do trava-porta (batedor de porta) da sala 209 Bloco N.")</f>
        <v>Solicito o conserto ou troca do trava-porta (batedor de porta) da sala 209 Bloco N.</v>
      </c>
      <c r="M77" s="10"/>
      <c r="N77" s="10" t="str">
        <f>IFERROR(__xludf.DUMMYFUNCTION("""COMPUTED_VALUE"""),"Realizado")</f>
        <v>Realizado</v>
      </c>
      <c r="O77" s="11">
        <f>IFERROR(__xludf.DUMMYFUNCTION("""COMPUTED_VALUE"""),45309.0)</f>
        <v>45309</v>
      </c>
      <c r="P77" s="11"/>
    </row>
    <row r="78" ht="27.0" customHeight="1">
      <c r="A78" s="7" t="str">
        <f>IFERROR(__xludf.DUMMYFUNCTION("""COMPUTED_VALUE"""),"076/2024")</f>
        <v>076/2024</v>
      </c>
      <c r="B78" s="8">
        <f>IFERROR(__xludf.DUMMYFUNCTION("""COMPUTED_VALUE"""),45306.69425299768)</f>
        <v>45306.69425</v>
      </c>
      <c r="C78" s="8" t="str">
        <f>IFERROR(__xludf.DUMMYFUNCTION("""COMPUTED_VALUE"""),"guaraciaraap@ufcat.edu.br")</f>
        <v>guaraciaraap@ufcat.edu.br</v>
      </c>
      <c r="D78" s="7" t="str">
        <f>IFERROR(__xludf.DUMMYFUNCTION("""COMPUTED_VALUE"""),"Guaraciara Picanço")</f>
        <v>Guaraciara Picanço</v>
      </c>
      <c r="E78" s="7" t="str">
        <f>IFERROR(__xludf.DUMMYFUNCTION("""COMPUTED_VALUE"""),"3441-7601")</f>
        <v>3441-7601</v>
      </c>
      <c r="F78" s="7" t="str">
        <f>IFERROR(__xludf.DUMMYFUNCTION("""COMPUTED_VALUE"""),"IBIOTEC - Medicina")</f>
        <v>IBIOTEC - Medicina</v>
      </c>
      <c r="G78" s="9" t="str">
        <f>IFERROR(__xludf.DUMMYFUNCTION("""COMPUTED_VALUE"""),"Campus II")</f>
        <v>Campus II</v>
      </c>
      <c r="H78" s="7" t="str">
        <f>IFERROR(__xludf.DUMMYFUNCTION("""COMPUTED_VALUE"""),"Segundo piso - salas 3, 4, 5, 6 e 7")</f>
        <v>Segundo piso - salas 3, 4, 5, 6 e 7</v>
      </c>
      <c r="I78" s="7" t="str">
        <f>IFERROR(__xludf.DUMMYFUNCTION("""COMPUTED_VALUE"""),"Instalações elétricas")</f>
        <v>Instalações elétricas</v>
      </c>
      <c r="J78" s="7" t="str">
        <f>IFERROR(__xludf.DUMMYFUNCTION("""COMPUTED_VALUE"""),"04 Elétrica / 37 - Outros (PRAZO DE ACORDO COM A DEMANDA)")</f>
        <v>04 Elétrica / 37 - Outros (PRAZO DE ACORDO COM A DEMANDA)</v>
      </c>
      <c r="K78" s="7"/>
      <c r="L78" s="7" t="str">
        <f>IFERROR(__xludf.DUMMYFUNCTION("""COMPUTED_VALUE"""),"Solicitamos verificação de Curto-circuito.")</f>
        <v>Solicitamos verificação de Curto-circuito.</v>
      </c>
      <c r="M78" s="10"/>
      <c r="N78" s="10" t="str">
        <f>IFERROR(__xludf.DUMMYFUNCTION("""COMPUTED_VALUE"""),"Realizado")</f>
        <v>Realizado</v>
      </c>
      <c r="O78" s="11">
        <f>IFERROR(__xludf.DUMMYFUNCTION("""COMPUTED_VALUE"""),45322.0)</f>
        <v>45322</v>
      </c>
      <c r="P78" s="12"/>
    </row>
    <row r="79" ht="27.0" customHeight="1">
      <c r="A79" s="7" t="str">
        <f>IFERROR(__xludf.DUMMYFUNCTION("""COMPUTED_VALUE"""),"077/2024")</f>
        <v>077/2024</v>
      </c>
      <c r="B79" s="8">
        <f>IFERROR(__xludf.DUMMYFUNCTION("""COMPUTED_VALUE"""),45306.87588451389)</f>
        <v>45306.87588</v>
      </c>
      <c r="C79" s="8" t="str">
        <f>IFERROR(__xludf.DUMMYFUNCTION("""COMPUTED_VALUE"""),"seguranca@ufcat.edu.br")</f>
        <v>seguranca@ufcat.edu.br</v>
      </c>
      <c r="D79" s="7" t="str">
        <f>IFERROR(__xludf.DUMMYFUNCTION("""COMPUTED_VALUE"""),"Alexandra Nascimento")</f>
        <v>Alexandra Nascimento</v>
      </c>
      <c r="E79" s="7">
        <f>IFERROR(__xludf.DUMMYFUNCTION("""COMPUTED_VALUE"""),5318.0)</f>
        <v>5318</v>
      </c>
      <c r="F79" s="7" t="str">
        <f>IFERROR(__xludf.DUMMYFUNCTION("""COMPUTED_VALUE"""),"CENTRAL DE OPERAÇÕES VIGILÂNCIA")</f>
        <v>CENTRAL DE OPERAÇÕES VIGILÂNCIA</v>
      </c>
      <c r="G79" s="9" t="str">
        <f>IFERROR(__xludf.DUMMYFUNCTION("""COMPUTED_VALUE"""),"Campus II")</f>
        <v>Campus II</v>
      </c>
      <c r="H79" s="7" t="str">
        <f>IFERROR(__xludf.DUMMYFUNCTION("""COMPUTED_VALUE"""),"sala 24")</f>
        <v>sala 24</v>
      </c>
      <c r="I79" s="7" t="str">
        <f>IFERROR(__xludf.DUMMYFUNCTION("""COMPUTED_VALUE"""),"Instalações elétricas")</f>
        <v>Instalações elétricas</v>
      </c>
      <c r="J79" s="7" t="str">
        <f>IFERROR(__xludf.DUMMYFUNCTION("""COMPUTED_VALUE"""),"04 Elétrica / 35 - Troca de Lâmpadas (PRAZO DE ATÉ 15 DIAS PARA ATENDIMENTO)")</f>
        <v>04 Elétrica / 35 - Troca de Lâmpadas (PRAZO DE ATÉ 15 DIAS PARA ATENDIMENTO)</v>
      </c>
      <c r="K79" s="7"/>
      <c r="L79" s="7" t="str">
        <f>IFERROR(__xludf.DUMMYFUNCTION("""COMPUTED_VALUE"""),"No Campus 2, tem cinco lâmpadas queimada e um suporte de luminária que está caindo.")</f>
        <v>No Campus 2, tem cinco lâmpadas queimada e um suporte de luminária que está caindo.</v>
      </c>
      <c r="M79" s="10"/>
      <c r="N79" s="10" t="str">
        <f>IFERROR(__xludf.DUMMYFUNCTION("""COMPUTED_VALUE"""),"Realizado")</f>
        <v>Realizado</v>
      </c>
      <c r="O79" s="11">
        <f>IFERROR(__xludf.DUMMYFUNCTION("""COMPUTED_VALUE"""),45307.0)</f>
        <v>45307</v>
      </c>
      <c r="P79" s="11"/>
    </row>
    <row r="80" ht="27.0" customHeight="1">
      <c r="A80" s="7" t="str">
        <f>IFERROR(__xludf.DUMMYFUNCTION("""COMPUTED_VALUE"""),"078/2024")</f>
        <v>078/2024</v>
      </c>
      <c r="B80" s="8">
        <f>IFERROR(__xludf.DUMMYFUNCTION("""COMPUTED_VALUE"""),45307.29804892361)</f>
        <v>45307.29805</v>
      </c>
      <c r="C80" s="8" t="str">
        <f>IFERROR(__xludf.DUMMYFUNCTION("""COMPUTED_VALUE"""),"amanda.lopes@ufcat.edu.br")</f>
        <v>amanda.lopes@ufcat.edu.br</v>
      </c>
      <c r="D80" s="7" t="str">
        <f>IFERROR(__xludf.DUMMYFUNCTION("""COMPUTED_VALUE"""),"Amanda Matos ")</f>
        <v>Amanda Matos </v>
      </c>
      <c r="E80" s="7">
        <f>IFERROR(__xludf.DUMMYFUNCTION("""COMPUTED_VALUE"""),5340.0)</f>
        <v>5340</v>
      </c>
      <c r="F80" s="7" t="str">
        <f>IFERROR(__xludf.DUMMYFUNCTION("""COMPUTED_VALUE"""),"PREF")</f>
        <v>PREF</v>
      </c>
      <c r="G80" s="9" t="str">
        <f>IFERROR(__xludf.DUMMYFUNCTION("""COMPUTED_VALUE"""),"Sala do Transporte (DLT)")</f>
        <v>Sala do Transporte (DLT)</v>
      </c>
      <c r="H80" s="7" t="str">
        <f>IFERROR(__xludf.DUMMYFUNCTION("""COMPUTED_VALUE"""),"DLT")</f>
        <v>DLT</v>
      </c>
      <c r="I80" s="7" t="str">
        <f>IFERROR(__xludf.DUMMYFUNCTION("""COMPUTED_VALUE"""),"Instalações Hidrossanitárias")</f>
        <v>Instalações Hidrossanitárias</v>
      </c>
      <c r="J80" s="7" t="str">
        <f>IFERROR(__xludf.DUMMYFUNCTION("""COMPUTED_VALUE"""),"02 Hidráulica / 22 - Outros (PRAZO DE 15 a 60 DIAS PARA ATENDIMENTO)")</f>
        <v>02 Hidráulica / 22 - Outros (PRAZO DE 15 a 60 DIAS PARA ATENDIMENTO)</v>
      </c>
      <c r="K80" s="7"/>
      <c r="L80" s="7" t="str">
        <f>IFERROR(__xludf.DUMMYFUNCTION("""COMPUTED_VALUE"""),"Instalação de dispenser de sabonete, papel higienico e toalha nos banheiros ")</f>
        <v>Instalação de dispenser de sabonete, papel higienico e toalha nos banheiros </v>
      </c>
      <c r="M80" s="10"/>
      <c r="N80" s="10" t="str">
        <f>IFERROR(__xludf.DUMMYFUNCTION("""COMPUTED_VALUE"""),"Realizado")</f>
        <v>Realizado</v>
      </c>
      <c r="O80" s="11">
        <f>IFERROR(__xludf.DUMMYFUNCTION("""COMPUTED_VALUE"""),45307.0)</f>
        <v>45307</v>
      </c>
      <c r="P80" s="11"/>
    </row>
    <row r="81" ht="27.0" customHeight="1">
      <c r="A81" s="7" t="str">
        <f>IFERROR(__xludf.DUMMYFUNCTION("""COMPUTED_VALUE"""),"079/2024")</f>
        <v>079/2024</v>
      </c>
      <c r="B81" s="8">
        <f>IFERROR(__xludf.DUMMYFUNCTION("""COMPUTED_VALUE"""),45307.351092372686)</f>
        <v>45307.35109</v>
      </c>
      <c r="C81" s="8" t="str">
        <f>IFERROR(__xludf.DUMMYFUNCTION("""COMPUTED_VALUE"""),"fabricio_pacheco@ufcat.edu.br")</f>
        <v>fabricio_pacheco@ufcat.edu.br</v>
      </c>
      <c r="D81" s="7" t="str">
        <f>IFERROR(__xludf.DUMMYFUNCTION("""COMPUTED_VALUE"""),"Fabrício")</f>
        <v>Fabrício</v>
      </c>
      <c r="E81" s="7">
        <f>IFERROR(__xludf.DUMMYFUNCTION("""COMPUTED_VALUE"""),5360.0)</f>
        <v>5360</v>
      </c>
      <c r="F81" s="7" t="str">
        <f>IFERROR(__xludf.DUMMYFUNCTION("""COMPUTED_VALUE"""),"BIBLIOTECA")</f>
        <v>BIBLIOTECA</v>
      </c>
      <c r="G81" s="9" t="str">
        <f>IFERROR(__xludf.DUMMYFUNCTION("""COMPUTED_VALUE"""),"Biblioteca")</f>
        <v>Biblioteca</v>
      </c>
      <c r="H81" s="7" t="str">
        <f>IFERROR(__xludf.DUMMYFUNCTION("""COMPUTED_VALUE"""),"Acervo do piso do 2º piso")</f>
        <v>Acervo do piso do 2º piso</v>
      </c>
      <c r="I81" s="7" t="str">
        <f>IFERROR(__xludf.DUMMYFUNCTION("""COMPUTED_VALUE"""),"Instalações elétricas")</f>
        <v>Instalações elétricas</v>
      </c>
      <c r="J81" s="7" t="str">
        <f>IFERROR(__xludf.DUMMYFUNCTION("""COMPUTED_VALUE"""),"04 Elétrica / 37 - Outros (PRAZO DE ACORDO COM A DEMANDA)")</f>
        <v>04 Elétrica / 37 - Outros (PRAZO DE ACORDO COM A DEMANDA)</v>
      </c>
      <c r="K81" s="7"/>
      <c r="L81" s="7" t="str">
        <f>IFERROR(__xludf.DUMMYFUNCTION("""COMPUTED_VALUE"""),"Uma lâmpada está dependurada com risco de queda  ( para a mesma já foi passada ordem de serviço anteriormente )")</f>
        <v>Uma lâmpada está dependurada com risco de queda  ( para a mesma já foi passada ordem de serviço anteriormente )</v>
      </c>
      <c r="M81" s="10"/>
      <c r="N81" s="10" t="str">
        <f>IFERROR(__xludf.DUMMYFUNCTION("""COMPUTED_VALUE"""),"Realizado")</f>
        <v>Realizado</v>
      </c>
      <c r="O81" s="11">
        <f>IFERROR(__xludf.DUMMYFUNCTION("""COMPUTED_VALUE"""),45307.0)</f>
        <v>45307</v>
      </c>
      <c r="P81" s="11"/>
    </row>
    <row r="82" ht="27.0" customHeight="1">
      <c r="A82" s="7" t="str">
        <f>IFERROR(__xludf.DUMMYFUNCTION("""COMPUTED_VALUE"""),"080/2024")</f>
        <v>080/2024</v>
      </c>
      <c r="B82" s="8">
        <f>IFERROR(__xludf.DUMMYFUNCTION("""COMPUTED_VALUE"""),45307.40020388889)</f>
        <v>45307.4002</v>
      </c>
      <c r="C82" s="8" t="str">
        <f>IFERROR(__xludf.DUMMYFUNCTION("""COMPUTED_VALUE"""),"logistica.dlt@ufcat.edu.br")</f>
        <v>logistica.dlt@ufcat.edu.br</v>
      </c>
      <c r="D82" s="7" t="str">
        <f>IFERROR(__xludf.DUMMYFUNCTION("""COMPUTED_VALUE"""),"Luciene")</f>
        <v>Luciene</v>
      </c>
      <c r="E82" s="7">
        <f>IFERROR(__xludf.DUMMYFUNCTION("""COMPUTED_VALUE"""),5369.0)</f>
        <v>5369</v>
      </c>
      <c r="F82" s="7" t="str">
        <f>IFERROR(__xludf.DUMMYFUNCTION("""COMPUTED_VALUE"""),"PROAF")</f>
        <v>PROAF</v>
      </c>
      <c r="G82" s="9" t="str">
        <f>IFERROR(__xludf.DUMMYFUNCTION("""COMPUTED_VALUE"""),"Sala do Transporte (DLT)")</f>
        <v>Sala do Transporte (DLT)</v>
      </c>
      <c r="H82" s="7" t="str">
        <f>IFERROR(__xludf.DUMMYFUNCTION("""COMPUTED_VALUE"""),"Nova sala do administrativo do transporte (lado do alojamento dos motoristas)")</f>
        <v>Nova sala do administrativo do transporte (lado do alojamento dos motoristas)</v>
      </c>
      <c r="I82" s="7" t="str">
        <f>IFERROR(__xludf.DUMMYFUNCTION("""COMPUTED_VALUE"""),"Instalações elétricas")</f>
        <v>Instalações elétricas</v>
      </c>
      <c r="J82" s="13"/>
      <c r="K82" s="13"/>
      <c r="L82" s="7" t="str">
        <f>IFERROR(__xludf.DUMMYFUNCTION("""COMPUTED_VALUE"""),"Retirada do claviculário da atual sala dos motoristas (sala 03, prédio administrativo) e instalar na nova sala dos motoristas (ao lado do alojamento).")</f>
        <v>Retirada do claviculário da atual sala dos motoristas (sala 03, prédio administrativo) e instalar na nova sala dos motoristas (ao lado do alojamento).</v>
      </c>
      <c r="M82" s="10"/>
      <c r="N82" s="10" t="str">
        <f>IFERROR(__xludf.DUMMYFUNCTION("""COMPUTED_VALUE"""),"Realizado")</f>
        <v>Realizado</v>
      </c>
      <c r="O82" s="11">
        <f>IFERROR(__xludf.DUMMYFUNCTION("""COMPUTED_VALUE"""),45310.0)</f>
        <v>45310</v>
      </c>
      <c r="P82" s="11"/>
    </row>
    <row r="83" ht="27.0" customHeight="1">
      <c r="A83" s="7" t="str">
        <f>IFERROR(__xludf.DUMMYFUNCTION("""COMPUTED_VALUE"""),"081/2024")</f>
        <v>081/2024</v>
      </c>
      <c r="B83" s="8">
        <f>IFERROR(__xludf.DUMMYFUNCTION("""COMPUTED_VALUE"""),45307.40348234954)</f>
        <v>45307.40348</v>
      </c>
      <c r="C83" s="8" t="str">
        <f>IFERROR(__xludf.DUMMYFUNCTION("""COMPUTED_VALUE"""),"muc.prpe@ufcat.edu.br")</f>
        <v>muc.prpe@ufcat.edu.br</v>
      </c>
      <c r="D83" s="7" t="str">
        <f>IFERROR(__xludf.DUMMYFUNCTION("""COMPUTED_VALUE"""),"Síndicos da MUC ")</f>
        <v>Síndicos da MUC </v>
      </c>
      <c r="E83" s="7">
        <f>IFERROR(__xludf.DUMMYFUNCTION("""COMPUTED_VALUE"""),5333.0)</f>
        <v>5333</v>
      </c>
      <c r="F83" s="7" t="str">
        <f>IFERROR(__xludf.DUMMYFUNCTION("""COMPUTED_VALUE"""),"PRPE")</f>
        <v>PRPE</v>
      </c>
      <c r="G83" s="9" t="str">
        <f>IFERROR(__xludf.DUMMYFUNCTION("""COMPUTED_VALUE"""),"MUC")</f>
        <v>MUC</v>
      </c>
      <c r="H83" s="7" t="str">
        <f>IFERROR(__xludf.DUMMYFUNCTION("""COMPUTED_VALUE"""),"Apto 303")</f>
        <v>Apto 303</v>
      </c>
      <c r="I83" s="7" t="str">
        <f>IFERROR(__xludf.DUMMYFUNCTION("""COMPUTED_VALUE"""),"Instalações Hidrossanitárias")</f>
        <v>Instalações Hidrossanitárias</v>
      </c>
      <c r="J83" s="7" t="str">
        <f>IFERROR(__xludf.DUMMYFUNCTION("""COMPUTED_VALUE"""),"02 Hidráulica / 07 - Desentupimento (PRAZO DE 1 ATÉ 5 DIAS PARA ATENDIMENTO)")</f>
        <v>02 Hidráulica / 07 - Desentupimento (PRAZO DE 1 ATÉ 5 DIAS PARA ATENDIMENTO)</v>
      </c>
      <c r="K83" s="7"/>
      <c r="L83" s="7" t="str">
        <f>IFERROR(__xludf.DUMMYFUNCTION("""COMPUTED_VALUE"""),"Apartamento 303 em decorrência da duas pias do banheiro entupidas e com vazamento. Por favor, verificar também vazamento do vaso, primeira cabine.")</f>
        <v>Apartamento 303 em decorrência da duas pias do banheiro entupidas e com vazamento. Por favor, verificar também vazamento do vaso, primeira cabine.</v>
      </c>
      <c r="M83" s="10"/>
      <c r="N83" s="10" t="str">
        <f>IFERROR(__xludf.DUMMYFUNCTION("""COMPUTED_VALUE"""),"Realizado")</f>
        <v>Realizado</v>
      </c>
      <c r="O83" s="11">
        <f>IFERROR(__xludf.DUMMYFUNCTION("""COMPUTED_VALUE"""),45307.0)</f>
        <v>45307</v>
      </c>
      <c r="P83" s="11"/>
    </row>
    <row r="84" ht="27.0" customHeight="1">
      <c r="A84" s="7" t="str">
        <f>IFERROR(__xludf.DUMMYFUNCTION("""COMPUTED_VALUE"""),"082/2024")</f>
        <v>082/2024</v>
      </c>
      <c r="B84" s="8">
        <f>IFERROR(__xludf.DUMMYFUNCTION("""COMPUTED_VALUE"""),45307.427854988426)</f>
        <v>45307.42785</v>
      </c>
      <c r="C84" s="8" t="str">
        <f>IFERROR(__xludf.DUMMYFUNCTION("""COMPUTED_VALUE"""),"muc.prpe@ufcat.edu.br")</f>
        <v>muc.prpe@ufcat.edu.br</v>
      </c>
      <c r="D84" s="7" t="str">
        <f>IFERROR(__xludf.DUMMYFUNCTION("""COMPUTED_VALUE"""),"DANIEL DOS REIS SIMÕES")</f>
        <v>DANIEL DOS REIS SIMÕES</v>
      </c>
      <c r="E84" s="7">
        <f>IFERROR(__xludf.DUMMYFUNCTION("""COMPUTED_VALUE"""),5333.0)</f>
        <v>5333</v>
      </c>
      <c r="F84" s="7" t="str">
        <f>IFERROR(__xludf.DUMMYFUNCTION("""COMPUTED_VALUE"""),"PRPE")</f>
        <v>PRPE</v>
      </c>
      <c r="G84" s="9" t="str">
        <f>IFERROR(__xludf.DUMMYFUNCTION("""COMPUTED_VALUE"""),"MUC")</f>
        <v>MUC</v>
      </c>
      <c r="H84" s="7" t="str">
        <f>IFERROR(__xludf.DUMMYFUNCTION("""COMPUTED_VALUE"""),"Apto 302")</f>
        <v>Apto 302</v>
      </c>
      <c r="I84" s="7" t="str">
        <f>IFERROR(__xludf.DUMMYFUNCTION("""COMPUTED_VALUE"""),"Instalações elétricas")</f>
        <v>Instalações elétricas</v>
      </c>
      <c r="J84" s="7" t="str">
        <f>IFERROR(__xludf.DUMMYFUNCTION("""COMPUTED_VALUE"""),"04 Elétrica / 37 - Outros (PRAZO DE ACORDO COM A DEMANDA)")</f>
        <v>04 Elétrica / 37 - Outros (PRAZO DE ACORDO COM A DEMANDA)</v>
      </c>
      <c r="K84" s="7"/>
      <c r="L84" s="7" t="str">
        <f>IFERROR(__xludf.DUMMYFUNCTION("""COMPUTED_VALUE"""),"Ventilador parou de funcionar. Apto 302. Quarto A")</f>
        <v>Ventilador parou de funcionar. Apto 302. Quarto A</v>
      </c>
      <c r="M84" s="10"/>
      <c r="N84" s="10" t="str">
        <f>IFERROR(__xludf.DUMMYFUNCTION("""COMPUTED_VALUE"""),"Realizado")</f>
        <v>Realizado</v>
      </c>
      <c r="O84" s="11">
        <f>IFERROR(__xludf.DUMMYFUNCTION("""COMPUTED_VALUE"""),45307.0)</f>
        <v>45307</v>
      </c>
      <c r="P84" s="11"/>
    </row>
    <row r="85" ht="27.0" customHeight="1">
      <c r="A85" s="7" t="str">
        <f>IFERROR(__xludf.DUMMYFUNCTION("""COMPUTED_VALUE"""),"083/2024")</f>
        <v>083/2024</v>
      </c>
      <c r="B85" s="8">
        <f>IFERROR(__xludf.DUMMYFUNCTION("""COMPUTED_VALUE"""),45307.43117565972)</f>
        <v>45307.43118</v>
      </c>
      <c r="C85" s="8" t="str">
        <f>IFERROR(__xludf.DUMMYFUNCTION("""COMPUTED_VALUE"""),"muc.prpe@ufcat.edu.br")</f>
        <v>muc.prpe@ufcat.edu.br</v>
      </c>
      <c r="D85" s="7" t="str">
        <f>IFERROR(__xludf.DUMMYFUNCTION("""COMPUTED_VALUE"""),"DANIEL DOS REIS SIMÕES")</f>
        <v>DANIEL DOS REIS SIMÕES</v>
      </c>
      <c r="E85" s="7">
        <f>IFERROR(__xludf.DUMMYFUNCTION("""COMPUTED_VALUE"""),5333.0)</f>
        <v>5333</v>
      </c>
      <c r="F85" s="7" t="str">
        <f>IFERROR(__xludf.DUMMYFUNCTION("""COMPUTED_VALUE"""),"PRPE")</f>
        <v>PRPE</v>
      </c>
      <c r="G85" s="9" t="str">
        <f>IFERROR(__xludf.DUMMYFUNCTION("""COMPUTED_VALUE"""),"MUC")</f>
        <v>MUC</v>
      </c>
      <c r="H85" s="7" t="str">
        <f>IFERROR(__xludf.DUMMYFUNCTION("""COMPUTED_VALUE"""),"Apto 303")</f>
        <v>Apto 303</v>
      </c>
      <c r="I85" s="7" t="str">
        <f>IFERROR(__xludf.DUMMYFUNCTION("""COMPUTED_VALUE"""),"Instalações Hidrossanitárias")</f>
        <v>Instalações Hidrossanitárias</v>
      </c>
      <c r="J85" s="7" t="str">
        <f>IFERROR(__xludf.DUMMYFUNCTION("""COMPUTED_VALUE"""),"02 Hidráulica / 17 - Troca de sifão, registro (PRAZO DE 10 a 15 DIAS PARA ATENDIMENTO)")</f>
        <v>02 Hidráulica / 17 - Troca de sifão, registro (PRAZO DE 10 a 15 DIAS PARA ATENDIMENTO)</v>
      </c>
      <c r="K85" s="7"/>
      <c r="L85" s="7" t="str">
        <f>IFERROR(__xludf.DUMMYFUNCTION("""COMPUTED_VALUE"""),"As pias do banheiro estão entupidas. Precisa trocar o sifão de cada uma delas. Apto 303")</f>
        <v>As pias do banheiro estão entupidas. Precisa trocar o sifão de cada uma delas. Apto 303</v>
      </c>
      <c r="M85" s="10"/>
      <c r="N85" s="10" t="str">
        <f>IFERROR(__xludf.DUMMYFUNCTION("""COMPUTED_VALUE"""),"Realizado")</f>
        <v>Realizado</v>
      </c>
      <c r="O85" s="11">
        <f>IFERROR(__xludf.DUMMYFUNCTION("""COMPUTED_VALUE"""),45310.0)</f>
        <v>45310</v>
      </c>
      <c r="P85" s="11"/>
    </row>
    <row r="86" ht="27.0" customHeight="1">
      <c r="A86" s="7" t="str">
        <f>IFERROR(__xludf.DUMMYFUNCTION("""COMPUTED_VALUE"""),"084/2024")</f>
        <v>084/2024</v>
      </c>
      <c r="B86" s="8">
        <f>IFERROR(__xludf.DUMMYFUNCTION("""COMPUTED_VALUE"""),45307.43900844907)</f>
        <v>45307.43901</v>
      </c>
      <c r="C86" s="8" t="str">
        <f>IFERROR(__xludf.DUMMYFUNCTION("""COMPUTED_VALUE"""),"muc.prpe@ufcat.edu.br")</f>
        <v>muc.prpe@ufcat.edu.br</v>
      </c>
      <c r="D86" s="7" t="str">
        <f>IFERROR(__xludf.DUMMYFUNCTION("""COMPUTED_VALUE"""),"DANIEL DOS REIS SIMÕES")</f>
        <v>DANIEL DOS REIS SIMÕES</v>
      </c>
      <c r="E86" s="7">
        <f>IFERROR(__xludf.DUMMYFUNCTION("""COMPUTED_VALUE"""),5333.0)</f>
        <v>5333</v>
      </c>
      <c r="F86" s="7" t="str">
        <f>IFERROR(__xludf.DUMMYFUNCTION("""COMPUTED_VALUE"""),"PRPE")</f>
        <v>PRPE</v>
      </c>
      <c r="G86" s="9" t="str">
        <f>IFERROR(__xludf.DUMMYFUNCTION("""COMPUTED_VALUE"""),"MUC")</f>
        <v>MUC</v>
      </c>
      <c r="H86" s="7" t="str">
        <f>IFERROR(__xludf.DUMMYFUNCTION("""COMPUTED_VALUE"""),"Apto 303")</f>
        <v>Apto 303</v>
      </c>
      <c r="I86" s="7" t="str">
        <f>IFERROR(__xludf.DUMMYFUNCTION("""COMPUTED_VALUE"""),"Instalações Hidrossanitárias")</f>
        <v>Instalações Hidrossanitárias</v>
      </c>
      <c r="J86"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86" s="7"/>
      <c r="L86" s="7" t="str">
        <f>IFERROR(__xludf.DUMMYFUNCTION("""COMPUTED_VALUE"""),"Vazamento no vaso sanitário, primeira cabine. ")</f>
        <v>Vazamento no vaso sanitário, primeira cabine. </v>
      </c>
      <c r="M86" s="10"/>
      <c r="N86" s="10" t="str">
        <f>IFERROR(__xludf.DUMMYFUNCTION("""COMPUTED_VALUE"""),"Realizado")</f>
        <v>Realizado</v>
      </c>
      <c r="O86" s="11">
        <f>IFERROR(__xludf.DUMMYFUNCTION("""COMPUTED_VALUE"""),45307.0)</f>
        <v>45307</v>
      </c>
      <c r="P86" s="11"/>
    </row>
    <row r="87" ht="27.0" customHeight="1">
      <c r="A87" s="7" t="str">
        <f>IFERROR(__xludf.DUMMYFUNCTION("""COMPUTED_VALUE"""),"085/2024")</f>
        <v>085/2024</v>
      </c>
      <c r="B87" s="8">
        <f>IFERROR(__xludf.DUMMYFUNCTION("""COMPUTED_VALUE"""),45307.454784710644)</f>
        <v>45307.45478</v>
      </c>
      <c r="C87" s="8" t="str">
        <f>IFERROR(__xludf.DUMMYFUNCTION("""COMPUTED_VALUE"""),"muc.prpe@ufcat.edu.br")</f>
        <v>muc.prpe@ufcat.edu.br</v>
      </c>
      <c r="D87" s="7" t="str">
        <f>IFERROR(__xludf.DUMMYFUNCTION("""COMPUTED_VALUE"""),"DANIEL DOS REIS SIMÕES")</f>
        <v>DANIEL DOS REIS SIMÕES</v>
      </c>
      <c r="E87" s="7">
        <f>IFERROR(__xludf.DUMMYFUNCTION("""COMPUTED_VALUE"""),5333.0)</f>
        <v>5333</v>
      </c>
      <c r="F87" s="7" t="str">
        <f>IFERROR(__xludf.DUMMYFUNCTION("""COMPUTED_VALUE"""),"PRPE")</f>
        <v>PRPE</v>
      </c>
      <c r="G87" s="9" t="str">
        <f>IFERROR(__xludf.DUMMYFUNCTION("""COMPUTED_VALUE"""),"MUC")</f>
        <v>MUC</v>
      </c>
      <c r="H87" s="7" t="str">
        <f>IFERROR(__xludf.DUMMYFUNCTION("""COMPUTED_VALUE"""),"Apto 306")</f>
        <v>Apto 306</v>
      </c>
      <c r="I87" s="7" t="str">
        <f>IFERROR(__xludf.DUMMYFUNCTION("""COMPUTED_VALUE"""),"Instalações elétricas")</f>
        <v>Instalações elétricas</v>
      </c>
      <c r="J87" s="7" t="str">
        <f>IFERROR(__xludf.DUMMYFUNCTION("""COMPUTED_VALUE"""),"04 Elétrica / 35 - Troca de Lâmpadas (PRAZO DE ATÉ 15 DIAS PARA ATENDIMENTO)")</f>
        <v>04 Elétrica / 35 - Troca de Lâmpadas (PRAZO DE ATÉ 15 DIAS PARA ATENDIMENTO)</v>
      </c>
      <c r="K87" s="7"/>
      <c r="L87" s="7" t="str">
        <f>IFERROR(__xludf.DUMMYFUNCTION("""COMPUTED_VALUE"""),"Trocar a lâmpada do quarto B, apto 306")</f>
        <v>Trocar a lâmpada do quarto B, apto 306</v>
      </c>
      <c r="M87" s="10"/>
      <c r="N87" s="10" t="str">
        <f>IFERROR(__xludf.DUMMYFUNCTION("""COMPUTED_VALUE"""),"Realizado")</f>
        <v>Realizado</v>
      </c>
      <c r="O87" s="11">
        <f>IFERROR(__xludf.DUMMYFUNCTION("""COMPUTED_VALUE"""),45310.0)</f>
        <v>45310</v>
      </c>
      <c r="P87" s="11"/>
    </row>
    <row r="88" ht="27.0" customHeight="1">
      <c r="A88" s="7" t="str">
        <f>IFERROR(__xludf.DUMMYFUNCTION("""COMPUTED_VALUE"""),"086/2024")</f>
        <v>086/2024</v>
      </c>
      <c r="B88" s="8">
        <f>IFERROR(__xludf.DUMMYFUNCTION("""COMPUTED_VALUE"""),45307.64881533565)</f>
        <v>45307.64882</v>
      </c>
      <c r="C88" s="8" t="str">
        <f>IFERROR(__xludf.DUMMYFUNCTION("""COMPUTED_VALUE"""),"amanda.lopes@ufcat.edu.br")</f>
        <v>amanda.lopes@ufcat.edu.br</v>
      </c>
      <c r="D88" s="7" t="str">
        <f>IFERROR(__xludf.DUMMYFUNCTION("""COMPUTED_VALUE"""),"Amanda Matos ")</f>
        <v>Amanda Matos </v>
      </c>
      <c r="E88" s="7">
        <f>IFERROR(__xludf.DUMMYFUNCTION("""COMPUTED_VALUE"""),5340.0)</f>
        <v>5340</v>
      </c>
      <c r="F88" s="7" t="str">
        <f>IFERROR(__xludf.DUMMYFUNCTION("""COMPUTED_VALUE"""),"PREF")</f>
        <v>PREF</v>
      </c>
      <c r="G88" s="9" t="str">
        <f>IFERROR(__xludf.DUMMYFUNCTION("""COMPUTED_VALUE"""),"Bloco M")</f>
        <v>Bloco M</v>
      </c>
      <c r="H88" s="7" t="str">
        <f>IFERROR(__xludf.DUMMYFUNCTION("""COMPUTED_VALUE"""),"Terreo ")</f>
        <v>Terreo </v>
      </c>
      <c r="I88" s="7" t="str">
        <f>IFERROR(__xludf.DUMMYFUNCTION("""COMPUTED_VALUE"""),"Instalações Hidrossanitárias")</f>
        <v>Instalações Hidrossanitárias</v>
      </c>
      <c r="J88" s="7" t="str">
        <f>IFERROR(__xludf.DUMMYFUNCTION("""COMPUTED_VALUE"""),"02 Hidráulica / 21 - Troca de filtro de bebedouros (PRAZO DE 15 a 60 DIAS PARA ATENDIMENTO)")</f>
        <v>02 Hidráulica / 21 - Troca de filtro de bebedouros (PRAZO DE 15 a 60 DIAS PARA ATENDIMENTO)</v>
      </c>
      <c r="K88" s="7"/>
      <c r="L88" s="7" t="str">
        <f>IFERROR(__xludf.DUMMYFUNCTION("""COMPUTED_VALUE"""),"Troca filtro do bebedouro ")</f>
        <v>Troca filtro do bebedouro </v>
      </c>
      <c r="M88" s="10"/>
      <c r="N88" s="10" t="str">
        <f>IFERROR(__xludf.DUMMYFUNCTION("""COMPUTED_VALUE"""),"Realizado")</f>
        <v>Realizado</v>
      </c>
      <c r="O88" s="11">
        <f>IFERROR(__xludf.DUMMYFUNCTION("""COMPUTED_VALUE"""),45307.0)</f>
        <v>45307</v>
      </c>
      <c r="P88" s="11"/>
    </row>
    <row r="89" ht="27.0" customHeight="1">
      <c r="A89" s="7" t="str">
        <f>IFERROR(__xludf.DUMMYFUNCTION("""COMPUTED_VALUE"""),"087/2024")</f>
        <v>087/2024</v>
      </c>
      <c r="B89" s="8">
        <f>IFERROR(__xludf.DUMMYFUNCTION("""COMPUTED_VALUE"""),45307.64940862269)</f>
        <v>45307.64941</v>
      </c>
      <c r="C89" s="8" t="str">
        <f>IFERROR(__xludf.DUMMYFUNCTION("""COMPUTED_VALUE"""),"amanda.lopes@ufcat.edu.br")</f>
        <v>amanda.lopes@ufcat.edu.br</v>
      </c>
      <c r="D89" s="7" t="str">
        <f>IFERROR(__xludf.DUMMYFUNCTION("""COMPUTED_VALUE"""),"Amanda Matos ")</f>
        <v>Amanda Matos </v>
      </c>
      <c r="E89" s="7">
        <f>IFERROR(__xludf.DUMMYFUNCTION("""COMPUTED_VALUE"""),5340.0)</f>
        <v>5340</v>
      </c>
      <c r="F89" s="7" t="str">
        <f>IFERROR(__xludf.DUMMYFUNCTION("""COMPUTED_VALUE"""),"PREF")</f>
        <v>PREF</v>
      </c>
      <c r="G89" s="9" t="str">
        <f>IFERROR(__xludf.DUMMYFUNCTION("""COMPUTED_VALUE"""),"Bloco P")</f>
        <v>Bloco P</v>
      </c>
      <c r="H89" s="7" t="str">
        <f>IFERROR(__xludf.DUMMYFUNCTION("""COMPUTED_VALUE"""),"Sala da pintura ")</f>
        <v>Sala da pintura </v>
      </c>
      <c r="I89" s="7" t="str">
        <f>IFERROR(__xludf.DUMMYFUNCTION("""COMPUTED_VALUE"""),"Pintura")</f>
        <v>Pintura</v>
      </c>
      <c r="J89" s="7" t="str">
        <f>IFERROR(__xludf.DUMMYFUNCTION("""COMPUTED_VALUE"""),"06 Pintura / 43 - Pintura de Parede (PRAZO DE ATÉ 60 DIAS PARA ATENDIMENTO)")</f>
        <v>06 Pintura / 43 - Pintura de Parede (PRAZO DE ATÉ 60 DIAS PARA ATENDIMENTO)</v>
      </c>
      <c r="K89" s="7"/>
      <c r="L89" s="7" t="str">
        <f>IFERROR(__xludf.DUMMYFUNCTION("""COMPUTED_VALUE"""),"Pintura da sala ")</f>
        <v>Pintura da sala </v>
      </c>
      <c r="M89" s="10"/>
      <c r="N89" s="10" t="str">
        <f>IFERROR(__xludf.DUMMYFUNCTION("""COMPUTED_VALUE"""),"Realizado")</f>
        <v>Realizado</v>
      </c>
      <c r="O89" s="11">
        <f>IFERROR(__xludf.DUMMYFUNCTION("""COMPUTED_VALUE"""),45337.0)</f>
        <v>45337</v>
      </c>
      <c r="P89" s="11"/>
    </row>
    <row r="90" ht="27.0" customHeight="1">
      <c r="A90" s="7" t="str">
        <f>IFERROR(__xludf.DUMMYFUNCTION("""COMPUTED_VALUE"""),"088/2024")</f>
        <v>088/2024</v>
      </c>
      <c r="B90" s="8">
        <f>IFERROR(__xludf.DUMMYFUNCTION("""COMPUTED_VALUE"""),45307.64997462963)</f>
        <v>45307.64997</v>
      </c>
      <c r="C90" s="8" t="str">
        <f>IFERROR(__xludf.DUMMYFUNCTION("""COMPUTED_VALUE"""),"amanda.lopes@ufcat.edu.br")</f>
        <v>amanda.lopes@ufcat.edu.br</v>
      </c>
      <c r="D90" s="7" t="str">
        <f>IFERROR(__xludf.DUMMYFUNCTION("""COMPUTED_VALUE"""),"Amanda Matos ")</f>
        <v>Amanda Matos </v>
      </c>
      <c r="E90" s="7">
        <f>IFERROR(__xludf.DUMMYFUNCTION("""COMPUTED_VALUE"""),5340.0)</f>
        <v>5340</v>
      </c>
      <c r="F90" s="7" t="str">
        <f>IFERROR(__xludf.DUMMYFUNCTION("""COMPUTED_VALUE"""),"PREF")</f>
        <v>PREF</v>
      </c>
      <c r="G90" s="9" t="str">
        <f>IFERROR(__xludf.DUMMYFUNCTION("""COMPUTED_VALUE"""),"Bloco P")</f>
        <v>Bloco P</v>
      </c>
      <c r="H90" s="7" t="str">
        <f>IFERROR(__xludf.DUMMYFUNCTION("""COMPUTED_VALUE"""),"Serralheria ")</f>
        <v>Serralheria </v>
      </c>
      <c r="I90" s="7" t="str">
        <f>IFERROR(__xludf.DUMMYFUNCTION("""COMPUTED_VALUE"""),"Reparos (alvenaria, piso, forro e telhado)")</f>
        <v>Reparos (alvenaria, piso, forro e telhado)</v>
      </c>
      <c r="J90" s="7" t="str">
        <f>IFERROR(__xludf.DUMMYFUNCTION("""COMPUTED_VALUE"""),"01 Alvenaria / 06 - Outros (PRAZO DE ATÉ 60 DIAS PARA ATENDIMENTO)")</f>
        <v>01 Alvenaria / 06 - Outros (PRAZO DE ATÉ 60 DIAS PARA ATENDIMENTO)</v>
      </c>
      <c r="K90" s="7"/>
      <c r="L90" s="7" t="str">
        <f>IFERROR(__xludf.DUMMYFUNCTION("""COMPUTED_VALUE"""),"Quebra da parede ")</f>
        <v>Quebra da parede </v>
      </c>
      <c r="M90" s="10"/>
      <c r="N90" s="10" t="str">
        <f>IFERROR(__xludf.DUMMYFUNCTION("""COMPUTED_VALUE"""),"Realizado")</f>
        <v>Realizado</v>
      </c>
      <c r="O90" s="11">
        <f>IFERROR(__xludf.DUMMYFUNCTION("""COMPUTED_VALUE"""),45337.0)</f>
        <v>45337</v>
      </c>
      <c r="P90" s="11"/>
    </row>
    <row r="91" ht="27.0" customHeight="1">
      <c r="A91" s="7" t="str">
        <f>IFERROR(__xludf.DUMMYFUNCTION("""COMPUTED_VALUE"""),"089/2024")</f>
        <v>089/2024</v>
      </c>
      <c r="B91" s="8">
        <f>IFERROR(__xludf.DUMMYFUNCTION("""COMPUTED_VALUE"""),45308.340046111116)</f>
        <v>45308.34005</v>
      </c>
      <c r="C91" s="14" t="str">
        <f>IFERROR(__xludf.DUMMYFUNCTION("""COMPUTED_VALUE"""),"mariaeduarda.borges@ufcat.edu.br")</f>
        <v>mariaeduarda.borges@ufcat.edu.br</v>
      </c>
      <c r="D91" s="7" t="str">
        <f>IFERROR(__xludf.DUMMYFUNCTION("""COMPUTED_VALUE"""),"Maria Eduarda Silva Borges ")</f>
        <v>Maria Eduarda Silva Borges </v>
      </c>
      <c r="E91" s="7">
        <f>IFERROR(__xludf.DUMMYFUNCTION("""COMPUTED_VALUE"""),5340.0)</f>
        <v>5340</v>
      </c>
      <c r="F91" s="7" t="str">
        <f>IFERROR(__xludf.DUMMYFUNCTION("""COMPUTED_VALUE"""),"PREF")</f>
        <v>PREF</v>
      </c>
      <c r="G91" s="9" t="str">
        <f>IFERROR(__xludf.DUMMYFUNCTION("""COMPUTED_VALUE"""),"Bloco P")</f>
        <v>Bloco P</v>
      </c>
      <c r="H91" s="7" t="str">
        <f>IFERROR(__xludf.DUMMYFUNCTION("""COMPUTED_VALUE"""),"PREFEITURA UNIVERSITÁRIA ")</f>
        <v>PREFEITURA UNIVERSITÁRIA </v>
      </c>
      <c r="I91" s="7" t="str">
        <f>IFERROR(__xludf.DUMMYFUNCTION("""COMPUTED_VALUE"""),"Serralheria")</f>
        <v>Serralheria</v>
      </c>
      <c r="J91" s="7" t="str">
        <f>IFERROR(__xludf.DUMMYFUNCTION("""COMPUTED_VALUE"""),"08 Serralheria / 56 - Outros (PRAZO DE ACORDO COM A DEMANDA)")</f>
        <v>08 Serralheria / 56 - Outros (PRAZO DE ACORDO COM A DEMANDA)</v>
      </c>
      <c r="K91" s="7"/>
      <c r="L91" s="7" t="str">
        <f>IFERROR(__xludf.DUMMYFUNCTION("""COMPUTED_VALUE"""),"COLOCAR 06 COMEDOUROS DOS CACHORROS  ")</f>
        <v>COLOCAR 06 COMEDOUROS DOS CACHORROS  </v>
      </c>
      <c r="M91" s="10"/>
      <c r="N91" s="10" t="str">
        <f>IFERROR(__xludf.DUMMYFUNCTION("""COMPUTED_VALUE"""),"Realizado")</f>
        <v>Realizado</v>
      </c>
      <c r="O91" s="11">
        <f>IFERROR(__xludf.DUMMYFUNCTION("""COMPUTED_VALUE"""),45357.0)</f>
        <v>45357</v>
      </c>
      <c r="P91" s="11"/>
    </row>
    <row r="92" ht="27.0" customHeight="1">
      <c r="A92" s="7" t="str">
        <f>IFERROR(__xludf.DUMMYFUNCTION("""COMPUTED_VALUE"""),"090/2024")</f>
        <v>090/2024</v>
      </c>
      <c r="B92" s="8">
        <f>IFERROR(__xludf.DUMMYFUNCTION("""COMPUTED_VALUE"""),45308.392875000005)</f>
        <v>45308.39288</v>
      </c>
      <c r="C92" s="14" t="str">
        <f>IFERROR(__xludf.DUMMYFUNCTION("""COMPUTED_VALUE"""),"muc.prpe@ufcat.edu.br")</f>
        <v>muc.prpe@ufcat.edu.br</v>
      </c>
      <c r="D92" s="7" t="str">
        <f>IFERROR(__xludf.DUMMYFUNCTION("""COMPUTED_VALUE"""),"DANIEL DOS REIS SIMÕES")</f>
        <v>DANIEL DOS REIS SIMÕES</v>
      </c>
      <c r="E92" s="7">
        <f>IFERROR(__xludf.DUMMYFUNCTION("""COMPUTED_VALUE"""),5333.0)</f>
        <v>5333</v>
      </c>
      <c r="F92" s="7" t="str">
        <f>IFERROR(__xludf.DUMMYFUNCTION("""COMPUTED_VALUE"""),"PRPE")</f>
        <v>PRPE</v>
      </c>
      <c r="G92" s="9" t="str">
        <f>IFERROR(__xludf.DUMMYFUNCTION("""COMPUTED_VALUE"""),"MUC")</f>
        <v>MUC</v>
      </c>
      <c r="H92" s="7" t="str">
        <f>IFERROR(__xludf.DUMMYFUNCTION("""COMPUTED_VALUE"""),"Apto 304")</f>
        <v>Apto 304</v>
      </c>
      <c r="I92" s="7" t="str">
        <f>IFERROR(__xludf.DUMMYFUNCTION("""COMPUTED_VALUE"""),"Instalações elétricas")</f>
        <v>Instalações elétricas</v>
      </c>
      <c r="J92" s="7" t="str">
        <f>IFERROR(__xludf.DUMMYFUNCTION("""COMPUTED_VALUE"""),"04 Elétrica / 35 - Troca de Lâmpadas (PRAZO DE ATÉ 15 DIAS PARA ATENDIMENTO)")</f>
        <v>04 Elétrica / 35 - Troca de Lâmpadas (PRAZO DE ATÉ 15 DIAS PARA ATENDIMENTO)</v>
      </c>
      <c r="K92" s="7"/>
      <c r="L92" s="7" t="str">
        <f>IFERROR(__xludf.DUMMYFUNCTION("""COMPUTED_VALUE"""),"Trocar a lâmpada do quarto B, apto 304")</f>
        <v>Trocar a lâmpada do quarto B, apto 304</v>
      </c>
      <c r="M92" s="10"/>
      <c r="N92" s="10" t="str">
        <f>IFERROR(__xludf.DUMMYFUNCTION("""COMPUTED_VALUE"""),"Realizado")</f>
        <v>Realizado</v>
      </c>
      <c r="O92" s="11">
        <f>IFERROR(__xludf.DUMMYFUNCTION("""COMPUTED_VALUE"""),45310.0)</f>
        <v>45310</v>
      </c>
      <c r="P92" s="11"/>
    </row>
    <row r="93" ht="27.0" customHeight="1">
      <c r="A93" s="7" t="str">
        <f>IFERROR(__xludf.DUMMYFUNCTION("""COMPUTED_VALUE"""),"091/2024")</f>
        <v>091/2024</v>
      </c>
      <c r="B93" s="8">
        <f>IFERROR(__xludf.DUMMYFUNCTION("""COMPUTED_VALUE"""),45308.40213096065)</f>
        <v>45308.40213</v>
      </c>
      <c r="C93" s="14" t="str">
        <f>IFERROR(__xludf.DUMMYFUNCTION("""COMPUTED_VALUE"""),"propesq@ufcat.edu.br")</f>
        <v>propesq@ufcat.edu.br</v>
      </c>
      <c r="D93" s="7" t="str">
        <f>IFERROR(__xludf.DUMMYFUNCTION("""COMPUTED_VALUE"""),"Ludimila Campos")</f>
        <v>Ludimila Campos</v>
      </c>
      <c r="E93" s="7">
        <f>IFERROR(__xludf.DUMMYFUNCTION("""COMPUTED_VALUE"""),5357.0)</f>
        <v>5357</v>
      </c>
      <c r="F93" s="7" t="str">
        <f>IFERROR(__xludf.DUMMYFUNCTION("""COMPUTED_VALUE"""),"PROPESQ")</f>
        <v>PROPESQ</v>
      </c>
      <c r="G93" s="9" t="str">
        <f>IFERROR(__xludf.DUMMYFUNCTION("""COMPUTED_VALUE"""),"Bloco L")</f>
        <v>Bloco L</v>
      </c>
      <c r="H93" s="7" t="str">
        <f>IFERROR(__xludf.DUMMYFUNCTION("""COMPUTED_VALUE"""),"Corredor hall do 1º andar, banheiro feminino e masculino, salas 107 e 108")</f>
        <v>Corredor hall do 1º andar, banheiro feminino e masculino, salas 107 e 108</v>
      </c>
      <c r="I93" s="7" t="str">
        <f>IFERROR(__xludf.DUMMYFUNCTION("""COMPUTED_VALUE"""),"Instalações elétricas")</f>
        <v>Instalações elétricas</v>
      </c>
      <c r="J93" s="7" t="str">
        <f>IFERROR(__xludf.DUMMYFUNCTION("""COMPUTED_VALUE"""),"04 Elétrica / 37 - Outros (PRAZO DE ACORDO COM A DEMANDA)")</f>
        <v>04 Elétrica / 37 - Outros (PRAZO DE ACORDO COM A DEMANDA)</v>
      </c>
      <c r="K93" s="7"/>
      <c r="L93" s="7" t="str">
        <f>IFERROR(__xludf.DUMMYFUNCTION("""COMPUTED_VALUE"""),"Lâmpadas não estão acendendo/ligando. 
(Corredor hall do 1º andar, banheiro feminino e masculino, salas 107 e 108).")</f>
        <v>Lâmpadas não estão acendendo/ligando. 
(Corredor hall do 1º andar, banheiro feminino e masculino, salas 107 e 108).</v>
      </c>
      <c r="M93" s="10"/>
      <c r="N93" s="10" t="str">
        <f>IFERROR(__xludf.DUMMYFUNCTION("""COMPUTED_VALUE"""),"Realizado")</f>
        <v>Realizado</v>
      </c>
      <c r="O93" s="11">
        <f>IFERROR(__xludf.DUMMYFUNCTION("""COMPUTED_VALUE"""),45309.0)</f>
        <v>45309</v>
      </c>
      <c r="P93" s="11"/>
    </row>
    <row r="94" ht="27.0" customHeight="1">
      <c r="A94" s="7" t="str">
        <f>IFERROR(__xludf.DUMMYFUNCTION("""COMPUTED_VALUE"""),"092/2024")</f>
        <v>092/2024</v>
      </c>
      <c r="B94" s="8">
        <f>IFERROR(__xludf.DUMMYFUNCTION("""COMPUTED_VALUE"""),45308.407865625)</f>
        <v>45308.40787</v>
      </c>
      <c r="C94" s="8" t="str">
        <f>IFERROR(__xludf.DUMMYFUNCTION("""COMPUTED_VALUE"""),"propesq@ufcat.edu.br")</f>
        <v>propesq@ufcat.edu.br</v>
      </c>
      <c r="D94" s="7" t="str">
        <f>IFERROR(__xludf.DUMMYFUNCTION("""COMPUTED_VALUE"""),"Ludimila Campos")</f>
        <v>Ludimila Campos</v>
      </c>
      <c r="E94" s="7">
        <f>IFERROR(__xludf.DUMMYFUNCTION("""COMPUTED_VALUE"""),5357.0)</f>
        <v>5357</v>
      </c>
      <c r="F94" s="7" t="str">
        <f>IFERROR(__xludf.DUMMYFUNCTION("""COMPUTED_VALUE"""),"PROPESQ")</f>
        <v>PROPESQ</v>
      </c>
      <c r="G94" s="9" t="str">
        <f>IFERROR(__xludf.DUMMYFUNCTION("""COMPUTED_VALUE"""),"Bloco L")</f>
        <v>Bloco L</v>
      </c>
      <c r="H94" s="7" t="str">
        <f>IFERROR(__xludf.DUMMYFUNCTION("""COMPUTED_VALUE"""),"Hall do Térreo - Bloco L ")</f>
        <v>Hall do Térreo - Bloco L </v>
      </c>
      <c r="I94" s="7" t="str">
        <f>IFERROR(__xludf.DUMMYFUNCTION("""COMPUTED_VALUE"""),"Instalações Hidrossanitárias")</f>
        <v>Instalações Hidrossanitárias</v>
      </c>
      <c r="J94" s="7" t="str">
        <f>IFERROR(__xludf.DUMMYFUNCTION("""COMPUTED_VALUE"""),"02 Hidráulica / 21 - Troca de filtro de bebedouros (PRAZO DE 15 a 60 DIAS PARA ATENDIMENTO)")</f>
        <v>02 Hidráulica / 21 - Troca de filtro de bebedouros (PRAZO DE 15 a 60 DIAS PARA ATENDIMENTO)</v>
      </c>
      <c r="K94" s="7"/>
      <c r="L94" s="7" t="str">
        <f>IFERROR(__xludf.DUMMYFUNCTION("""COMPUTED_VALUE"""),"Troca de filtro do bebedouro (hall do térreo)")</f>
        <v>Troca de filtro do bebedouro (hall do térreo)</v>
      </c>
      <c r="M94" s="10"/>
      <c r="N94" s="10" t="str">
        <f>IFERROR(__xludf.DUMMYFUNCTION("""COMPUTED_VALUE"""),"Realizado")</f>
        <v>Realizado</v>
      </c>
      <c r="O94" s="11">
        <f>IFERROR(__xludf.DUMMYFUNCTION("""COMPUTED_VALUE"""),45315.0)</f>
        <v>45315</v>
      </c>
      <c r="P94" s="11"/>
    </row>
    <row r="95" ht="27.0" customHeight="1">
      <c r="A95" s="7" t="str">
        <f>IFERROR(__xludf.DUMMYFUNCTION("""COMPUTED_VALUE"""),"093/2024")</f>
        <v>093/2024</v>
      </c>
      <c r="B95" s="8">
        <f>IFERROR(__xludf.DUMMYFUNCTION("""COMPUTED_VALUE"""),45308.58188890046)</f>
        <v>45308.58189</v>
      </c>
      <c r="C95" s="8" t="str">
        <f>IFERROR(__xludf.DUMMYFUNCTION("""COMPUTED_VALUE"""),"iolanda.aguiar@ufcat.edu.br")</f>
        <v>iolanda.aguiar@ufcat.edu.br</v>
      </c>
      <c r="D95" s="7" t="str">
        <f>IFERROR(__xludf.DUMMYFUNCTION("""COMPUTED_VALUE"""),"Iolanda Maria Aguiar")</f>
        <v>Iolanda Maria Aguiar</v>
      </c>
      <c r="E95" s="7" t="str">
        <f>IFERROR(__xludf.DUMMYFUNCTION("""COMPUTED_VALUE"""),"(62) 982410124")</f>
        <v>(62) 982410124</v>
      </c>
      <c r="F95" s="7" t="str">
        <f>IFERROR(__xludf.DUMMYFUNCTION("""COMPUTED_VALUE"""),"FENG - Engenharia de Minas")</f>
        <v>FENG - Engenharia de Minas</v>
      </c>
      <c r="G95" s="9" t="str">
        <f>IFERROR(__xludf.DUMMYFUNCTION("""COMPUTED_VALUE"""),"Bloco O")</f>
        <v>Bloco O</v>
      </c>
      <c r="H95" s="7" t="str">
        <f>IFERROR(__xludf.DUMMYFUNCTION("""COMPUTED_VALUE"""),"Sala 20 - Laboratório de geoquímica")</f>
        <v>Sala 20 - Laboratório de geoquímica</v>
      </c>
      <c r="I95" s="7" t="str">
        <f>IFERROR(__xludf.DUMMYFUNCTION("""COMPUTED_VALUE"""),"Serralheria")</f>
        <v>Serralheria</v>
      </c>
      <c r="J95" s="7" t="str">
        <f>IFERROR(__xludf.DUMMYFUNCTION("""COMPUTED_VALUE"""),"08 Serralheria / 56 - Outros (PRAZO DE ACORDO COM A DEMANDA)")</f>
        <v>08 Serralheria / 56 - Outros (PRAZO DE ACORDO COM A DEMANDA)</v>
      </c>
      <c r="K95" s="7"/>
      <c r="L95" s="7" t="str">
        <f>IFERROR(__xludf.DUMMYFUNCTION("""COMPUTED_VALUE"""),"Colocar tela contra passarinho em saída de ar de Capela de gases químicos, pois estão fazendo ninho.")</f>
        <v>Colocar tela contra passarinho em saída de ar de Capela de gases químicos, pois estão fazendo ninho.</v>
      </c>
      <c r="M95" s="10"/>
      <c r="N95" s="10" t="str">
        <f>IFERROR(__xludf.DUMMYFUNCTION("""COMPUTED_VALUE"""),"Realizado")</f>
        <v>Realizado</v>
      </c>
      <c r="O95" s="11">
        <f>IFERROR(__xludf.DUMMYFUNCTION("""COMPUTED_VALUE"""),45328.0)</f>
        <v>45328</v>
      </c>
      <c r="P95" s="11"/>
    </row>
    <row r="96" ht="27.0" customHeight="1">
      <c r="A96" s="7" t="str">
        <f>IFERROR(__xludf.DUMMYFUNCTION("""COMPUTED_VALUE"""),"094/2024")</f>
        <v>094/2024</v>
      </c>
      <c r="B96" s="8">
        <f>IFERROR(__xludf.DUMMYFUNCTION("""COMPUTED_VALUE"""),45308.59974653935)</f>
        <v>45308.59975</v>
      </c>
      <c r="C96" s="14" t="str">
        <f>IFERROR(__xludf.DUMMYFUNCTION("""COMPUTED_VALUE"""),"seguranca@ufcat.edu.br")</f>
        <v>seguranca@ufcat.edu.br</v>
      </c>
      <c r="D96" s="7" t="str">
        <f>IFERROR(__xludf.DUMMYFUNCTION("""COMPUTED_VALUE"""),"Neide da costa ")</f>
        <v>Neide da costa </v>
      </c>
      <c r="E96" s="7">
        <f>IFERROR(__xludf.DUMMYFUNCTION("""COMPUTED_VALUE"""),5318.0)</f>
        <v>5318</v>
      </c>
      <c r="F96" s="7" t="str">
        <f>IFERROR(__xludf.DUMMYFUNCTION("""COMPUTED_VALUE"""),"CENTRAL DE OPERAÇÕES VIGILÂNCIA")</f>
        <v>CENTRAL DE OPERAÇÕES VIGILÂNCIA</v>
      </c>
      <c r="G96" s="9" t="str">
        <f>IFERROR(__xludf.DUMMYFUNCTION("""COMPUTED_VALUE"""),"Bloco N")</f>
        <v>Bloco N</v>
      </c>
      <c r="H96" s="7" t="str">
        <f>IFERROR(__xludf.DUMMYFUNCTION("""COMPUTED_VALUE"""),"Elevador do bloco N")</f>
        <v>Elevador do bloco N</v>
      </c>
      <c r="I96" s="7" t="str">
        <f>IFERROR(__xludf.DUMMYFUNCTION("""COMPUTED_VALUE"""),"Instalações elétricas")</f>
        <v>Instalações elétricas</v>
      </c>
      <c r="J96" s="7" t="str">
        <f>IFERROR(__xludf.DUMMYFUNCTION("""COMPUTED_VALUE"""),"04 Elétrica / 37 - Outros (PRAZO DE ACORDO COM A DEMANDA)")</f>
        <v>04 Elétrica / 37 - Outros (PRAZO DE ACORDO COM A DEMANDA)</v>
      </c>
      <c r="K96" s="7"/>
      <c r="L96" s="7" t="str">
        <f>IFERROR(__xludf.DUMMYFUNCTION("""COMPUTED_VALUE"""),"O elevador do bloco N não está funcionando .")</f>
        <v>O elevador do bloco N não está funcionando .</v>
      </c>
      <c r="M96" s="10" t="str">
        <f>IFERROR(__xludf.DUMMYFUNCTION("""COMPUTED_VALUE"""),"SEINFRA")</f>
        <v>SEINFRA</v>
      </c>
      <c r="N96" s="10" t="str">
        <f>IFERROR(__xludf.DUMMYFUNCTION("""COMPUTED_VALUE"""),"Empresa Contratada Acionada")</f>
        <v>Empresa Contratada Acionada</v>
      </c>
      <c r="O96" s="11"/>
      <c r="P96" s="11"/>
    </row>
    <row r="97" ht="27.0" customHeight="1">
      <c r="A97" s="7" t="str">
        <f>IFERROR(__xludf.DUMMYFUNCTION("""COMPUTED_VALUE"""),"095/2024")</f>
        <v>095/2024</v>
      </c>
      <c r="B97" s="8">
        <f>IFERROR(__xludf.DUMMYFUNCTION("""COMPUTED_VALUE"""),45308.628481481486)</f>
        <v>45308.62848</v>
      </c>
      <c r="C97" s="14" t="str">
        <f>IFERROR(__xludf.DUMMYFUNCTION("""COMPUTED_VALUE"""),"mariaeduarda.borges@ufcat.edu.br")</f>
        <v>mariaeduarda.borges@ufcat.edu.br</v>
      </c>
      <c r="D97" s="7" t="str">
        <f>IFERROR(__xludf.DUMMYFUNCTION("""COMPUTED_VALUE"""),"Maria Eduarda Silva Borges ")</f>
        <v>Maria Eduarda Silva Borges </v>
      </c>
      <c r="E97" s="7">
        <f>IFERROR(__xludf.DUMMYFUNCTION("""COMPUTED_VALUE"""),5340.0)</f>
        <v>5340</v>
      </c>
      <c r="F97" s="7" t="str">
        <f>IFERROR(__xludf.DUMMYFUNCTION("""COMPUTED_VALUE"""),"PREF")</f>
        <v>PREF</v>
      </c>
      <c r="G97" s="9" t="str">
        <f>IFERROR(__xludf.DUMMYFUNCTION("""COMPUTED_VALUE"""),"Bloco N")</f>
        <v>Bloco N</v>
      </c>
      <c r="H97" s="7" t="str">
        <f>IFERROR(__xludf.DUMMYFUNCTION("""COMPUTED_VALUE"""),"PORTA DE ENTRADA")</f>
        <v>PORTA DE ENTRADA</v>
      </c>
      <c r="I97" s="7" t="str">
        <f>IFERROR(__xludf.DUMMYFUNCTION("""COMPUTED_VALUE"""),"Pequenos serviços de reparos em Marcenaria")</f>
        <v>Pequenos serviços de reparos em Marcenaria</v>
      </c>
      <c r="J97" s="7" t="str">
        <f>IFERROR(__xludf.DUMMYFUNCTION("""COMPUTED_VALUE"""),"03 Marcenaria / 29 - Outros (PRAZO DE ACORDO COM A DEMANDA)")</f>
        <v>03 Marcenaria / 29 - Outros (PRAZO DE ACORDO COM A DEMANDA)</v>
      </c>
      <c r="K97" s="7"/>
      <c r="L97" s="7" t="str">
        <f>IFERROR(__xludf.DUMMYFUNCTION("""COMPUTED_VALUE"""),"A porta de entrada do Bloco N está empenada não sendo possível fecha-la.")</f>
        <v>A porta de entrada do Bloco N está empenada não sendo possível fecha-la.</v>
      </c>
      <c r="M97" s="10"/>
      <c r="N97" s="10" t="str">
        <f>IFERROR(__xludf.DUMMYFUNCTION("""COMPUTED_VALUE"""),"Realizado")</f>
        <v>Realizado</v>
      </c>
      <c r="O97" s="11">
        <f>IFERROR(__xludf.DUMMYFUNCTION("""COMPUTED_VALUE"""),45397.0)</f>
        <v>45397</v>
      </c>
      <c r="P97" s="11"/>
    </row>
    <row r="98" ht="27.0" customHeight="1">
      <c r="A98" s="7" t="str">
        <f>IFERROR(__xludf.DUMMYFUNCTION("""COMPUTED_VALUE"""),"096/2024")</f>
        <v>096/2024</v>
      </c>
      <c r="B98" s="8">
        <f>IFERROR(__xludf.DUMMYFUNCTION("""COMPUTED_VALUE"""),45308.64566371527)</f>
        <v>45308.64566</v>
      </c>
      <c r="C98" s="14" t="str">
        <f>IFERROR(__xludf.DUMMYFUNCTION("""COMPUTED_VALUE"""),"seguranca@ufcat.edu.br")</f>
        <v>seguranca@ufcat.edu.br</v>
      </c>
      <c r="D98" s="7" t="str">
        <f>IFERROR(__xludf.DUMMYFUNCTION("""COMPUTED_VALUE"""),"NEIDE DA COSTA ")</f>
        <v>NEIDE DA COSTA </v>
      </c>
      <c r="E98" s="7">
        <f>IFERROR(__xludf.DUMMYFUNCTION("""COMPUTED_VALUE"""),5318.0)</f>
        <v>5318</v>
      </c>
      <c r="F98" s="7" t="str">
        <f>IFERROR(__xludf.DUMMYFUNCTION("""COMPUTED_VALUE"""),"CENTRAL DE OPERAÇÕES VIGILÂNCIA")</f>
        <v>CENTRAL DE OPERAÇÕES VIGILÂNCIA</v>
      </c>
      <c r="G98" s="9" t="str">
        <f>IFERROR(__xludf.DUMMYFUNCTION("""COMPUTED_VALUE"""),"Bloco M")</f>
        <v>Bloco M</v>
      </c>
      <c r="H98" s="7" t="str">
        <f>IFERROR(__xludf.DUMMYFUNCTION("""COMPUTED_VALUE"""),"Sala 153 ")</f>
        <v>Sala 153 </v>
      </c>
      <c r="I98" s="7" t="str">
        <f>IFERROR(__xludf.DUMMYFUNCTION("""COMPUTED_VALUE"""),"Instalações elétricas")</f>
        <v>Instalações elétricas</v>
      </c>
      <c r="J98" s="7" t="str">
        <f>IFERROR(__xludf.DUMMYFUNCTION("""COMPUTED_VALUE"""),"04 Elétrica / 34 - Tomada Uso Geral (PRAZO DE ATÉ 15 DIAS PARA ATENDIMENTO)")</f>
        <v>04 Elétrica / 34 - Tomada Uso Geral (PRAZO DE ATÉ 15 DIAS PARA ATENDIMENTO)</v>
      </c>
      <c r="K98" s="7"/>
      <c r="L98" s="7" t="str">
        <f>IFERROR(__xludf.DUMMYFUNCTION("""COMPUTED_VALUE"""),"O apagador da sala 153 do bloco M enfermagem não esta apagando e por isso a luz fica ligada direto.")</f>
        <v>O apagador da sala 153 do bloco M enfermagem não esta apagando e por isso a luz fica ligada direto.</v>
      </c>
      <c r="M98" s="10"/>
      <c r="N98" s="10" t="str">
        <f>IFERROR(__xludf.DUMMYFUNCTION("""COMPUTED_VALUE"""),"Realizado")</f>
        <v>Realizado</v>
      </c>
      <c r="O98" s="11">
        <f>IFERROR(__xludf.DUMMYFUNCTION("""COMPUTED_VALUE"""),45309.0)</f>
        <v>45309</v>
      </c>
      <c r="P98" s="11"/>
    </row>
    <row r="99" ht="27.0" customHeight="1">
      <c r="A99" s="7" t="str">
        <f>IFERROR(__xludf.DUMMYFUNCTION("""COMPUTED_VALUE"""),"097/2024")</f>
        <v>097/2024</v>
      </c>
      <c r="B99" s="8">
        <f>IFERROR(__xludf.DUMMYFUNCTION("""COMPUTED_VALUE"""),45308.75263894676)</f>
        <v>45308.75264</v>
      </c>
      <c r="C99" s="14" t="str">
        <f>IFERROR(__xludf.DUMMYFUNCTION("""COMPUTED_VALUE"""),"lincolnromualdo@ufcat.edu.br")</f>
        <v>lincolnromualdo@ufcat.edu.br</v>
      </c>
      <c r="D99" s="7" t="str">
        <f>IFERROR(__xludf.DUMMYFUNCTION("""COMPUTED_VALUE"""),"LIncoln Lucilio Romualdo")</f>
        <v>LIncoln Lucilio Romualdo</v>
      </c>
      <c r="E99" s="7">
        <f>IFERROR(__xludf.DUMMYFUNCTION("""COMPUTED_VALUE"""),6.4981212068E10)</f>
        <v>64981212068</v>
      </c>
      <c r="F99" s="7" t="str">
        <f>IFERROR(__xludf.DUMMYFUNCTION("""COMPUTED_VALUE"""),"IQ")</f>
        <v>IQ</v>
      </c>
      <c r="G99" s="9" t="str">
        <f>IFERROR(__xludf.DUMMYFUNCTION("""COMPUTED_VALUE"""),"Restaurante Universitário")</f>
        <v>Restaurante Universitário</v>
      </c>
      <c r="H99" s="7" t="str">
        <f>IFERROR(__xludf.DUMMYFUNCTION("""COMPUTED_VALUE"""),"Estação Meteorológica e Monitoramento da qualidade do ar")</f>
        <v>Estação Meteorológica e Monitoramento da qualidade do ar</v>
      </c>
      <c r="I99" s="7" t="str">
        <f>IFERROR(__xludf.DUMMYFUNCTION("""COMPUTED_VALUE"""),"Jardinagem ")</f>
        <v>Jardinagem </v>
      </c>
      <c r="J99" s="15"/>
      <c r="K99" s="15"/>
      <c r="L99" s="7" t="str">
        <f>IFERROR(__xludf.DUMMYFUNCTION("""COMPUTED_VALUE"""),"Roçagem da grama no interior da estação")</f>
        <v>Roçagem da grama no interior da estação</v>
      </c>
      <c r="M99" s="10"/>
      <c r="N99" s="10" t="str">
        <f>IFERROR(__xludf.DUMMYFUNCTION("""COMPUTED_VALUE"""),"Realizado")</f>
        <v>Realizado</v>
      </c>
      <c r="O99" s="11">
        <f>IFERROR(__xludf.DUMMYFUNCTION("""COMPUTED_VALUE"""),45314.0)</f>
        <v>45314</v>
      </c>
      <c r="P99" s="11"/>
    </row>
    <row r="100" ht="27.0" customHeight="1">
      <c r="A100" s="7" t="str">
        <f>IFERROR(__xludf.DUMMYFUNCTION("""COMPUTED_VALUE"""),"098/2024")</f>
        <v>098/2024</v>
      </c>
      <c r="B100" s="8">
        <f>IFERROR(__xludf.DUMMYFUNCTION("""COMPUTED_VALUE"""),45309.49064358797)</f>
        <v>45309.49064</v>
      </c>
      <c r="C100" s="14" t="str">
        <f>IFERROR(__xludf.DUMMYFUNCTION("""COMPUTED_VALUE"""),"jeane.souza@ufcat.edu.br")</f>
        <v>jeane.souza@ufcat.edu.br</v>
      </c>
      <c r="D100" s="7" t="str">
        <f>IFERROR(__xludf.DUMMYFUNCTION("""COMPUTED_VALUE"""),"Jeane")</f>
        <v>Jeane</v>
      </c>
      <c r="E100" s="7">
        <f>IFERROR(__xludf.DUMMYFUNCTION("""COMPUTED_VALUE"""),7609.0)</f>
        <v>7609</v>
      </c>
      <c r="F100" s="7" t="str">
        <f>IFERROR(__xludf.DUMMYFUNCTION("""COMPUTED_VALUE"""),"CEP")</f>
        <v>CEP</v>
      </c>
      <c r="G100" s="9" t="str">
        <f>IFERROR(__xludf.DUMMYFUNCTION("""COMPUTED_VALUE"""),"Didatico I")</f>
        <v>Didatico I</v>
      </c>
      <c r="H100" s="7">
        <f>IFERROR(__xludf.DUMMYFUNCTION("""COMPUTED_VALUE"""),211.0)</f>
        <v>211</v>
      </c>
      <c r="I100" s="7" t="str">
        <f>IFERROR(__xludf.DUMMYFUNCTION("""COMPUTED_VALUE"""),"Pequenos serviços de reparos em Marcenaria")</f>
        <v>Pequenos serviços de reparos em Marcenaria</v>
      </c>
      <c r="J100" s="7" t="str">
        <f>IFERROR(__xludf.DUMMYFUNCTION("""COMPUTED_VALUE"""),"03 Marcenaria / 29 - Outros (PRAZO DE ACORDO COM A DEMANDA)")</f>
        <v>03 Marcenaria / 29 - Outros (PRAZO DE ACORDO COM A DEMANDA)</v>
      </c>
      <c r="K100" s="7"/>
      <c r="L100" s="7" t="str">
        <f>IFERROR(__xludf.DUMMYFUNCTION("""COMPUTED_VALUE"""),"Apoio para os pés - Largura: 35 cm Altura: 14,5 cm Profundidade: 24,5 cm")</f>
        <v>Apoio para os pés - Largura: 35 cm Altura: 14,5 cm Profundidade: 24,5 cm</v>
      </c>
      <c r="M100" s="10"/>
      <c r="N100" s="10" t="str">
        <f>IFERROR(__xludf.DUMMYFUNCTION("""COMPUTED_VALUE"""),"Realizado")</f>
        <v>Realizado</v>
      </c>
      <c r="O100" s="11">
        <f>IFERROR(__xludf.DUMMYFUNCTION("""COMPUTED_VALUE"""),45316.0)</f>
        <v>45316</v>
      </c>
      <c r="P100" s="11"/>
    </row>
    <row r="101" ht="27.0" customHeight="1">
      <c r="A101" s="7" t="str">
        <f>IFERROR(__xludf.DUMMYFUNCTION("""COMPUTED_VALUE"""),"099/2024")</f>
        <v>099/2024</v>
      </c>
      <c r="B101" s="8">
        <f>IFERROR(__xludf.DUMMYFUNCTION("""COMPUTED_VALUE"""),45309.501239467594)</f>
        <v>45309.50124</v>
      </c>
      <c r="C101" s="14" t="str">
        <f>IFERROR(__xludf.DUMMYFUNCTION("""COMPUTED_VALUE"""),"mayani@ufcat.edu.br")</f>
        <v>mayani@ufcat.edu.br</v>
      </c>
      <c r="D101" s="7" t="str">
        <f>IFERROR(__xludf.DUMMYFUNCTION("""COMPUTED_VALUE"""),"Mayani Thais Lopes")</f>
        <v>Mayani Thais Lopes</v>
      </c>
      <c r="E101" s="7">
        <f>IFERROR(__xludf.DUMMYFUNCTION("""COMPUTED_VALUE"""),3.4999071369E10)</f>
        <v>34999071369</v>
      </c>
      <c r="F101" s="7" t="str">
        <f>IFERROR(__xludf.DUMMYFUNCTION("""COMPUTED_VALUE"""),"IBIOTEC - Enfermagem")</f>
        <v>IBIOTEC - Enfermagem</v>
      </c>
      <c r="G101" s="9" t="str">
        <f>IFERROR(__xludf.DUMMYFUNCTION("""COMPUTED_VALUE"""),"Bloco M")</f>
        <v>Bloco M</v>
      </c>
      <c r="H101" s="7">
        <f>IFERROR(__xludf.DUMMYFUNCTION("""COMPUTED_VALUE"""),151.0)</f>
        <v>151</v>
      </c>
      <c r="I101" s="7" t="str">
        <f>IFERROR(__xludf.DUMMYFUNCTION("""COMPUTED_VALUE"""),"Instalações elétricas")</f>
        <v>Instalações elétricas</v>
      </c>
      <c r="J101" s="7" t="str">
        <f>IFERROR(__xludf.DUMMYFUNCTION("""COMPUTED_VALUE"""),"04 Elétrica / 37 - Outros (PRAZO DE ACORDO COM A DEMANDA)")</f>
        <v>04 Elétrica / 37 - Outros (PRAZO DE ACORDO COM A DEMANDA)</v>
      </c>
      <c r="K101" s="7"/>
      <c r="L101" s="7" t="str">
        <f>IFERROR(__xludf.DUMMYFUNCTION("""COMPUTED_VALUE"""),"A grade das lampadas florescentes caiu.")</f>
        <v>A grade das lampadas florescentes caiu.</v>
      </c>
      <c r="M101" s="10"/>
      <c r="N101" s="10" t="str">
        <f>IFERROR(__xludf.DUMMYFUNCTION("""COMPUTED_VALUE"""),"Realizado")</f>
        <v>Realizado</v>
      </c>
      <c r="O101" s="11">
        <f>IFERROR(__xludf.DUMMYFUNCTION("""COMPUTED_VALUE"""),45310.0)</f>
        <v>45310</v>
      </c>
      <c r="P101" s="11"/>
    </row>
    <row r="102" ht="27.0" customHeight="1">
      <c r="A102" s="7" t="str">
        <f>IFERROR(__xludf.DUMMYFUNCTION("""COMPUTED_VALUE"""),"100/2024")</f>
        <v>100/2024</v>
      </c>
      <c r="B102" s="8">
        <f>IFERROR(__xludf.DUMMYFUNCTION("""COMPUTED_VALUE"""),45309.52057976852)</f>
        <v>45309.52058</v>
      </c>
      <c r="C102" s="14" t="str">
        <f>IFERROR(__xludf.DUMMYFUNCTION("""COMPUTED_VALUE"""),"mirian.lima@ufcat.edu.br")</f>
        <v>mirian.lima@ufcat.edu.br</v>
      </c>
      <c r="D102" s="7" t="str">
        <f>IFERROR(__xludf.DUMMYFUNCTION("""COMPUTED_VALUE"""),"Mirian de Jesus Lima")</f>
        <v>Mirian de Jesus Lima</v>
      </c>
      <c r="E102" s="7">
        <f>IFERROR(__xludf.DUMMYFUNCTION("""COMPUTED_VALUE"""),5323.0)</f>
        <v>5323</v>
      </c>
      <c r="F102" s="7" t="str">
        <f>IFERROR(__xludf.DUMMYFUNCTION("""COMPUTED_VALUE"""),"IBIOTEC  - Secretaria Administrativa")</f>
        <v>IBIOTEC  - Secretaria Administrativa</v>
      </c>
      <c r="G102" s="9" t="str">
        <f>IFERROR(__xludf.DUMMYFUNCTION("""COMPUTED_VALUE"""),"Bloco M")</f>
        <v>Bloco M</v>
      </c>
      <c r="H102" s="7">
        <f>IFERROR(__xludf.DUMMYFUNCTION("""COMPUTED_VALUE"""),320.0)</f>
        <v>320</v>
      </c>
      <c r="I102" s="7" t="str">
        <f>IFERROR(__xludf.DUMMYFUNCTION("""COMPUTED_VALUE"""),"Instalações elétricas")</f>
        <v>Instalações elétricas</v>
      </c>
      <c r="J102" s="7" t="str">
        <f>IFERROR(__xludf.DUMMYFUNCTION("""COMPUTED_VALUE"""),"04 Elétrica / 35 - Troca de Lâmpadas (PRAZO DE ATÉ 15 DIAS PARA ATENDIMENTO)")</f>
        <v>04 Elétrica / 35 - Troca de Lâmpadas (PRAZO DE ATÉ 15 DIAS PARA ATENDIMENTO)</v>
      </c>
      <c r="K102" s="7"/>
      <c r="L102" s="7" t="str">
        <f>IFERROR(__xludf.DUMMYFUNCTION("""COMPUTED_VALUE"""),"Fazer a troca de 2 lâmpadas Fluorescentes Tubular Led que queimaram.")</f>
        <v>Fazer a troca de 2 lâmpadas Fluorescentes Tubular Led que queimaram.</v>
      </c>
      <c r="M102" s="10"/>
      <c r="N102" s="10" t="str">
        <f>IFERROR(__xludf.DUMMYFUNCTION("""COMPUTED_VALUE"""),"Realizado")</f>
        <v>Realizado</v>
      </c>
      <c r="O102" s="11">
        <f>IFERROR(__xludf.DUMMYFUNCTION("""COMPUTED_VALUE"""),45310.0)</f>
        <v>45310</v>
      </c>
      <c r="P102" s="11"/>
    </row>
    <row r="103" ht="27.0" customHeight="1">
      <c r="A103" s="7" t="str">
        <f>IFERROR(__xludf.DUMMYFUNCTION("""COMPUTED_VALUE"""),"101/2024")</f>
        <v>101/2024</v>
      </c>
      <c r="B103" s="8">
        <f>IFERROR(__xludf.DUMMYFUNCTION("""COMPUTED_VALUE"""),45309.623673078706)</f>
        <v>45309.62367</v>
      </c>
      <c r="C103" s="8" t="str">
        <f>IFERROR(__xludf.DUMMYFUNCTION("""COMPUTED_VALUE"""),"mayani@ufcat.edu.br")</f>
        <v>mayani@ufcat.edu.br</v>
      </c>
      <c r="D103" s="7" t="str">
        <f>IFERROR(__xludf.DUMMYFUNCTION("""COMPUTED_VALUE"""),"Mayani Thais Lopes")</f>
        <v>Mayani Thais Lopes</v>
      </c>
      <c r="E103" s="7">
        <f>IFERROR(__xludf.DUMMYFUNCTION("""COMPUTED_VALUE"""),3.4999071369E10)</f>
        <v>34999071369</v>
      </c>
      <c r="F103" s="7" t="str">
        <f>IFERROR(__xludf.DUMMYFUNCTION("""COMPUTED_VALUE"""),"IBIOTEC - Enfermagem")</f>
        <v>IBIOTEC - Enfermagem</v>
      </c>
      <c r="G103" s="9" t="str">
        <f>IFERROR(__xludf.DUMMYFUNCTION("""COMPUTED_VALUE"""),"Bloco M")</f>
        <v>Bloco M</v>
      </c>
      <c r="H103" s="7">
        <f>IFERROR(__xludf.DUMMYFUNCTION("""COMPUTED_VALUE"""),155.0)</f>
        <v>155</v>
      </c>
      <c r="I103" s="7" t="str">
        <f>IFERROR(__xludf.DUMMYFUNCTION("""COMPUTED_VALUE"""),"Pequenos serviços de reparos em Marcenaria")</f>
        <v>Pequenos serviços de reparos em Marcenaria</v>
      </c>
      <c r="J103" s="7" t="str">
        <f>IFERROR(__xludf.DUMMYFUNCTION("""COMPUTED_VALUE"""),"03 Marcenaria / 29 - Outros (PRAZO DE ACORDO COM A DEMANDA)")</f>
        <v>03 Marcenaria / 29 - Outros (PRAZO DE ACORDO COM A DEMANDA)</v>
      </c>
      <c r="K103" s="7"/>
      <c r="L103" s="7" t="str">
        <f>IFERROR(__xludf.DUMMYFUNCTION("""COMPUTED_VALUE"""),"Regular a posição da trava da cortina que fica na entrada do laboratório. Colocar a trava da parede no começo do trilho, segurando a primeira roldana.")</f>
        <v>Regular a posição da trava da cortina que fica na entrada do laboratório. Colocar a trava da parede no começo do trilho, segurando a primeira roldana.</v>
      </c>
      <c r="M103" s="10"/>
      <c r="N103" s="10" t="str">
        <f>IFERROR(__xludf.DUMMYFUNCTION("""COMPUTED_VALUE"""),"Realizado")</f>
        <v>Realizado</v>
      </c>
      <c r="O103" s="11">
        <f>IFERROR(__xludf.DUMMYFUNCTION("""COMPUTED_VALUE"""),45310.0)</f>
        <v>45310</v>
      </c>
      <c r="P103" s="11"/>
    </row>
    <row r="104" ht="27.0" customHeight="1">
      <c r="A104" s="7" t="str">
        <f>IFERROR(__xludf.DUMMYFUNCTION("""COMPUTED_VALUE"""),"102/2024")</f>
        <v>102/2024</v>
      </c>
      <c r="B104" s="8">
        <f>IFERROR(__xludf.DUMMYFUNCTION("""COMPUTED_VALUE"""),45309.62691334491)</f>
        <v>45309.62691</v>
      </c>
      <c r="C104" s="14" t="str">
        <f>IFERROR(__xludf.DUMMYFUNCTION("""COMPUTED_VALUE"""),"mayani@ufcat.edu.br")</f>
        <v>mayani@ufcat.edu.br</v>
      </c>
      <c r="D104" s="7" t="str">
        <f>IFERROR(__xludf.DUMMYFUNCTION("""COMPUTED_VALUE"""),"Mayani Thais Lopes")</f>
        <v>Mayani Thais Lopes</v>
      </c>
      <c r="E104" s="7">
        <f>IFERROR(__xludf.DUMMYFUNCTION("""COMPUTED_VALUE"""),3.4999071369E10)</f>
        <v>34999071369</v>
      </c>
      <c r="F104" s="7" t="str">
        <f>IFERROR(__xludf.DUMMYFUNCTION("""COMPUTED_VALUE"""),"IBIOTEC - Enfermagem")</f>
        <v>IBIOTEC - Enfermagem</v>
      </c>
      <c r="G104" s="9" t="str">
        <f>IFERROR(__xludf.DUMMYFUNCTION("""COMPUTED_VALUE"""),"Bloco M")</f>
        <v>Bloco M</v>
      </c>
      <c r="H104" s="7">
        <f>IFERROR(__xludf.DUMMYFUNCTION("""COMPUTED_VALUE"""),162.0)</f>
        <v>162</v>
      </c>
      <c r="I104" s="7" t="str">
        <f>IFERROR(__xludf.DUMMYFUNCTION("""COMPUTED_VALUE"""),"Pequenos serviços de reparos em Marcenaria")</f>
        <v>Pequenos serviços de reparos em Marcenaria</v>
      </c>
      <c r="J104" s="7" t="str">
        <f>IFERROR(__xludf.DUMMYFUNCTION("""COMPUTED_VALUE"""),"03 Marcenaria / 29 - Outros (PRAZO DE ACORDO COM A DEMANDA)")</f>
        <v>03 Marcenaria / 29 - Outros (PRAZO DE ACORDO COM A DEMANDA)</v>
      </c>
      <c r="K104" s="7"/>
      <c r="L104" s="7" t="str">
        <f>IFERROR(__xludf.DUMMYFUNCTION("""COMPUTED_VALUE"""),"Fazer um par de travas de madeira para janela na sala indicada, pois a trava da janela estragou.")</f>
        <v>Fazer um par de travas de madeira para janela na sala indicada, pois a trava da janela estragou.</v>
      </c>
      <c r="M104" s="10"/>
      <c r="N104" s="10" t="str">
        <f>IFERROR(__xludf.DUMMYFUNCTION("""COMPUTED_VALUE"""),"Realizado")</f>
        <v>Realizado</v>
      </c>
      <c r="O104" s="11">
        <f>IFERROR(__xludf.DUMMYFUNCTION("""COMPUTED_VALUE"""),45310.0)</f>
        <v>45310</v>
      </c>
      <c r="P104" s="11"/>
    </row>
    <row r="105" ht="27.0" customHeight="1">
      <c r="A105" s="7" t="str">
        <f>IFERROR(__xludf.DUMMYFUNCTION("""COMPUTED_VALUE"""),"103/2024")</f>
        <v>103/2024</v>
      </c>
      <c r="B105" s="8">
        <f>IFERROR(__xludf.DUMMYFUNCTION("""COMPUTED_VALUE"""),45309.62852493055)</f>
        <v>45309.62852</v>
      </c>
      <c r="C105" s="14" t="str">
        <f>IFERROR(__xludf.DUMMYFUNCTION("""COMPUTED_VALUE"""),"mayani@ufcat.edu.br")</f>
        <v>mayani@ufcat.edu.br</v>
      </c>
      <c r="D105" s="7" t="str">
        <f>IFERROR(__xludf.DUMMYFUNCTION("""COMPUTED_VALUE"""),"Mayani Thais Lopes")</f>
        <v>Mayani Thais Lopes</v>
      </c>
      <c r="E105" s="7">
        <f>IFERROR(__xludf.DUMMYFUNCTION("""COMPUTED_VALUE"""),3.4999071369E10)</f>
        <v>34999071369</v>
      </c>
      <c r="F105" s="7" t="str">
        <f>IFERROR(__xludf.DUMMYFUNCTION("""COMPUTED_VALUE"""),"IBIOTEC - Enfermagem")</f>
        <v>IBIOTEC - Enfermagem</v>
      </c>
      <c r="G105" s="9" t="str">
        <f>IFERROR(__xludf.DUMMYFUNCTION("""COMPUTED_VALUE"""),"Bloco M")</f>
        <v>Bloco M</v>
      </c>
      <c r="H105" s="7">
        <f>IFERROR(__xludf.DUMMYFUNCTION("""COMPUTED_VALUE"""),163.0)</f>
        <v>163</v>
      </c>
      <c r="I105" s="7" t="str">
        <f>IFERROR(__xludf.DUMMYFUNCTION("""COMPUTED_VALUE"""),"Instalações Hidrossanitárias")</f>
        <v>Instalações Hidrossanitárias</v>
      </c>
      <c r="J105" s="7" t="str">
        <f>IFERROR(__xludf.DUMMYFUNCTION("""COMPUTED_VALUE"""),"02 Hidráulica / 22 - Outros (PRAZO DE 15 a 60 DIAS PARA ATENDIMENTO)")</f>
        <v>02 Hidráulica / 22 - Outros (PRAZO DE 15 a 60 DIAS PARA ATENDIMENTO)</v>
      </c>
      <c r="K105" s="7"/>
      <c r="L105" s="7" t="str">
        <f>IFERROR(__xludf.DUMMYFUNCTION("""COMPUTED_VALUE"""),"Gostaria de uma avaliação quanto à baixa vazão de água da torneira da pia deste laboratório. E também, precisa fazer manutenção na saboneteira. O sabonete sai com muita dificuldade - precisa apertar bastante e quando funciona, não para de pingar sabonete "&amp;"na pia. V")</f>
        <v>Gostaria de uma avaliação quanto à baixa vazão de água da torneira da pia deste laboratório. E também, precisa fazer manutenção na saboneteira. O sabonete sai com muita dificuldade - precisa apertar bastante e quando funciona, não para de pingar sabonete na pia. V</v>
      </c>
      <c r="M105" s="10"/>
      <c r="N105" s="10" t="str">
        <f>IFERROR(__xludf.DUMMYFUNCTION("""COMPUTED_VALUE"""),"Realizado")</f>
        <v>Realizado</v>
      </c>
      <c r="O105" s="11">
        <f>IFERROR(__xludf.DUMMYFUNCTION("""COMPUTED_VALUE"""),45321.0)</f>
        <v>45321</v>
      </c>
      <c r="P105" s="11"/>
    </row>
    <row r="106" ht="27.0" customHeight="1">
      <c r="A106" s="7" t="str">
        <f>IFERROR(__xludf.DUMMYFUNCTION("""COMPUTED_VALUE"""),"104/2024")</f>
        <v>104/2024</v>
      </c>
      <c r="B106" s="8">
        <f>IFERROR(__xludf.DUMMYFUNCTION("""COMPUTED_VALUE"""),45309.630451273144)</f>
        <v>45309.63045</v>
      </c>
      <c r="C106" s="14" t="str">
        <f>IFERROR(__xludf.DUMMYFUNCTION("""COMPUTED_VALUE"""),"mayani@ufcat.edu.br")</f>
        <v>mayani@ufcat.edu.br</v>
      </c>
      <c r="D106" s="7" t="str">
        <f>IFERROR(__xludf.DUMMYFUNCTION("""COMPUTED_VALUE"""),"Mayani Thais Lopes")</f>
        <v>Mayani Thais Lopes</v>
      </c>
      <c r="E106" s="7">
        <f>IFERROR(__xludf.DUMMYFUNCTION("""COMPUTED_VALUE"""),3.4999071369E10)</f>
        <v>34999071369</v>
      </c>
      <c r="F106" s="7" t="str">
        <f>IFERROR(__xludf.DUMMYFUNCTION("""COMPUTED_VALUE"""),"IBIOTEC - Enfermagem")</f>
        <v>IBIOTEC - Enfermagem</v>
      </c>
      <c r="G106" s="9" t="str">
        <f>IFERROR(__xludf.DUMMYFUNCTION("""COMPUTED_VALUE"""),"Bloco M")</f>
        <v>Bloco M</v>
      </c>
      <c r="H106" s="7">
        <f>IFERROR(__xludf.DUMMYFUNCTION("""COMPUTED_VALUE"""),153.0)</f>
        <v>153</v>
      </c>
      <c r="I106" s="7" t="str">
        <f>IFERROR(__xludf.DUMMYFUNCTION("""COMPUTED_VALUE"""),"Pequenos serviços de reparos em Marcenaria")</f>
        <v>Pequenos serviços de reparos em Marcenaria</v>
      </c>
      <c r="J106" s="7" t="str">
        <f>IFERROR(__xludf.DUMMYFUNCTION("""COMPUTED_VALUE"""),"03 Marcenaria / 29 - Outros (PRAZO DE ACORDO COM A DEMANDA)")</f>
        <v>03 Marcenaria / 29 - Outros (PRAZO DE ACORDO COM A DEMANDA)</v>
      </c>
      <c r="K106" s="7"/>
      <c r="L106" s="7" t="str">
        <f>IFERROR(__xludf.DUMMYFUNCTION("""COMPUTED_VALUE"""),"Preciso de ajuda para trocar o refil de flipchart, pois os parafusos de fixação estão em posição diferentes do que o refil.")</f>
        <v>Preciso de ajuda para trocar o refil de flipchart, pois os parafusos de fixação estão em posição diferentes do que o refil.</v>
      </c>
      <c r="M106" s="10"/>
      <c r="N106" s="10" t="str">
        <f>IFERROR(__xludf.DUMMYFUNCTION("""COMPUTED_VALUE"""),"Realizado")</f>
        <v>Realizado</v>
      </c>
      <c r="O106" s="11">
        <f>IFERROR(__xludf.DUMMYFUNCTION("""COMPUTED_VALUE"""),45310.0)</f>
        <v>45310</v>
      </c>
      <c r="P106" s="11"/>
    </row>
    <row r="107" ht="27.0" customHeight="1">
      <c r="A107" s="7" t="str">
        <f>IFERROR(__xludf.DUMMYFUNCTION("""COMPUTED_VALUE"""),"105/2024")</f>
        <v>105/2024</v>
      </c>
      <c r="B107" s="8">
        <f>IFERROR(__xludf.DUMMYFUNCTION("""COMPUTED_VALUE"""),45309.63150369213)</f>
        <v>45309.6315</v>
      </c>
      <c r="C107" s="14" t="str">
        <f>IFERROR(__xludf.DUMMYFUNCTION("""COMPUTED_VALUE"""),"mayani@ufcat.edu.br")</f>
        <v>mayani@ufcat.edu.br</v>
      </c>
      <c r="D107" s="7" t="str">
        <f>IFERROR(__xludf.DUMMYFUNCTION("""COMPUTED_VALUE"""),"Mayani  Thais Lopes")</f>
        <v>Mayani  Thais Lopes</v>
      </c>
      <c r="E107" s="7">
        <f>IFERROR(__xludf.DUMMYFUNCTION("""COMPUTED_VALUE"""),3.4999071369E10)</f>
        <v>34999071369</v>
      </c>
      <c r="F107" s="7" t="str">
        <f>IFERROR(__xludf.DUMMYFUNCTION("""COMPUTED_VALUE"""),"IBIOTEC - Enfermagem")</f>
        <v>IBIOTEC - Enfermagem</v>
      </c>
      <c r="G107" s="9" t="str">
        <f>IFERROR(__xludf.DUMMYFUNCTION("""COMPUTED_VALUE"""),"Bloco M")</f>
        <v>Bloco M</v>
      </c>
      <c r="H107" s="7">
        <f>IFERROR(__xludf.DUMMYFUNCTION("""COMPUTED_VALUE"""),153.0)</f>
        <v>153</v>
      </c>
      <c r="I107" s="7" t="str">
        <f>IFERROR(__xludf.DUMMYFUNCTION("""COMPUTED_VALUE"""),"Instalações Hidrossanitárias")</f>
        <v>Instalações Hidrossanitárias</v>
      </c>
      <c r="J107" s="7" t="str">
        <f>IFERROR(__xludf.DUMMYFUNCTION("""COMPUTED_VALUE"""),"02 Hidráulica / 22 - Outros (PRAZO DE 15 a 60 DIAS PARA ATENDIMENTO)")</f>
        <v>02 Hidráulica / 22 - Outros (PRAZO DE 15 a 60 DIAS PARA ATENDIMENTO)</v>
      </c>
      <c r="K107" s="7"/>
      <c r="L107" s="7" t="str">
        <f>IFERROR(__xludf.DUMMYFUNCTION("""COMPUTED_VALUE"""),"A saboneteira precisa de manutenção, pois não está saindo sabonete.")</f>
        <v>A saboneteira precisa de manutenção, pois não está saindo sabonete.</v>
      </c>
      <c r="M107" s="10"/>
      <c r="N107" s="10" t="str">
        <f>IFERROR(__xludf.DUMMYFUNCTION("""COMPUTED_VALUE"""),"Realizado")</f>
        <v>Realizado</v>
      </c>
      <c r="O107" s="11">
        <f>IFERROR(__xludf.DUMMYFUNCTION("""COMPUTED_VALUE"""),45341.0)</f>
        <v>45341</v>
      </c>
      <c r="P107" s="11"/>
    </row>
    <row r="108" ht="27.0" customHeight="1">
      <c r="A108" s="7" t="str">
        <f>IFERROR(__xludf.DUMMYFUNCTION("""COMPUTED_VALUE"""),"106/2024")</f>
        <v>106/2024</v>
      </c>
      <c r="B108" s="8">
        <f>IFERROR(__xludf.DUMMYFUNCTION("""COMPUTED_VALUE"""),45309.668331064815)</f>
        <v>45309.66833</v>
      </c>
      <c r="C108" s="8" t="str">
        <f>IFERROR(__xludf.DUMMYFUNCTION("""COMPUTED_VALUE"""),"mirian.lima@ufcat.edu.br")</f>
        <v>mirian.lima@ufcat.edu.br</v>
      </c>
      <c r="D108" s="7" t="str">
        <f>IFERROR(__xludf.DUMMYFUNCTION("""COMPUTED_VALUE"""),"Mirian de Jesus Lima")</f>
        <v>Mirian de Jesus Lima</v>
      </c>
      <c r="E108" s="7">
        <f>IFERROR(__xludf.DUMMYFUNCTION("""COMPUTED_VALUE"""),5323.0)</f>
        <v>5323</v>
      </c>
      <c r="F108" s="7" t="str">
        <f>IFERROR(__xludf.DUMMYFUNCTION("""COMPUTED_VALUE"""),"IBIOTEC  - Educação Física")</f>
        <v>IBIOTEC  - Educação Física</v>
      </c>
      <c r="G108" s="9" t="str">
        <f>IFERROR(__xludf.DUMMYFUNCTION("""COMPUTED_VALUE"""),"Bloco D")</f>
        <v>Bloco D</v>
      </c>
      <c r="H108" s="7" t="str">
        <f>IFERROR(__xludf.DUMMYFUNCTION("""COMPUTED_VALUE"""),"Corredor (Próximo ao banheiro feminino)")</f>
        <v>Corredor (Próximo ao banheiro feminino)</v>
      </c>
      <c r="I108" s="7" t="str">
        <f>IFERROR(__xludf.DUMMYFUNCTION("""COMPUTED_VALUE"""),"Instalações Hidrossanitárias")</f>
        <v>Instalações Hidrossanitárias</v>
      </c>
      <c r="J108" s="7" t="str">
        <f>IFERROR(__xludf.DUMMYFUNCTION("""COMPUTED_VALUE"""),"02 Hidráulica / 20 - Vazamento em bebedouros (PRAZO DE 1 a 5 DIAS PARA ATENDIMENTO)")</f>
        <v>02 Hidráulica / 20 - Vazamento em bebedouros (PRAZO DE 1 a 5 DIAS PARA ATENDIMENTO)</v>
      </c>
      <c r="K108" s="7"/>
      <c r="L108" s="7" t="str">
        <f>IFERROR(__xludf.DUMMYFUNCTION("""COMPUTED_VALUE"""),"Fazer reparo em bebedouro que está com vazamento próximo a mangueira.")</f>
        <v>Fazer reparo em bebedouro que está com vazamento próximo a mangueira.</v>
      </c>
      <c r="M108" s="10"/>
      <c r="N108" s="10" t="str">
        <f>IFERROR(__xludf.DUMMYFUNCTION("""COMPUTED_VALUE"""),"Realizado")</f>
        <v>Realizado</v>
      </c>
      <c r="O108" s="11">
        <f>IFERROR(__xludf.DUMMYFUNCTION("""COMPUTED_VALUE"""),45316.0)</f>
        <v>45316</v>
      </c>
      <c r="P108" s="11"/>
    </row>
    <row r="109" ht="27.0" customHeight="1">
      <c r="A109" s="7" t="str">
        <f>IFERROR(__xludf.DUMMYFUNCTION("""COMPUTED_VALUE"""),"107/2024")</f>
        <v>107/2024</v>
      </c>
      <c r="B109" s="8">
        <f>IFERROR(__xludf.DUMMYFUNCTION("""COMPUTED_VALUE"""),45309.69825913194)</f>
        <v>45309.69826</v>
      </c>
      <c r="C109" s="8" t="str">
        <f>IFERROR(__xludf.DUMMYFUNCTION("""COMPUTED_VALUE"""),"muc.prpe@ufcat.edu.br")</f>
        <v>muc.prpe@ufcat.edu.br</v>
      </c>
      <c r="D109" s="7" t="str">
        <f>IFERROR(__xludf.DUMMYFUNCTION("""COMPUTED_VALUE"""),"DANIEL DOS REIS SIMÕES")</f>
        <v>DANIEL DOS REIS SIMÕES</v>
      </c>
      <c r="E109" s="7">
        <f>IFERROR(__xludf.DUMMYFUNCTION("""COMPUTED_VALUE"""),5333.0)</f>
        <v>5333</v>
      </c>
      <c r="F109" s="7" t="str">
        <f>IFERROR(__xludf.DUMMYFUNCTION("""COMPUTED_VALUE"""),"PRPE")</f>
        <v>PRPE</v>
      </c>
      <c r="G109" s="9" t="str">
        <f>IFERROR(__xludf.DUMMYFUNCTION("""COMPUTED_VALUE"""),"MUC")</f>
        <v>MUC</v>
      </c>
      <c r="H109" s="7" t="str">
        <f>IFERROR(__xludf.DUMMYFUNCTION("""COMPUTED_VALUE"""),"Apto 402")</f>
        <v>Apto 402</v>
      </c>
      <c r="I109" s="7" t="str">
        <f>IFERROR(__xludf.DUMMYFUNCTION("""COMPUTED_VALUE"""),"Pequenos serviços de reparos em Marcenaria")</f>
        <v>Pequenos serviços de reparos em Marcenaria</v>
      </c>
      <c r="J109" s="7" t="str">
        <f>IFERROR(__xludf.DUMMYFUNCTION("""COMPUTED_VALUE"""),"03 Marcenaria / 24 - Conserto de Móveis (PRAZO DE ATÉ 60 DIAS PARA ATENDIMENTO)")</f>
        <v>03 Marcenaria / 24 - Conserto de Móveis (PRAZO DE ATÉ 60 DIAS PARA ATENDIMENTO)</v>
      </c>
      <c r="K109" s="7"/>
      <c r="L109" s="7" t="str">
        <f>IFERROR(__xludf.DUMMYFUNCTION("""COMPUTED_VALUE"""),"Arrumar a prateleira do guarda-roupa que caiu.")</f>
        <v>Arrumar a prateleira do guarda-roupa que caiu.</v>
      </c>
      <c r="M109" s="10"/>
      <c r="N109" s="10" t="str">
        <f>IFERROR(__xludf.DUMMYFUNCTION("""COMPUTED_VALUE"""),"Realizado")</f>
        <v>Realizado</v>
      </c>
      <c r="O109" s="11">
        <f>IFERROR(__xludf.DUMMYFUNCTION("""COMPUTED_VALUE"""),45310.0)</f>
        <v>45310</v>
      </c>
      <c r="P109" s="11"/>
    </row>
    <row r="110" ht="27.0" customHeight="1">
      <c r="A110" s="7" t="str">
        <f>IFERROR(__xludf.DUMMYFUNCTION("""COMPUTED_VALUE"""),"108/2024")</f>
        <v>108/2024</v>
      </c>
      <c r="B110" s="8">
        <f>IFERROR(__xludf.DUMMYFUNCTION("""COMPUTED_VALUE"""),45310.23006540509)</f>
        <v>45310.23007</v>
      </c>
      <c r="C110" s="8" t="str">
        <f>IFERROR(__xludf.DUMMYFUNCTION("""COMPUTED_VALUE"""),"seguranca@ufcat.edu.br")</f>
        <v>seguranca@ufcat.edu.br</v>
      </c>
      <c r="D110" s="7" t="str">
        <f>IFERROR(__xludf.DUMMYFUNCTION("""COMPUTED_VALUE"""),"Pedro")</f>
        <v>Pedro</v>
      </c>
      <c r="E110" s="7">
        <f>IFERROR(__xludf.DUMMYFUNCTION("""COMPUTED_VALUE"""),5318.0)</f>
        <v>5318</v>
      </c>
      <c r="F110" s="7" t="str">
        <f>IFERROR(__xludf.DUMMYFUNCTION("""COMPUTED_VALUE"""),"CENTRAL DE OPERAÇÕES VIGILÂNCIA")</f>
        <v>CENTRAL DE OPERAÇÕES VIGILÂNCIA</v>
      </c>
      <c r="G110" s="9" t="str">
        <f>IFERROR(__xludf.DUMMYFUNCTION("""COMPUTED_VALUE"""),"Bloco O")</f>
        <v>Bloco O</v>
      </c>
      <c r="H110" s="7" t="str">
        <f>IFERROR(__xludf.DUMMYFUNCTION("""COMPUTED_VALUE"""),"Sala do Rack")</f>
        <v>Sala do Rack</v>
      </c>
      <c r="I110" s="7" t="str">
        <f>IFERROR(__xludf.DUMMYFUNCTION("""COMPUTED_VALUE"""),"Instalações e/ou Manutenção em Cabeamento de Rede")</f>
        <v>Instalações e/ou Manutenção em Cabeamento de Rede</v>
      </c>
      <c r="J110" s="7" t="str">
        <f>IFERROR(__xludf.DUMMYFUNCTION("""COMPUTED_VALUE"""),"05 Telecomunicações / 39 - CFTV (PRAZO DE ATÉ 15 DIAS PARA ATENDIMENTO)")</f>
        <v>05 Telecomunicações / 39 - CFTV (PRAZO DE ATÉ 15 DIAS PARA ATENDIMENTO)</v>
      </c>
      <c r="K110" s="7"/>
      <c r="L110" s="7" t="str">
        <f>IFERROR(__xludf.DUMMYFUNCTION("""COMPUTED_VALUE"""),"Todas as câmeras do Bloco estao off-line 
( não estão funcionando)")</f>
        <v>Todas as câmeras do Bloco estao off-line 
( não estão funcionando)</v>
      </c>
      <c r="M110" s="10"/>
      <c r="N110" s="10" t="str">
        <f>IFERROR(__xludf.DUMMYFUNCTION("""COMPUTED_VALUE"""),"Realizado")</f>
        <v>Realizado</v>
      </c>
      <c r="O110" s="11">
        <f>IFERROR(__xludf.DUMMYFUNCTION("""COMPUTED_VALUE"""),45310.0)</f>
        <v>45310</v>
      </c>
      <c r="P110" s="11"/>
    </row>
    <row r="111" ht="27.0" customHeight="1">
      <c r="A111" s="7" t="str">
        <f>IFERROR(__xludf.DUMMYFUNCTION("""COMPUTED_VALUE"""),"109/2024")</f>
        <v>109/2024</v>
      </c>
      <c r="B111" s="8">
        <f>IFERROR(__xludf.DUMMYFUNCTION("""COMPUTED_VALUE"""),45310.426484930555)</f>
        <v>45310.42648</v>
      </c>
      <c r="C111" s="8" t="str">
        <f>IFERROR(__xludf.DUMMYFUNCTION("""COMPUTED_VALUE"""),"muc.prpe@ufcat.edu.br")</f>
        <v>muc.prpe@ufcat.edu.br</v>
      </c>
      <c r="D111" s="7" t="str">
        <f>IFERROR(__xludf.DUMMYFUNCTION("""COMPUTED_VALUE"""),"DANIEL DOS REIS SIMÕES")</f>
        <v>DANIEL DOS REIS SIMÕES</v>
      </c>
      <c r="E111" s="7">
        <f>IFERROR(__xludf.DUMMYFUNCTION("""COMPUTED_VALUE"""),5333.0)</f>
        <v>5333</v>
      </c>
      <c r="F111" s="7" t="str">
        <f>IFERROR(__xludf.DUMMYFUNCTION("""COMPUTED_VALUE"""),"PRPE")</f>
        <v>PRPE</v>
      </c>
      <c r="G111" s="9" t="str">
        <f>IFERROR(__xludf.DUMMYFUNCTION("""COMPUTED_VALUE"""),"MUC")</f>
        <v>MUC</v>
      </c>
      <c r="H111" s="7" t="str">
        <f>IFERROR(__xludf.DUMMYFUNCTION("""COMPUTED_VALUE"""),"Apto 204")</f>
        <v>Apto 204</v>
      </c>
      <c r="I111" s="7" t="str">
        <f>IFERROR(__xludf.DUMMYFUNCTION("""COMPUTED_VALUE"""),"Instalações elétricas")</f>
        <v>Instalações elétricas</v>
      </c>
      <c r="J111" s="7" t="str">
        <f>IFERROR(__xludf.DUMMYFUNCTION("""COMPUTED_VALUE"""),"04 Elétrica / 37 - Outros (PRAZO DE ACORDO COM A DEMANDA)")</f>
        <v>04 Elétrica / 37 - Outros (PRAZO DE ACORDO COM A DEMANDA)</v>
      </c>
      <c r="K111" s="7"/>
      <c r="L111" s="7" t="str">
        <f>IFERROR(__xludf.DUMMYFUNCTION("""COMPUTED_VALUE"""),"Ventilador parou de funcionar. Apto 204. Quarto A")</f>
        <v>Ventilador parou de funcionar. Apto 204. Quarto A</v>
      </c>
      <c r="M111" s="10" t="str">
        <f>IFERROR(__xludf.DUMMYFUNCTION("""COMPUTED_VALUE"""),"Defeito no aparelho ")</f>
        <v>Defeito no aparelho </v>
      </c>
      <c r="N111" s="10" t="str">
        <f>IFERROR(__xludf.DUMMYFUNCTION("""COMPUTED_VALUE"""),"Realizado")</f>
        <v>Realizado</v>
      </c>
      <c r="O111" s="11">
        <f>IFERROR(__xludf.DUMMYFUNCTION("""COMPUTED_VALUE"""),45310.0)</f>
        <v>45310</v>
      </c>
      <c r="P111" s="11"/>
    </row>
    <row r="112" ht="27.0" customHeight="1">
      <c r="A112" s="7" t="str">
        <f>IFERROR(__xludf.DUMMYFUNCTION("""COMPUTED_VALUE"""),"110/2024")</f>
        <v>110/2024</v>
      </c>
      <c r="B112" s="8">
        <f>IFERROR(__xludf.DUMMYFUNCTION("""COMPUTED_VALUE"""),45310.45902386574)</f>
        <v>45310.45902</v>
      </c>
      <c r="C112" s="8" t="str">
        <f>IFERROR(__xludf.DUMMYFUNCTION("""COMPUTED_VALUE"""),"amanda.lopes@ufcat.edu.br")</f>
        <v>amanda.lopes@ufcat.edu.br</v>
      </c>
      <c r="D112" s="7" t="str">
        <f>IFERROR(__xludf.DUMMYFUNCTION("""COMPUTED_VALUE"""),"Amanda Matos ")</f>
        <v>Amanda Matos </v>
      </c>
      <c r="E112" s="7">
        <f>IFERROR(__xludf.DUMMYFUNCTION("""COMPUTED_VALUE"""),5340.0)</f>
        <v>5340</v>
      </c>
      <c r="F112" s="7" t="str">
        <f>IFERROR(__xludf.DUMMYFUNCTION("""COMPUTED_VALUE"""),"PREF")</f>
        <v>PREF</v>
      </c>
      <c r="G112" s="9" t="str">
        <f>IFERROR(__xludf.DUMMYFUNCTION("""COMPUTED_VALUE"""),"Bloco P")</f>
        <v>Bloco P</v>
      </c>
      <c r="H112" s="7" t="str">
        <f>IFERROR(__xludf.DUMMYFUNCTION("""COMPUTED_VALUE"""),"Toda universidade ")</f>
        <v>Toda universidade </v>
      </c>
      <c r="I112" s="7" t="str">
        <f>IFERROR(__xludf.DUMMYFUNCTION("""COMPUTED_VALUE"""),"Instalações Hidrossanitárias")</f>
        <v>Instalações Hidrossanitárias</v>
      </c>
      <c r="J112" s="7" t="str">
        <f>IFERROR(__xludf.DUMMYFUNCTION("""COMPUTED_VALUE"""),"02 Hidráulica / 21 - Troca de filtro de bebedouros (PRAZO DE 15 a 60 DIAS PARA ATENDIMENTO)")</f>
        <v>02 Hidráulica / 21 - Troca de filtro de bebedouros (PRAZO DE 15 a 60 DIAS PARA ATENDIMENTO)</v>
      </c>
      <c r="K112" s="7"/>
      <c r="L112" s="7" t="str">
        <f>IFERROR(__xludf.DUMMYFUNCTION("""COMPUTED_VALUE"""),"Troca dos filtros de bebedouros: 
Didatico I, Bloco D, Bloco B, bloco A, Bloco L, Auditorio Paulo de bastos, Biblioteca, RU, Bloco H, campus II e MUC ")</f>
        <v>Troca dos filtros de bebedouros: 
Didatico I, Bloco D, Bloco B, bloco A, Bloco L, Auditorio Paulo de bastos, Biblioteca, RU, Bloco H, campus II e MUC </v>
      </c>
      <c r="M112" s="10"/>
      <c r="N112" s="10" t="str">
        <f>IFERROR(__xludf.DUMMYFUNCTION("""COMPUTED_VALUE"""),"Realizado")</f>
        <v>Realizado</v>
      </c>
      <c r="O112" s="11">
        <f>IFERROR(__xludf.DUMMYFUNCTION("""COMPUTED_VALUE"""),45314.0)</f>
        <v>45314</v>
      </c>
      <c r="P112" s="11"/>
    </row>
    <row r="113" ht="27.0" customHeight="1">
      <c r="A113" s="7" t="str">
        <f>IFERROR(__xludf.DUMMYFUNCTION("""COMPUTED_VALUE"""),"111/2024")</f>
        <v>111/2024</v>
      </c>
      <c r="B113" s="8">
        <f>IFERROR(__xludf.DUMMYFUNCTION("""COMPUTED_VALUE"""),45310.46724987269)</f>
        <v>45310.46725</v>
      </c>
      <c r="C113" s="8" t="str">
        <f>IFERROR(__xludf.DUMMYFUNCTION("""COMPUTED_VALUE"""),"eliane_justino@ufcat.edu.br")</f>
        <v>eliane_justino@ufcat.edu.br</v>
      </c>
      <c r="D113" s="7" t="str">
        <f>IFERROR(__xludf.DUMMYFUNCTION("""COMPUTED_VALUE"""),"Eliane Justino")</f>
        <v>Eliane Justino</v>
      </c>
      <c r="E113" s="7">
        <f>IFERROR(__xludf.DUMMYFUNCTION("""COMPUTED_VALUE"""),9.84794313E8)</f>
        <v>984794313</v>
      </c>
      <c r="F113" s="7" t="str">
        <f>IFERROR(__xludf.DUMMYFUNCTION("""COMPUTED_VALUE"""),"PREF")</f>
        <v>PREF</v>
      </c>
      <c r="G113" s="9" t="str">
        <f>IFERROR(__xludf.DUMMYFUNCTION("""COMPUTED_VALUE"""),"Bloco O")</f>
        <v>Bloco O</v>
      </c>
      <c r="H113" s="7" t="str">
        <f>IFERROR(__xludf.DUMMYFUNCTION("""COMPUTED_VALUE"""),"Sala 103 - Piso da Engenharia Civil - Professora Eliane Justino")</f>
        <v>Sala 103 - Piso da Engenharia Civil - Professora Eliane Justino</v>
      </c>
      <c r="I113" s="7" t="str">
        <f>IFERROR(__xludf.DUMMYFUNCTION("""COMPUTED_VALUE"""),"Pequenos serviços de reparos em Marcenaria")</f>
        <v>Pequenos serviços de reparos em Marcenaria</v>
      </c>
      <c r="J113" s="7" t="str">
        <f>IFERROR(__xludf.DUMMYFUNCTION("""COMPUTED_VALUE"""),"03 Marcenaria / 29 - Outros (PRAZO DE ACORDO COM A DEMANDA)")</f>
        <v>03 Marcenaria / 29 - Outros (PRAZO DE ACORDO COM A DEMANDA)</v>
      </c>
      <c r="K113" s="7"/>
      <c r="L113" s="7" t="str">
        <f>IFERROR(__xludf.DUMMYFUNCTION("""COMPUTED_VALUE"""),"Colocação de Persiana")</f>
        <v>Colocação de Persiana</v>
      </c>
      <c r="M113" s="10"/>
      <c r="N113" s="10" t="str">
        <f>IFERROR(__xludf.DUMMYFUNCTION("""COMPUTED_VALUE"""),"Realizado")</f>
        <v>Realizado</v>
      </c>
      <c r="O113" s="11">
        <f>IFERROR(__xludf.DUMMYFUNCTION("""COMPUTED_VALUE"""),45341.0)</f>
        <v>45341</v>
      </c>
      <c r="P113" s="11"/>
    </row>
    <row r="114" ht="27.0" customHeight="1">
      <c r="A114" s="7" t="str">
        <f>IFERROR(__xludf.DUMMYFUNCTION("""COMPUTED_VALUE"""),"112/2024")</f>
        <v>112/2024</v>
      </c>
      <c r="B114" s="8">
        <f>IFERROR(__xludf.DUMMYFUNCTION("""COMPUTED_VALUE"""),45310.47143866898)</f>
        <v>45310.47144</v>
      </c>
      <c r="C114" s="8" t="str">
        <f>IFERROR(__xludf.DUMMYFUNCTION("""COMPUTED_VALUE"""),"eliane_justino@ufcat.edu.br")</f>
        <v>eliane_justino@ufcat.edu.br</v>
      </c>
      <c r="D114" s="7" t="str">
        <f>IFERROR(__xludf.DUMMYFUNCTION("""COMPUTED_VALUE"""),"Eliane Justino")</f>
        <v>Eliane Justino</v>
      </c>
      <c r="E114" s="7">
        <f>IFERROR(__xludf.DUMMYFUNCTION("""COMPUTED_VALUE"""),9.84794343E8)</f>
        <v>984794343</v>
      </c>
      <c r="F114" s="7" t="str">
        <f>IFERROR(__xludf.DUMMYFUNCTION("""COMPUTED_VALUE"""),"FENG  - Engenharia de Produção")</f>
        <v>FENG  - Engenharia de Produção</v>
      </c>
      <c r="G114" s="9" t="str">
        <f>IFERROR(__xludf.DUMMYFUNCTION("""COMPUTED_VALUE"""),"Bloco O")</f>
        <v>Bloco O</v>
      </c>
      <c r="H114" s="7" t="str">
        <f>IFERROR(__xludf.DUMMYFUNCTION("""COMPUTED_VALUE"""),"Piso da Engenharia Civil - Corredores das Salas dos Professores do Curso de Engenharia Civil")</f>
        <v>Piso da Engenharia Civil - Corredores das Salas dos Professores do Curso de Engenharia Civil</v>
      </c>
      <c r="I114" s="7" t="str">
        <f>IFERROR(__xludf.DUMMYFUNCTION("""COMPUTED_VALUE"""),"Serralheria")</f>
        <v>Serralheria</v>
      </c>
      <c r="J114" s="7" t="str">
        <f>IFERROR(__xludf.DUMMYFUNCTION("""COMPUTED_VALUE"""),"08 Serralheria / 54 - Suporte em geral (PRAZO DE ATÉ 60 DIAS PARA ATENDIMENTO)")</f>
        <v>08 Serralheria / 54 - Suporte em geral (PRAZO DE ATÉ 60 DIAS PARA ATENDIMENTO)</v>
      </c>
      <c r="K114" s="7"/>
      <c r="L114" s="7" t="str">
        <f>IFERROR(__xludf.DUMMYFUNCTION("""COMPUTED_VALUE"""),"Suporte para Armários de Aço sem pés, para evitar que a lavagem de piso danifiquem o móvel.")</f>
        <v>Suporte para Armários de Aço sem pés, para evitar que a lavagem de piso danifiquem o móvel.</v>
      </c>
      <c r="M114" s="10"/>
      <c r="N114" s="10" t="str">
        <f>IFERROR(__xludf.DUMMYFUNCTION("""COMPUTED_VALUE"""),"Realizado")</f>
        <v>Realizado</v>
      </c>
      <c r="O114" s="11">
        <f>IFERROR(__xludf.DUMMYFUNCTION("""COMPUTED_VALUE"""),45401.0)</f>
        <v>45401</v>
      </c>
      <c r="P114" s="11"/>
    </row>
    <row r="115" ht="27.0" customHeight="1">
      <c r="A115" s="7" t="str">
        <f>IFERROR(__xludf.DUMMYFUNCTION("""COMPUTED_VALUE"""),"113/2024")</f>
        <v>113/2024</v>
      </c>
      <c r="B115" s="8">
        <f>IFERROR(__xludf.DUMMYFUNCTION("""COMPUTED_VALUE"""),45310.55723179398)</f>
        <v>45310.55723</v>
      </c>
      <c r="C115" s="8" t="str">
        <f>IFERROR(__xludf.DUMMYFUNCTION("""COMPUTED_VALUE"""),"mayani@ufcat.edu.br")</f>
        <v>mayani@ufcat.edu.br</v>
      </c>
      <c r="D115" s="7" t="str">
        <f>IFERROR(__xludf.DUMMYFUNCTION("""COMPUTED_VALUE"""),"Mayani Thais Lopes")</f>
        <v>Mayani Thais Lopes</v>
      </c>
      <c r="E115" s="7">
        <f>IFERROR(__xludf.DUMMYFUNCTION("""COMPUTED_VALUE"""),3.4999071369E10)</f>
        <v>34999071369</v>
      </c>
      <c r="F115" s="7" t="str">
        <f>IFERROR(__xludf.DUMMYFUNCTION("""COMPUTED_VALUE"""),"IBIOTEC - Enfermagem")</f>
        <v>IBIOTEC - Enfermagem</v>
      </c>
      <c r="G115" s="9" t="str">
        <f>IFERROR(__xludf.DUMMYFUNCTION("""COMPUTED_VALUE"""),"Bloco K")</f>
        <v>Bloco K</v>
      </c>
      <c r="H115" s="7">
        <f>IFERROR(__xludf.DUMMYFUNCTION("""COMPUTED_VALUE"""),5.0)</f>
        <v>5</v>
      </c>
      <c r="I115" s="7" t="str">
        <f>IFERROR(__xludf.DUMMYFUNCTION("""COMPUTED_VALUE"""),"Instalações Hidrossanitárias")</f>
        <v>Instalações Hidrossanitárias</v>
      </c>
      <c r="J115" s="7" t="str">
        <f>IFERROR(__xludf.DUMMYFUNCTION("""COMPUTED_VALUE"""),"02 Hidráulica / 10 - Vazamento de Torneira (PRAZO DE 15 a 60 DIAS PARA ATENDIMENTO)")</f>
        <v>02 Hidráulica / 10 - Vazamento de Torneira (PRAZO DE 15 a 60 DIAS PARA ATENDIMENTO)</v>
      </c>
      <c r="K115" s="7"/>
      <c r="L115" s="7" t="str">
        <f>IFERROR(__xludf.DUMMYFUNCTION("""COMPUTED_VALUE"""),"Torneira esta com vazamento de água, por essa razão não está sendo utilizada.")</f>
        <v>Torneira esta com vazamento de água, por essa razão não está sendo utilizada.</v>
      </c>
      <c r="M115" s="10"/>
      <c r="N115" s="10" t="str">
        <f>IFERROR(__xludf.DUMMYFUNCTION("""COMPUTED_VALUE"""),"Realizado")</f>
        <v>Realizado</v>
      </c>
      <c r="O115" s="11">
        <f>IFERROR(__xludf.DUMMYFUNCTION("""COMPUTED_VALUE"""),45366.0)</f>
        <v>45366</v>
      </c>
      <c r="P115" s="11"/>
    </row>
    <row r="116" ht="27.0" customHeight="1">
      <c r="A116" s="7" t="str">
        <f>IFERROR(__xludf.DUMMYFUNCTION("""COMPUTED_VALUE"""),"114/2024")</f>
        <v>114/2024</v>
      </c>
      <c r="B116" s="8">
        <f>IFERROR(__xludf.DUMMYFUNCTION("""COMPUTED_VALUE"""),45310.60731664352)</f>
        <v>45310.60732</v>
      </c>
      <c r="C116" s="8" t="str">
        <f>IFERROR(__xludf.DUMMYFUNCTION("""COMPUTED_VALUE"""),"muc.prpe@ufcat.edu.br")</f>
        <v>muc.prpe@ufcat.edu.br</v>
      </c>
      <c r="D116" s="7" t="str">
        <f>IFERROR(__xludf.DUMMYFUNCTION("""COMPUTED_VALUE"""),"DANIEL DOS REIS SIMÕES")</f>
        <v>DANIEL DOS REIS SIMÕES</v>
      </c>
      <c r="E116" s="7">
        <f>IFERROR(__xludf.DUMMYFUNCTION("""COMPUTED_VALUE"""),5333.0)</f>
        <v>5333</v>
      </c>
      <c r="F116" s="7" t="str">
        <f>IFERROR(__xludf.DUMMYFUNCTION("""COMPUTED_VALUE"""),"PRPE")</f>
        <v>PRPE</v>
      </c>
      <c r="G116" s="16" t="str">
        <f>IFERROR(__xludf.DUMMYFUNCTION("""COMPUTED_VALUE"""),"MUC")</f>
        <v>MUC</v>
      </c>
      <c r="H116" s="7" t="str">
        <f>IFERROR(__xludf.DUMMYFUNCTION("""COMPUTED_VALUE"""),"Apto 205")</f>
        <v>Apto 205</v>
      </c>
      <c r="I116" s="7" t="str">
        <f>IFERROR(__xludf.DUMMYFUNCTION("""COMPUTED_VALUE"""),"Instalações Hidrossanitárias")</f>
        <v>Instalações Hidrossanitárias</v>
      </c>
      <c r="J116"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116" s="7"/>
      <c r="L116" s="7" t="str">
        <f>IFERROR(__xludf.DUMMYFUNCTION("""COMPUTED_VALUE"""),"Vazamento no vaso sanitário")</f>
        <v>Vazamento no vaso sanitário</v>
      </c>
      <c r="M116" s="10"/>
      <c r="N116" s="10" t="str">
        <f>IFERROR(__xludf.DUMMYFUNCTION("""COMPUTED_VALUE"""),"Realizado")</f>
        <v>Realizado</v>
      </c>
      <c r="O116" s="11">
        <f>IFERROR(__xludf.DUMMYFUNCTION("""COMPUTED_VALUE"""),45322.0)</f>
        <v>45322</v>
      </c>
      <c r="P116" s="11"/>
    </row>
    <row r="117" ht="27.0" customHeight="1">
      <c r="A117" s="7" t="str">
        <f>IFERROR(__xludf.DUMMYFUNCTION("""COMPUTED_VALUE"""),"115/2024")</f>
        <v>115/2024</v>
      </c>
      <c r="B117" s="8">
        <f>IFERROR(__xludf.DUMMYFUNCTION("""COMPUTED_VALUE"""),45310.713692523146)</f>
        <v>45310.71369</v>
      </c>
      <c r="C117" s="8" t="str">
        <f>IFERROR(__xludf.DUMMYFUNCTION("""COMPUTED_VALUE"""),"sergio_junior@ufcat.edu.br")</f>
        <v>sergio_junior@ufcat.edu.br</v>
      </c>
      <c r="D117" s="7" t="str">
        <f>IFERROR(__xludf.DUMMYFUNCTION("""COMPUTED_VALUE"""),"Sérgio")</f>
        <v>Sérgio</v>
      </c>
      <c r="E117" s="7">
        <f>IFERROR(__xludf.DUMMYFUNCTION("""COMPUTED_VALUE"""),5339.0)</f>
        <v>5339</v>
      </c>
      <c r="F117" s="7" t="str">
        <f>IFERROR(__xludf.DUMMYFUNCTION("""COMPUTED_VALUE"""),"CPATRI")</f>
        <v>CPATRI</v>
      </c>
      <c r="G117" s="9" t="str">
        <f>IFERROR(__xludf.DUMMYFUNCTION("""COMPUTED_VALUE"""),"Bloco Administrativo")</f>
        <v>Bloco Administrativo</v>
      </c>
      <c r="H117" s="7" t="str">
        <f>IFERROR(__xludf.DUMMYFUNCTION("""COMPUTED_VALUE"""),"Sala 07")</f>
        <v>Sala 07</v>
      </c>
      <c r="I117" s="7" t="str">
        <f>IFERROR(__xludf.DUMMYFUNCTION("""COMPUTED_VALUE"""),"Pequenos serviços de reparos em Marcenaria")</f>
        <v>Pequenos serviços de reparos em Marcenaria</v>
      </c>
      <c r="J117" s="13"/>
      <c r="K117" s="13"/>
      <c r="L117" s="7" t="str">
        <f>IFERROR(__xludf.DUMMYFUNCTION("""COMPUTED_VALUE"""),"Retirada de uma persiana na Sala 09 e instalação da mesma na Sala 07 da Cpatri/ Proaf (Subsolo do prédio Administrativo)")</f>
        <v>Retirada de uma persiana na Sala 09 e instalação da mesma na Sala 07 da Cpatri/ Proaf (Subsolo do prédio Administrativo)</v>
      </c>
      <c r="M117" s="10"/>
      <c r="N117" s="10" t="str">
        <f>IFERROR(__xludf.DUMMYFUNCTION("""COMPUTED_VALUE"""),"Realizado")</f>
        <v>Realizado</v>
      </c>
      <c r="O117" s="11">
        <f>IFERROR(__xludf.DUMMYFUNCTION("""COMPUTED_VALUE"""),45338.0)</f>
        <v>45338</v>
      </c>
      <c r="P117" s="11"/>
    </row>
    <row r="118" ht="27.0" customHeight="1">
      <c r="A118" s="7" t="str">
        <f>IFERROR(__xludf.DUMMYFUNCTION("""COMPUTED_VALUE"""),"116/2024")</f>
        <v>116/2024</v>
      </c>
      <c r="B118" s="8">
        <f>IFERROR(__xludf.DUMMYFUNCTION("""COMPUTED_VALUE"""),45310.76052956018)</f>
        <v>45310.76053</v>
      </c>
      <c r="C118" s="8" t="str">
        <f>IFERROR(__xludf.DUMMYFUNCTION("""COMPUTED_VALUE"""),"seguranca@ufcat.edu.br")</f>
        <v>seguranca@ufcat.edu.br</v>
      </c>
      <c r="D118" s="7" t="str">
        <f>IFERROR(__xludf.DUMMYFUNCTION("""COMPUTED_VALUE"""),"neide da costa ")</f>
        <v>neide da costa </v>
      </c>
      <c r="E118" s="7">
        <f>IFERROR(__xludf.DUMMYFUNCTION("""COMPUTED_VALUE"""),5318.0)</f>
        <v>5318</v>
      </c>
      <c r="F118" s="7" t="str">
        <f>IFERROR(__xludf.DUMMYFUNCTION("""COMPUTED_VALUE"""),"CENTRAL DE OPERAÇÕES VIGILÂNCIA")</f>
        <v>CENTRAL DE OPERAÇÕES VIGILÂNCIA</v>
      </c>
      <c r="G118" s="9" t="str">
        <f>IFERROR(__xludf.DUMMYFUNCTION("""COMPUTED_VALUE"""),"Didatico I")</f>
        <v>Didatico I</v>
      </c>
      <c r="H118" s="7" t="str">
        <f>IFERROR(__xludf.DUMMYFUNCTION("""COMPUTED_VALUE"""),"Banheiro feminino terreo ")</f>
        <v>Banheiro feminino terreo </v>
      </c>
      <c r="I118" s="7" t="str">
        <f>IFERROR(__xludf.DUMMYFUNCTION("""COMPUTED_VALUE"""),"Pequenos serviços de reparos em Marcenaria")</f>
        <v>Pequenos serviços de reparos em Marcenaria</v>
      </c>
      <c r="J118" s="7" t="str">
        <f>IFERROR(__xludf.DUMMYFUNCTION("""COMPUTED_VALUE"""),"03 Marcenaria / 28 -Troca de Fechaduras (PRAZO DE ATÉ 15 DIAS PARA ATENDIMENTO)")</f>
        <v>03 Marcenaria / 28 -Troca de Fechaduras (PRAZO DE ATÉ 15 DIAS PARA ATENDIMENTO)</v>
      </c>
      <c r="K118" s="7"/>
      <c r="L118" s="7" t="str">
        <f>IFERROR(__xludf.DUMMYFUNCTION("""COMPUTED_VALUE"""),"Marçaneta da porta do banheiro feminino do didatico 1 terreo está com quebrada dificultando para abrir .")</f>
        <v>Marçaneta da porta do banheiro feminino do didatico 1 terreo está com quebrada dificultando para abrir .</v>
      </c>
      <c r="M118" s="10"/>
      <c r="N118" s="10" t="str">
        <f>IFERROR(__xludf.DUMMYFUNCTION("""COMPUTED_VALUE"""),"Realizado")</f>
        <v>Realizado</v>
      </c>
      <c r="O118" s="11">
        <f>IFERROR(__xludf.DUMMYFUNCTION("""COMPUTED_VALUE"""),45315.0)</f>
        <v>45315</v>
      </c>
      <c r="P118" s="11"/>
    </row>
    <row r="119" ht="27.0" customHeight="1">
      <c r="A119" s="7" t="str">
        <f>IFERROR(__xludf.DUMMYFUNCTION("""COMPUTED_VALUE"""),"117/2024")</f>
        <v>117/2024</v>
      </c>
      <c r="B119" s="8">
        <f>IFERROR(__xludf.DUMMYFUNCTION("""COMPUTED_VALUE"""),45311.71078635417)</f>
        <v>45311.71079</v>
      </c>
      <c r="C119" s="8" t="str">
        <f>IFERROR(__xludf.DUMMYFUNCTION("""COMPUTED_VALUE"""),"seguranca@ufcat.edu.br")</f>
        <v>seguranca@ufcat.edu.br</v>
      </c>
      <c r="D119" s="7" t="str">
        <f>IFERROR(__xludf.DUMMYFUNCTION("""COMPUTED_VALUE"""),"Maria Duarte ")</f>
        <v>Maria Duarte </v>
      </c>
      <c r="E119" s="7">
        <f>IFERROR(__xludf.DUMMYFUNCTION("""COMPUTED_VALUE"""),5318.0)</f>
        <v>5318</v>
      </c>
      <c r="F119" s="7" t="str">
        <f>IFERROR(__xludf.DUMMYFUNCTION("""COMPUTED_VALUE"""),"CENTRAL DE OPERAÇÕES VIGILÂNCIA")</f>
        <v>CENTRAL DE OPERAÇÕES VIGILÂNCIA</v>
      </c>
      <c r="G119" s="9" t="str">
        <f>IFERROR(__xludf.DUMMYFUNCTION("""COMPUTED_VALUE"""),"Bloco O")</f>
        <v>Bloco O</v>
      </c>
      <c r="H119" s="7" t="str">
        <f>IFERROR(__xludf.DUMMYFUNCTION("""COMPUTED_VALUE"""),"Porta Lateral do Bloco O")</f>
        <v>Porta Lateral do Bloco O</v>
      </c>
      <c r="I119" s="7" t="str">
        <f>IFERROR(__xludf.DUMMYFUNCTION("""COMPUTED_VALUE"""),"Pequenos serviços de reparos em Marcenaria")</f>
        <v>Pequenos serviços de reparos em Marcenaria</v>
      </c>
      <c r="J119" s="7" t="str">
        <f>IFERROR(__xludf.DUMMYFUNCTION("""COMPUTED_VALUE"""),"03 Marcenaria / 27 -Troca de Porta (PRAZO DE ATÉ 15 DIAS PARA ATENDIMENTO)")</f>
        <v>03 Marcenaria / 27 -Troca de Porta (PRAZO DE ATÉ 15 DIAS PARA ATENDIMENTO)</v>
      </c>
      <c r="K119" s="7"/>
      <c r="L119" s="7" t="str">
        <f>IFERROR(__xludf.DUMMYFUNCTION("""COMPUTED_VALUE"""),"A porta de madeira da Lateral do Bloco O da Engenharia Civil (a lateral que fica próxima ao Almoxarifado do Prédio Administrativo), foi danificada por um cachorro.")</f>
        <v>A porta de madeira da Lateral do Bloco O da Engenharia Civil (a lateral que fica próxima ao Almoxarifado do Prédio Administrativo), foi danificada por um cachorro.</v>
      </c>
      <c r="M119" s="10"/>
      <c r="N119" s="10" t="str">
        <f>IFERROR(__xludf.DUMMYFUNCTION("""COMPUTED_VALUE"""),"Realizado")</f>
        <v>Realizado</v>
      </c>
      <c r="O119" s="11">
        <f>IFERROR(__xludf.DUMMYFUNCTION("""COMPUTED_VALUE"""),45315.0)</f>
        <v>45315</v>
      </c>
      <c r="P119" s="11"/>
    </row>
    <row r="120" ht="27.0" customHeight="1">
      <c r="A120" s="7" t="str">
        <f>IFERROR(__xludf.DUMMYFUNCTION("""COMPUTED_VALUE"""),"118/2024")</f>
        <v>118/2024</v>
      </c>
      <c r="B120" s="8">
        <f>IFERROR(__xludf.DUMMYFUNCTION("""COMPUTED_VALUE"""),45313.39896748842)</f>
        <v>45313.39897</v>
      </c>
      <c r="C120" s="8" t="str">
        <f>IFERROR(__xludf.DUMMYFUNCTION("""COMPUTED_VALUE"""),"iana.abrantes@ufcat.edu.br")</f>
        <v>iana.abrantes@ufcat.edu.br</v>
      </c>
      <c r="D120" s="7" t="str">
        <f>IFERROR(__xludf.DUMMYFUNCTION("""COMPUTED_VALUE"""),"Iana")</f>
        <v>Iana</v>
      </c>
      <c r="E120" s="7" t="str">
        <f>IFERROR(__xludf.DUMMYFUNCTION("""COMPUTED_VALUE"""),"62 9 8331-8743")</f>
        <v>62 9 8331-8743</v>
      </c>
      <c r="F120" s="7" t="str">
        <f>IFERROR(__xludf.DUMMYFUNCTION("""COMPUTED_VALUE"""),"FENG - Engenharia Civil")</f>
        <v>FENG - Engenharia Civil</v>
      </c>
      <c r="G120" s="9" t="str">
        <f>IFERROR(__xludf.DUMMYFUNCTION("""COMPUTED_VALUE"""),"Bloco O")</f>
        <v>Bloco O</v>
      </c>
      <c r="H120" s="7" t="str">
        <f>IFERROR(__xludf.DUMMYFUNCTION("""COMPUTED_VALUE"""),"Área externa - fundos da sala de Geoprocessamento")</f>
        <v>Área externa - fundos da sala de Geoprocessamento</v>
      </c>
      <c r="I120" s="7" t="str">
        <f>IFERROR(__xludf.DUMMYFUNCTION("""COMPUTED_VALUE"""),"Reparos (alvenaria, piso, forro e telhado)")</f>
        <v>Reparos (alvenaria, piso, forro e telhado)</v>
      </c>
      <c r="J120" s="7" t="str">
        <f>IFERROR(__xludf.DUMMYFUNCTION("""COMPUTED_VALUE"""),"01 Alvenaria / 05 - Piso (PRAZO DE ATÉ 60 DIAS PARA ATENDIMENTO)")</f>
        <v>01 Alvenaria / 05 - Piso (PRAZO DE ATÉ 60 DIAS PARA ATENDIMENTO)</v>
      </c>
      <c r="K120" s="7"/>
      <c r="L120" s="7" t="str">
        <f>IFERROR(__xludf.DUMMYFUNCTION("""COMPUTED_VALUE"""),"Construção de pequena área cimentada para colocação das condensadoras de ar condicionado dos Laboratórios da Minas e de Geoprocessamento da FENG")</f>
        <v>Construção de pequena área cimentada para colocação das condensadoras de ar condicionado dos Laboratórios da Minas e de Geoprocessamento da FENG</v>
      </c>
      <c r="M120" s="10"/>
      <c r="N120" s="10" t="str">
        <f>IFERROR(__xludf.DUMMYFUNCTION("""COMPUTED_VALUE"""),"Realizado")</f>
        <v>Realizado</v>
      </c>
      <c r="O120" s="11">
        <f>IFERROR(__xludf.DUMMYFUNCTION("""COMPUTED_VALUE"""),45337.0)</f>
        <v>45337</v>
      </c>
      <c r="P120" s="11"/>
    </row>
    <row r="121" ht="27.0" customHeight="1">
      <c r="A121" s="7" t="str">
        <f>IFERROR(__xludf.DUMMYFUNCTION("""COMPUTED_VALUE"""),"119/2024")</f>
        <v>119/2024</v>
      </c>
      <c r="B121" s="8">
        <f>IFERROR(__xludf.DUMMYFUNCTION("""COMPUTED_VALUE"""),45313.429832951384)</f>
        <v>45313.42983</v>
      </c>
      <c r="C121" s="8" t="str">
        <f>IFERROR(__xludf.DUMMYFUNCTION("""COMPUTED_VALUE"""),"fabricio_pacheco@ufcat.edu.br")</f>
        <v>fabricio_pacheco@ufcat.edu.br</v>
      </c>
      <c r="D121" s="7" t="str">
        <f>IFERROR(__xludf.DUMMYFUNCTION("""COMPUTED_VALUE"""),"Fabrício")</f>
        <v>Fabrício</v>
      </c>
      <c r="E121" s="7">
        <f>IFERROR(__xludf.DUMMYFUNCTION("""COMPUTED_VALUE"""),5360.0)</f>
        <v>5360</v>
      </c>
      <c r="F121" s="7" t="str">
        <f>IFERROR(__xludf.DUMMYFUNCTION("""COMPUTED_VALUE"""),"BIBLIOTECA")</f>
        <v>BIBLIOTECA</v>
      </c>
      <c r="G121" s="9" t="str">
        <f>IFERROR(__xludf.DUMMYFUNCTION("""COMPUTED_VALUE"""),"Biblioteca")</f>
        <v>Biblioteca</v>
      </c>
      <c r="H121" s="7" t="str">
        <f>IFERROR(__xludf.DUMMYFUNCTION("""COMPUTED_VALUE"""),"Piso inferior da Biblioteca (em frente ao laboratório de informática)")</f>
        <v>Piso inferior da Biblioteca (em frente ao laboratório de informática)</v>
      </c>
      <c r="I121" s="7" t="str">
        <f>IFERROR(__xludf.DUMMYFUNCTION("""COMPUTED_VALUE"""),"Instalações elétricas")</f>
        <v>Instalações elétricas</v>
      </c>
      <c r="J121" s="7" t="str">
        <f>IFERROR(__xludf.DUMMYFUNCTION("""COMPUTED_VALUE"""),"04 Elétrica / 37 - Outros (PRAZO DE ACORDO COM A DEMANDA)")</f>
        <v>04 Elétrica / 37 - Outros (PRAZO DE ACORDO COM A DEMANDA)</v>
      </c>
      <c r="K121" s="7"/>
      <c r="L121" s="7" t="str">
        <f>IFERROR(__xludf.DUMMYFUNCTION("""COMPUTED_VALUE"""),"Várias luzes estão apagadas no piso inferior da Biblioteca")</f>
        <v>Várias luzes estão apagadas no piso inferior da Biblioteca</v>
      </c>
      <c r="M121" s="10"/>
      <c r="N121" s="10" t="str">
        <f>IFERROR(__xludf.DUMMYFUNCTION("""COMPUTED_VALUE"""),"Realizado")</f>
        <v>Realizado</v>
      </c>
      <c r="O121" s="11">
        <f>IFERROR(__xludf.DUMMYFUNCTION("""COMPUTED_VALUE"""),45315.0)</f>
        <v>45315</v>
      </c>
      <c r="P121" s="11"/>
    </row>
    <row r="122" ht="27.0" customHeight="1">
      <c r="A122" s="7" t="str">
        <f>IFERROR(__xludf.DUMMYFUNCTION("""COMPUTED_VALUE"""),"120/2024")</f>
        <v>120/2024</v>
      </c>
      <c r="B122" s="8">
        <f>IFERROR(__xludf.DUMMYFUNCTION("""COMPUTED_VALUE"""),45313.44552288194)</f>
        <v>45313.44552</v>
      </c>
      <c r="C122" s="8" t="str">
        <f>IFERROR(__xludf.DUMMYFUNCTION("""COMPUTED_VALUE"""),"elaine_carbonero@ufcat.edu.br")</f>
        <v>elaine_carbonero@ufcat.edu.br</v>
      </c>
      <c r="D122" s="7" t="str">
        <f>IFERROR(__xludf.DUMMYFUNCTION("""COMPUTED_VALUE"""),"Elaine R Carbonero")</f>
        <v>Elaine R Carbonero</v>
      </c>
      <c r="E122" s="7">
        <f>IFERROR(__xludf.DUMMYFUNCTION("""COMPUTED_VALUE"""),9.81321757E8)</f>
        <v>981321757</v>
      </c>
      <c r="F122" s="7" t="str">
        <f>IFERROR(__xludf.DUMMYFUNCTION("""COMPUTED_VALUE"""),"IQ")</f>
        <v>IQ</v>
      </c>
      <c r="G122" s="9" t="str">
        <f>IFERROR(__xludf.DUMMYFUNCTION("""COMPUTED_VALUE"""),"Bloco K")</f>
        <v>Bloco K</v>
      </c>
      <c r="H122" s="7" t="str">
        <f>IFERROR(__xludf.DUMMYFUNCTION("""COMPUTED_VALUE"""),"Antigo Xerox")</f>
        <v>Antigo Xerox</v>
      </c>
      <c r="I122" s="7" t="str">
        <f>IFERROR(__xludf.DUMMYFUNCTION("""COMPUTED_VALUE"""),"Pequenos serviços de reparos em Marcenaria")</f>
        <v>Pequenos serviços de reparos em Marcenaria</v>
      </c>
      <c r="J122" s="7" t="str">
        <f>IFERROR(__xludf.DUMMYFUNCTION("""COMPUTED_VALUE"""),"03 Marcenaria / 29 - Outros (PRAZO DE ACORDO COM A DEMANDA)")</f>
        <v>03 Marcenaria / 29 - Outros (PRAZO DE ACORDO COM A DEMANDA)</v>
      </c>
      <c r="K122" s="7"/>
      <c r="L122" s="7" t="str">
        <f>IFERROR(__xludf.DUMMYFUNCTION("""COMPUTED_VALUE"""),"Instalação de prateleiras")</f>
        <v>Instalação de prateleiras</v>
      </c>
      <c r="M122" s="10"/>
      <c r="N122" s="10" t="str">
        <f>IFERROR(__xludf.DUMMYFUNCTION("""COMPUTED_VALUE"""),"Aguardando análise")</f>
        <v>Aguardando análise</v>
      </c>
      <c r="O122" s="11"/>
      <c r="P122" s="11"/>
    </row>
    <row r="123" ht="27.0" customHeight="1">
      <c r="A123" s="7" t="str">
        <f>IFERROR(__xludf.DUMMYFUNCTION("""COMPUTED_VALUE"""),"121/2024")</f>
        <v>121/2024</v>
      </c>
      <c r="B123" s="8">
        <f>IFERROR(__xludf.DUMMYFUNCTION("""COMPUTED_VALUE"""),45313.44664366898)</f>
        <v>45313.44664</v>
      </c>
      <c r="C123" s="8" t="str">
        <f>IFERROR(__xludf.DUMMYFUNCTION("""COMPUTED_VALUE"""),"elaine_carbonero@ufcat.edu.br")</f>
        <v>elaine_carbonero@ufcat.edu.br</v>
      </c>
      <c r="D123" s="7" t="str">
        <f>IFERROR(__xludf.DUMMYFUNCTION("""COMPUTED_VALUE"""),"Elaine R CArbonero")</f>
        <v>Elaine R CArbonero</v>
      </c>
      <c r="E123" s="7">
        <f>IFERROR(__xludf.DUMMYFUNCTION("""COMPUTED_VALUE"""),9.81321757E8)</f>
        <v>981321757</v>
      </c>
      <c r="F123" s="7" t="str">
        <f>IFERROR(__xludf.DUMMYFUNCTION("""COMPUTED_VALUE"""),"IQ")</f>
        <v>IQ</v>
      </c>
      <c r="G123" s="9" t="str">
        <f>IFERROR(__xludf.DUMMYFUNCTION("""COMPUTED_VALUE"""),"Bloco N")</f>
        <v>Bloco N</v>
      </c>
      <c r="H123" s="7" t="str">
        <f>IFERROR(__xludf.DUMMYFUNCTION("""COMPUTED_VALUE"""),"Lab 111 e 115")</f>
        <v>Lab 111 e 115</v>
      </c>
      <c r="I123" s="7" t="str">
        <f>IFERROR(__xludf.DUMMYFUNCTION("""COMPUTED_VALUE"""),"Pequenos serviços de reparos em Marcenaria")</f>
        <v>Pequenos serviços de reparos em Marcenaria</v>
      </c>
      <c r="J123" s="7" t="str">
        <f>IFERROR(__xludf.DUMMYFUNCTION("""COMPUTED_VALUE"""),"03 Marcenaria / 23 - Confecção de Armários  (PRAZO DE ATÉ 120 DIAS PARA ATENDIMENTO)")</f>
        <v>03 Marcenaria / 23 - Confecção de Armários  (PRAZO DE ATÉ 120 DIAS PARA ATENDIMENTO)</v>
      </c>
      <c r="K123" s="7"/>
      <c r="L123" s="7" t="str">
        <f>IFERROR(__xludf.DUMMYFUNCTION("""COMPUTED_VALUE"""),"Confecção das prateleiras/armarios para o acondicionamento de reagentes químicos")</f>
        <v>Confecção das prateleiras/armarios para o acondicionamento de reagentes químicos</v>
      </c>
      <c r="M123" s="10"/>
      <c r="N123" s="10" t="str">
        <f>IFERROR(__xludf.DUMMYFUNCTION("""COMPUTED_VALUE"""),"Aguardando análise")</f>
        <v>Aguardando análise</v>
      </c>
      <c r="O123" s="11"/>
      <c r="P123" s="11"/>
    </row>
    <row r="124" ht="27.0" customHeight="1">
      <c r="A124" s="7" t="str">
        <f>IFERROR(__xludf.DUMMYFUNCTION("""COMPUTED_VALUE"""),"122/2024")</f>
        <v>122/2024</v>
      </c>
      <c r="B124" s="8">
        <f>IFERROR(__xludf.DUMMYFUNCTION("""COMPUTED_VALUE"""),45313.44761649305)</f>
        <v>45313.44762</v>
      </c>
      <c r="C124" s="8" t="str">
        <f>IFERROR(__xludf.DUMMYFUNCTION("""COMPUTED_VALUE"""),"elaine_carbonero@ufcat.edu.br")</f>
        <v>elaine_carbonero@ufcat.edu.br</v>
      </c>
      <c r="D124" s="7" t="str">
        <f>IFERROR(__xludf.DUMMYFUNCTION("""COMPUTED_VALUE"""),"elaine R Carbonero")</f>
        <v>elaine R Carbonero</v>
      </c>
      <c r="E124" s="7">
        <f>IFERROR(__xludf.DUMMYFUNCTION("""COMPUTED_VALUE"""),9.81321757E8)</f>
        <v>981321757</v>
      </c>
      <c r="F124" s="7" t="str">
        <f>IFERROR(__xludf.DUMMYFUNCTION("""COMPUTED_VALUE"""),"IQ")</f>
        <v>IQ</v>
      </c>
      <c r="G124" s="9" t="str">
        <f>IFERROR(__xludf.DUMMYFUNCTION("""COMPUTED_VALUE"""),"Bloco N")</f>
        <v>Bloco N</v>
      </c>
      <c r="H124" s="7" t="str">
        <f>IFERROR(__xludf.DUMMYFUNCTION("""COMPUTED_VALUE"""),"115/111")</f>
        <v>115/111</v>
      </c>
      <c r="I124" s="7" t="str">
        <f>IFERROR(__xludf.DUMMYFUNCTION("""COMPUTED_VALUE"""),"Serralheria ")</f>
        <v>Serralheria </v>
      </c>
      <c r="J124" s="7" t="str">
        <f>IFERROR(__xludf.DUMMYFUNCTION("""COMPUTED_VALUE"""),"08 Serralheria / 56 - Outros (PRAZO DE ACORDO COM A DEMANDA)")</f>
        <v>08 Serralheria / 56 - Outros (PRAZO DE ACORDO COM A DEMANDA)</v>
      </c>
      <c r="K124" s="7"/>
      <c r="L124" s="7" t="str">
        <f>IFERROR(__xludf.DUMMYFUNCTION("""COMPUTED_VALUE"""),"Confecção de carrinho para transporte de reagentes/vidrarias")</f>
        <v>Confecção de carrinho para transporte de reagentes/vidrarias</v>
      </c>
      <c r="M124" s="10" t="str">
        <f>IFERROR(__xludf.DUMMYFUNCTION("""COMPUTED_VALUE"""),"Suspenso por falta de mão de obra ")</f>
        <v>Suspenso por falta de mão de obra </v>
      </c>
      <c r="N124" s="10" t="str">
        <f>IFERROR(__xludf.DUMMYFUNCTION("""COMPUTED_VALUE"""),"Contratação externa Unidade ")</f>
        <v>Contratação externa Unidade </v>
      </c>
      <c r="O124" s="11">
        <f>IFERROR(__xludf.DUMMYFUNCTION("""COMPUTED_VALUE"""),45337.0)</f>
        <v>45337</v>
      </c>
      <c r="P124" s="11"/>
    </row>
    <row r="125" ht="27.0" customHeight="1">
      <c r="A125" s="7" t="str">
        <f>IFERROR(__xludf.DUMMYFUNCTION("""COMPUTED_VALUE"""),"123/2024")</f>
        <v>123/2024</v>
      </c>
      <c r="B125" s="8">
        <f>IFERROR(__xludf.DUMMYFUNCTION("""COMPUTED_VALUE"""),45313.524697141205)</f>
        <v>45313.5247</v>
      </c>
      <c r="C125" s="8" t="str">
        <f>IFERROR(__xludf.DUMMYFUNCTION("""COMPUTED_VALUE"""),"muc.prpe@ufcat.edu.br")</f>
        <v>muc.prpe@ufcat.edu.br</v>
      </c>
      <c r="D125" s="7" t="str">
        <f>IFERROR(__xludf.DUMMYFUNCTION("""COMPUTED_VALUE"""),"DANIEL DOS REIS SIMÕES")</f>
        <v>DANIEL DOS REIS SIMÕES</v>
      </c>
      <c r="E125" s="7">
        <f>IFERROR(__xludf.DUMMYFUNCTION("""COMPUTED_VALUE"""),5333.0)</f>
        <v>5333</v>
      </c>
      <c r="F125" s="7" t="str">
        <f>IFERROR(__xludf.DUMMYFUNCTION("""COMPUTED_VALUE"""),"PRPE")</f>
        <v>PRPE</v>
      </c>
      <c r="G125" s="9" t="str">
        <f>IFERROR(__xludf.DUMMYFUNCTION("""COMPUTED_VALUE"""),"MUC")</f>
        <v>MUC</v>
      </c>
      <c r="H125" s="7" t="str">
        <f>IFERROR(__xludf.DUMMYFUNCTION("""COMPUTED_VALUE"""),"Apto 205")</f>
        <v>Apto 205</v>
      </c>
      <c r="I125" s="7" t="str">
        <f>IFERROR(__xludf.DUMMYFUNCTION("""COMPUTED_VALUE"""),"Instalações Hidrossanitárias")</f>
        <v>Instalações Hidrossanitárias</v>
      </c>
      <c r="J125" s="7" t="str">
        <f>IFERROR(__xludf.DUMMYFUNCTION("""COMPUTED_VALUE"""),"02 Hidráulica / 22 - Outros (PRAZO DE 15 a 60 DIAS PARA ATENDIMENTO)")</f>
        <v>02 Hidráulica / 22 - Outros (PRAZO DE 15 a 60 DIAS PARA ATENDIMENTO)</v>
      </c>
      <c r="K125" s="7"/>
      <c r="L125" s="7" t="str">
        <f>IFERROR(__xludf.DUMMYFUNCTION("""COMPUTED_VALUE"""),"Infiltração no teto do banheiro, apto 205")</f>
        <v>Infiltração no teto do banheiro, apto 205</v>
      </c>
      <c r="M125" s="10"/>
      <c r="N125" s="10" t="str">
        <f>IFERROR(__xludf.DUMMYFUNCTION("""COMPUTED_VALUE"""),"Realizado")</f>
        <v>Realizado</v>
      </c>
      <c r="O125" s="11">
        <f>IFERROR(__xludf.DUMMYFUNCTION("""COMPUTED_VALUE"""),45313.0)</f>
        <v>45313</v>
      </c>
      <c r="P125" s="11"/>
    </row>
    <row r="126" ht="27.0" customHeight="1">
      <c r="A126" s="7" t="str">
        <f>IFERROR(__xludf.DUMMYFUNCTION("""COMPUTED_VALUE"""),"124/2024")</f>
        <v>124/2024</v>
      </c>
      <c r="B126" s="8">
        <f>IFERROR(__xludf.DUMMYFUNCTION("""COMPUTED_VALUE"""),45313.5829240162)</f>
        <v>45313.58292</v>
      </c>
      <c r="C126" s="8" t="str">
        <f>IFERROR(__xludf.DUMMYFUNCTION("""COMPUTED_VALUE"""),"jeane.souza@ufcat.edu.br")</f>
        <v>jeane.souza@ufcat.edu.br</v>
      </c>
      <c r="D126" s="7" t="str">
        <f>IFERROR(__xludf.DUMMYFUNCTION("""COMPUTED_VALUE"""),"Jeane")</f>
        <v>Jeane</v>
      </c>
      <c r="E126" s="7">
        <f>IFERROR(__xludf.DUMMYFUNCTION("""COMPUTED_VALUE"""),7609.0)</f>
        <v>7609</v>
      </c>
      <c r="F126" s="7" t="str">
        <f>IFERROR(__xludf.DUMMYFUNCTION("""COMPUTED_VALUE"""),"CEP")</f>
        <v>CEP</v>
      </c>
      <c r="G126" s="9" t="str">
        <f>IFERROR(__xludf.DUMMYFUNCTION("""COMPUTED_VALUE"""),"Didatico I")</f>
        <v>Didatico I</v>
      </c>
      <c r="H126" s="7">
        <f>IFERROR(__xludf.DUMMYFUNCTION("""COMPUTED_VALUE"""),211.0)</f>
        <v>211</v>
      </c>
      <c r="I126" s="7" t="str">
        <f>IFERROR(__xludf.DUMMYFUNCTION("""COMPUTED_VALUE"""),"Reparos (alvenaria, piso, forro e telhado)")</f>
        <v>Reparos (alvenaria, piso, forro e telhado)</v>
      </c>
      <c r="J126" s="7" t="str">
        <f>IFERROR(__xludf.DUMMYFUNCTION("""COMPUTED_VALUE"""),"01 Alvenaria / 06 - Outros (PRAZO DE ATÉ 60 DIAS PARA ATENDIMENTO)")</f>
        <v>01 Alvenaria / 06 - Outros (PRAZO DE ATÉ 60 DIAS PARA ATENDIMENTO)</v>
      </c>
      <c r="K126" s="7"/>
      <c r="L126" s="7" t="str">
        <f>IFERROR(__xludf.DUMMYFUNCTION("""COMPUTED_VALUE"""),"Recolocar as letras de madeira da fachada do CEP/UFCAT")</f>
        <v>Recolocar as letras de madeira da fachada do CEP/UFCAT</v>
      </c>
      <c r="M126" s="10"/>
      <c r="N126" s="10" t="str">
        <f>IFERROR(__xludf.DUMMYFUNCTION("""COMPUTED_VALUE"""),"Realizado")</f>
        <v>Realizado</v>
      </c>
      <c r="O126" s="11">
        <f>IFERROR(__xludf.DUMMYFUNCTION("""COMPUTED_VALUE"""),45320.0)</f>
        <v>45320</v>
      </c>
      <c r="P126" s="11"/>
    </row>
    <row r="127" ht="27.0" customHeight="1">
      <c r="A127" s="7" t="str">
        <f>IFERROR(__xludf.DUMMYFUNCTION("""COMPUTED_VALUE"""),"125/2024")</f>
        <v>125/2024</v>
      </c>
      <c r="B127" s="8">
        <f>IFERROR(__xludf.DUMMYFUNCTION("""COMPUTED_VALUE"""),45313.58869041667)</f>
        <v>45313.58869</v>
      </c>
      <c r="C127" s="8" t="str">
        <f>IFERROR(__xludf.DUMMYFUNCTION("""COMPUTED_VALUE"""),"cinara.martins@ufcat.edu.br")</f>
        <v>cinara.martins@ufcat.edu.br</v>
      </c>
      <c r="D127" s="7" t="str">
        <f>IFERROR(__xludf.DUMMYFUNCTION("""COMPUTED_VALUE"""),"Cinara ")</f>
        <v>Cinara </v>
      </c>
      <c r="E127" s="7">
        <f>IFERROR(__xludf.DUMMYFUNCTION("""COMPUTED_VALUE"""),5358.0)</f>
        <v>5358</v>
      </c>
      <c r="F127" s="7" t="str">
        <f>IFERROR(__xludf.DUMMYFUNCTION("""COMPUTED_VALUE"""),"PRPE")</f>
        <v>PRPE</v>
      </c>
      <c r="G127" s="9" t="str">
        <f>IFERROR(__xludf.DUMMYFUNCTION("""COMPUTED_VALUE"""),"Bloco Administrativo")</f>
        <v>Bloco Administrativo</v>
      </c>
      <c r="H127" s="7" t="str">
        <f>IFERROR(__xludf.DUMMYFUNCTION("""COMPUTED_VALUE"""),"Copa - 2° piso")</f>
        <v>Copa - 2° piso</v>
      </c>
      <c r="I127" s="7" t="str">
        <f>IFERROR(__xludf.DUMMYFUNCTION("""COMPUTED_VALUE"""),"Instalações Hidrossanitárias")</f>
        <v>Instalações Hidrossanitárias</v>
      </c>
      <c r="J127" s="7" t="str">
        <f>IFERROR(__xludf.DUMMYFUNCTION("""COMPUTED_VALUE"""),"02 Hidráulica / 09 - Vazamento de Pia (PRAZO DE 15 a 60 DIAS PARA ATENDIMENTO)")</f>
        <v>02 Hidráulica / 09 - Vazamento de Pia (PRAZO DE 15 a 60 DIAS PARA ATENDIMENTO)</v>
      </c>
      <c r="K127" s="7"/>
      <c r="L127" s="7" t="str">
        <f>IFERROR(__xludf.DUMMYFUNCTION("""COMPUTED_VALUE"""),"Reparo na pia.")</f>
        <v>Reparo na pia.</v>
      </c>
      <c r="M127" s="10"/>
      <c r="N127" s="10" t="str">
        <f>IFERROR(__xludf.DUMMYFUNCTION("""COMPUTED_VALUE"""),"Realizado")</f>
        <v>Realizado</v>
      </c>
      <c r="O127" s="11">
        <f>IFERROR(__xludf.DUMMYFUNCTION("""COMPUTED_VALUE"""),45314.0)</f>
        <v>45314</v>
      </c>
      <c r="P127" s="11"/>
    </row>
    <row r="128" ht="27.0" customHeight="1">
      <c r="A128" s="7" t="str">
        <f>IFERROR(__xludf.DUMMYFUNCTION("""COMPUTED_VALUE"""),"126/2024")</f>
        <v>126/2024</v>
      </c>
      <c r="B128" s="8">
        <f>IFERROR(__xludf.DUMMYFUNCTION("""COMPUTED_VALUE"""),45313.64101160879)</f>
        <v>45313.64101</v>
      </c>
      <c r="C128" s="8" t="str">
        <f>IFERROR(__xludf.DUMMYFUNCTION("""COMPUTED_VALUE"""),"mariaeduarda.borges@ufcat.edu.br")</f>
        <v>mariaeduarda.borges@ufcat.edu.br</v>
      </c>
      <c r="D128" s="7" t="str">
        <f>IFERROR(__xludf.DUMMYFUNCTION("""COMPUTED_VALUE"""),"Maria Eduarda Silva Borges ")</f>
        <v>Maria Eduarda Silva Borges </v>
      </c>
      <c r="E128" s="7">
        <f>IFERROR(__xludf.DUMMYFUNCTION("""COMPUTED_VALUE"""),5340.0)</f>
        <v>5340</v>
      </c>
      <c r="F128" s="7" t="str">
        <f>IFERROR(__xludf.DUMMYFUNCTION("""COMPUTED_VALUE"""),"PREF")</f>
        <v>PREF</v>
      </c>
      <c r="G128" s="9" t="str">
        <f>IFERROR(__xludf.DUMMYFUNCTION("""COMPUTED_VALUE"""),"Bloco O")</f>
        <v>Bloco O</v>
      </c>
      <c r="H128" s="7" t="str">
        <f>IFERROR(__xludf.DUMMYFUNCTION("""COMPUTED_VALUE"""),"ENGENHARIA CIVIL")</f>
        <v>ENGENHARIA CIVIL</v>
      </c>
      <c r="I128" s="7" t="str">
        <f>IFERROR(__xludf.DUMMYFUNCTION("""COMPUTED_VALUE"""),"Pequenos serviços de reparos em Marcenaria")</f>
        <v>Pequenos serviços de reparos em Marcenaria</v>
      </c>
      <c r="J128" s="7" t="str">
        <f>IFERROR(__xludf.DUMMYFUNCTION("""COMPUTED_VALUE"""),"03 Marcenaria / 29 - Outros (PRAZO DE ACORDO COM A DEMANDA)")</f>
        <v>03 Marcenaria / 29 - Outros (PRAZO DE ACORDO COM A DEMANDA)</v>
      </c>
      <c r="K128" s="7"/>
      <c r="L128" s="7" t="str">
        <f>IFERROR(__xludf.DUMMYFUNCTION("""COMPUTED_VALUE"""),"Janela aberta na Engenharia Civil pois a  trava da janela da sala 25 laboratório interdisciplinar está danificada.")</f>
        <v>Janela aberta na Engenharia Civil pois a  trava da janela da sala 25 laboratório interdisciplinar está danificada.</v>
      </c>
      <c r="M128" s="10"/>
      <c r="N128" s="10" t="str">
        <f>IFERROR(__xludf.DUMMYFUNCTION("""COMPUTED_VALUE"""),"Realizado")</f>
        <v>Realizado</v>
      </c>
      <c r="O128" s="11">
        <f>IFERROR(__xludf.DUMMYFUNCTION("""COMPUTED_VALUE"""),45315.0)</f>
        <v>45315</v>
      </c>
      <c r="P128" s="11"/>
    </row>
    <row r="129" ht="27.0" customHeight="1">
      <c r="A129" s="7" t="str">
        <f>IFERROR(__xludf.DUMMYFUNCTION("""COMPUTED_VALUE"""),"127/2024")</f>
        <v>127/2024</v>
      </c>
      <c r="B129" s="8">
        <f>IFERROR(__xludf.DUMMYFUNCTION("""COMPUTED_VALUE"""),45313.65534186343)</f>
        <v>45313.65534</v>
      </c>
      <c r="C129" s="8" t="str">
        <f>IFERROR(__xludf.DUMMYFUNCTION("""COMPUTED_VALUE"""),"mariaeduarda.borges@ufcat.edu.br")</f>
        <v>mariaeduarda.borges@ufcat.edu.br</v>
      </c>
      <c r="D129" s="7" t="str">
        <f>IFERROR(__xludf.DUMMYFUNCTION("""COMPUTED_VALUE"""),"Maria Eduarda Silva Borges")</f>
        <v>Maria Eduarda Silva Borges</v>
      </c>
      <c r="E129" s="7">
        <f>IFERROR(__xludf.DUMMYFUNCTION("""COMPUTED_VALUE"""),5340.0)</f>
        <v>5340</v>
      </c>
      <c r="F129" s="7" t="str">
        <f>IFERROR(__xludf.DUMMYFUNCTION("""COMPUTED_VALUE"""),"PREF")</f>
        <v>PREF</v>
      </c>
      <c r="G129" s="9" t="str">
        <f>IFERROR(__xludf.DUMMYFUNCTION("""COMPUTED_VALUE"""),"Bloco O")</f>
        <v>Bloco O</v>
      </c>
      <c r="H129" s="7" t="str">
        <f>IFERROR(__xludf.DUMMYFUNCTION("""COMPUTED_VALUE"""),"PORTA LATERAL DA ENGENHARIA CIVIL")</f>
        <v>PORTA LATERAL DA ENGENHARIA CIVIL</v>
      </c>
      <c r="I129" s="7" t="str">
        <f>IFERROR(__xludf.DUMMYFUNCTION("""COMPUTED_VALUE"""),"Pequenos serviços de reparos em Marcenaria")</f>
        <v>Pequenos serviços de reparos em Marcenaria</v>
      </c>
      <c r="J129" s="7" t="str">
        <f>IFERROR(__xludf.DUMMYFUNCTION("""COMPUTED_VALUE"""),"03 Marcenaria / 29 - Outros (PRAZO DE ACORDO COM A DEMANDA)")</f>
        <v>03 Marcenaria / 29 - Outros (PRAZO DE ACORDO COM A DEMANDA)</v>
      </c>
      <c r="K129" s="7"/>
      <c r="L129" s="7" t="str">
        <f>IFERROR(__xludf.DUMMYFUNCTION("""COMPUTED_VALUE"""),"Porta Lateral da Engenharia Civil se encontrava danificada, pois um cachorro havia ficado preso no local, e ao tentar sair danificou a porta.")</f>
        <v>Porta Lateral da Engenharia Civil se encontrava danificada, pois um cachorro havia ficado preso no local, e ao tentar sair danificou a porta.</v>
      </c>
      <c r="M129" s="10"/>
      <c r="N129" s="10" t="str">
        <f>IFERROR(__xludf.DUMMYFUNCTION("""COMPUTED_VALUE"""),"Realizado")</f>
        <v>Realizado</v>
      </c>
      <c r="O129" s="11">
        <f>IFERROR(__xludf.DUMMYFUNCTION("""COMPUTED_VALUE"""),45315.0)</f>
        <v>45315</v>
      </c>
      <c r="P129" s="11"/>
    </row>
    <row r="130" ht="27.0" customHeight="1">
      <c r="A130" s="7" t="str">
        <f>IFERROR(__xludf.DUMMYFUNCTION("""COMPUTED_VALUE"""),"128/2024")</f>
        <v>128/2024</v>
      </c>
      <c r="B130" s="8">
        <f>IFERROR(__xludf.DUMMYFUNCTION("""COMPUTED_VALUE"""),45313.68270482639)</f>
        <v>45313.6827</v>
      </c>
      <c r="C130" s="8" t="str">
        <f>IFERROR(__xludf.DUMMYFUNCTION("""COMPUTED_VALUE"""),"amanda.lopes@ufcat.edu.br")</f>
        <v>amanda.lopes@ufcat.edu.br</v>
      </c>
      <c r="D130" s="7" t="str">
        <f>IFERROR(__xludf.DUMMYFUNCTION("""COMPUTED_VALUE"""),"Amanda Matos ")</f>
        <v>Amanda Matos </v>
      </c>
      <c r="E130" s="7">
        <f>IFERROR(__xludf.DUMMYFUNCTION("""COMPUTED_VALUE"""),5340.0)</f>
        <v>5340</v>
      </c>
      <c r="F130" s="7" t="str">
        <f>IFERROR(__xludf.DUMMYFUNCTION("""COMPUTED_VALUE"""),"PREF")</f>
        <v>PREF</v>
      </c>
      <c r="G130" s="9" t="str">
        <f>IFERROR(__xludf.DUMMYFUNCTION("""COMPUTED_VALUE"""),"Piscina")</f>
        <v>Piscina</v>
      </c>
      <c r="H130" s="7" t="str">
        <f>IFERROR(__xludf.DUMMYFUNCTION("""COMPUTED_VALUE"""),"Banheiro masculino ")</f>
        <v>Banheiro masculino </v>
      </c>
      <c r="I130" s="7" t="str">
        <f>IFERROR(__xludf.DUMMYFUNCTION("""COMPUTED_VALUE"""),"Instalações elétricas")</f>
        <v>Instalações elétricas</v>
      </c>
      <c r="J130" s="7" t="str">
        <f>IFERROR(__xludf.DUMMYFUNCTION("""COMPUTED_VALUE"""),"04 Elétrica / 35 - Troca de Lâmpadas (PRAZO DE ATÉ 15 DIAS PARA ATENDIMENTO)")</f>
        <v>04 Elétrica / 35 - Troca de Lâmpadas (PRAZO DE ATÉ 15 DIAS PARA ATENDIMENTO)</v>
      </c>
      <c r="K130" s="7"/>
      <c r="L130" s="7" t="str">
        <f>IFERROR(__xludf.DUMMYFUNCTION("""COMPUTED_VALUE"""),"Troca de lampada queimada")</f>
        <v>Troca de lampada queimada</v>
      </c>
      <c r="M130" s="10"/>
      <c r="N130" s="10" t="str">
        <f>IFERROR(__xludf.DUMMYFUNCTION("""COMPUTED_VALUE"""),"Realizado")</f>
        <v>Realizado</v>
      </c>
      <c r="O130" s="11">
        <f>IFERROR(__xludf.DUMMYFUNCTION("""COMPUTED_VALUE"""),45314.0)</f>
        <v>45314</v>
      </c>
      <c r="P130" s="11"/>
    </row>
    <row r="131" ht="27.0" customHeight="1">
      <c r="A131" s="7" t="str">
        <f>IFERROR(__xludf.DUMMYFUNCTION("""COMPUTED_VALUE"""),"129/2024")</f>
        <v>129/2024</v>
      </c>
      <c r="B131" s="8">
        <f>IFERROR(__xludf.DUMMYFUNCTION("""COMPUTED_VALUE"""),45314.35195833333)</f>
        <v>45314.35196</v>
      </c>
      <c r="C131" s="8" t="str">
        <f>IFERROR(__xludf.DUMMYFUNCTION("""COMPUTED_VALUE"""),"mariaeduarda.borges@ufcat.edu.br")</f>
        <v>mariaeduarda.borges@ufcat.edu.br</v>
      </c>
      <c r="D131" s="7" t="str">
        <f>IFERROR(__xludf.DUMMYFUNCTION("""COMPUTED_VALUE"""),"Maria Eduarda Silva Borges ")</f>
        <v>Maria Eduarda Silva Borges </v>
      </c>
      <c r="E131" s="7">
        <f>IFERROR(__xludf.DUMMYFUNCTION("""COMPUTED_VALUE"""),5340.0)</f>
        <v>5340</v>
      </c>
      <c r="F131" s="7" t="str">
        <f>IFERROR(__xludf.DUMMYFUNCTION("""COMPUTED_VALUE"""),"PREF")</f>
        <v>PREF</v>
      </c>
      <c r="G131" s="9" t="str">
        <f>IFERROR(__xludf.DUMMYFUNCTION("""COMPUTED_VALUE"""),"Bloco K")</f>
        <v>Bloco K</v>
      </c>
      <c r="H131" s="7" t="str">
        <f>IFERROR(__xludf.DUMMYFUNCTION("""COMPUTED_VALUE"""),"LUMINARIA EXTERNA EM FRENTE A ENTRADA LATERAL DO BLOCO K.")</f>
        <v>LUMINARIA EXTERNA EM FRENTE A ENTRADA LATERAL DO BLOCO K.</v>
      </c>
      <c r="I131" s="7" t="str">
        <f>IFERROR(__xludf.DUMMYFUNCTION("""COMPUTED_VALUE"""),"Instalações elétricas")</f>
        <v>Instalações elétricas</v>
      </c>
      <c r="J131" s="7" t="str">
        <f>IFERROR(__xludf.DUMMYFUNCTION("""COMPUTED_VALUE"""),"04 Elétrica / 31 - Iluminação Externa (PRAZO DE ATÉ 15 DIAS PARA ATENDIMENTO)")</f>
        <v>04 Elétrica / 31 - Iluminação Externa (PRAZO DE ATÉ 15 DIAS PARA ATENDIMENTO)</v>
      </c>
      <c r="K131" s="7"/>
      <c r="L131" s="7" t="str">
        <f>IFERROR(__xludf.DUMMYFUNCTION("""COMPUTED_VALUE""")," Durante ronda de conferência e fechamento dos blocos foi identificado  que a iluminação da luminária externa em frente a entrada lateral do bloco K estão queimadas.")</f>
        <v> Durante ronda de conferência e fechamento dos blocos foi identificado  que a iluminação da luminária externa em frente a entrada lateral do bloco K estão queimadas.</v>
      </c>
      <c r="M131" s="10"/>
      <c r="N131" s="10" t="str">
        <f>IFERROR(__xludf.DUMMYFUNCTION("""COMPUTED_VALUE"""),"Realizado")</f>
        <v>Realizado</v>
      </c>
      <c r="O131" s="11">
        <f>IFERROR(__xludf.DUMMYFUNCTION("""COMPUTED_VALUE"""),45315.0)</f>
        <v>45315</v>
      </c>
      <c r="P131" s="11"/>
    </row>
    <row r="132" ht="27.0" customHeight="1">
      <c r="A132" s="7" t="str">
        <f>IFERROR(__xludf.DUMMYFUNCTION("""COMPUTED_VALUE"""),"130/2024")</f>
        <v>130/2024</v>
      </c>
      <c r="B132" s="8">
        <f>IFERROR(__xludf.DUMMYFUNCTION("""COMPUTED_VALUE"""),45314.39661269676)</f>
        <v>45314.39661</v>
      </c>
      <c r="C132" s="8" t="str">
        <f>IFERROR(__xludf.DUMMYFUNCTION("""COMPUTED_VALUE"""),"mariaeduarda.borges@ufcat.edu.br")</f>
        <v>mariaeduarda.borges@ufcat.edu.br</v>
      </c>
      <c r="D132" s="7" t="str">
        <f>IFERROR(__xludf.DUMMYFUNCTION("""COMPUTED_VALUE"""),"Maria Eduarda Silva Borges ")</f>
        <v>Maria Eduarda Silva Borges </v>
      </c>
      <c r="E132" s="7">
        <f>IFERROR(__xludf.DUMMYFUNCTION("""COMPUTED_VALUE"""),5340.0)</f>
        <v>5340</v>
      </c>
      <c r="F132" s="7" t="str">
        <f>IFERROR(__xludf.DUMMYFUNCTION("""COMPUTED_VALUE"""),"PREF")</f>
        <v>PREF</v>
      </c>
      <c r="G132" s="9" t="str">
        <f>IFERROR(__xludf.DUMMYFUNCTION("""COMPUTED_VALUE"""),"Bloco M")</f>
        <v>Bloco M</v>
      </c>
      <c r="H132" s="7" t="str">
        <f>IFERROR(__xludf.DUMMYFUNCTION("""COMPUTED_VALUE"""),"PORTA DO DML")</f>
        <v>PORTA DO DML</v>
      </c>
      <c r="I132" s="7" t="str">
        <f>IFERROR(__xludf.DUMMYFUNCTION("""COMPUTED_VALUE"""),"Pequenos serviços de reparos em Marcenaria")</f>
        <v>Pequenos serviços de reparos em Marcenaria</v>
      </c>
      <c r="J132" s="7" t="str">
        <f>IFERROR(__xludf.DUMMYFUNCTION("""COMPUTED_VALUE"""),"03 Marcenaria / 29 - Outros (PRAZO DE ACORDO COM A DEMANDA)")</f>
        <v>03 Marcenaria / 29 - Outros (PRAZO DE ACORDO COM A DEMANDA)</v>
      </c>
      <c r="K132" s="7"/>
      <c r="L132" s="7" t="str">
        <f>IFERROR(__xludf.DUMMYFUNCTION("""COMPUTED_VALUE"""),"Porta  não encaixa no portal.")</f>
        <v>Porta  não encaixa no portal.</v>
      </c>
      <c r="M132" s="10"/>
      <c r="N132" s="10" t="str">
        <f>IFERROR(__xludf.DUMMYFUNCTION("""COMPUTED_VALUE"""),"Realizado")</f>
        <v>Realizado</v>
      </c>
      <c r="O132" s="11">
        <f>IFERROR(__xludf.DUMMYFUNCTION("""COMPUTED_VALUE"""),45315.0)</f>
        <v>45315</v>
      </c>
      <c r="P132" s="11"/>
    </row>
    <row r="133" ht="27.0" customHeight="1">
      <c r="A133" s="7" t="str">
        <f>IFERROR(__xludf.DUMMYFUNCTION("""COMPUTED_VALUE"""),"131/2024")</f>
        <v>131/2024</v>
      </c>
      <c r="B133" s="8">
        <f>IFERROR(__xludf.DUMMYFUNCTION("""COMPUTED_VALUE"""),45314.68324643519)</f>
        <v>45314.68325</v>
      </c>
      <c r="C133" s="8" t="str">
        <f>IFERROR(__xludf.DUMMYFUNCTION("""COMPUTED_VALUE"""),"seguranca@ufcat.edu.br")</f>
        <v>seguranca@ufcat.edu.br</v>
      </c>
      <c r="D133" s="7" t="str">
        <f>IFERROR(__xludf.DUMMYFUNCTION("""COMPUTED_VALUE"""),"Neide da costa ")</f>
        <v>Neide da costa </v>
      </c>
      <c r="E133" s="7">
        <f>IFERROR(__xludf.DUMMYFUNCTION("""COMPUTED_VALUE"""),5318.0)</f>
        <v>5318</v>
      </c>
      <c r="F133" s="7" t="str">
        <f>IFERROR(__xludf.DUMMYFUNCTION("""COMPUTED_VALUE"""),"CENTRAL DE OPERAÇÕES VIGILÂNCIA")</f>
        <v>CENTRAL DE OPERAÇÕES VIGILÂNCIA</v>
      </c>
      <c r="G133" s="9" t="str">
        <f>IFERROR(__xludf.DUMMYFUNCTION("""COMPUTED_VALUE"""),"Bloco N")</f>
        <v>Bloco N</v>
      </c>
      <c r="H133" s="7" t="str">
        <f>IFERROR(__xludf.DUMMYFUNCTION("""COMPUTED_VALUE"""),"camêras do bloco N todas desconectadas.")</f>
        <v>camêras do bloco N todas desconectadas.</v>
      </c>
      <c r="I133" s="7" t="str">
        <f>IFERROR(__xludf.DUMMYFUNCTION("""COMPUTED_VALUE"""),"Instalações e/ou Manutenção em Cabeamento de Rede")</f>
        <v>Instalações e/ou Manutenção em Cabeamento de Rede</v>
      </c>
      <c r="J133" s="7" t="str">
        <f>IFERROR(__xludf.DUMMYFUNCTION("""COMPUTED_VALUE"""),"05 Telecomunicações / 39 - CFTV (PRAZO DE ATÉ 15 DIAS PARA ATENDIMENTO)")</f>
        <v>05 Telecomunicações / 39 - CFTV (PRAZO DE ATÉ 15 DIAS PARA ATENDIMENTO)</v>
      </c>
      <c r="K133" s="7"/>
      <c r="L133" s="7" t="str">
        <f>IFERROR(__xludf.DUMMYFUNCTION("""COMPUTED_VALUE"""),"Bloco N as camêras desconectaram todas ")</f>
        <v>Bloco N as camêras desconectaram todas </v>
      </c>
      <c r="M133" s="10"/>
      <c r="N133" s="10" t="str">
        <f>IFERROR(__xludf.DUMMYFUNCTION("""COMPUTED_VALUE"""),"Realizado")</f>
        <v>Realizado</v>
      </c>
      <c r="O133" s="11">
        <f>IFERROR(__xludf.DUMMYFUNCTION("""COMPUTED_VALUE"""),45315.0)</f>
        <v>45315</v>
      </c>
      <c r="P133" s="11"/>
    </row>
    <row r="134" ht="27.0" customHeight="1">
      <c r="A134" s="7" t="str">
        <f>IFERROR(__xludf.DUMMYFUNCTION("""COMPUTED_VALUE"""),"132/2024")</f>
        <v>132/2024</v>
      </c>
      <c r="B134" s="8">
        <f>IFERROR(__xludf.DUMMYFUNCTION("""COMPUTED_VALUE"""),45314.72132909722)</f>
        <v>45314.72133</v>
      </c>
      <c r="C134" s="8" t="str">
        <f>IFERROR(__xludf.DUMMYFUNCTION("""COMPUTED_VALUE"""),"iolanda.aguiar@ufcat.edu.br")</f>
        <v>iolanda.aguiar@ufcat.edu.br</v>
      </c>
      <c r="D134" s="7" t="str">
        <f>IFERROR(__xludf.DUMMYFUNCTION("""COMPUTED_VALUE"""),"Iolanda Maria Aguiar / Iana Grecco")</f>
        <v>Iolanda Maria Aguiar / Iana Grecco</v>
      </c>
      <c r="E134" s="7">
        <f>IFERROR(__xludf.DUMMYFUNCTION("""COMPUTED_VALUE"""),6.2982410124E10)</f>
        <v>62982410124</v>
      </c>
      <c r="F134" s="7" t="str">
        <f>IFERROR(__xludf.DUMMYFUNCTION("""COMPUTED_VALUE"""),"FENG - Engenharia Civil")</f>
        <v>FENG - Engenharia Civil</v>
      </c>
      <c r="G134" s="9" t="str">
        <f>IFERROR(__xludf.DUMMYFUNCTION("""COMPUTED_VALUE"""),"Bloco O")</f>
        <v>Bloco O</v>
      </c>
      <c r="H134" s="7" t="str">
        <f>IFERROR(__xludf.DUMMYFUNCTION("""COMPUTED_VALUE"""),"Gabinete 8 - Profa Marilia Gabriela - térreo")</f>
        <v>Gabinete 8 - Profa Marilia Gabriela - térreo</v>
      </c>
      <c r="I134" s="7" t="str">
        <f>IFERROR(__xludf.DUMMYFUNCTION("""COMPUTED_VALUE"""),"Instalações Hidrossanitárias")</f>
        <v>Instalações Hidrossanitárias</v>
      </c>
      <c r="J134" s="7" t="str">
        <f>IFERROR(__xludf.DUMMYFUNCTION("""COMPUTED_VALUE"""),"02 Hidráulica / 12 - Vazamento em tubulações externas (PRAZO DE 15 a 60 DIAS PARA ATENDIMENTO)")</f>
        <v>02 Hidráulica / 12 - Vazamento em tubulações externas (PRAZO DE 15 a 60 DIAS PARA ATENDIMENTO)</v>
      </c>
      <c r="K134" s="7"/>
      <c r="L134" s="7" t="str">
        <f>IFERROR(__xludf.DUMMYFUNCTION("""COMPUTED_VALUE"""),"Dreno do ar condicionado é curto e provoca infiltração/vazamentos, necessita de extensão.")</f>
        <v>Dreno do ar condicionado é curto e provoca infiltração/vazamentos, necessita de extensão.</v>
      </c>
      <c r="M134" s="10" t="str">
        <f>IFERROR(__xludf.DUMMYFUNCTION("""COMPUTED_VALUE"""),"SEINFRA")</f>
        <v>SEINFRA</v>
      </c>
      <c r="N134" s="10" t="str">
        <f>IFERROR(__xludf.DUMMYFUNCTION("""COMPUTED_VALUE"""),"Contratação externa Unidade ")</f>
        <v>Contratação externa Unidade </v>
      </c>
      <c r="O134" s="11">
        <f>IFERROR(__xludf.DUMMYFUNCTION("""COMPUTED_VALUE"""),45315.0)</f>
        <v>45315</v>
      </c>
      <c r="P134" s="11"/>
    </row>
    <row r="135" ht="27.0" customHeight="1">
      <c r="A135" s="7" t="str">
        <f>IFERROR(__xludf.DUMMYFUNCTION("""COMPUTED_VALUE"""),"133/2024")</f>
        <v>133/2024</v>
      </c>
      <c r="B135" s="8">
        <f>IFERROR(__xludf.DUMMYFUNCTION("""COMPUTED_VALUE"""),45315.33496773148)</f>
        <v>45315.33497</v>
      </c>
      <c r="C135" s="8" t="str">
        <f>IFERROR(__xludf.DUMMYFUNCTION("""COMPUTED_VALUE"""),"marcelo.lima@discente.ufcat.edu.br")</f>
        <v>marcelo.lima@discente.ufcat.edu.br</v>
      </c>
      <c r="D135" s="7" t="str">
        <f>IFERROR(__xludf.DUMMYFUNCTION("""COMPUTED_VALUE"""),"Marcelo Lima ")</f>
        <v>Marcelo Lima </v>
      </c>
      <c r="E135" s="7" t="str">
        <f>IFERROR(__xludf.DUMMYFUNCTION("""COMPUTED_VALUE"""),"64 99230 3609")</f>
        <v>64 99230 3609</v>
      </c>
      <c r="F135" s="7" t="str">
        <f>IFERROR(__xludf.DUMMYFUNCTION("""COMPUTED_VALUE"""),"PREF")</f>
        <v>PREF</v>
      </c>
      <c r="G135" s="9" t="str">
        <f>IFERROR(__xludf.DUMMYFUNCTION("""COMPUTED_VALUE"""),"Restaurante Universitário")</f>
        <v>Restaurante Universitário</v>
      </c>
      <c r="H135" s="7" t="str">
        <f>IFERROR(__xludf.DUMMYFUNCTION("""COMPUTED_VALUE"""),"Lombada em frente ao Restaurentr Universitário ")</f>
        <v>Lombada em frente ao Restaurentr Universitário </v>
      </c>
      <c r="I135" s="7" t="str">
        <f>IFERROR(__xludf.DUMMYFUNCTION("""COMPUTED_VALUE"""),"Instalações Hidrossanitárias")</f>
        <v>Instalações Hidrossanitárias</v>
      </c>
      <c r="J135" s="7" t="str">
        <f>IFERROR(__xludf.DUMMYFUNCTION("""COMPUTED_VALUE"""),"02 Hidráulica / 07 - Desentupimento (PRAZO DE 1 ATÉ 5 DIAS PARA ATENDIMENTO)")</f>
        <v>02 Hidráulica / 07 - Desentupimento (PRAZO DE 1 ATÉ 5 DIAS PARA ATENDIMENTO)</v>
      </c>
      <c r="K135" s="7"/>
      <c r="L135" s="7" t="str">
        <f>IFERROR(__xludf.DUMMYFUNCTION("""COMPUTED_VALUE"""),"A lombada que está na frente do Restaurante Universitário está acumulando excessivamente água nos momentos de chuva. Inclusive alagando a região da lombada impedindo a passagens dos veículos e transeuntes.
Solicito que: viabilize um escoamento eficaz  da "&amp;"água que fica represada no lado que está passando a vala que fica com as bicicletas em cima.")</f>
        <v>A lombada que está na frente do Restaurante Universitário está acumulando excessivamente água nos momentos de chuva. Inclusive alagando a região da lombada impedindo a passagens dos veículos e transeuntes.
Solicito que: viabilize um escoamento eficaz  da água que fica represada no lado que está passando a vala que fica com as bicicletas em cima.</v>
      </c>
      <c r="M135" s="10"/>
      <c r="N135" s="10" t="str">
        <f>IFERROR(__xludf.DUMMYFUNCTION("""COMPUTED_VALUE"""),"Realizado")</f>
        <v>Realizado</v>
      </c>
      <c r="O135" s="11">
        <f>IFERROR(__xludf.DUMMYFUNCTION("""COMPUTED_VALUE"""),45342.0)</f>
        <v>45342</v>
      </c>
      <c r="P135" s="11"/>
    </row>
    <row r="136" ht="27.0" customHeight="1">
      <c r="A136" s="7" t="str">
        <f>IFERROR(__xludf.DUMMYFUNCTION("""COMPUTED_VALUE"""),"134/2024")</f>
        <v>134/2024</v>
      </c>
      <c r="B136" s="8">
        <f>IFERROR(__xludf.DUMMYFUNCTION("""COMPUTED_VALUE"""),45315.36857943287)</f>
        <v>45315.36858</v>
      </c>
      <c r="C136" s="8" t="str">
        <f>IFERROR(__xludf.DUMMYFUNCTION("""COMPUTED_VALUE"""),"mariaeduarda.borges@ufcat.edu.br")</f>
        <v>mariaeduarda.borges@ufcat.edu.br</v>
      </c>
      <c r="D136" s="7" t="str">
        <f>IFERROR(__xludf.DUMMYFUNCTION("""COMPUTED_VALUE"""),"Maria Eduarda Silva Borges ")</f>
        <v>Maria Eduarda Silva Borges </v>
      </c>
      <c r="E136" s="7">
        <f>IFERROR(__xludf.DUMMYFUNCTION("""COMPUTED_VALUE"""),5340.0)</f>
        <v>5340</v>
      </c>
      <c r="F136" s="7" t="str">
        <f>IFERROR(__xludf.DUMMYFUNCTION("""COMPUTED_VALUE"""),"PREF")</f>
        <v>PREF</v>
      </c>
      <c r="G136" s="9" t="str">
        <f>IFERROR(__xludf.DUMMYFUNCTION("""COMPUTED_VALUE"""),"Bloco D")</f>
        <v>Bloco D</v>
      </c>
      <c r="H136" s="7" t="str">
        <f>IFERROR(__xludf.DUMMYFUNCTION("""COMPUTED_VALUE"""),"BLOCO D SALA LABORATÓRIO DE LUTA")</f>
        <v>BLOCO D SALA LABORATÓRIO DE LUTA</v>
      </c>
      <c r="I136" s="7" t="str">
        <f>IFERROR(__xludf.DUMMYFUNCTION("""COMPUTED_VALUE"""),"Pequenos serviços de reparos em Marcenaria")</f>
        <v>Pequenos serviços de reparos em Marcenaria</v>
      </c>
      <c r="J136" s="7" t="str">
        <f>IFERROR(__xludf.DUMMYFUNCTION("""COMPUTED_VALUE"""),"03 Marcenaria / 29 - Outros (PRAZO DE ACORDO COM A DEMANDA)")</f>
        <v>03 Marcenaria / 29 - Outros (PRAZO DE ACORDO COM A DEMANDA)</v>
      </c>
      <c r="K136" s="7"/>
      <c r="L136" s="7" t="str">
        <f>IFERROR(__xludf.DUMMYFUNCTION("""COMPUTED_VALUE"""),"A trava da janela está danificada, ficando a mesma destrancada.")</f>
        <v>A trava da janela está danificada, ficando a mesma destrancada.</v>
      </c>
      <c r="M136" s="10"/>
      <c r="N136" s="10" t="str">
        <f>IFERROR(__xludf.DUMMYFUNCTION("""COMPUTED_VALUE"""),"Realizado")</f>
        <v>Realizado</v>
      </c>
      <c r="O136" s="11">
        <f>IFERROR(__xludf.DUMMYFUNCTION("""COMPUTED_VALUE"""),45316.0)</f>
        <v>45316</v>
      </c>
      <c r="P136" s="11"/>
    </row>
    <row r="137" ht="27.0" customHeight="1">
      <c r="A137" s="7" t="str">
        <f>IFERROR(__xludf.DUMMYFUNCTION("""COMPUTED_VALUE"""),"135/2024")</f>
        <v>135/2024</v>
      </c>
      <c r="B137" s="8">
        <f>IFERROR(__xludf.DUMMYFUNCTION("""COMPUTED_VALUE"""),45315.37107685185)</f>
        <v>45315.37108</v>
      </c>
      <c r="C137" s="8" t="str">
        <f>IFERROR(__xludf.DUMMYFUNCTION("""COMPUTED_VALUE"""),"mariaeduarda.borges@ufcat.edu.br")</f>
        <v>mariaeduarda.borges@ufcat.edu.br</v>
      </c>
      <c r="D137" s="7" t="str">
        <f>IFERROR(__xludf.DUMMYFUNCTION("""COMPUTED_VALUE"""),"Maria Eduarda Silva Borges ")</f>
        <v>Maria Eduarda Silva Borges </v>
      </c>
      <c r="E137" s="7">
        <f>IFERROR(__xludf.DUMMYFUNCTION("""COMPUTED_VALUE"""),5340.0)</f>
        <v>5340</v>
      </c>
      <c r="F137" s="7" t="str">
        <f>IFERROR(__xludf.DUMMYFUNCTION("""COMPUTED_VALUE"""),"PREF")</f>
        <v>PREF</v>
      </c>
      <c r="G137" s="9" t="str">
        <f>IFERROR(__xludf.DUMMYFUNCTION("""COMPUTED_VALUE"""),"Bloco C")</f>
        <v>Bloco C</v>
      </c>
      <c r="H137" s="7" t="str">
        <f>IFERROR(__xludf.DUMMYFUNCTION("""COMPUTED_VALUE"""),"CAIXA DE ÁGUA")</f>
        <v>CAIXA DE ÁGUA</v>
      </c>
      <c r="I137" s="7" t="str">
        <f>IFERROR(__xludf.DUMMYFUNCTION("""COMPUTED_VALUE"""),"Instalações Hidrossanitárias")</f>
        <v>Instalações Hidrossanitárias</v>
      </c>
      <c r="J137" s="7" t="str">
        <f>IFERROR(__xludf.DUMMYFUNCTION("""COMPUTED_VALUE"""),"02 Hidráulica / 22 - Outros (PRAZO DE 15 a 60 DIAS PARA ATENDIMENTO)")</f>
        <v>02 Hidráulica / 22 - Outros (PRAZO DE 15 a 60 DIAS PARA ATENDIMENTO)</v>
      </c>
      <c r="K137" s="7"/>
      <c r="L137" s="7" t="str">
        <f>IFERROR(__xludf.DUMMYFUNCTION("""COMPUTED_VALUE"""),"A caixa de água do Bloco C estava vazando água.")</f>
        <v>A caixa de água do Bloco C estava vazando água.</v>
      </c>
      <c r="M137" s="10"/>
      <c r="N137" s="10" t="str">
        <f>IFERROR(__xludf.DUMMYFUNCTION("""COMPUTED_VALUE"""),"Realizado")</f>
        <v>Realizado</v>
      </c>
      <c r="O137" s="11">
        <f>IFERROR(__xludf.DUMMYFUNCTION("""COMPUTED_VALUE"""),45322.0)</f>
        <v>45322</v>
      </c>
      <c r="P137" s="11"/>
    </row>
    <row r="138" ht="27.0" customHeight="1">
      <c r="A138" s="7" t="str">
        <f>IFERROR(__xludf.DUMMYFUNCTION("""COMPUTED_VALUE"""),"136/2024")</f>
        <v>136/2024</v>
      </c>
      <c r="B138" s="8">
        <f>IFERROR(__xludf.DUMMYFUNCTION("""COMPUTED_VALUE"""),45315.38489371528)</f>
        <v>45315.38489</v>
      </c>
      <c r="C138" s="8" t="str">
        <f>IFERROR(__xludf.DUMMYFUNCTION("""COMPUTED_VALUE"""),"divinosilva@ufcat.edu.br")</f>
        <v>divinosilva@ufcat.edu.br</v>
      </c>
      <c r="D138" s="7" t="str">
        <f>IFERROR(__xludf.DUMMYFUNCTION("""COMPUTED_VALUE"""),"Tânia Maria")</f>
        <v>Tânia Maria</v>
      </c>
      <c r="E138" s="7">
        <f>IFERROR(__xludf.DUMMYFUNCTION("""COMPUTED_VALUE"""),5320.0)</f>
        <v>5320</v>
      </c>
      <c r="F138" s="7" t="str">
        <f>IFERROR(__xludf.DUMMYFUNCTION("""COMPUTED_VALUE"""),"IMTec")</f>
        <v>IMTec</v>
      </c>
      <c r="G138" s="9" t="str">
        <f>IFERROR(__xludf.DUMMYFUNCTION("""COMPUTED_VALUE"""),"Bloco M")</f>
        <v>Bloco M</v>
      </c>
      <c r="H138" s="7" t="str">
        <f>IFERROR(__xludf.DUMMYFUNCTION("""COMPUTED_VALUE"""),"Sala 01")</f>
        <v>Sala 01</v>
      </c>
      <c r="I138" s="7" t="str">
        <f>IFERROR(__xludf.DUMMYFUNCTION("""COMPUTED_VALUE"""),"Reparos (alvenaria, piso, forro e telhado)")</f>
        <v>Reparos (alvenaria, piso, forro e telhado)</v>
      </c>
      <c r="J138" s="7" t="str">
        <f>IFERROR(__xludf.DUMMYFUNCTION("""COMPUTED_VALUE"""),"01 Alvenaria / 06 - Outros (PRAZO DE ATÉ 60 DIAS PARA ATENDIMENTO)")</f>
        <v>01 Alvenaria / 06 - Outros (PRAZO DE ATÉ 60 DIAS PARA ATENDIMENTO)</v>
      </c>
      <c r="K138" s="7"/>
      <c r="L138" s="7" t="str">
        <f>IFERROR(__xludf.DUMMYFUNCTION("""COMPUTED_VALUE"""),"Goteira, infiltração de água")</f>
        <v>Goteira, infiltração de água</v>
      </c>
      <c r="M138" s="10"/>
      <c r="N138" s="10" t="str">
        <f>IFERROR(__xludf.DUMMYFUNCTION("""COMPUTED_VALUE"""),"Realizado")</f>
        <v>Realizado</v>
      </c>
      <c r="O138" s="11">
        <f>IFERROR(__xludf.DUMMYFUNCTION("""COMPUTED_VALUE"""),45372.0)</f>
        <v>45372</v>
      </c>
      <c r="P138" s="11"/>
    </row>
    <row r="139" ht="27.0" customHeight="1">
      <c r="A139" s="7" t="str">
        <f>IFERROR(__xludf.DUMMYFUNCTION("""COMPUTED_VALUE"""),"137/2024")</f>
        <v>137/2024</v>
      </c>
      <c r="B139" s="8">
        <f>IFERROR(__xludf.DUMMYFUNCTION("""COMPUTED_VALUE"""),45315.38615092593)</f>
        <v>45315.38615</v>
      </c>
      <c r="C139" s="8" t="str">
        <f>IFERROR(__xludf.DUMMYFUNCTION("""COMPUTED_VALUE"""),"amanda.lopes@ufcat.edu.br")</f>
        <v>amanda.lopes@ufcat.edu.br</v>
      </c>
      <c r="D139" s="7" t="str">
        <f>IFERROR(__xludf.DUMMYFUNCTION("""COMPUTED_VALUE"""),"Amanda Matos ")</f>
        <v>Amanda Matos </v>
      </c>
      <c r="E139" s="7">
        <f>IFERROR(__xludf.DUMMYFUNCTION("""COMPUTED_VALUE"""),5340.0)</f>
        <v>5340</v>
      </c>
      <c r="F139" s="7" t="str">
        <f>IFERROR(__xludf.DUMMYFUNCTION("""COMPUTED_VALUE"""),"PREF")</f>
        <v>PREF</v>
      </c>
      <c r="G139" s="9" t="str">
        <f>IFERROR(__xludf.DUMMYFUNCTION("""COMPUTED_VALUE"""),"Bloco J")</f>
        <v>Bloco J</v>
      </c>
      <c r="H139" s="7" t="str">
        <f>IFERROR(__xludf.DUMMYFUNCTION("""COMPUTED_VALUE"""),"Banheiro Feminino ")</f>
        <v>Banheiro Feminino </v>
      </c>
      <c r="I139" s="7" t="str">
        <f>IFERROR(__xludf.DUMMYFUNCTION("""COMPUTED_VALUE"""),"Instalações Hidrossanitárias")</f>
        <v>Instalações Hidrossanitárias</v>
      </c>
      <c r="J139" s="7" t="str">
        <f>IFERROR(__xludf.DUMMYFUNCTION("""COMPUTED_VALUE"""),"02 Hidráulica / 10 - Vazamento de Torneira (PRAZO DE 15 a 60 DIAS PARA ATENDIMENTO)")</f>
        <v>02 Hidráulica / 10 - Vazamento de Torneira (PRAZO DE 15 a 60 DIAS PARA ATENDIMENTO)</v>
      </c>
      <c r="K139" s="7"/>
      <c r="L139" s="7" t="str">
        <f>IFERROR(__xludf.DUMMYFUNCTION("""COMPUTED_VALUE"""),"Manutenção torneira ")</f>
        <v>Manutenção torneira </v>
      </c>
      <c r="M139" s="10"/>
      <c r="N139" s="10" t="str">
        <f>IFERROR(__xludf.DUMMYFUNCTION("""COMPUTED_VALUE"""),"Realizado")</f>
        <v>Realizado</v>
      </c>
      <c r="O139" s="11">
        <f>IFERROR(__xludf.DUMMYFUNCTION("""COMPUTED_VALUE"""),45315.0)</f>
        <v>45315</v>
      </c>
      <c r="P139" s="11"/>
    </row>
    <row r="140" ht="27.0" customHeight="1">
      <c r="A140" s="7" t="str">
        <f>IFERROR(__xludf.DUMMYFUNCTION("""COMPUTED_VALUE"""),"138/2024")</f>
        <v>138/2024</v>
      </c>
      <c r="B140" s="8">
        <f>IFERROR(__xludf.DUMMYFUNCTION("""COMPUTED_VALUE"""),45315.45326864583)</f>
        <v>45315.45327</v>
      </c>
      <c r="C140" s="8" t="str">
        <f>IFERROR(__xludf.DUMMYFUNCTION("""COMPUTED_VALUE"""),"mirian.lima@ufcat.edu.br")</f>
        <v>mirian.lima@ufcat.edu.br</v>
      </c>
      <c r="D140" s="7" t="str">
        <f>IFERROR(__xludf.DUMMYFUNCTION("""COMPUTED_VALUE"""),"Mirian de Jesus Lima")</f>
        <v>Mirian de Jesus Lima</v>
      </c>
      <c r="E140" s="7">
        <f>IFERROR(__xludf.DUMMYFUNCTION("""COMPUTED_VALUE"""),5323.0)</f>
        <v>5323</v>
      </c>
      <c r="F140" s="7" t="str">
        <f>IFERROR(__xludf.DUMMYFUNCTION("""COMPUTED_VALUE"""),"IBIOTEC  - Educação Física")</f>
        <v>IBIOTEC  - Educação Física</v>
      </c>
      <c r="G140" s="9" t="str">
        <f>IFERROR(__xludf.DUMMYFUNCTION("""COMPUTED_VALUE"""),"Bloco D")</f>
        <v>Bloco D</v>
      </c>
      <c r="H140" s="7" t="str">
        <f>IFERROR(__xludf.DUMMYFUNCTION("""COMPUTED_VALUE"""),"Sala 15")</f>
        <v>Sala 15</v>
      </c>
      <c r="I140" s="7" t="str">
        <f>IFERROR(__xludf.DUMMYFUNCTION("""COMPUTED_VALUE"""),"Pequenos serviços de reparos em Marcenaria")</f>
        <v>Pequenos serviços de reparos em Marcenaria</v>
      </c>
      <c r="J140" s="7" t="str">
        <f>IFERROR(__xludf.DUMMYFUNCTION("""COMPUTED_VALUE"""),"03 Marcenaria / 29 - Outros (PRAZO DE ACORDO COM A DEMANDA)")</f>
        <v>03 Marcenaria / 29 - Outros (PRAZO DE ACORDO COM A DEMANDA)</v>
      </c>
      <c r="K140" s="7"/>
      <c r="L140" s="7" t="str">
        <f>IFERROR(__xludf.DUMMYFUNCTION("""COMPUTED_VALUE"""),"Retirar chave que quebrou dentro da fechadura de armário de aço.")</f>
        <v>Retirar chave que quebrou dentro da fechadura de armário de aço.</v>
      </c>
      <c r="M140" s="10"/>
      <c r="N140" s="10" t="str">
        <f>IFERROR(__xludf.DUMMYFUNCTION("""COMPUTED_VALUE"""),"Realizado")</f>
        <v>Realizado</v>
      </c>
      <c r="O140" s="11">
        <f>IFERROR(__xludf.DUMMYFUNCTION("""COMPUTED_VALUE"""),45316.0)</f>
        <v>45316</v>
      </c>
      <c r="P140" s="11"/>
    </row>
    <row r="141" ht="27.0" customHeight="1">
      <c r="A141" s="7" t="str">
        <f>IFERROR(__xludf.DUMMYFUNCTION("""COMPUTED_VALUE"""),"139/2024")</f>
        <v>139/2024</v>
      </c>
      <c r="B141" s="8">
        <f>IFERROR(__xludf.DUMMYFUNCTION("""COMPUTED_VALUE"""),45315.590082118055)</f>
        <v>45315.59008</v>
      </c>
      <c r="C141" s="8" t="str">
        <f>IFERROR(__xludf.DUMMYFUNCTION("""COMPUTED_VALUE"""),"amanda.lopes@outlook.com")</f>
        <v>amanda.lopes@outlook.com</v>
      </c>
      <c r="D141" s="7" t="str">
        <f>IFERROR(__xludf.DUMMYFUNCTION("""COMPUTED_VALUE"""),"Amanda Matos ")</f>
        <v>Amanda Matos </v>
      </c>
      <c r="E141" s="7">
        <f>IFERROR(__xludf.DUMMYFUNCTION("""COMPUTED_VALUE"""),5340.0)</f>
        <v>5340</v>
      </c>
      <c r="F141" s="7" t="str">
        <f>IFERROR(__xludf.DUMMYFUNCTION("""COMPUTED_VALUE"""),"PREF")</f>
        <v>PREF</v>
      </c>
      <c r="G141" s="9" t="str">
        <f>IFERROR(__xludf.DUMMYFUNCTION("""COMPUTED_VALUE"""),"Bloco D")</f>
        <v>Bloco D</v>
      </c>
      <c r="H141" s="7" t="str">
        <f>IFERROR(__xludf.DUMMYFUNCTION("""COMPUTED_VALUE"""),"Corredor")</f>
        <v>Corredor</v>
      </c>
      <c r="I141" s="7" t="str">
        <f>IFERROR(__xludf.DUMMYFUNCTION("""COMPUTED_VALUE"""),"Instalações elétricas")</f>
        <v>Instalações elétricas</v>
      </c>
      <c r="J141" s="7" t="str">
        <f>IFERROR(__xludf.DUMMYFUNCTION("""COMPUTED_VALUE"""),"04 Elétrica / 35 - Troca de Lâmpadas (PRAZO DE ATÉ 15 DIAS PARA ATENDIMENTO)")</f>
        <v>04 Elétrica / 35 - Troca de Lâmpadas (PRAZO DE ATÉ 15 DIAS PARA ATENDIMENTO)</v>
      </c>
      <c r="K141" s="7"/>
      <c r="L141" s="7" t="str">
        <f>IFERROR(__xludf.DUMMYFUNCTION("""COMPUTED_VALUE"""),"Troca de lampada")</f>
        <v>Troca de lampada</v>
      </c>
      <c r="M141" s="10"/>
      <c r="N141" s="10" t="str">
        <f>IFERROR(__xludf.DUMMYFUNCTION("""COMPUTED_VALUE"""),"Realizado")</f>
        <v>Realizado</v>
      </c>
      <c r="O141" s="11">
        <f>IFERROR(__xludf.DUMMYFUNCTION("""COMPUTED_VALUE"""),45316.0)</f>
        <v>45316</v>
      </c>
      <c r="P141" s="11"/>
    </row>
    <row r="142" ht="27.0" customHeight="1">
      <c r="A142" s="7" t="str">
        <f>IFERROR(__xludf.DUMMYFUNCTION("""COMPUTED_VALUE"""),"140/2024")</f>
        <v>140/2024</v>
      </c>
      <c r="B142" s="8">
        <f>IFERROR(__xludf.DUMMYFUNCTION("""COMPUTED_VALUE"""),45315.62428361111)</f>
        <v>45315.62428</v>
      </c>
      <c r="C142" s="8" t="str">
        <f>IFERROR(__xludf.DUMMYFUNCTION("""COMPUTED_VALUE"""),"mariaeduarda.borges@ufcat.edu.br")</f>
        <v>mariaeduarda.borges@ufcat.edu.br</v>
      </c>
      <c r="D142" s="7" t="str">
        <f>IFERROR(__xludf.DUMMYFUNCTION("""COMPUTED_VALUE"""),"Maria Eduarda Silva Borges ")</f>
        <v>Maria Eduarda Silva Borges </v>
      </c>
      <c r="E142" s="7">
        <f>IFERROR(__xludf.DUMMYFUNCTION("""COMPUTED_VALUE"""),5340.0)</f>
        <v>5340</v>
      </c>
      <c r="F142" s="7" t="str">
        <f>IFERROR(__xludf.DUMMYFUNCTION("""COMPUTED_VALUE"""),"PREF")</f>
        <v>PREF</v>
      </c>
      <c r="G142" s="9" t="str">
        <f>IFERROR(__xludf.DUMMYFUNCTION("""COMPUTED_VALUE"""),"Bloco M")</f>
        <v>Bloco M</v>
      </c>
      <c r="H142" s="7" t="str">
        <f>IFERROR(__xludf.DUMMYFUNCTION("""COMPUTED_VALUE"""),"SALA 155 (ENFERMAGEM)")</f>
        <v>SALA 155 (ENFERMAGEM)</v>
      </c>
      <c r="I142" s="7" t="str">
        <f>IFERROR(__xludf.DUMMYFUNCTION("""COMPUTED_VALUE"""),"Pequenos serviços de reparos em Marcenaria")</f>
        <v>Pequenos serviços de reparos em Marcenaria</v>
      </c>
      <c r="J142" s="7" t="str">
        <f>IFERROR(__xludf.DUMMYFUNCTION("""COMPUTED_VALUE"""),"03 Marcenaria / 29 - Outros (PRAZO DE ACORDO COM A DEMANDA)")</f>
        <v>03 Marcenaria / 29 - Outros (PRAZO DE ACORDO COM A DEMANDA)</v>
      </c>
      <c r="K142" s="7"/>
      <c r="L142" s="7" t="str">
        <f>IFERROR(__xludf.DUMMYFUNCTION("""COMPUTED_VALUE"""),"A chave ficou emperrada na fechadura da porta da sala 155 da Enfermagem.")</f>
        <v>A chave ficou emperrada na fechadura da porta da sala 155 da Enfermagem.</v>
      </c>
      <c r="M142" s="10"/>
      <c r="N142" s="10" t="str">
        <f>IFERROR(__xludf.DUMMYFUNCTION("""COMPUTED_VALUE"""),"Realizado")</f>
        <v>Realizado</v>
      </c>
      <c r="O142" s="11">
        <f>IFERROR(__xludf.DUMMYFUNCTION("""COMPUTED_VALUE"""),45316.0)</f>
        <v>45316</v>
      </c>
      <c r="P142" s="11"/>
    </row>
    <row r="143" ht="27.0" customHeight="1">
      <c r="A143" s="7" t="str">
        <f>IFERROR(__xludf.DUMMYFUNCTION("""COMPUTED_VALUE"""),"141/2024")</f>
        <v>141/2024</v>
      </c>
      <c r="B143" s="8">
        <f>IFERROR(__xludf.DUMMYFUNCTION("""COMPUTED_VALUE"""),45315.694113680554)</f>
        <v>45315.69411</v>
      </c>
      <c r="C143" s="8" t="str">
        <f>IFERROR(__xludf.DUMMYFUNCTION("""COMPUTED_VALUE"""),"marcia.mendes@ufcat.edu.br")</f>
        <v>marcia.mendes@ufcat.edu.br</v>
      </c>
      <c r="D143" s="7" t="str">
        <f>IFERROR(__xludf.DUMMYFUNCTION("""COMPUTED_VALUE"""),"Marcia")</f>
        <v>Marcia</v>
      </c>
      <c r="E143" s="7" t="str">
        <f>IFERROR(__xludf.DUMMYFUNCTION("""COMPUTED_VALUE"""),"64 98412-9238")</f>
        <v>64 98412-9238</v>
      </c>
      <c r="F143" s="7" t="str">
        <f>IFERROR(__xludf.DUMMYFUNCTION("""COMPUTED_VALUE"""),"IQ")</f>
        <v>IQ</v>
      </c>
      <c r="G143" s="9" t="str">
        <f>IFERROR(__xludf.DUMMYFUNCTION("""COMPUTED_VALUE"""),"Bloco N")</f>
        <v>Bloco N</v>
      </c>
      <c r="H143" s="7">
        <f>IFERROR(__xludf.DUMMYFUNCTION("""COMPUTED_VALUE"""),114.0)</f>
        <v>114</v>
      </c>
      <c r="I143" s="7" t="str">
        <f>IFERROR(__xludf.DUMMYFUNCTION("""COMPUTED_VALUE"""),"Instalações Hidrossanitárias")</f>
        <v>Instalações Hidrossanitárias</v>
      </c>
      <c r="J143" s="7" t="str">
        <f>IFERROR(__xludf.DUMMYFUNCTION("""COMPUTED_VALUE"""),"02 Hidráulica / 10 - Vazamento de Torneira (PRAZO DE 15 a 60 DIAS PARA ATENDIMENTO)")</f>
        <v>02 Hidráulica / 10 - Vazamento de Torneira (PRAZO DE 15 a 60 DIAS PARA ATENDIMENTO)</v>
      </c>
      <c r="K143" s="7"/>
      <c r="L143" s="7" t="str">
        <f>IFERROR(__xludf.DUMMYFUNCTION("""COMPUTED_VALUE"""),"Torneira pingando.")</f>
        <v>Torneira pingando.</v>
      </c>
      <c r="M143" s="10"/>
      <c r="N143" s="10" t="str">
        <f>IFERROR(__xludf.DUMMYFUNCTION("""COMPUTED_VALUE"""),"Realizado")</f>
        <v>Realizado</v>
      </c>
      <c r="O143" s="11">
        <f>IFERROR(__xludf.DUMMYFUNCTION("""COMPUTED_VALUE"""),45328.0)</f>
        <v>45328</v>
      </c>
      <c r="P143" s="11"/>
    </row>
    <row r="144" ht="27.0" customHeight="1">
      <c r="A144" s="7" t="str">
        <f>IFERROR(__xludf.DUMMYFUNCTION("""COMPUTED_VALUE"""),"142/2024")</f>
        <v>142/2024</v>
      </c>
      <c r="B144" s="8">
        <f>IFERROR(__xludf.DUMMYFUNCTION("""COMPUTED_VALUE"""),45315.825623993056)</f>
        <v>45315.82562</v>
      </c>
      <c r="C144" s="8" t="str">
        <f>IFERROR(__xludf.DUMMYFUNCTION("""COMPUTED_VALUE"""),"geaneliza_pimentel@ufcat.edu.br")</f>
        <v>geaneliza_pimentel@ufcat.edu.br</v>
      </c>
      <c r="D144" s="7" t="str">
        <f>IFERROR(__xludf.DUMMYFUNCTION("""COMPUTED_VALUE"""),"Geaneliza de Fátima Rodrigues Rangel Pimentel")</f>
        <v>Geaneliza de Fátima Rodrigues Rangel Pimentel</v>
      </c>
      <c r="E144" s="7" t="str">
        <f>IFERROR(__xludf.DUMMYFUNCTION("""COMPUTED_VALUE"""),"(64) 9 9307 4581 ")</f>
        <v>(64) 9 9307 4581 </v>
      </c>
      <c r="F144" s="7" t="str">
        <f>IFERROR(__xludf.DUMMYFUNCTION("""COMPUTED_VALUE"""),"INHCS")</f>
        <v>INHCS</v>
      </c>
      <c r="G144" s="9" t="str">
        <f>IFERROR(__xludf.DUMMYFUNCTION("""COMPUTED_VALUE"""),"Bloco C")</f>
        <v>Bloco C</v>
      </c>
      <c r="H144" s="7" t="str">
        <f>IFERROR(__xludf.DUMMYFUNCTION("""COMPUTED_VALUE"""),"Sala 10")</f>
        <v>Sala 10</v>
      </c>
      <c r="I144" s="7" t="str">
        <f>IFERROR(__xludf.DUMMYFUNCTION("""COMPUTED_VALUE"""),"Reparos (alvenaria, piso, forro e telhado)")</f>
        <v>Reparos (alvenaria, piso, forro e telhado)</v>
      </c>
      <c r="J144" s="7" t="str">
        <f>IFERROR(__xludf.DUMMYFUNCTION("""COMPUTED_VALUE"""),"01 Alvenaria / 02 - Limpeza de Telhado (PRAZO DE ATÉ 60 DIAS PARA ATENDIMENTO)")</f>
        <v>01 Alvenaria / 02 - Limpeza de Telhado (PRAZO DE ATÉ 60 DIAS PARA ATENDIMENTO)</v>
      </c>
      <c r="K144" s="7"/>
      <c r="L144" s="7" t="str">
        <f>IFERROR(__xludf.DUMMYFUNCTION("""COMPUTED_VALUE"""),"Serviço considerado de urgência (chuva nos equipamentos de internet)
A espaço onde fica distribuição de internet para todo o bloco está descendo água pela parede e molhando os equipamentos. 
Nas paredes do ar condicionado e de pedra onde fica a mesa da C"&amp;"oordenadora tbm está descendo água. 
Nos três lugares mencionados, é só chover que a água escorre do teto até o chão da sala 10 do Bloco ""C"" ")</f>
        <v>Serviço considerado de urgência (chuva nos equipamentos de internet)
A espaço onde fica distribuição de internet para todo o bloco está descendo água pela parede e molhando os equipamentos. 
Nas paredes do ar condicionado e de pedra onde fica a mesa da Coordenadora tbm está descendo água. 
Nos três lugares mencionados, é só chover que a água escorre do teto até o chão da sala 10 do Bloco "C" </v>
      </c>
      <c r="M144" s="10"/>
      <c r="N144" s="10" t="str">
        <f>IFERROR(__xludf.DUMMYFUNCTION("""COMPUTED_VALUE"""),"Realizado")</f>
        <v>Realizado</v>
      </c>
      <c r="O144" s="11">
        <f>IFERROR(__xludf.DUMMYFUNCTION("""COMPUTED_VALUE"""),45322.0)</f>
        <v>45322</v>
      </c>
      <c r="P144" s="11"/>
    </row>
    <row r="145" ht="27.0" customHeight="1">
      <c r="A145" s="7" t="str">
        <f>IFERROR(__xludf.DUMMYFUNCTION("""COMPUTED_VALUE"""),"143/2024")</f>
        <v>143/2024</v>
      </c>
      <c r="B145" s="8">
        <f>IFERROR(__xludf.DUMMYFUNCTION("""COMPUTED_VALUE"""),45316.30503962963)</f>
        <v>45316.30504</v>
      </c>
      <c r="C145" s="8" t="str">
        <f>IFERROR(__xludf.DUMMYFUNCTION("""COMPUTED_VALUE"""),"amanda.lopes@ufcat.edu.br")</f>
        <v>amanda.lopes@ufcat.edu.br</v>
      </c>
      <c r="D145" s="7" t="str">
        <f>IFERROR(__xludf.DUMMYFUNCTION("""COMPUTED_VALUE"""),"Amanda Matos ")</f>
        <v>Amanda Matos </v>
      </c>
      <c r="E145" s="7">
        <f>IFERROR(__xludf.DUMMYFUNCTION("""COMPUTED_VALUE"""),5340.0)</f>
        <v>5340</v>
      </c>
      <c r="F145" s="7" t="str">
        <f>IFERROR(__xludf.DUMMYFUNCTION("""COMPUTED_VALUE"""),"PREF")</f>
        <v>PREF</v>
      </c>
      <c r="G145" s="9" t="str">
        <f>IFERROR(__xludf.DUMMYFUNCTION("""COMPUTED_VALUE"""),"Bloco M")</f>
        <v>Bloco M</v>
      </c>
      <c r="H145" s="7" t="str">
        <f>IFERROR(__xludf.DUMMYFUNCTION("""COMPUTED_VALUE"""),"Externo ")</f>
        <v>Externo </v>
      </c>
      <c r="I145" s="7" t="str">
        <f>IFERROR(__xludf.DUMMYFUNCTION("""COMPUTED_VALUE"""),"Instalações elétricas")</f>
        <v>Instalações elétricas</v>
      </c>
      <c r="J145" s="7" t="str">
        <f>IFERROR(__xludf.DUMMYFUNCTION("""COMPUTED_VALUE"""),"04 Elétrica / 31 - Iluminação Externa (PRAZO DE ATÉ 15 DIAS PARA ATENDIMENTO)")</f>
        <v>04 Elétrica / 31 - Iluminação Externa (PRAZO DE ATÉ 15 DIAS PARA ATENDIMENTO)</v>
      </c>
      <c r="K145" s="7"/>
      <c r="L145" s="7" t="str">
        <f>IFERROR(__xludf.DUMMYFUNCTION("""COMPUTED_VALUE"""),"Troca de lampadas iluminação externa ")</f>
        <v>Troca de lampadas iluminação externa </v>
      </c>
      <c r="M145" s="10"/>
      <c r="N145" s="10" t="str">
        <f>IFERROR(__xludf.DUMMYFUNCTION("""COMPUTED_VALUE"""),"Realizado")</f>
        <v>Realizado</v>
      </c>
      <c r="O145" s="11">
        <f>IFERROR(__xludf.DUMMYFUNCTION("""COMPUTED_VALUE"""),45322.0)</f>
        <v>45322</v>
      </c>
      <c r="P145" s="11"/>
    </row>
    <row r="146" ht="27.0" customHeight="1">
      <c r="A146" s="7" t="str">
        <f>IFERROR(__xludf.DUMMYFUNCTION("""COMPUTED_VALUE"""),"144/2024")</f>
        <v>144/2024</v>
      </c>
      <c r="B146" s="8">
        <f>IFERROR(__xludf.DUMMYFUNCTION("""COMPUTED_VALUE"""),45316.30573140046)</f>
        <v>45316.30573</v>
      </c>
      <c r="C146" s="8" t="str">
        <f>IFERROR(__xludf.DUMMYFUNCTION("""COMPUTED_VALUE"""),"amanda.lopes@ufcat.edu.br")</f>
        <v>amanda.lopes@ufcat.edu.br</v>
      </c>
      <c r="D146" s="7" t="str">
        <f>IFERROR(__xludf.DUMMYFUNCTION("""COMPUTED_VALUE"""),"Amanda Matos ")</f>
        <v>Amanda Matos </v>
      </c>
      <c r="E146" s="7">
        <f>IFERROR(__xludf.DUMMYFUNCTION("""COMPUTED_VALUE"""),5340.0)</f>
        <v>5340</v>
      </c>
      <c r="F146" s="7" t="str">
        <f>IFERROR(__xludf.DUMMYFUNCTION("""COMPUTED_VALUE"""),"PREF")</f>
        <v>PREF</v>
      </c>
      <c r="G146" s="9" t="str">
        <f>IFERROR(__xludf.DUMMYFUNCTION("""COMPUTED_VALUE"""),"Bloco N")</f>
        <v>Bloco N</v>
      </c>
      <c r="H146" s="7" t="str">
        <f>IFERROR(__xludf.DUMMYFUNCTION("""COMPUTED_VALUE"""),"Externa")</f>
        <v>Externa</v>
      </c>
      <c r="I146" s="7" t="str">
        <f>IFERROR(__xludf.DUMMYFUNCTION("""COMPUTED_VALUE"""),"Instalações elétricas")</f>
        <v>Instalações elétricas</v>
      </c>
      <c r="J146" s="7" t="str">
        <f>IFERROR(__xludf.DUMMYFUNCTION("""COMPUTED_VALUE"""),"04 Elétrica / 31 - Iluminação Externa (PRAZO DE ATÉ 15 DIAS PARA ATENDIMENTO)")</f>
        <v>04 Elétrica / 31 - Iluminação Externa (PRAZO DE ATÉ 15 DIAS PARA ATENDIMENTO)</v>
      </c>
      <c r="K146" s="7"/>
      <c r="L146" s="7" t="str">
        <f>IFERROR(__xludf.DUMMYFUNCTION("""COMPUTED_VALUE"""),"Troca de lampada iluminação externa ")</f>
        <v>Troca de lampada iluminação externa </v>
      </c>
      <c r="M146" s="10"/>
      <c r="N146" s="10" t="str">
        <f>IFERROR(__xludf.DUMMYFUNCTION("""COMPUTED_VALUE"""),"Realizado")</f>
        <v>Realizado</v>
      </c>
      <c r="O146" s="11">
        <f>IFERROR(__xludf.DUMMYFUNCTION("""COMPUTED_VALUE"""),45322.0)</f>
        <v>45322</v>
      </c>
      <c r="P146" s="11"/>
    </row>
    <row r="147" ht="27.0" customHeight="1">
      <c r="A147" s="7" t="str">
        <f>IFERROR(__xludf.DUMMYFUNCTION("""COMPUTED_VALUE"""),"145/2024")</f>
        <v>145/2024</v>
      </c>
      <c r="B147" s="8">
        <f>IFERROR(__xludf.DUMMYFUNCTION("""COMPUTED_VALUE"""),45316.39047457176)</f>
        <v>45316.39047</v>
      </c>
      <c r="C147" s="8" t="str">
        <f>IFERROR(__xludf.DUMMYFUNCTION("""COMPUTED_VALUE"""),"vania.lucas@ufcat.edu.br")</f>
        <v>vania.lucas@ufcat.edu.br</v>
      </c>
      <c r="D147" s="7" t="str">
        <f>IFERROR(__xludf.DUMMYFUNCTION("""COMPUTED_VALUE"""),"Vânia de Avelar Lucas")</f>
        <v>Vânia de Avelar Lucas</v>
      </c>
      <c r="E147" s="7">
        <f>IFERROR(__xludf.DUMMYFUNCTION("""COMPUTED_VALUE"""),6.4996990617E10)</f>
        <v>64996990617</v>
      </c>
      <c r="F147" s="7" t="str">
        <f>IFERROR(__xludf.DUMMYFUNCTION("""COMPUTED_VALUE"""),"IBIOTEC - Ciências Biológicas")</f>
        <v>IBIOTEC - Ciências Biológicas</v>
      </c>
      <c r="G147" s="9" t="str">
        <f>IFERROR(__xludf.DUMMYFUNCTION("""COMPUTED_VALUE"""),"Bloco N")</f>
        <v>Bloco N</v>
      </c>
      <c r="H147" s="7" t="str">
        <f>IFERROR(__xludf.DUMMYFUNCTION("""COMPUTED_VALUE"""),"Sala 209")</f>
        <v>Sala 209</v>
      </c>
      <c r="I147" s="7" t="str">
        <f>IFERROR(__xludf.DUMMYFUNCTION("""COMPUTED_VALUE"""),"Serralheria")</f>
        <v>Serralheria</v>
      </c>
      <c r="J147" s="7" t="str">
        <f>IFERROR(__xludf.DUMMYFUNCTION("""COMPUTED_VALUE"""),"08 Serralheria / 54 - Suporte em geral (PRAZO DE ATÉ 60 DIAS PARA ATENDIMENTO)")</f>
        <v>08 Serralheria / 54 - Suporte em geral (PRAZO DE ATÉ 60 DIAS PARA ATENDIMENTO)</v>
      </c>
      <c r="K147" s="7"/>
      <c r="L147" s="7" t="str">
        <f>IFERROR(__xludf.DUMMYFUNCTION("""COMPUTED_VALUE"""),"Solicitamos, por favor, a confecção de um suporte para um frigobar.")</f>
        <v>Solicitamos, por favor, a confecção de um suporte para um frigobar.</v>
      </c>
      <c r="M147" s="10"/>
      <c r="N147" s="10" t="str">
        <f>IFERROR(__xludf.DUMMYFUNCTION("""COMPUTED_VALUE"""),"Aguardando análise")</f>
        <v>Aguardando análise</v>
      </c>
      <c r="O147" s="11"/>
      <c r="P147" s="11"/>
    </row>
    <row r="148" ht="27.0" customHeight="1">
      <c r="A148" s="7" t="str">
        <f>IFERROR(__xludf.DUMMYFUNCTION("""COMPUTED_VALUE"""),"146/2024")</f>
        <v>146/2024</v>
      </c>
      <c r="B148" s="8">
        <f>IFERROR(__xludf.DUMMYFUNCTION("""COMPUTED_VALUE"""),45316.39989623842)</f>
        <v>45316.3999</v>
      </c>
      <c r="C148" s="8" t="str">
        <f>IFERROR(__xludf.DUMMYFUNCTION("""COMPUTED_VALUE"""),"amanda.lopes@ufcat.edu.br")</f>
        <v>amanda.lopes@ufcat.edu.br</v>
      </c>
      <c r="D148" s="7" t="str">
        <f>IFERROR(__xludf.DUMMYFUNCTION("""COMPUTED_VALUE"""),"Amanda Matos ")</f>
        <v>Amanda Matos </v>
      </c>
      <c r="E148" s="7">
        <f>IFERROR(__xludf.DUMMYFUNCTION("""COMPUTED_VALUE"""),5340.0)</f>
        <v>5340</v>
      </c>
      <c r="F148" s="7" t="str">
        <f>IFERROR(__xludf.DUMMYFUNCTION("""COMPUTED_VALUE"""),"PREF")</f>
        <v>PREF</v>
      </c>
      <c r="G148" s="9" t="str">
        <f>IFERROR(__xludf.DUMMYFUNCTION("""COMPUTED_VALUE"""),"Didatico I")</f>
        <v>Didatico I</v>
      </c>
      <c r="H148" s="7" t="str">
        <f>IFERROR(__xludf.DUMMYFUNCTION("""COMPUTED_VALUE"""),"Externo ")</f>
        <v>Externo </v>
      </c>
      <c r="I148" s="7" t="str">
        <f>IFERROR(__xludf.DUMMYFUNCTION("""COMPUTED_VALUE"""),"Instalações elétricas")</f>
        <v>Instalações elétricas</v>
      </c>
      <c r="J148" s="7" t="str">
        <f>IFERROR(__xludf.DUMMYFUNCTION("""COMPUTED_VALUE"""),"04 Elétrica / 31 - Iluminação Externa (PRAZO DE ATÉ 15 DIAS PARA ATENDIMENTO)")</f>
        <v>04 Elétrica / 31 - Iluminação Externa (PRAZO DE ATÉ 15 DIAS PARA ATENDIMENTO)</v>
      </c>
      <c r="K148" s="7"/>
      <c r="L148" s="7" t="str">
        <f>IFERROR(__xludf.DUMMYFUNCTION("""COMPUTED_VALUE"""),"Troca de lampada externa didatico I e didatico II ")</f>
        <v>Troca de lampada externa didatico I e didatico II </v>
      </c>
      <c r="M148" s="10"/>
      <c r="N148" s="10" t="str">
        <f>IFERROR(__xludf.DUMMYFUNCTION("""COMPUTED_VALUE"""),"Realizado")</f>
        <v>Realizado</v>
      </c>
      <c r="O148" s="11">
        <f>IFERROR(__xludf.DUMMYFUNCTION("""COMPUTED_VALUE"""),45322.0)</f>
        <v>45322</v>
      </c>
      <c r="P148" s="11"/>
    </row>
    <row r="149" ht="27.0" customHeight="1">
      <c r="A149" s="7" t="str">
        <f>IFERROR(__xludf.DUMMYFUNCTION("""COMPUTED_VALUE"""),"147/2024")</f>
        <v>147/2024</v>
      </c>
      <c r="B149" s="8">
        <f>IFERROR(__xludf.DUMMYFUNCTION("""COMPUTED_VALUE"""),45316.433331493055)</f>
        <v>45316.43333</v>
      </c>
      <c r="C149" s="8" t="str">
        <f>IFERROR(__xludf.DUMMYFUNCTION("""COMPUTED_VALUE"""),"divinosilva@ufcat.edu.br")</f>
        <v>divinosilva@ufcat.edu.br</v>
      </c>
      <c r="D149" s="7" t="str">
        <f>IFERROR(__xludf.DUMMYFUNCTION("""COMPUTED_VALUE"""),"Divino")</f>
        <v>Divino</v>
      </c>
      <c r="E149" s="7">
        <f>IFERROR(__xludf.DUMMYFUNCTION("""COMPUTED_VALUE"""),5320.0)</f>
        <v>5320</v>
      </c>
      <c r="F149" s="7" t="str">
        <f>IFERROR(__xludf.DUMMYFUNCTION("""COMPUTED_VALUE"""),"IMTec")</f>
        <v>IMTec</v>
      </c>
      <c r="G149" s="9" t="str">
        <f>IFERROR(__xludf.DUMMYFUNCTION("""COMPUTED_VALUE"""),"Bloco J")</f>
        <v>Bloco J</v>
      </c>
      <c r="H149" s="7" t="str">
        <f>IFERROR(__xludf.DUMMYFUNCTION("""COMPUTED_VALUE"""),"Sala 012 - Laboratório de Simulação de Mecanismos")</f>
        <v>Sala 012 - Laboratório de Simulação de Mecanismos</v>
      </c>
      <c r="I149" s="7" t="str">
        <f>IFERROR(__xludf.DUMMYFUNCTION("""COMPUTED_VALUE"""),"Vidraçaria ")</f>
        <v>Vidraçaria </v>
      </c>
      <c r="J149" s="7" t="str">
        <f>IFERROR(__xludf.DUMMYFUNCTION("""COMPUTED_VALUE"""),"07 Vidraçaria / 51 - Outros (PRAZO DE ACORDO COM A DEMANDA)")</f>
        <v>07 Vidraçaria / 51 - Outros (PRAZO DE ACORDO COM A DEMANDA)</v>
      </c>
      <c r="K149" s="7"/>
      <c r="L149" s="7" t="str">
        <f>IFERROR(__xludf.DUMMYFUNCTION("""COMPUTED_VALUE"""),"Troca de vidro (trincado)")</f>
        <v>Troca de vidro (trincado)</v>
      </c>
      <c r="M149" s="10" t="str">
        <f>IFERROR(__xludf.DUMMYFUNCTION("""COMPUTED_VALUE"""),"Suspenso devido falta de material e mão de obra")</f>
        <v>Suspenso devido falta de material e mão de obra</v>
      </c>
      <c r="N149" s="10" t="str">
        <f>IFERROR(__xludf.DUMMYFUNCTION("""COMPUTED_VALUE"""),"Contratação externa PREF")</f>
        <v>Contratação externa PREF</v>
      </c>
      <c r="O149" s="11">
        <f>IFERROR(__xludf.DUMMYFUNCTION("""COMPUTED_VALUE"""),45357.0)</f>
        <v>45357</v>
      </c>
      <c r="P149" s="11"/>
    </row>
    <row r="150" ht="27.0" customHeight="1">
      <c r="A150" s="7" t="str">
        <f>IFERROR(__xludf.DUMMYFUNCTION("""COMPUTED_VALUE"""),"148/2024")</f>
        <v>148/2024</v>
      </c>
      <c r="B150" s="8">
        <f>IFERROR(__xludf.DUMMYFUNCTION("""COMPUTED_VALUE"""),45316.46852076389)</f>
        <v>45316.46852</v>
      </c>
      <c r="C150" s="8" t="str">
        <f>IFERROR(__xludf.DUMMYFUNCTION("""COMPUTED_VALUE"""),"ariadne_oliveira@ufcat.edu.br")</f>
        <v>ariadne_oliveira@ufcat.edu.br</v>
      </c>
      <c r="D150" s="7" t="str">
        <f>IFERROR(__xludf.DUMMYFUNCTION("""COMPUTED_VALUE"""),"Ariadne")</f>
        <v>Ariadne</v>
      </c>
      <c r="E150" s="7">
        <f>IFERROR(__xludf.DUMMYFUNCTION("""COMPUTED_VALUE"""),5312.0)</f>
        <v>5312</v>
      </c>
      <c r="F150" s="7" t="str">
        <f>IFERROR(__xludf.DUMMYFUNCTION("""COMPUTED_VALUE"""),"DAA")</f>
        <v>DAA</v>
      </c>
      <c r="G150" s="9" t="str">
        <f>IFERROR(__xludf.DUMMYFUNCTION("""COMPUTED_VALUE"""),"Bloco Administrativo")</f>
        <v>Bloco Administrativo</v>
      </c>
      <c r="H150" s="7" t="str">
        <f>IFERROR(__xludf.DUMMYFUNCTION("""COMPUTED_VALUE"""),"sala 4")</f>
        <v>sala 4</v>
      </c>
      <c r="I150" s="7" t="str">
        <f>IFERROR(__xludf.DUMMYFUNCTION("""COMPUTED_VALUE"""),"Instalações e/ou Manutenção em Cabeamento de Rede")</f>
        <v>Instalações e/ou Manutenção em Cabeamento de Rede</v>
      </c>
      <c r="J150" s="7" t="str">
        <f>IFERROR(__xludf.DUMMYFUNCTION("""COMPUTED_VALUE"""),"05 Telecomunicações / 40 - Telefone (PRAZO DE ATÉ 15 DIAS PARA ATENDIMENTO)")</f>
        <v>05 Telecomunicações / 40 - Telefone (PRAZO DE ATÉ 15 DIAS PARA ATENDIMENTO)</v>
      </c>
      <c r="K150" s="7"/>
      <c r="L150" s="7" t="str">
        <f>IFERROR(__xludf.DUMMYFUNCTION("""COMPUTED_VALUE"""),"telefone não esta recebendo ligação externa e não está fazendo ligação para fora de Catalão.")</f>
        <v>telefone não esta recebendo ligação externa e não está fazendo ligação para fora de Catalão.</v>
      </c>
      <c r="M150" s="10" t="str">
        <f>IFERROR(__xludf.DUMMYFUNCTION("""COMPUTED_VALUE"""),"SETI")</f>
        <v>SETI</v>
      </c>
      <c r="N150" s="10" t="str">
        <f>IFERROR(__xludf.DUMMYFUNCTION("""COMPUTED_VALUE"""),"Não é atribuição da PREF")</f>
        <v>Não é atribuição da PREF</v>
      </c>
      <c r="O150" s="11">
        <f>IFERROR(__xludf.DUMMYFUNCTION("""COMPUTED_VALUE"""),45316.0)</f>
        <v>45316</v>
      </c>
      <c r="P150" s="11"/>
    </row>
    <row r="151" ht="27.0" customHeight="1">
      <c r="A151" s="7" t="str">
        <f>IFERROR(__xludf.DUMMYFUNCTION("""COMPUTED_VALUE"""),"149/2024")</f>
        <v>149/2024</v>
      </c>
      <c r="B151" s="8">
        <f>IFERROR(__xludf.DUMMYFUNCTION("""COMPUTED_VALUE"""),45316.66314603009)</f>
        <v>45316.66315</v>
      </c>
      <c r="C151" s="8" t="str">
        <f>IFERROR(__xludf.DUMMYFUNCTION("""COMPUTED_VALUE"""),"berenicevieira@ufcat.edu.br")</f>
        <v>berenicevieira@ufcat.edu.br</v>
      </c>
      <c r="D151" s="7" t="str">
        <f>IFERROR(__xludf.DUMMYFUNCTION("""COMPUTED_VALUE"""),"Berenice")</f>
        <v>Berenice</v>
      </c>
      <c r="E151" s="7">
        <f>IFERROR(__xludf.DUMMYFUNCTION("""COMPUTED_VALUE"""),5341.0)</f>
        <v>5341</v>
      </c>
      <c r="F151" s="7" t="str">
        <f>IFERROR(__xludf.DUMMYFUNCTION("""COMPUTED_VALUE"""),"SERVIÇO DE LIMPEZA")</f>
        <v>SERVIÇO DE LIMPEZA</v>
      </c>
      <c r="G151" s="9" t="str">
        <f>IFERROR(__xludf.DUMMYFUNCTION("""COMPUTED_VALUE"""),"Bloco N")</f>
        <v>Bloco N</v>
      </c>
      <c r="H151" s="7" t="str">
        <f>IFERROR(__xludf.DUMMYFUNCTION("""COMPUTED_VALUE"""),"Raque")</f>
        <v>Raque</v>
      </c>
      <c r="I151" s="7" t="str">
        <f>IFERROR(__xludf.DUMMYFUNCTION("""COMPUTED_VALUE"""),"Instalações elétricas")</f>
        <v>Instalações elétricas</v>
      </c>
      <c r="J151" s="7" t="str">
        <f>IFERROR(__xludf.DUMMYFUNCTION("""COMPUTED_VALUE"""),"04 Elétrica / 37 - Outros (PRAZO DE ACORDO COM A DEMANDA)")</f>
        <v>04 Elétrica / 37 - Outros (PRAZO DE ACORDO COM A DEMANDA)</v>
      </c>
      <c r="K151" s="7"/>
      <c r="L151" s="7" t="str">
        <f>IFERROR(__xludf.DUMMYFUNCTION("""COMPUTED_VALUE"""),"Trocar plug macho 20 amperes em uma enceradeira industrial")</f>
        <v>Trocar plug macho 20 amperes em uma enceradeira industrial</v>
      </c>
      <c r="M151" s="10"/>
      <c r="N151" s="10" t="str">
        <f>IFERROR(__xludf.DUMMYFUNCTION("""COMPUTED_VALUE"""),"Realizado")</f>
        <v>Realizado</v>
      </c>
      <c r="O151" s="11">
        <f>IFERROR(__xludf.DUMMYFUNCTION("""COMPUTED_VALUE"""),45320.0)</f>
        <v>45320</v>
      </c>
      <c r="P151" s="11"/>
    </row>
    <row r="152" ht="27.0" customHeight="1">
      <c r="A152" s="7" t="str">
        <f>IFERROR(__xludf.DUMMYFUNCTION("""COMPUTED_VALUE"""),"150/2024")</f>
        <v>150/2024</v>
      </c>
      <c r="B152" s="8">
        <f>IFERROR(__xludf.DUMMYFUNCTION("""COMPUTED_VALUE"""),45316.70430361111)</f>
        <v>45316.7043</v>
      </c>
      <c r="C152" s="8" t="str">
        <f>IFERROR(__xludf.DUMMYFUNCTION("""COMPUTED_VALUE"""),"computacao.ibiotec@ufcat.edu.br")</f>
        <v>computacao.ibiotec@ufcat.edu.br</v>
      </c>
      <c r="D152" s="7" t="str">
        <f>IFERROR(__xludf.DUMMYFUNCTION("""COMPUTED_VALUE"""),"Diovana Canedo Marcelino ")</f>
        <v>Diovana Canedo Marcelino </v>
      </c>
      <c r="E152" s="7">
        <f>IFERROR(__xludf.DUMMYFUNCTION("""COMPUTED_VALUE"""),5310.0)</f>
        <v>5310</v>
      </c>
      <c r="F152" s="7" t="str">
        <f>IFERROR(__xludf.DUMMYFUNCTION("""COMPUTED_VALUE"""),"IBIOTEC - Ciências da Computação")</f>
        <v>IBIOTEC - Ciências da Computação</v>
      </c>
      <c r="G152" s="9" t="str">
        <f>IFERROR(__xludf.DUMMYFUNCTION("""COMPUTED_VALUE"""),"Didatico I")</f>
        <v>Didatico I</v>
      </c>
      <c r="H152" s="7" t="str">
        <f>IFERROR(__xludf.DUMMYFUNCTION("""COMPUTED_VALUE"""),"Sala 102 ")</f>
        <v>Sala 102 </v>
      </c>
      <c r="I152" s="7" t="str">
        <f>IFERROR(__xludf.DUMMYFUNCTION("""COMPUTED_VALUE"""),"Instalações elétricas")</f>
        <v>Instalações elétricas</v>
      </c>
      <c r="J152" s="7" t="str">
        <f>IFERROR(__xludf.DUMMYFUNCTION("""COMPUTED_VALUE"""),"04 Elétrica / 34 - Tomada Uso Geral (PRAZO DE ATÉ 15 DIAS PARA ATENDIMENTO)")</f>
        <v>04 Elétrica / 34 - Tomada Uso Geral (PRAZO DE ATÉ 15 DIAS PARA ATENDIMENTO)</v>
      </c>
      <c r="K152" s="7"/>
      <c r="L152" s="7" t="str">
        <f>IFERROR(__xludf.DUMMYFUNCTION("""COMPUTED_VALUE"""),"Tomadas da sala não estão funcionando. ")</f>
        <v>Tomadas da sala não estão funcionando. </v>
      </c>
      <c r="M152" s="10"/>
      <c r="N152" s="10" t="str">
        <f>IFERROR(__xludf.DUMMYFUNCTION("""COMPUTED_VALUE"""),"Realizado")</f>
        <v>Realizado</v>
      </c>
      <c r="O152" s="11">
        <f>IFERROR(__xludf.DUMMYFUNCTION("""COMPUTED_VALUE"""),45317.0)</f>
        <v>45317</v>
      </c>
      <c r="P152" s="11"/>
    </row>
    <row r="153" ht="27.0" customHeight="1">
      <c r="A153" s="7" t="str">
        <f>IFERROR(__xludf.DUMMYFUNCTION("""COMPUTED_VALUE"""),"151/2024")</f>
        <v>151/2024</v>
      </c>
      <c r="B153" s="8">
        <f>IFERROR(__xludf.DUMMYFUNCTION("""COMPUTED_VALUE"""),45317.316805752314)</f>
        <v>45317.31681</v>
      </c>
      <c r="C153" s="8" t="str">
        <f>IFERROR(__xludf.DUMMYFUNCTION("""COMPUTED_VALUE"""),"amanda.lopes@ufcat.edu.br")</f>
        <v>amanda.lopes@ufcat.edu.br</v>
      </c>
      <c r="D153" s="7" t="str">
        <f>IFERROR(__xludf.DUMMYFUNCTION("""COMPUTED_VALUE"""),"Amanda Matos ")</f>
        <v>Amanda Matos </v>
      </c>
      <c r="E153" s="7">
        <f>IFERROR(__xludf.DUMMYFUNCTION("""COMPUTED_VALUE"""),5340.0)</f>
        <v>5340</v>
      </c>
      <c r="F153" s="7" t="str">
        <f>IFERROR(__xludf.DUMMYFUNCTION("""COMPUTED_VALUE"""),"PREF")</f>
        <v>PREF</v>
      </c>
      <c r="G153" s="9" t="str">
        <f>IFERROR(__xludf.DUMMYFUNCTION("""COMPUTED_VALUE"""),"Biblioteca")</f>
        <v>Biblioteca</v>
      </c>
      <c r="H153" s="7" t="str">
        <f>IFERROR(__xludf.DUMMYFUNCTION("""COMPUTED_VALUE"""),"Lado externo ")</f>
        <v>Lado externo </v>
      </c>
      <c r="I153" s="7" t="str">
        <f>IFERROR(__xludf.DUMMYFUNCTION("""COMPUTED_VALUE"""),"Instalações elétricas")</f>
        <v>Instalações elétricas</v>
      </c>
      <c r="J153" s="7" t="str">
        <f>IFERROR(__xludf.DUMMYFUNCTION("""COMPUTED_VALUE"""),"04 Elétrica / 31 - Iluminação Externa (PRAZO DE ATÉ 15 DIAS PARA ATENDIMENTO)")</f>
        <v>04 Elétrica / 31 - Iluminação Externa (PRAZO DE ATÉ 15 DIAS PARA ATENDIMENTO)</v>
      </c>
      <c r="K153" s="7"/>
      <c r="L153" s="7" t="str">
        <f>IFERROR(__xludf.DUMMYFUNCTION("""COMPUTED_VALUE"""),"Troca de lampada lado externo ")</f>
        <v>Troca de lampada lado externo </v>
      </c>
      <c r="M153" s="10"/>
      <c r="N153" s="10" t="str">
        <f>IFERROR(__xludf.DUMMYFUNCTION("""COMPUTED_VALUE"""),"Realizado")</f>
        <v>Realizado</v>
      </c>
      <c r="O153" s="11">
        <f>IFERROR(__xludf.DUMMYFUNCTION("""COMPUTED_VALUE"""),45320.0)</f>
        <v>45320</v>
      </c>
      <c r="P153" s="11"/>
    </row>
    <row r="154" ht="27.0" customHeight="1">
      <c r="A154" s="7" t="str">
        <f>IFERROR(__xludf.DUMMYFUNCTION("""COMPUTED_VALUE"""),"152/2024")</f>
        <v>152/2024</v>
      </c>
      <c r="B154" s="8">
        <f>IFERROR(__xludf.DUMMYFUNCTION("""COMPUTED_VALUE"""),45317.317980520835)</f>
        <v>45317.31798</v>
      </c>
      <c r="C154" s="8" t="str">
        <f>IFERROR(__xludf.DUMMYFUNCTION("""COMPUTED_VALUE"""),"amanda.lopes@ufcat.edu.br")</f>
        <v>amanda.lopes@ufcat.edu.br</v>
      </c>
      <c r="D154" s="7" t="str">
        <f>IFERROR(__xludf.DUMMYFUNCTION("""COMPUTED_VALUE"""),"Amanda Matos ")</f>
        <v>Amanda Matos </v>
      </c>
      <c r="E154" s="7">
        <f>IFERROR(__xludf.DUMMYFUNCTION("""COMPUTED_VALUE"""),5340.0)</f>
        <v>5340</v>
      </c>
      <c r="F154" s="7" t="str">
        <f>IFERROR(__xludf.DUMMYFUNCTION("""COMPUTED_VALUE"""),"PREF")</f>
        <v>PREF</v>
      </c>
      <c r="G154" s="9" t="str">
        <f>IFERROR(__xludf.DUMMYFUNCTION("""COMPUTED_VALUE"""),"Bloco M")</f>
        <v>Bloco M</v>
      </c>
      <c r="H154" s="7" t="str">
        <f>IFERROR(__xludf.DUMMYFUNCTION("""COMPUTED_VALUE"""),"Banheiro masculino ")</f>
        <v>Banheiro masculino </v>
      </c>
      <c r="I154" s="7" t="str">
        <f>IFERROR(__xludf.DUMMYFUNCTION("""COMPUTED_VALUE"""),"Instalações Hidrossanitárias")</f>
        <v>Instalações Hidrossanitárias</v>
      </c>
      <c r="J154" s="7" t="str">
        <f>IFERROR(__xludf.DUMMYFUNCTION("""COMPUTED_VALUE"""),"02 Hidráulica / 07 - Desentupimento (PRAZO DE 1 ATÉ 5 DIAS PARA ATENDIMENTO)")</f>
        <v>02 Hidráulica / 07 - Desentupimento (PRAZO DE 1 ATÉ 5 DIAS PARA ATENDIMENTO)</v>
      </c>
      <c r="K154" s="7"/>
      <c r="L154" s="7" t="str">
        <f>IFERROR(__xludf.DUMMYFUNCTION("""COMPUTED_VALUE"""),"Vaso entupido banheiro masculino ")</f>
        <v>Vaso entupido banheiro masculino </v>
      </c>
      <c r="M154" s="10"/>
      <c r="N154" s="10" t="str">
        <f>IFERROR(__xludf.DUMMYFUNCTION("""COMPUTED_VALUE"""),"Realizado")</f>
        <v>Realizado</v>
      </c>
      <c r="O154" s="11">
        <f>IFERROR(__xludf.DUMMYFUNCTION("""COMPUTED_VALUE"""),45316.0)</f>
        <v>45316</v>
      </c>
      <c r="P154" s="11"/>
    </row>
    <row r="155" ht="27.0" customHeight="1">
      <c r="A155" s="7" t="str">
        <f>IFERROR(__xludf.DUMMYFUNCTION("""COMPUTED_VALUE"""),"153/2024")</f>
        <v>153/2024</v>
      </c>
      <c r="B155" s="8">
        <f>IFERROR(__xludf.DUMMYFUNCTION("""COMPUTED_VALUE"""),45317.34638328703)</f>
        <v>45317.34638</v>
      </c>
      <c r="C155" s="8" t="str">
        <f>IFERROR(__xludf.DUMMYFUNCTION("""COMPUTED_VALUE"""),"mariaeduarda.borges@ufcat.edu.br")</f>
        <v>mariaeduarda.borges@ufcat.edu.br</v>
      </c>
      <c r="D155" s="7" t="str">
        <f>IFERROR(__xludf.DUMMYFUNCTION("""COMPUTED_VALUE"""),"Maria Eduarda Silva Borges ")</f>
        <v>Maria Eduarda Silva Borges </v>
      </c>
      <c r="E155" s="7">
        <f>IFERROR(__xludf.DUMMYFUNCTION("""COMPUTED_VALUE"""),5340.0)</f>
        <v>5340</v>
      </c>
      <c r="F155" s="7" t="str">
        <f>IFERROR(__xludf.DUMMYFUNCTION("""COMPUTED_VALUE"""),"PREF")</f>
        <v>PREF</v>
      </c>
      <c r="G155" s="9" t="str">
        <f>IFERROR(__xludf.DUMMYFUNCTION("""COMPUTED_VALUE"""),"Didatico I")</f>
        <v>Didatico I</v>
      </c>
      <c r="H155" s="7" t="str">
        <f>IFERROR(__xludf.DUMMYFUNCTION("""COMPUTED_VALUE"""),"DIDÁTICO 1 CADEIRA QUEBRADA .")</f>
        <v>DIDÁTICO 1 CADEIRA QUEBRADA .</v>
      </c>
      <c r="I155" s="7" t="str">
        <f>IFERROR(__xludf.DUMMYFUNCTION("""COMPUTED_VALUE"""),"Pequenos serviços de reparos em Marcenaria")</f>
        <v>Pequenos serviços de reparos em Marcenaria</v>
      </c>
      <c r="J155" s="7" t="str">
        <f>IFERROR(__xludf.DUMMYFUNCTION("""COMPUTED_VALUE"""),"03 Marcenaria / 29 - Outros (PRAZO DE ACORDO COM A DEMANDA)")</f>
        <v>03 Marcenaria / 29 - Outros (PRAZO DE ACORDO COM A DEMANDA)</v>
      </c>
      <c r="K155" s="7"/>
      <c r="L155" s="7" t="str">
        <f>IFERROR(__xludf.DUMMYFUNCTION("""COMPUTED_VALUE"""),"Cadeira quebrada impossibilitando de alguém usa-la.")</f>
        <v>Cadeira quebrada impossibilitando de alguém usa-la.</v>
      </c>
      <c r="M155" s="10"/>
      <c r="N155" s="10" t="str">
        <f>IFERROR(__xludf.DUMMYFUNCTION("""COMPUTED_VALUE"""),"Realizado")</f>
        <v>Realizado</v>
      </c>
      <c r="O155" s="11">
        <f>IFERROR(__xludf.DUMMYFUNCTION("""COMPUTED_VALUE"""),45317.0)</f>
        <v>45317</v>
      </c>
      <c r="P155" s="11"/>
    </row>
    <row r="156" ht="27.0" customHeight="1">
      <c r="A156" s="7" t="str">
        <f>IFERROR(__xludf.DUMMYFUNCTION("""COMPUTED_VALUE"""),"154/2024")</f>
        <v>154/2024</v>
      </c>
      <c r="B156" s="8">
        <f>IFERROR(__xludf.DUMMYFUNCTION("""COMPUTED_VALUE"""),45317.3953321875)</f>
        <v>45317.39533</v>
      </c>
      <c r="C156" s="8" t="str">
        <f>IFERROR(__xludf.DUMMYFUNCTION("""COMPUTED_VALUE"""),"fabricio_pacheco@ufcat.edu.br")</f>
        <v>fabricio_pacheco@ufcat.edu.br</v>
      </c>
      <c r="D156" s="7" t="str">
        <f>IFERROR(__xludf.DUMMYFUNCTION("""COMPUTED_VALUE"""),"Fabrício")</f>
        <v>Fabrício</v>
      </c>
      <c r="E156" s="7">
        <f>IFERROR(__xludf.DUMMYFUNCTION("""COMPUTED_VALUE"""),5360.0)</f>
        <v>5360</v>
      </c>
      <c r="F156" s="7" t="str">
        <f>IFERROR(__xludf.DUMMYFUNCTION("""COMPUTED_VALUE"""),"BIBLIOTECA")</f>
        <v>BIBLIOTECA</v>
      </c>
      <c r="G156" s="9" t="str">
        <f>IFERROR(__xludf.DUMMYFUNCTION("""COMPUTED_VALUE"""),"Biblioteca")</f>
        <v>Biblioteca</v>
      </c>
      <c r="H156" s="7" t="str">
        <f>IFERROR(__xludf.DUMMYFUNCTION("""COMPUTED_VALUE"""),"Banheiro para PCD masculino do hall de entrada da Biblioteca")</f>
        <v>Banheiro para PCD masculino do hall de entrada da Biblioteca</v>
      </c>
      <c r="I156" s="7" t="str">
        <f>IFERROR(__xludf.DUMMYFUNCTION("""COMPUTED_VALUE"""),"Pequenos serviços de reparos em Marcenaria")</f>
        <v>Pequenos serviços de reparos em Marcenaria</v>
      </c>
      <c r="J156" s="7" t="str">
        <f>IFERROR(__xludf.DUMMYFUNCTION("""COMPUTED_VALUE"""),"03 Marcenaria / 28 -Troca de Fechaduras (PRAZO DE ATÉ 15 DIAS PARA ATENDIMENTO)")</f>
        <v>03 Marcenaria / 28 -Troca de Fechaduras (PRAZO DE ATÉ 15 DIAS PARA ATENDIMENTO)</v>
      </c>
      <c r="K156" s="7"/>
      <c r="L156" s="7" t="str">
        <f>IFERROR(__xludf.DUMMYFUNCTION("""COMPUTED_VALUE"""),"Não é possivel trancar o banheiro para PCD masculino do hall de entrada da Biblioteca ")</f>
        <v>Não é possivel trancar o banheiro para PCD masculino do hall de entrada da Biblioteca </v>
      </c>
      <c r="M156" s="10"/>
      <c r="N156" s="10" t="str">
        <f>IFERROR(__xludf.DUMMYFUNCTION("""COMPUTED_VALUE"""),"Realizado")</f>
        <v>Realizado</v>
      </c>
      <c r="O156" s="11">
        <f>IFERROR(__xludf.DUMMYFUNCTION("""COMPUTED_VALUE"""),45317.0)</f>
        <v>45317</v>
      </c>
      <c r="P156" s="11"/>
    </row>
    <row r="157" ht="27.0" customHeight="1">
      <c r="A157" s="7" t="str">
        <f>IFERROR(__xludf.DUMMYFUNCTION("""COMPUTED_VALUE"""),"155/2024")</f>
        <v>155/2024</v>
      </c>
      <c r="B157" s="8">
        <f>IFERROR(__xludf.DUMMYFUNCTION("""COMPUTED_VALUE"""),45317.42590269676)</f>
        <v>45317.4259</v>
      </c>
      <c r="C157" s="8" t="str">
        <f>IFERROR(__xludf.DUMMYFUNCTION("""COMPUTED_VALUE"""),"fabricio_pacheco@ufcat.edu.br")</f>
        <v>fabricio_pacheco@ufcat.edu.br</v>
      </c>
      <c r="D157" s="7" t="str">
        <f>IFERROR(__xludf.DUMMYFUNCTION("""COMPUTED_VALUE"""),"Fabrício")</f>
        <v>Fabrício</v>
      </c>
      <c r="E157" s="7">
        <f>IFERROR(__xludf.DUMMYFUNCTION("""COMPUTED_VALUE"""),5360.0)</f>
        <v>5360</v>
      </c>
      <c r="F157" s="7" t="str">
        <f>IFERROR(__xludf.DUMMYFUNCTION("""COMPUTED_VALUE"""),"BIBLIOTECA")</f>
        <v>BIBLIOTECA</v>
      </c>
      <c r="G157" s="9" t="str">
        <f>IFERROR(__xludf.DUMMYFUNCTION("""COMPUTED_VALUE"""),"Biblioteca")</f>
        <v>Biblioteca</v>
      </c>
      <c r="H157" s="7" t="str">
        <f>IFERROR(__xludf.DUMMYFUNCTION("""COMPUTED_VALUE"""),"Sala da Coordenação Administrativa (piso superior)")</f>
        <v>Sala da Coordenação Administrativa (piso superior)</v>
      </c>
      <c r="I157" s="7" t="str">
        <f>IFERROR(__xludf.DUMMYFUNCTION("""COMPUTED_VALUE"""),"Instalações e/ou Manutenção em Cabeamento de Rede")</f>
        <v>Instalações e/ou Manutenção em Cabeamento de Rede</v>
      </c>
      <c r="J157" s="7" t="str">
        <f>IFERROR(__xludf.DUMMYFUNCTION("""COMPUTED_VALUE"""),"05 Telecomunicações / 38 - Cabeamento de Rede (PRAZO DE ATÉ 15 DIAS PARA ATENDIMENTO)")</f>
        <v>05 Telecomunicações / 38 - Cabeamento de Rede (PRAZO DE ATÉ 15 DIAS PARA ATENDIMENTO)</v>
      </c>
      <c r="K157" s="7"/>
      <c r="L157" s="7" t="str">
        <f>IFERROR(__xludf.DUMMYFUNCTION("""COMPUTED_VALUE"""),"Refezer o grampeamento dos pontos 15PA e 16PA da sala da Coordenação Administrativa ")</f>
        <v>Refezer o grampeamento dos pontos 15PA e 16PA da sala da Coordenação Administrativa </v>
      </c>
      <c r="M157" s="10"/>
      <c r="N157" s="10" t="str">
        <f>IFERROR(__xludf.DUMMYFUNCTION("""COMPUTED_VALUE"""),"Realizado")</f>
        <v>Realizado</v>
      </c>
      <c r="O157" s="11">
        <f>IFERROR(__xludf.DUMMYFUNCTION("""COMPUTED_VALUE"""),45317.0)</f>
        <v>45317</v>
      </c>
      <c r="P157" s="11"/>
    </row>
    <row r="158" ht="27.0" customHeight="1">
      <c r="A158" s="7" t="str">
        <f>IFERROR(__xludf.DUMMYFUNCTION("""COMPUTED_VALUE"""),"156/2024")</f>
        <v>156/2024</v>
      </c>
      <c r="B158" s="8">
        <f>IFERROR(__xludf.DUMMYFUNCTION("""COMPUTED_VALUE"""),45317.43565393519)</f>
        <v>45317.43565</v>
      </c>
      <c r="C158" s="8" t="str">
        <f>IFERROR(__xludf.DUMMYFUNCTION("""COMPUTED_VALUE"""),"isabela.moraes@ufcat.edu.br")</f>
        <v>isabela.moraes@ufcat.edu.br</v>
      </c>
      <c r="D158" s="7" t="str">
        <f>IFERROR(__xludf.DUMMYFUNCTION("""COMPUTED_VALUE"""),"Isabela Rocceline Santana de Oliveira")</f>
        <v>Isabela Rocceline Santana de Oliveira</v>
      </c>
      <c r="E158" s="7">
        <f>IFERROR(__xludf.DUMMYFUNCTION("""COMPUTED_VALUE"""),5369.0)</f>
        <v>5369</v>
      </c>
      <c r="F158" s="7" t="str">
        <f>IFERROR(__xludf.DUMMYFUNCTION("""COMPUTED_VALUE"""),"DLT")</f>
        <v>DLT</v>
      </c>
      <c r="G158" s="9" t="str">
        <f>IFERROR(__xludf.DUMMYFUNCTION("""COMPUTED_VALUE"""),"Bloco P")</f>
        <v>Bloco P</v>
      </c>
      <c r="H158" s="7" t="str">
        <f>IFERROR(__xludf.DUMMYFUNCTION("""COMPUTED_VALUE"""),"Alojamento dos Motoristas")</f>
        <v>Alojamento dos Motoristas</v>
      </c>
      <c r="I158" s="7" t="str">
        <f>IFERROR(__xludf.DUMMYFUNCTION("""COMPUTED_VALUE"""),"Instalações Hidrossanitárias")</f>
        <v>Instalações Hidrossanitárias</v>
      </c>
      <c r="J158" s="7" t="str">
        <f>IFERROR(__xludf.DUMMYFUNCTION("""COMPUTED_VALUE"""),"02 Hidráulica / 11 - Vazamento em Tubulação interna (PRAZO DE 15 a 60 DIAS PARA ATENDIMENTO)")</f>
        <v>02 Hidráulica / 11 - Vazamento em Tubulação interna (PRAZO DE 15 a 60 DIAS PARA ATENDIMENTO)</v>
      </c>
      <c r="K158" s="7"/>
      <c r="L158" s="7" t="str">
        <f>IFERROR(__xludf.DUMMYFUNCTION("""COMPUTED_VALUE"""),"Vazamento de água na caixa d'água que fica em cima do banheiro localizado no alojamento dos motoristas próximo à prefeitura universitária.")</f>
        <v>Vazamento de água na caixa d'água que fica em cima do banheiro localizado no alojamento dos motoristas próximo à prefeitura universitária.</v>
      </c>
      <c r="M158" s="10"/>
      <c r="N158" s="10" t="str">
        <f>IFERROR(__xludf.DUMMYFUNCTION("""COMPUTED_VALUE"""),"Realizado")</f>
        <v>Realizado</v>
      </c>
      <c r="O158" s="11">
        <f>IFERROR(__xludf.DUMMYFUNCTION("""COMPUTED_VALUE"""),45320.0)</f>
        <v>45320</v>
      </c>
      <c r="P158" s="11"/>
    </row>
    <row r="159" ht="27.0" customHeight="1">
      <c r="A159" s="7" t="str">
        <f>IFERROR(__xludf.DUMMYFUNCTION("""COMPUTED_VALUE"""),"157/2024")</f>
        <v>157/2024</v>
      </c>
      <c r="B159" s="8">
        <f>IFERROR(__xludf.DUMMYFUNCTION("""COMPUTED_VALUE"""),45317.46838464121)</f>
        <v>45317.46838</v>
      </c>
      <c r="C159" s="8" t="str">
        <f>IFERROR(__xludf.DUMMYFUNCTION("""COMPUTED_VALUE"""),"cristiano.ferreira@ufcat.edu.br")</f>
        <v>cristiano.ferreira@ufcat.edu.br</v>
      </c>
      <c r="D159" s="7" t="str">
        <f>IFERROR(__xludf.DUMMYFUNCTION("""COMPUTED_VALUE"""),"Cristiano dos Santos Ferreira")</f>
        <v>Cristiano dos Santos Ferreira</v>
      </c>
      <c r="E159" s="7">
        <f>IFERROR(__xludf.DUMMYFUNCTION("""COMPUTED_VALUE"""),5315.0)</f>
        <v>5315</v>
      </c>
      <c r="F159" s="7" t="str">
        <f>IFERROR(__xludf.DUMMYFUNCTION("""COMPUTED_VALUE"""),"PROAF")</f>
        <v>PROAF</v>
      </c>
      <c r="G159" s="9" t="str">
        <f>IFERROR(__xludf.DUMMYFUNCTION("""COMPUTED_VALUE"""),"Bloco Administrativo")</f>
        <v>Bloco Administrativo</v>
      </c>
      <c r="H159" s="7" t="str">
        <f>IFERROR(__xludf.DUMMYFUNCTION("""COMPUTED_VALUE"""),"S06, S07 e S11")</f>
        <v>S06, S07 e S11</v>
      </c>
      <c r="I159" s="7" t="str">
        <f>IFERROR(__xludf.DUMMYFUNCTION("""COMPUTED_VALUE"""),"Pequenos serviços de reparos em Marcenaria")</f>
        <v>Pequenos serviços de reparos em Marcenaria</v>
      </c>
      <c r="J159" s="7" t="str">
        <f>IFERROR(__xludf.DUMMYFUNCTION("""COMPUTED_VALUE"""),"03 Marcenaria / 29 - Outros (PRAZO DE ACORDO COM A DEMANDA)")</f>
        <v>03 Marcenaria / 29 - Outros (PRAZO DE ACORDO COM A DEMANDA)</v>
      </c>
      <c r="K159" s="7"/>
      <c r="L159" s="7" t="str">
        <f>IFERROR(__xludf.DUMMYFUNCTION("""COMPUTED_VALUE"""),"Remoção da placa da Porta da sala S11 (Dpame) para sala S07 e remoção da placa S06.")</f>
        <v>Remoção da placa da Porta da sala S11 (Dpame) para sala S07 e remoção da placa S06.</v>
      </c>
      <c r="M159" s="10"/>
      <c r="N159" s="10" t="str">
        <f>IFERROR(__xludf.DUMMYFUNCTION("""COMPUTED_VALUE"""),"Realizado")</f>
        <v>Realizado</v>
      </c>
      <c r="O159" s="11">
        <f>IFERROR(__xludf.DUMMYFUNCTION("""COMPUTED_VALUE"""),45320.0)</f>
        <v>45320</v>
      </c>
      <c r="P159" s="11"/>
    </row>
    <row r="160" ht="27.0" customHeight="1">
      <c r="A160" s="7" t="str">
        <f>IFERROR(__xludf.DUMMYFUNCTION("""COMPUTED_VALUE"""),"158/2024")</f>
        <v>158/2024</v>
      </c>
      <c r="B160" s="8">
        <f>IFERROR(__xludf.DUMMYFUNCTION("""COMPUTED_VALUE"""),45317.46991989583)</f>
        <v>45317.46992</v>
      </c>
      <c r="C160" s="8" t="str">
        <f>IFERROR(__xludf.DUMMYFUNCTION("""COMPUTED_VALUE"""),"cristiano.ferreira@ufcat.edu.br")</f>
        <v>cristiano.ferreira@ufcat.edu.br</v>
      </c>
      <c r="D160" s="7" t="str">
        <f>IFERROR(__xludf.DUMMYFUNCTION("""COMPUTED_VALUE"""),"Cristiano dos Santos Ferreira")</f>
        <v>Cristiano dos Santos Ferreira</v>
      </c>
      <c r="E160" s="7">
        <f>IFERROR(__xludf.DUMMYFUNCTION("""COMPUTED_VALUE"""),5315.0)</f>
        <v>5315</v>
      </c>
      <c r="F160" s="7" t="str">
        <f>IFERROR(__xludf.DUMMYFUNCTION("""COMPUTED_VALUE"""),"PROAF")</f>
        <v>PROAF</v>
      </c>
      <c r="G160" s="9" t="str">
        <f>IFERROR(__xludf.DUMMYFUNCTION("""COMPUTED_VALUE"""),"Bloco Administrativo")</f>
        <v>Bloco Administrativo</v>
      </c>
      <c r="H160" s="7" t="str">
        <f>IFERROR(__xludf.DUMMYFUNCTION("""COMPUTED_VALUE"""),"Corredor")</f>
        <v>Corredor</v>
      </c>
      <c r="I160" s="7" t="str">
        <f>IFERROR(__xludf.DUMMYFUNCTION("""COMPUTED_VALUE"""),"Instalações elétricas")</f>
        <v>Instalações elétricas</v>
      </c>
      <c r="J160" s="7" t="str">
        <f>IFERROR(__xludf.DUMMYFUNCTION("""COMPUTED_VALUE"""),"04 Elétrica / 35 - Troca de Lâmpadas (PRAZO DE ATÉ 15 DIAS PARA ATENDIMENTO)")</f>
        <v>04 Elétrica / 35 - Troca de Lâmpadas (PRAZO DE ATÉ 15 DIAS PARA ATENDIMENTO)</v>
      </c>
      <c r="K160" s="7"/>
      <c r="L160" s="7" t="str">
        <f>IFERROR(__xludf.DUMMYFUNCTION("""COMPUTED_VALUE"""),"Troca de duas lâmpadas tubulares queimadas do corredor da PROAF")</f>
        <v>Troca de duas lâmpadas tubulares queimadas do corredor da PROAF</v>
      </c>
      <c r="M160" s="10"/>
      <c r="N160" s="10" t="str">
        <f>IFERROR(__xludf.DUMMYFUNCTION("""COMPUTED_VALUE"""),"Realizado")</f>
        <v>Realizado</v>
      </c>
      <c r="O160" s="11">
        <f>IFERROR(__xludf.DUMMYFUNCTION("""COMPUTED_VALUE"""),45320.0)</f>
        <v>45320</v>
      </c>
      <c r="P160" s="11"/>
    </row>
    <row r="161" ht="27.0" customHeight="1">
      <c r="A161" s="7" t="str">
        <f>IFERROR(__xludf.DUMMYFUNCTION("""COMPUTED_VALUE"""),"159/2024")</f>
        <v>159/2024</v>
      </c>
      <c r="B161" s="8">
        <f>IFERROR(__xludf.DUMMYFUNCTION("""COMPUTED_VALUE"""),45317.55551744213)</f>
        <v>45317.55552</v>
      </c>
      <c r="C161" s="8" t="str">
        <f>IFERROR(__xludf.DUMMYFUNCTION("""COMPUTED_VALUE"""),"rogerio_tomaz@ufcat.edu.br")</f>
        <v>rogerio_tomaz@ufcat.edu.br</v>
      </c>
      <c r="D161" s="7" t="str">
        <f>IFERROR(__xludf.DUMMYFUNCTION("""COMPUTED_VALUE"""),"Rogerio tomaz")</f>
        <v>Rogerio tomaz</v>
      </c>
      <c r="E161" s="7">
        <f>IFERROR(__xludf.DUMMYFUNCTION("""COMPUTED_VALUE"""),3.4415337E7)</f>
        <v>34415337</v>
      </c>
      <c r="F161" s="7" t="str">
        <f>IFERROR(__xludf.DUMMYFUNCTION("""COMPUTED_VALUE"""),"SETI")</f>
        <v>SETI</v>
      </c>
      <c r="G161" s="9" t="str">
        <f>IFERROR(__xludf.DUMMYFUNCTION("""COMPUTED_VALUE"""),"SETI")</f>
        <v>SETI</v>
      </c>
      <c r="H161" s="7" t="str">
        <f>IFERROR(__xludf.DUMMYFUNCTION("""COMPUTED_VALUE"""),"Vazamento de agua do bebedouro  resultando na cozinha cheia de agua")</f>
        <v>Vazamento de agua do bebedouro  resultando na cozinha cheia de agua</v>
      </c>
      <c r="I161" s="7" t="str">
        <f>IFERROR(__xludf.DUMMYFUNCTION("""COMPUTED_VALUE"""),"Instalações Hidrossanitárias")</f>
        <v>Instalações Hidrossanitárias</v>
      </c>
      <c r="J161" s="7" t="str">
        <f>IFERROR(__xludf.DUMMYFUNCTION("""COMPUTED_VALUE"""),"02 Hidráulica / 20 - Vazamento em bebedouros (PRAZO DE 1 a 5 DIAS PARA ATENDIMENTO)")</f>
        <v>02 Hidráulica / 20 - Vazamento em bebedouros (PRAZO DE 1 a 5 DIAS PARA ATENDIMENTO)</v>
      </c>
      <c r="K161" s="7"/>
      <c r="L161" s="7" t="str">
        <f>IFERROR(__xludf.DUMMYFUNCTION("""COMPUTED_VALUE"""),"Vazamento do bebedor")</f>
        <v>Vazamento do bebedor</v>
      </c>
      <c r="M161" s="10"/>
      <c r="N161" s="10" t="str">
        <f>IFERROR(__xludf.DUMMYFUNCTION("""COMPUTED_VALUE"""),"Realizado")</f>
        <v>Realizado</v>
      </c>
      <c r="O161" s="11">
        <f>IFERROR(__xludf.DUMMYFUNCTION("""COMPUTED_VALUE"""),45320.0)</f>
        <v>45320</v>
      </c>
      <c r="P161" s="11"/>
    </row>
    <row r="162" ht="27.0" customHeight="1">
      <c r="A162" s="7" t="str">
        <f>IFERROR(__xludf.DUMMYFUNCTION("""COMPUTED_VALUE"""),"160/2024")</f>
        <v>160/2024</v>
      </c>
      <c r="B162" s="8">
        <f>IFERROR(__xludf.DUMMYFUNCTION("""COMPUTED_VALUE"""),45317.608166261576)</f>
        <v>45317.60817</v>
      </c>
      <c r="C162" s="8" t="str">
        <f>IFERROR(__xludf.DUMMYFUNCTION("""COMPUTED_VALUE"""),"diovana.marcelino@ufcat.edu.br")</f>
        <v>diovana.marcelino@ufcat.edu.br</v>
      </c>
      <c r="D162" s="7" t="str">
        <f>IFERROR(__xludf.DUMMYFUNCTION("""COMPUTED_VALUE"""),"Diovana Canedo Marcelino ")</f>
        <v>Diovana Canedo Marcelino </v>
      </c>
      <c r="E162" s="7">
        <f>IFERROR(__xludf.DUMMYFUNCTION("""COMPUTED_VALUE"""),5310.0)</f>
        <v>5310</v>
      </c>
      <c r="F162" s="7" t="str">
        <f>IFERROR(__xludf.DUMMYFUNCTION("""COMPUTED_VALUE"""),"IBIOTEC  - Psicologia")</f>
        <v>IBIOTEC  - Psicologia</v>
      </c>
      <c r="G162" s="9" t="str">
        <f>IFERROR(__xludf.DUMMYFUNCTION("""COMPUTED_VALUE"""),"Bloco M")</f>
        <v>Bloco M</v>
      </c>
      <c r="H162" s="7" t="str">
        <f>IFERROR(__xludf.DUMMYFUNCTION("""COMPUTED_VALUE"""),"Sala 151")</f>
        <v>Sala 151</v>
      </c>
      <c r="I162" s="7" t="str">
        <f>IFERROR(__xludf.DUMMYFUNCTION("""COMPUTED_VALUE"""),"Instalações elétricas")</f>
        <v>Instalações elétricas</v>
      </c>
      <c r="J162" s="7" t="str">
        <f>IFERROR(__xludf.DUMMYFUNCTION("""COMPUTED_VALUE"""),"04 Elétrica / 34 - Tomada Uso Geral (PRAZO DE ATÉ 15 DIAS PARA ATENDIMENTO)")</f>
        <v>04 Elétrica / 34 - Tomada Uso Geral (PRAZO DE ATÉ 15 DIAS PARA ATENDIMENTO)</v>
      </c>
      <c r="K162" s="7"/>
      <c r="L162" s="7" t="str">
        <f>IFERROR(__xludf.DUMMYFUNCTION("""COMPUTED_VALUE"""),"Tirar plugue da tomada que queimou dentro do filtro de linha ")</f>
        <v>Tirar plugue da tomada que queimou dentro do filtro de linha </v>
      </c>
      <c r="M162" s="10"/>
      <c r="N162" s="10" t="str">
        <f>IFERROR(__xludf.DUMMYFUNCTION("""COMPUTED_VALUE"""),"Realizado")</f>
        <v>Realizado</v>
      </c>
      <c r="O162" s="11">
        <f>IFERROR(__xludf.DUMMYFUNCTION("""COMPUTED_VALUE"""),45320.0)</f>
        <v>45320</v>
      </c>
      <c r="P162" s="11"/>
    </row>
    <row r="163" ht="27.0" customHeight="1">
      <c r="A163" s="7" t="str">
        <f>IFERROR(__xludf.DUMMYFUNCTION("""COMPUTED_VALUE"""),"161/2024")</f>
        <v>161/2024</v>
      </c>
      <c r="B163" s="8">
        <f>IFERROR(__xludf.DUMMYFUNCTION("""COMPUTED_VALUE"""),45317.67886613426)</f>
        <v>45317.67887</v>
      </c>
      <c r="C163" s="8" t="str">
        <f>IFERROR(__xludf.DUMMYFUNCTION("""COMPUTED_VALUE"""),"iana.abrantes@ufcat.edu.br")</f>
        <v>iana.abrantes@ufcat.edu.br</v>
      </c>
      <c r="D163" s="7" t="str">
        <f>IFERROR(__xludf.DUMMYFUNCTION("""COMPUTED_VALUE"""),"Iana Grecco")</f>
        <v>Iana Grecco</v>
      </c>
      <c r="E163" s="7" t="str">
        <f>IFERROR(__xludf.DUMMYFUNCTION("""COMPUTED_VALUE"""),"62 9 8331-8743")</f>
        <v>62 9 8331-8743</v>
      </c>
      <c r="F163" s="7" t="str">
        <f>IFERROR(__xludf.DUMMYFUNCTION("""COMPUTED_VALUE"""),"FENG - Engenharia Civil")</f>
        <v>FENG - Engenharia Civil</v>
      </c>
      <c r="G163" s="9" t="str">
        <f>IFERROR(__xludf.DUMMYFUNCTION("""COMPUTED_VALUE"""),"Bloco O")</f>
        <v>Bloco O</v>
      </c>
      <c r="H163" s="7" t="str">
        <f>IFERROR(__xludf.DUMMYFUNCTION("""COMPUTED_VALUE"""),"Área dos fundos - Lab. Materiais/Estruturas da Eng. Civil")</f>
        <v>Área dos fundos - Lab. Materiais/Estruturas da Eng. Civil</v>
      </c>
      <c r="I163" s="7" t="str">
        <f>IFERROR(__xludf.DUMMYFUNCTION("""COMPUTED_VALUE"""),"Reparos (alvenaria, piso, forro e telhado)")</f>
        <v>Reparos (alvenaria, piso, forro e telhado)</v>
      </c>
      <c r="J163" s="7" t="str">
        <f>IFERROR(__xludf.DUMMYFUNCTION("""COMPUTED_VALUE"""),"01 Alvenaria / 06 - Outros (PRAZO DE ATÉ 60 DIAS PARA ATENDIMENTO)")</f>
        <v>01 Alvenaria / 06 - Outros (PRAZO DE ATÉ 60 DIAS PARA ATENDIMENTO)</v>
      </c>
      <c r="K163" s="7"/>
      <c r="L163" s="7" t="str">
        <f>IFERROR(__xludf.DUMMYFUNCTION("""COMPUTED_VALUE"""),"Recolhimento de entulhos nos tonéis azuis e baldes")</f>
        <v>Recolhimento de entulhos nos tonéis azuis e baldes</v>
      </c>
      <c r="M163" s="10" t="str">
        <f>IFERROR(__xludf.DUMMYFUNCTION("""COMPUTED_VALUE"""),"Aguardando F400 ")</f>
        <v>Aguardando F400 </v>
      </c>
      <c r="N163" s="10" t="str">
        <f>IFERROR(__xludf.DUMMYFUNCTION("""COMPUTED_VALUE"""),"Realizado")</f>
        <v>Realizado</v>
      </c>
      <c r="O163" s="11">
        <f>IFERROR(__xludf.DUMMYFUNCTION("""COMPUTED_VALUE"""),45357.0)</f>
        <v>45357</v>
      </c>
      <c r="P163" s="11"/>
    </row>
    <row r="164" ht="27.0" customHeight="1">
      <c r="A164" s="7" t="str">
        <f>IFERROR(__xludf.DUMMYFUNCTION("""COMPUTED_VALUE"""),"162/2024")</f>
        <v>162/2024</v>
      </c>
      <c r="B164" s="8">
        <f>IFERROR(__xludf.DUMMYFUNCTION("""COMPUTED_VALUE"""),45318.7581702662)</f>
        <v>45318.75817</v>
      </c>
      <c r="C164" s="8" t="str">
        <f>IFERROR(__xludf.DUMMYFUNCTION("""COMPUTED_VALUE"""),"seguranca@ufcat.edu.br")</f>
        <v>seguranca@ufcat.edu.br</v>
      </c>
      <c r="D164" s="7" t="str">
        <f>IFERROR(__xludf.DUMMYFUNCTION("""COMPUTED_VALUE"""),"Neide da costa ")</f>
        <v>Neide da costa </v>
      </c>
      <c r="E164" s="7">
        <f>IFERROR(__xludf.DUMMYFUNCTION("""COMPUTED_VALUE"""),5318.0)</f>
        <v>5318</v>
      </c>
      <c r="F164" s="7" t="str">
        <f>IFERROR(__xludf.DUMMYFUNCTION("""COMPUTED_VALUE"""),"CENTRAL DE OPERAÇÕES VIGILÂNCIA")</f>
        <v>CENTRAL DE OPERAÇÕES VIGILÂNCIA</v>
      </c>
      <c r="G164" s="9" t="str">
        <f>IFERROR(__xludf.DUMMYFUNCTION("""COMPUTED_VALUE"""),"Bloco M")</f>
        <v>Bloco M</v>
      </c>
      <c r="H164" s="7" t="str">
        <f>IFERROR(__xludf.DUMMYFUNCTION("""COMPUTED_VALUE"""),"Câmeras ")</f>
        <v>Câmeras </v>
      </c>
      <c r="I164" s="7" t="str">
        <f>IFERROR(__xludf.DUMMYFUNCTION("""COMPUTED_VALUE"""),"Instalações e/ou Manutenção em Cabeamento de Rede")</f>
        <v>Instalações e/ou Manutenção em Cabeamento de Rede</v>
      </c>
      <c r="J164" s="7" t="str">
        <f>IFERROR(__xludf.DUMMYFUNCTION("""COMPUTED_VALUE"""),"05 Telecomunicações / 39 - CFTV (PRAZO DE ATÉ 15 DIAS PARA ATENDIMENTO)")</f>
        <v>05 Telecomunicações / 39 - CFTV (PRAZO DE ATÉ 15 DIAS PARA ATENDIMENTO)</v>
      </c>
      <c r="K164" s="7"/>
      <c r="L164" s="7" t="str">
        <f>IFERROR(__xludf.DUMMYFUNCTION("""COMPUTED_VALUE"""),"As câmeras ficaram off-line desde as 17:30")</f>
        <v>As câmeras ficaram off-line desde as 17:30</v>
      </c>
      <c r="M164" s="10"/>
      <c r="N164" s="10" t="str">
        <f>IFERROR(__xludf.DUMMYFUNCTION("""COMPUTED_VALUE"""),"Realizado")</f>
        <v>Realizado</v>
      </c>
      <c r="O164" s="11">
        <f>IFERROR(__xludf.DUMMYFUNCTION("""COMPUTED_VALUE"""),45320.0)</f>
        <v>45320</v>
      </c>
      <c r="P164" s="11"/>
    </row>
    <row r="165" ht="27.0" customHeight="1">
      <c r="A165" s="7" t="str">
        <f>IFERROR(__xludf.DUMMYFUNCTION("""COMPUTED_VALUE"""),"163/2024")</f>
        <v>163/2024</v>
      </c>
      <c r="B165" s="8">
        <f>IFERROR(__xludf.DUMMYFUNCTION("""COMPUTED_VALUE"""),45320.38409166667)</f>
        <v>45320.38409</v>
      </c>
      <c r="C165" s="8" t="str">
        <f>IFERROR(__xludf.DUMMYFUNCTION("""COMPUTED_VALUE"""),"mariaeduarda.borges@ufcat.edu.br")</f>
        <v>mariaeduarda.borges@ufcat.edu.br</v>
      </c>
      <c r="D165" s="7" t="str">
        <f>IFERROR(__xludf.DUMMYFUNCTION("""COMPUTED_VALUE"""),"Maria Eduarda Silva Borges ")</f>
        <v>Maria Eduarda Silva Borges </v>
      </c>
      <c r="E165" s="7">
        <f>IFERROR(__xludf.DUMMYFUNCTION("""COMPUTED_VALUE"""),5340.0)</f>
        <v>5340</v>
      </c>
      <c r="F165" s="7" t="str">
        <f>IFERROR(__xludf.DUMMYFUNCTION("""COMPUTED_VALUE"""),"PREF")</f>
        <v>PREF</v>
      </c>
      <c r="G165" s="9" t="str">
        <f>IFERROR(__xludf.DUMMYFUNCTION("""COMPUTED_VALUE"""),"Estacionamento")</f>
        <v>Estacionamento</v>
      </c>
      <c r="H165" s="7" t="str">
        <f>IFERROR(__xludf.DUMMYFUNCTION("""COMPUTED_VALUE"""),"ENTRADA DO CAMPUS PROXIMO AO PORTÃO DA A.V LAMARTINE")</f>
        <v>ENTRADA DO CAMPUS PROXIMO AO PORTÃO DA A.V LAMARTINE</v>
      </c>
      <c r="I165" s="7" t="str">
        <f>IFERROR(__xludf.DUMMYFUNCTION("""COMPUTED_VALUE"""),"Instalações elétricas")</f>
        <v>Instalações elétricas</v>
      </c>
      <c r="J165" s="7" t="str">
        <f>IFERROR(__xludf.DUMMYFUNCTION("""COMPUTED_VALUE"""),"04 Elétrica / 31 - Iluminação Externa (PRAZO DE ATÉ 15 DIAS PARA ATENDIMENTO)")</f>
        <v>04 Elétrica / 31 - Iluminação Externa (PRAZO DE ATÉ 15 DIAS PARA ATENDIMENTO)</v>
      </c>
      <c r="K165" s="7"/>
      <c r="L165" s="7" t="str">
        <f>IFERROR(__xludf.DUMMYFUNCTION("""COMPUTED_VALUE"""),"A iluminação do Poste próximo à entrada da A.V. Lamartine está queimada.")</f>
        <v>A iluminação do Poste próximo à entrada da A.V. Lamartine está queimada.</v>
      </c>
      <c r="M165" s="10" t="str">
        <f>IFERROR(__xludf.DUMMYFUNCTION("""COMPUTED_VALUE"""),"Iluminação publica, responsabilidade da Prefeitura Municipal de catalão ")</f>
        <v>Iluminação publica, responsabilidade da Prefeitura Municipal de catalão </v>
      </c>
      <c r="N165" s="10" t="str">
        <f>IFERROR(__xludf.DUMMYFUNCTION("""COMPUTED_VALUE"""),"Não é atribuição da PREF")</f>
        <v>Não é atribuição da PREF</v>
      </c>
      <c r="O165" s="11">
        <f>IFERROR(__xludf.DUMMYFUNCTION("""COMPUTED_VALUE"""),45341.0)</f>
        <v>45341</v>
      </c>
      <c r="P165" s="11"/>
    </row>
    <row r="166" ht="27.0" customHeight="1">
      <c r="A166" s="7" t="str">
        <f>IFERROR(__xludf.DUMMYFUNCTION("""COMPUTED_VALUE"""),"164/2024")</f>
        <v>164/2024</v>
      </c>
      <c r="B166" s="8">
        <f>IFERROR(__xludf.DUMMYFUNCTION("""COMPUTED_VALUE"""),45320.39489005787)</f>
        <v>45320.39489</v>
      </c>
      <c r="C166" s="8" t="str">
        <f>IFERROR(__xludf.DUMMYFUNCTION("""COMPUTED_VALUE"""),"mariaeduarda.borges@ufcat.edu.br")</f>
        <v>mariaeduarda.borges@ufcat.edu.br</v>
      </c>
      <c r="D166" s="7" t="str">
        <f>IFERROR(__xludf.DUMMYFUNCTION("""COMPUTED_VALUE"""),"Maria Eduarda Silva Borges ")</f>
        <v>Maria Eduarda Silva Borges </v>
      </c>
      <c r="E166" s="7">
        <f>IFERROR(__xludf.DUMMYFUNCTION("""COMPUTED_VALUE"""),5340.0)</f>
        <v>5340</v>
      </c>
      <c r="F166" s="7" t="str">
        <f>IFERROR(__xludf.DUMMYFUNCTION("""COMPUTED_VALUE"""),"PREF")</f>
        <v>PREF</v>
      </c>
      <c r="G166" s="9" t="str">
        <f>IFERROR(__xludf.DUMMYFUNCTION("""COMPUTED_VALUE"""),"Campus II")</f>
        <v>Campus II</v>
      </c>
      <c r="H166" s="7" t="str">
        <f>IFERROR(__xludf.DUMMYFUNCTION("""COMPUTED_VALUE"""),"CORREDOR ( PORTA PROXIMO AO BEBEDOURO )")</f>
        <v>CORREDOR ( PORTA PROXIMO AO BEBEDOURO )</v>
      </c>
      <c r="I166" s="7" t="str">
        <f>IFERROR(__xludf.DUMMYFUNCTION("""COMPUTED_VALUE"""),"Reparos (alvenaria, piso, forro e telhado)")</f>
        <v>Reparos (alvenaria, piso, forro e telhado)</v>
      </c>
      <c r="J166" s="7" t="str">
        <f>IFERROR(__xludf.DUMMYFUNCTION("""COMPUTED_VALUE"""),"01 Alvenaria / 06 - Outros (PRAZO DE ATÉ 60 DIAS PARA ATENDIMENTO)")</f>
        <v>01 Alvenaria / 06 - Outros (PRAZO DE ATÉ 60 DIAS PARA ATENDIMENTO)</v>
      </c>
      <c r="K166" s="7"/>
      <c r="L166" s="7" t="str">
        <f>IFERROR(__xludf.DUMMYFUNCTION("""COMPUTED_VALUE"""),"Durante a forte chuva identificou uma infiltração formando uma poça próximo ao Bebedouro.")</f>
        <v>Durante a forte chuva identificou uma infiltração formando uma poça próximo ao Bebedouro.</v>
      </c>
      <c r="M166" s="10"/>
      <c r="N166" s="10" t="str">
        <f>IFERROR(__xludf.DUMMYFUNCTION("""COMPUTED_VALUE"""),"Realizado")</f>
        <v>Realizado</v>
      </c>
      <c r="O166" s="11">
        <f>IFERROR(__xludf.DUMMYFUNCTION("""COMPUTED_VALUE"""),45320.0)</f>
        <v>45320</v>
      </c>
      <c r="P166" s="11"/>
    </row>
    <row r="167" ht="27.0" customHeight="1">
      <c r="A167" s="7" t="str">
        <f>IFERROR(__xludf.DUMMYFUNCTION("""COMPUTED_VALUE"""),"165/2024")</f>
        <v>165/2024</v>
      </c>
      <c r="B167" s="8">
        <f>IFERROR(__xludf.DUMMYFUNCTION("""COMPUTED_VALUE"""),45320.396264317125)</f>
        <v>45320.39626</v>
      </c>
      <c r="C167" s="8" t="str">
        <f>IFERROR(__xludf.DUMMYFUNCTION("""COMPUTED_VALUE"""),"mariaeduarda.borges@ufcat.edu.br")</f>
        <v>mariaeduarda.borges@ufcat.edu.br</v>
      </c>
      <c r="D167" s="7" t="str">
        <f>IFERROR(__xludf.DUMMYFUNCTION("""COMPUTED_VALUE"""),"Maria Eduarda Silva Borges ")</f>
        <v>Maria Eduarda Silva Borges </v>
      </c>
      <c r="E167" s="7">
        <f>IFERROR(__xludf.DUMMYFUNCTION("""COMPUTED_VALUE"""),5340.0)</f>
        <v>5340</v>
      </c>
      <c r="F167" s="7" t="str">
        <f>IFERROR(__xludf.DUMMYFUNCTION("""COMPUTED_VALUE"""),"PREF")</f>
        <v>PREF</v>
      </c>
      <c r="G167" s="9" t="str">
        <f>IFERROR(__xludf.DUMMYFUNCTION("""COMPUTED_VALUE"""),"Campus II")</f>
        <v>Campus II</v>
      </c>
      <c r="H167" s="7" t="str">
        <f>IFERROR(__xludf.DUMMYFUNCTION("""COMPUTED_VALUE"""),"SALA 24")</f>
        <v>SALA 24</v>
      </c>
      <c r="I167" s="7" t="str">
        <f>IFERROR(__xludf.DUMMYFUNCTION("""COMPUTED_VALUE"""),"Instalações elétricas")</f>
        <v>Instalações elétricas</v>
      </c>
      <c r="J167" s="7" t="str">
        <f>IFERROR(__xludf.DUMMYFUNCTION("""COMPUTED_VALUE"""),"04 Elétrica / 37 - Outros (PRAZO DE ACORDO COM A DEMANDA)")</f>
        <v>04 Elétrica / 37 - Outros (PRAZO DE ACORDO COM A DEMANDA)</v>
      </c>
      <c r="K167" s="7"/>
      <c r="L167" s="7" t="str">
        <f>IFERROR(__xludf.DUMMYFUNCTION("""COMPUTED_VALUE"""),"Sala 24 tem cinco lâmpadas queimadas, e um suporte de luminária que está caindo.")</f>
        <v>Sala 24 tem cinco lâmpadas queimadas, e um suporte de luminária que está caindo.</v>
      </c>
      <c r="M167" s="10"/>
      <c r="N167" s="10" t="str">
        <f>IFERROR(__xludf.DUMMYFUNCTION("""COMPUTED_VALUE"""),"Realizado")</f>
        <v>Realizado</v>
      </c>
      <c r="O167" s="11">
        <f>IFERROR(__xludf.DUMMYFUNCTION("""COMPUTED_VALUE"""),45327.0)</f>
        <v>45327</v>
      </c>
      <c r="P167" s="11"/>
    </row>
    <row r="168" ht="27.0" customHeight="1">
      <c r="A168" s="7" t="str">
        <f>IFERROR(__xludf.DUMMYFUNCTION("""COMPUTED_VALUE"""),"166/2024")</f>
        <v>166/2024</v>
      </c>
      <c r="B168" s="8">
        <f>IFERROR(__xludf.DUMMYFUNCTION("""COMPUTED_VALUE"""),45320.425278634255)</f>
        <v>45320.42528</v>
      </c>
      <c r="C168" s="8" t="str">
        <f>IFERROR(__xludf.DUMMYFUNCTION("""COMPUTED_VALUE"""),"amanda.lopes@ufcat.edu.br")</f>
        <v>amanda.lopes@ufcat.edu.br</v>
      </c>
      <c r="D168" s="7" t="str">
        <f>IFERROR(__xludf.DUMMYFUNCTION("""COMPUTED_VALUE"""),"Amanda Matos ")</f>
        <v>Amanda Matos </v>
      </c>
      <c r="E168" s="7">
        <f>IFERROR(__xludf.DUMMYFUNCTION("""COMPUTED_VALUE"""),5340.0)</f>
        <v>5340</v>
      </c>
      <c r="F168" s="7" t="str">
        <f>IFERROR(__xludf.DUMMYFUNCTION("""COMPUTED_VALUE"""),"PREF")</f>
        <v>PREF</v>
      </c>
      <c r="G168" s="9" t="str">
        <f>IFERROR(__xludf.DUMMYFUNCTION("""COMPUTED_VALUE"""),"Bloco H")</f>
        <v>Bloco H</v>
      </c>
      <c r="H168" s="7" t="str">
        <f>IFERROR(__xludf.DUMMYFUNCTION("""COMPUTED_VALUE"""),"Bloco H, E, I e F")</f>
        <v>Bloco H, E, I e F</v>
      </c>
      <c r="I168" s="7" t="str">
        <f>IFERROR(__xludf.DUMMYFUNCTION("""COMPUTED_VALUE"""),"Instalações elétricas")</f>
        <v>Instalações elétricas</v>
      </c>
      <c r="J168" s="7" t="str">
        <f>IFERROR(__xludf.DUMMYFUNCTION("""COMPUTED_VALUE"""),"04 Elétrica / 35 - Troca de Lâmpadas (PRAZO DE ATÉ 15 DIAS PARA ATENDIMENTO)")</f>
        <v>04 Elétrica / 35 - Troca de Lâmpadas (PRAZO DE ATÉ 15 DIAS PARA ATENDIMENTO)</v>
      </c>
      <c r="K168" s="7"/>
      <c r="L168" s="7" t="str">
        <f>IFERROR(__xludf.DUMMYFUNCTION("""COMPUTED_VALUE"""),"troca de lampadas Bloco H, E, I e F")</f>
        <v>troca de lampadas Bloco H, E, I e F</v>
      </c>
      <c r="M168" s="10"/>
      <c r="N168" s="10" t="str">
        <f>IFERROR(__xludf.DUMMYFUNCTION("""COMPUTED_VALUE"""),"Realizado")</f>
        <v>Realizado</v>
      </c>
      <c r="O168" s="11">
        <f>IFERROR(__xludf.DUMMYFUNCTION("""COMPUTED_VALUE"""),45321.0)</f>
        <v>45321</v>
      </c>
      <c r="P168" s="11"/>
    </row>
    <row r="169" ht="27.0" customHeight="1">
      <c r="A169" s="7" t="str">
        <f>IFERROR(__xludf.DUMMYFUNCTION("""COMPUTED_VALUE"""),"167/2024")</f>
        <v>167/2024</v>
      </c>
      <c r="B169" s="8">
        <f>IFERROR(__xludf.DUMMYFUNCTION("""COMPUTED_VALUE"""),45320.437224189816)</f>
        <v>45320.43722</v>
      </c>
      <c r="C169" s="8" t="str">
        <f>IFERROR(__xludf.DUMMYFUNCTION("""COMPUTED_VALUE"""),"letras.ingles@ufcat.edu.br")</f>
        <v>letras.ingles@ufcat.edu.br</v>
      </c>
      <c r="D169" s="7" t="str">
        <f>IFERROR(__xludf.DUMMYFUNCTION("""COMPUTED_VALUE"""),"Rejane")</f>
        <v>Rejane</v>
      </c>
      <c r="E169" s="7">
        <f>IFERROR(__xludf.DUMMYFUNCTION("""COMPUTED_VALUE"""),5304.0)</f>
        <v>5304</v>
      </c>
      <c r="F169" s="7" t="str">
        <f>IFERROR(__xludf.DUMMYFUNCTION("""COMPUTED_VALUE"""),"IEL")</f>
        <v>IEL</v>
      </c>
      <c r="G169" s="9" t="str">
        <f>IFERROR(__xludf.DUMMYFUNCTION("""COMPUTED_VALUE"""),"Bloco G")</f>
        <v>Bloco G</v>
      </c>
      <c r="H169" s="7" t="str">
        <f>IFERROR(__xludf.DUMMYFUNCTION("""COMPUTED_VALUE"""),"Sala 03 Bloco G- Secretaria IEL")</f>
        <v>Sala 03 Bloco G- Secretaria IEL</v>
      </c>
      <c r="I169" s="7" t="str">
        <f>IFERROR(__xludf.DUMMYFUNCTION("""COMPUTED_VALUE"""),"Instalações e/ou Manutenção em Cabeamento de Rede")</f>
        <v>Instalações e/ou Manutenção em Cabeamento de Rede</v>
      </c>
      <c r="J169" s="7" t="str">
        <f>IFERROR(__xludf.DUMMYFUNCTION("""COMPUTED_VALUE"""),"05 Telecomunicações / 38 - Cabeamento de Rede (PRAZO DE ATÉ 15 DIAS PARA ATENDIMENTO)")</f>
        <v>05 Telecomunicações / 38 - Cabeamento de Rede (PRAZO DE ATÉ 15 DIAS PARA ATENDIMENTO)</v>
      </c>
      <c r="K169" s="7"/>
      <c r="L169" s="7" t="str">
        <f>IFERROR(__xludf.DUMMYFUNCTION("""COMPUTED_VALUE"""),"Trocar ponto de telefone para ponto de rede e um outro ponto de rede está sem o cabeamento. ")</f>
        <v>Trocar ponto de telefone para ponto de rede e um outro ponto de rede está sem o cabeamento. </v>
      </c>
      <c r="M169" s="10"/>
      <c r="N169" s="10" t="str">
        <f>IFERROR(__xludf.DUMMYFUNCTION("""COMPUTED_VALUE"""),"Realizado")</f>
        <v>Realizado</v>
      </c>
      <c r="O169" s="11">
        <f>IFERROR(__xludf.DUMMYFUNCTION("""COMPUTED_VALUE"""),45337.0)</f>
        <v>45337</v>
      </c>
      <c r="P169" s="11"/>
    </row>
    <row r="170" ht="27.0" customHeight="1">
      <c r="A170" s="7" t="str">
        <f>IFERROR(__xludf.DUMMYFUNCTION("""COMPUTED_VALUE"""),"168/2024")</f>
        <v>168/2024</v>
      </c>
      <c r="B170" s="8">
        <f>IFERROR(__xludf.DUMMYFUNCTION("""COMPUTED_VALUE"""),45320.448214027776)</f>
        <v>45320.44821</v>
      </c>
      <c r="C170" s="8" t="str">
        <f>IFERROR(__xludf.DUMMYFUNCTION("""COMPUTED_VALUE"""),"alessandra.santana@ufcat.edu.br")</f>
        <v>alessandra.santana@ufcat.edu.br</v>
      </c>
      <c r="D170" s="7" t="str">
        <f>IFERROR(__xludf.DUMMYFUNCTION("""COMPUTED_VALUE"""),"Alessandra Santana Silva")</f>
        <v>Alessandra Santana Silva</v>
      </c>
      <c r="E170" s="7" t="str">
        <f>IFERROR(__xludf.DUMMYFUNCTION("""COMPUTED_VALUE"""),"5395 / (64) 984251996")</f>
        <v>5395 / (64) 984251996</v>
      </c>
      <c r="F170" s="7" t="str">
        <f>IFERROR(__xludf.DUMMYFUNCTION("""COMPUTED_VALUE"""),"DCF")</f>
        <v>DCF</v>
      </c>
      <c r="G170" s="9" t="str">
        <f>IFERROR(__xludf.DUMMYFUNCTION("""COMPUTED_VALUE"""),"Bloco Administrativo")</f>
        <v>Bloco Administrativo</v>
      </c>
      <c r="H170" s="7" t="str">
        <f>IFERROR(__xludf.DUMMYFUNCTION("""COMPUTED_VALUE"""),"Sala 08 - Subsolo")</f>
        <v>Sala 08 - Subsolo</v>
      </c>
      <c r="I170" s="7" t="str">
        <f>IFERROR(__xludf.DUMMYFUNCTION("""COMPUTED_VALUE"""),"Instalações e/ou Manutenção em Cabeamento de Rede")</f>
        <v>Instalações e/ou Manutenção em Cabeamento de Rede</v>
      </c>
      <c r="J170" s="7" t="str">
        <f>IFERROR(__xludf.DUMMYFUNCTION("""COMPUTED_VALUE"""),"05 Telecomunicações / 38 - Cabeamento de Rede (PRAZO DE ATÉ 15 DIAS PARA ATENDIMENTO)")</f>
        <v>05 Telecomunicações / 38 - Cabeamento de Rede (PRAZO DE ATÉ 15 DIAS PARA ATENDIMENTO)</v>
      </c>
      <c r="K170" s="7"/>
      <c r="L170" s="7" t="str">
        <f>IFERROR(__xludf.DUMMYFUNCTION("""COMPUTED_VALUE"""),"Bom dia. Necessitamos que seja verificado a conexão de Internet, com possível troca de cabos, de dois pontos da sala da Diretoria de Contabilidade e Finanças, por gentileza.")</f>
        <v>Bom dia. Necessitamos que seja verificado a conexão de Internet, com possível troca de cabos, de dois pontos da sala da Diretoria de Contabilidade e Finanças, por gentileza.</v>
      </c>
      <c r="M170" s="10"/>
      <c r="N170" s="10" t="str">
        <f>IFERROR(__xludf.DUMMYFUNCTION("""COMPUTED_VALUE"""),"Realizado")</f>
        <v>Realizado</v>
      </c>
      <c r="O170" s="11">
        <f>IFERROR(__xludf.DUMMYFUNCTION("""COMPUTED_VALUE"""),45321.0)</f>
        <v>45321</v>
      </c>
      <c r="P170" s="11"/>
    </row>
    <row r="171" ht="27.0" customHeight="1">
      <c r="A171" s="7" t="str">
        <f>IFERROR(__xludf.DUMMYFUNCTION("""COMPUTED_VALUE"""),"169/2024")</f>
        <v>169/2024</v>
      </c>
      <c r="B171" s="8">
        <f>IFERROR(__xludf.DUMMYFUNCTION("""COMPUTED_VALUE"""),45320.62245711806)</f>
        <v>45320.62246</v>
      </c>
      <c r="C171" s="8" t="str">
        <f>IFERROR(__xludf.DUMMYFUNCTION("""COMPUTED_VALUE"""),"nubiamariano@ufcat.edu.br")</f>
        <v>nubiamariano@ufcat.edu.br</v>
      </c>
      <c r="D171" s="7" t="str">
        <f>IFERROR(__xludf.DUMMYFUNCTION("""COMPUTED_VALUE"""),"Núbia Alves Mariano Teixeira Pires")</f>
        <v>Núbia Alves Mariano Teixeira Pires</v>
      </c>
      <c r="E171" s="7">
        <f>IFERROR(__xludf.DUMMYFUNCTION("""COMPUTED_VALUE"""),6.4993379143E10)</f>
        <v>64993379143</v>
      </c>
      <c r="F171" s="7" t="str">
        <f>IFERROR(__xludf.DUMMYFUNCTION("""COMPUTED_VALUE"""),"IBIOTEC - Ciências Biológicas")</f>
        <v>IBIOTEC - Ciências Biológicas</v>
      </c>
      <c r="G171" s="9" t="str">
        <f>IFERROR(__xludf.DUMMYFUNCTION("""COMPUTED_VALUE"""),"Campus II")</f>
        <v>Campus II</v>
      </c>
      <c r="H171" s="7" t="str">
        <f>IFERROR(__xludf.DUMMYFUNCTION("""COMPUTED_VALUE"""),"Casa de Vegetação")</f>
        <v>Casa de Vegetação</v>
      </c>
      <c r="I171" s="7" t="str">
        <f>IFERROR(__xludf.DUMMYFUNCTION("""COMPUTED_VALUE"""),"Jardinagem ")</f>
        <v>Jardinagem </v>
      </c>
      <c r="J171" s="15"/>
      <c r="K171" s="15"/>
      <c r="L171" s="7" t="str">
        <f>IFERROR(__xludf.DUMMYFUNCTION("""COMPUTED_VALUE"""),"Limpeza de rotina na casa de vegetação, para eliminação de gramíneas e plantas herbáceas")</f>
        <v>Limpeza de rotina na casa de vegetação, para eliminação de gramíneas e plantas herbáceas</v>
      </c>
      <c r="M171" s="10"/>
      <c r="N171" s="10" t="str">
        <f>IFERROR(__xludf.DUMMYFUNCTION("""COMPUTED_VALUE"""),"Realizado")</f>
        <v>Realizado</v>
      </c>
      <c r="O171" s="11">
        <f>IFERROR(__xludf.DUMMYFUNCTION("""COMPUTED_VALUE"""),45341.0)</f>
        <v>45341</v>
      </c>
      <c r="P171" s="11"/>
    </row>
    <row r="172" ht="27.0" customHeight="1">
      <c r="A172" s="7" t="str">
        <f>IFERROR(__xludf.DUMMYFUNCTION("""COMPUTED_VALUE"""),"170/2024")</f>
        <v>170/2024</v>
      </c>
      <c r="B172" s="8">
        <f>IFERROR(__xludf.DUMMYFUNCTION("""COMPUTED_VALUE"""),45320.64012232639)</f>
        <v>45320.64012</v>
      </c>
      <c r="C172" s="8" t="str">
        <f>IFERROR(__xludf.DUMMYFUNCTION("""COMPUTED_VALUE"""),"amanda.lopes@ufcat.edu.br")</f>
        <v>amanda.lopes@ufcat.edu.br</v>
      </c>
      <c r="D172" s="7" t="str">
        <f>IFERROR(__xludf.DUMMYFUNCTION("""COMPUTED_VALUE"""),"Amanda Matos ")</f>
        <v>Amanda Matos </v>
      </c>
      <c r="E172" s="7">
        <f>IFERROR(__xludf.DUMMYFUNCTION("""COMPUTED_VALUE"""),5340.0)</f>
        <v>5340</v>
      </c>
      <c r="F172" s="7" t="str">
        <f>IFERROR(__xludf.DUMMYFUNCTION("""COMPUTED_VALUE"""),"PREF")</f>
        <v>PREF</v>
      </c>
      <c r="G172" s="9" t="str">
        <f>IFERROR(__xludf.DUMMYFUNCTION("""COMPUTED_VALUE"""),"MUC")</f>
        <v>MUC</v>
      </c>
      <c r="H172" s="7" t="str">
        <f>IFERROR(__xludf.DUMMYFUNCTION("""COMPUTED_VALUE"""),"Cameras")</f>
        <v>Cameras</v>
      </c>
      <c r="I172" s="7" t="str">
        <f>IFERROR(__xludf.DUMMYFUNCTION("""COMPUTED_VALUE"""),"Instalações e/ou Manutenção em Cabeamento de Rede")</f>
        <v>Instalações e/ou Manutenção em Cabeamento de Rede</v>
      </c>
      <c r="J172" s="7" t="str">
        <f>IFERROR(__xludf.DUMMYFUNCTION("""COMPUTED_VALUE"""),"05 Telecomunicações / 39 - CFTV (PRAZO DE ATÉ 15 DIAS PARA ATENDIMENTO)")</f>
        <v>05 Telecomunicações / 39 - CFTV (PRAZO DE ATÉ 15 DIAS PARA ATENDIMENTO)</v>
      </c>
      <c r="K172" s="7"/>
      <c r="L172" s="7" t="str">
        <f>IFERROR(__xludf.DUMMYFUNCTION("""COMPUTED_VALUE"""),"Verificar cameras com defeito ")</f>
        <v>Verificar cameras com defeito </v>
      </c>
      <c r="M172" s="10"/>
      <c r="N172" s="10" t="str">
        <f>IFERROR(__xludf.DUMMYFUNCTION("""COMPUTED_VALUE"""),"Realizado")</f>
        <v>Realizado</v>
      </c>
      <c r="O172" s="11">
        <f>IFERROR(__xludf.DUMMYFUNCTION("""COMPUTED_VALUE"""),45321.0)</f>
        <v>45321</v>
      </c>
      <c r="P172" s="11"/>
    </row>
    <row r="173" ht="27.0" customHeight="1">
      <c r="A173" s="7" t="str">
        <f>IFERROR(__xludf.DUMMYFUNCTION("""COMPUTED_VALUE"""),"171/2024")</f>
        <v>171/2024</v>
      </c>
      <c r="B173" s="8">
        <f>IFERROR(__xludf.DUMMYFUNCTION("""COMPUTED_VALUE"""),45320.67096885417)</f>
        <v>45320.67097</v>
      </c>
      <c r="C173" s="8" t="str">
        <f>IFERROR(__xludf.DUMMYFUNCTION("""COMPUTED_VALUE"""),"letras.ingles@ufcat.edu.br")</f>
        <v>letras.ingles@ufcat.edu.br</v>
      </c>
      <c r="D173" s="7" t="str">
        <f>IFERROR(__xludf.DUMMYFUNCTION("""COMPUTED_VALUE"""),"Rejane")</f>
        <v>Rejane</v>
      </c>
      <c r="E173" s="7">
        <f>IFERROR(__xludf.DUMMYFUNCTION("""COMPUTED_VALUE"""),5304.0)</f>
        <v>5304</v>
      </c>
      <c r="F173" s="7" t="str">
        <f>IFERROR(__xludf.DUMMYFUNCTION("""COMPUTED_VALUE"""),"IEL")</f>
        <v>IEL</v>
      </c>
      <c r="G173" s="9" t="str">
        <f>IFERROR(__xludf.DUMMYFUNCTION("""COMPUTED_VALUE"""),"Bloco E")</f>
        <v>Bloco E</v>
      </c>
      <c r="H173" s="7" t="str">
        <f>IFERROR(__xludf.DUMMYFUNCTION("""COMPUTED_VALUE"""),"Sala 07 - copa")</f>
        <v>Sala 07 - copa</v>
      </c>
      <c r="I173" s="7" t="str">
        <f>IFERROR(__xludf.DUMMYFUNCTION("""COMPUTED_VALUE"""),"Instalações Hidrossanitárias")</f>
        <v>Instalações Hidrossanitárias</v>
      </c>
      <c r="J173" s="7" t="str">
        <f>IFERROR(__xludf.DUMMYFUNCTION("""COMPUTED_VALUE"""),"02 Hidráulica / 11 - Vazamento em Tubulação interna (PRAZO DE 15 a 60 DIAS PARA ATENDIMENTO)")</f>
        <v>02 Hidráulica / 11 - Vazamento em Tubulação interna (PRAZO DE 15 a 60 DIAS PARA ATENDIMENTO)</v>
      </c>
      <c r="K173" s="7"/>
      <c r="L173" s="7" t="str">
        <f>IFERROR(__xludf.DUMMYFUNCTION("""COMPUTED_VALUE"""),"Mangueira do filtro quebrada, com vazamento de água.")</f>
        <v>Mangueira do filtro quebrada, com vazamento de água.</v>
      </c>
      <c r="M173" s="10"/>
      <c r="N173" s="10" t="str">
        <f>IFERROR(__xludf.DUMMYFUNCTION("""COMPUTED_VALUE"""),"Realizado")</f>
        <v>Realizado</v>
      </c>
      <c r="O173" s="11">
        <f>IFERROR(__xludf.DUMMYFUNCTION("""COMPUTED_VALUE"""),45321.0)</f>
        <v>45321</v>
      </c>
      <c r="P173" s="11"/>
    </row>
    <row r="174" ht="27.0" customHeight="1">
      <c r="A174" s="7" t="str">
        <f>IFERROR(__xludf.DUMMYFUNCTION("""COMPUTED_VALUE"""),"172/2024")</f>
        <v>172/2024</v>
      </c>
      <c r="B174" s="8">
        <f>IFERROR(__xludf.DUMMYFUNCTION("""COMPUTED_VALUE"""),45320.73946981481)</f>
        <v>45320.73947</v>
      </c>
      <c r="C174" s="8" t="str">
        <f>IFERROR(__xludf.DUMMYFUNCTION("""COMPUTED_VALUE"""),"seguranca@ufcat.edu.br")</f>
        <v>seguranca@ufcat.edu.br</v>
      </c>
      <c r="D174" s="7" t="str">
        <f>IFERROR(__xludf.DUMMYFUNCTION("""COMPUTED_VALUE"""),"Neide da costa ")</f>
        <v>Neide da costa </v>
      </c>
      <c r="E174" s="7">
        <f>IFERROR(__xludf.DUMMYFUNCTION("""COMPUTED_VALUE"""),5318.0)</f>
        <v>5318</v>
      </c>
      <c r="F174" s="7" t="str">
        <f>IFERROR(__xludf.DUMMYFUNCTION("""COMPUTED_VALUE"""),"CENTRAL DE OPERAÇÕES VIGILÂNCIA")</f>
        <v>CENTRAL DE OPERAÇÕES VIGILÂNCIA</v>
      </c>
      <c r="G174" s="9" t="str">
        <f>IFERROR(__xludf.DUMMYFUNCTION("""COMPUTED_VALUE"""),"Bloco O")</f>
        <v>Bloco O</v>
      </c>
      <c r="H174" s="7" t="str">
        <f>IFERROR(__xludf.DUMMYFUNCTION("""COMPUTED_VALUE"""),"Câmeras ")</f>
        <v>Câmeras </v>
      </c>
      <c r="I174" s="7" t="str">
        <f>IFERROR(__xludf.DUMMYFUNCTION("""COMPUTED_VALUE"""),"Instalações e/ou Manutenção em Cabeamento de Rede")</f>
        <v>Instalações e/ou Manutenção em Cabeamento de Rede</v>
      </c>
      <c r="J174" s="7" t="str">
        <f>IFERROR(__xludf.DUMMYFUNCTION("""COMPUTED_VALUE"""),"05 Telecomunicações / 39 - CFTV (PRAZO DE ATÉ 15 DIAS PARA ATENDIMENTO)")</f>
        <v>05 Telecomunicações / 39 - CFTV (PRAZO DE ATÉ 15 DIAS PARA ATENDIMENTO)</v>
      </c>
      <c r="K174" s="7"/>
      <c r="L174" s="7" t="str">
        <f>IFERROR(__xludf.DUMMYFUNCTION("""COMPUTED_VALUE"""),"Ficaram desconectadas desde as 16:40")</f>
        <v>Ficaram desconectadas desde as 16:40</v>
      </c>
      <c r="M174" s="10"/>
      <c r="N174" s="10" t="str">
        <f>IFERROR(__xludf.DUMMYFUNCTION("""COMPUTED_VALUE"""),"Realizado")</f>
        <v>Realizado</v>
      </c>
      <c r="O174" s="11">
        <f>IFERROR(__xludf.DUMMYFUNCTION("""COMPUTED_VALUE"""),45321.0)</f>
        <v>45321</v>
      </c>
      <c r="P174" s="11"/>
    </row>
    <row r="175" ht="27.0" customHeight="1">
      <c r="A175" s="7" t="str">
        <f>IFERROR(__xludf.DUMMYFUNCTION("""COMPUTED_VALUE"""),"173/2024")</f>
        <v>173/2024</v>
      </c>
      <c r="B175" s="8">
        <f>IFERROR(__xludf.DUMMYFUNCTION("""COMPUTED_VALUE"""),45320.74029793982)</f>
        <v>45320.7403</v>
      </c>
      <c r="C175" s="8" t="str">
        <f>IFERROR(__xludf.DUMMYFUNCTION("""COMPUTED_VALUE"""),"seguranca@ufcat.edu.br")</f>
        <v>seguranca@ufcat.edu.br</v>
      </c>
      <c r="D175" s="7" t="str">
        <f>IFERROR(__xludf.DUMMYFUNCTION("""COMPUTED_VALUE"""),"Neide da costa ")</f>
        <v>Neide da costa </v>
      </c>
      <c r="E175" s="7">
        <f>IFERROR(__xludf.DUMMYFUNCTION("""COMPUTED_VALUE"""),5318.0)</f>
        <v>5318</v>
      </c>
      <c r="F175" s="7" t="str">
        <f>IFERROR(__xludf.DUMMYFUNCTION("""COMPUTED_VALUE"""),"CENTRAL DE OPERAÇÕES VIGILÂNCIA")</f>
        <v>CENTRAL DE OPERAÇÕES VIGILÂNCIA</v>
      </c>
      <c r="G175" s="9" t="str">
        <f>IFERROR(__xludf.DUMMYFUNCTION("""COMPUTED_VALUE"""),"Didatico I")</f>
        <v>Didatico I</v>
      </c>
      <c r="H175" s="7" t="str">
        <f>IFERROR(__xludf.DUMMYFUNCTION("""COMPUTED_VALUE"""),"Câmeras")</f>
        <v>Câmeras</v>
      </c>
      <c r="I175" s="7" t="str">
        <f>IFERROR(__xludf.DUMMYFUNCTION("""COMPUTED_VALUE"""),"Instalações e/ou Manutenção em Cabeamento de Rede")</f>
        <v>Instalações e/ou Manutenção em Cabeamento de Rede</v>
      </c>
      <c r="J175" s="7" t="str">
        <f>IFERROR(__xludf.DUMMYFUNCTION("""COMPUTED_VALUE"""),"05 Telecomunicações / 39 - CFTV (PRAZO DE ATÉ 15 DIAS PARA ATENDIMENTO)")</f>
        <v>05 Telecomunicações / 39 - CFTV (PRAZO DE ATÉ 15 DIAS PARA ATENDIMENTO)</v>
      </c>
      <c r="K175" s="7"/>
      <c r="L175" s="7" t="str">
        <f>IFERROR(__xludf.DUMMYFUNCTION("""COMPUTED_VALUE"""),"Ficaram desconectadas ")</f>
        <v>Ficaram desconectadas </v>
      </c>
      <c r="M175" s="10"/>
      <c r="N175" s="10" t="str">
        <f>IFERROR(__xludf.DUMMYFUNCTION("""COMPUTED_VALUE"""),"Realizado")</f>
        <v>Realizado</v>
      </c>
      <c r="O175" s="11">
        <f>IFERROR(__xludf.DUMMYFUNCTION("""COMPUTED_VALUE"""),45321.0)</f>
        <v>45321</v>
      </c>
      <c r="P175" s="11"/>
    </row>
    <row r="176" ht="27.0" customHeight="1">
      <c r="A176" s="7" t="str">
        <f>IFERROR(__xludf.DUMMYFUNCTION("""COMPUTED_VALUE"""),"174/2024")</f>
        <v>174/2024</v>
      </c>
      <c r="B176" s="8">
        <f>IFERROR(__xludf.DUMMYFUNCTION("""COMPUTED_VALUE"""),45320.933526030094)</f>
        <v>45320.93353</v>
      </c>
      <c r="C176" s="8" t="str">
        <f>IFERROR(__xludf.DUMMYFUNCTION("""COMPUTED_VALUE"""),"gabriel.neto@ufcat.edu.br")</f>
        <v>gabriel.neto@ufcat.edu.br</v>
      </c>
      <c r="D176" s="7" t="str">
        <f>IFERROR(__xludf.DUMMYFUNCTION("""COMPUTED_VALUE"""),"Gabriel de Melo Neto")</f>
        <v>Gabriel de Melo Neto</v>
      </c>
      <c r="E176" s="7" t="str">
        <f>IFERROR(__xludf.DUMMYFUNCTION("""COMPUTED_VALUE"""),"Não utilizo")</f>
        <v>Não utilizo</v>
      </c>
      <c r="F176" s="7" t="str">
        <f>IFERROR(__xludf.DUMMYFUNCTION("""COMPUTED_VALUE"""),"FAE")</f>
        <v>FAE</v>
      </c>
      <c r="G176" s="9" t="str">
        <f>IFERROR(__xludf.DUMMYFUNCTION("""COMPUTED_VALUE"""),"Bloco I")</f>
        <v>Bloco I</v>
      </c>
      <c r="H176" s="7" t="str">
        <f>IFERROR(__xludf.DUMMYFUNCTION("""COMPUTED_VALUE"""),"Horta")</f>
        <v>Horta</v>
      </c>
      <c r="I176" s="7" t="str">
        <f>IFERROR(__xludf.DUMMYFUNCTION("""COMPUTED_VALUE"""),"Instalações elétricas")</f>
        <v>Instalações elétricas</v>
      </c>
      <c r="J176" s="7" t="str">
        <f>IFERROR(__xludf.DUMMYFUNCTION("""COMPUTED_VALUE"""),"04 Elétrica / 37 - Outros (PRAZO DE ACORDO COM A DEMANDA)")</f>
        <v>04 Elétrica / 37 - Outros (PRAZO DE ACORDO COM A DEMANDA)</v>
      </c>
      <c r="K176" s="7"/>
      <c r="L176" s="7" t="str">
        <f>IFERROR(__xludf.DUMMYFUNCTION("""COMPUTED_VALUE"""),"Instalar tomada")</f>
        <v>Instalar tomada</v>
      </c>
      <c r="M176" s="10"/>
      <c r="N176" s="10" t="str">
        <f>IFERROR(__xludf.DUMMYFUNCTION("""COMPUTED_VALUE"""),"Realizado")</f>
        <v>Realizado</v>
      </c>
      <c r="O176" s="11">
        <f>IFERROR(__xludf.DUMMYFUNCTION("""COMPUTED_VALUE"""),45341.0)</f>
        <v>45341</v>
      </c>
      <c r="P176" s="11"/>
    </row>
    <row r="177" ht="27.0" customHeight="1">
      <c r="A177" s="7" t="str">
        <f>IFERROR(__xludf.DUMMYFUNCTION("""COMPUTED_VALUE"""),"175/2024")</f>
        <v>175/2024</v>
      </c>
      <c r="B177" s="8">
        <f>IFERROR(__xludf.DUMMYFUNCTION("""COMPUTED_VALUE"""),45320.93688270834)</f>
        <v>45320.93688</v>
      </c>
      <c r="C177" s="8" t="str">
        <f>IFERROR(__xludf.DUMMYFUNCTION("""COMPUTED_VALUE"""),"gabriel.neto@ufcat.edu.br")</f>
        <v>gabriel.neto@ufcat.edu.br</v>
      </c>
      <c r="D177" s="7" t="str">
        <f>IFERROR(__xludf.DUMMYFUNCTION("""COMPUTED_VALUE"""),"Gabriel de Melo Neto")</f>
        <v>Gabriel de Melo Neto</v>
      </c>
      <c r="E177" s="7" t="str">
        <f>IFERROR(__xludf.DUMMYFUNCTION("""COMPUTED_VALUE"""),"Não utilizo")</f>
        <v>Não utilizo</v>
      </c>
      <c r="F177" s="7" t="str">
        <f>IFERROR(__xludf.DUMMYFUNCTION("""COMPUTED_VALUE"""),"FAE")</f>
        <v>FAE</v>
      </c>
      <c r="G177" s="9" t="str">
        <f>IFERROR(__xludf.DUMMYFUNCTION("""COMPUTED_VALUE"""),"Bloco H")</f>
        <v>Bloco H</v>
      </c>
      <c r="H177" s="7" t="str">
        <f>IFERROR(__xludf.DUMMYFUNCTION("""COMPUTED_VALUE"""),"Jardim da FaE")</f>
        <v>Jardim da FaE</v>
      </c>
      <c r="I177" s="7" t="str">
        <f>IFERROR(__xludf.DUMMYFUNCTION("""COMPUTED_VALUE"""),"Instalações elétricas")</f>
        <v>Instalações elétricas</v>
      </c>
      <c r="J177" s="7" t="str">
        <f>IFERROR(__xludf.DUMMYFUNCTION("""COMPUTED_VALUE"""),"04 Elétrica / 31 - Iluminação Externa (PRAZO DE ATÉ 15 DIAS PARA ATENDIMENTO)")</f>
        <v>04 Elétrica / 31 - Iluminação Externa (PRAZO DE ATÉ 15 DIAS PARA ATENDIMENTO)</v>
      </c>
      <c r="K177" s="7"/>
      <c r="L177" s="7" t="str">
        <f>IFERROR(__xludf.DUMMYFUNCTION("""COMPUTED_VALUE"""),"Troca de lâmpadas")</f>
        <v>Troca de lâmpadas</v>
      </c>
      <c r="M177" s="10"/>
      <c r="N177" s="10" t="str">
        <f>IFERROR(__xludf.DUMMYFUNCTION("""COMPUTED_VALUE"""),"Realizado")</f>
        <v>Realizado</v>
      </c>
      <c r="O177" s="11">
        <f>IFERROR(__xludf.DUMMYFUNCTION("""COMPUTED_VALUE"""),45352.0)</f>
        <v>45352</v>
      </c>
      <c r="P177" s="11"/>
    </row>
    <row r="178" ht="27.0" customHeight="1">
      <c r="A178" s="7" t="str">
        <f>IFERROR(__xludf.DUMMYFUNCTION("""COMPUTED_VALUE"""),"176/2024")</f>
        <v>176/2024</v>
      </c>
      <c r="B178" s="8">
        <f>IFERROR(__xludf.DUMMYFUNCTION("""COMPUTED_VALUE"""),45320.939544583336)</f>
        <v>45320.93954</v>
      </c>
      <c r="C178" s="8" t="str">
        <f>IFERROR(__xludf.DUMMYFUNCTION("""COMPUTED_VALUE"""),"gabriel.neto@ufcat.edu.br")</f>
        <v>gabriel.neto@ufcat.edu.br</v>
      </c>
      <c r="D178" s="7" t="str">
        <f>IFERROR(__xludf.DUMMYFUNCTION("""COMPUTED_VALUE"""),"Gabriel de Melo Neto")</f>
        <v>Gabriel de Melo Neto</v>
      </c>
      <c r="E178" s="7" t="str">
        <f>IFERROR(__xludf.DUMMYFUNCTION("""COMPUTED_VALUE"""),"não utilizo")</f>
        <v>não utilizo</v>
      </c>
      <c r="F178" s="7" t="str">
        <f>IFERROR(__xludf.DUMMYFUNCTION("""COMPUTED_VALUE"""),"FAE")</f>
        <v>FAE</v>
      </c>
      <c r="G178" s="9" t="str">
        <f>IFERROR(__xludf.DUMMYFUNCTION("""COMPUTED_VALUE"""),"MUC")</f>
        <v>MUC</v>
      </c>
      <c r="H178" s="7" t="str">
        <f>IFERROR(__xludf.DUMMYFUNCTION("""COMPUTED_VALUE"""),"Horta")</f>
        <v>Horta</v>
      </c>
      <c r="I178" s="7" t="str">
        <f>IFERROR(__xludf.DUMMYFUNCTION("""COMPUTED_VALUE"""),"Instalações elétricas")</f>
        <v>Instalações elétricas</v>
      </c>
      <c r="J178" s="7" t="str">
        <f>IFERROR(__xludf.DUMMYFUNCTION("""COMPUTED_VALUE"""),"04 Elétrica / 34 - Tomada Uso Geral (PRAZO DE ATÉ 15 DIAS PARA ATENDIMENTO)")</f>
        <v>04 Elétrica / 34 - Tomada Uso Geral (PRAZO DE ATÉ 15 DIAS PARA ATENDIMENTO)</v>
      </c>
      <c r="K178" s="7"/>
      <c r="L178" s="7" t="str">
        <f>IFERROR(__xludf.DUMMYFUNCTION("""COMPUTED_VALUE"""),"Instalar 2 tomadas para uso de equipamentos de jardinagem e ferramentas na horta")</f>
        <v>Instalar 2 tomadas para uso de equipamentos de jardinagem e ferramentas na horta</v>
      </c>
      <c r="M178" s="10"/>
      <c r="N178" s="10" t="str">
        <f>IFERROR(__xludf.DUMMYFUNCTION("""COMPUTED_VALUE"""),"Realizado")</f>
        <v>Realizado</v>
      </c>
      <c r="O178" s="11">
        <f>IFERROR(__xludf.DUMMYFUNCTION("""COMPUTED_VALUE"""),45357.0)</f>
        <v>45357</v>
      </c>
      <c r="P178" s="11"/>
    </row>
    <row r="179" ht="27.0" customHeight="1">
      <c r="A179" s="7" t="str">
        <f>IFERROR(__xludf.DUMMYFUNCTION("""COMPUTED_VALUE"""),"177/2024")</f>
        <v>177/2024</v>
      </c>
      <c r="B179" s="8">
        <f>IFERROR(__xludf.DUMMYFUNCTION("""COMPUTED_VALUE"""),45321.325019131946)</f>
        <v>45321.32502</v>
      </c>
      <c r="C179" s="8" t="str">
        <f>IFERROR(__xludf.DUMMYFUNCTION("""COMPUTED_VALUE"""),"berenicevieira@ufcat.edu.br")</f>
        <v>berenicevieira@ufcat.edu.br</v>
      </c>
      <c r="D179" s="7" t="str">
        <f>IFERROR(__xludf.DUMMYFUNCTION("""COMPUTED_VALUE"""),"Berenice")</f>
        <v>Berenice</v>
      </c>
      <c r="E179" s="7">
        <f>IFERROR(__xludf.DUMMYFUNCTION("""COMPUTED_VALUE"""),5341.0)</f>
        <v>5341</v>
      </c>
      <c r="F179" s="7" t="str">
        <f>IFERROR(__xludf.DUMMYFUNCTION("""COMPUTED_VALUE"""),"SERVIÇO DE LIMPEZA")</f>
        <v>SERVIÇO DE LIMPEZA</v>
      </c>
      <c r="G179" s="9" t="str">
        <f>IFERROR(__xludf.DUMMYFUNCTION("""COMPUTED_VALUE"""),"Bloco O")</f>
        <v>Bloco O</v>
      </c>
      <c r="H179" s="7" t="str">
        <f>IFERROR(__xludf.DUMMYFUNCTION("""COMPUTED_VALUE"""),"Sala numero 32, Laboratorio de Idráulica e Laboratório de saneamento")</f>
        <v>Sala numero 32, Laboratorio de Idráulica e Laboratório de saneamento</v>
      </c>
      <c r="I179" s="7" t="str">
        <f>IFERROR(__xludf.DUMMYFUNCTION("""COMPUTED_VALUE"""),"Pequenos serviços de reparos em Marcenaria")</f>
        <v>Pequenos serviços de reparos em Marcenaria</v>
      </c>
      <c r="J179" s="7" t="str">
        <f>IFERROR(__xludf.DUMMYFUNCTION("""COMPUTED_VALUE"""),"03 Marcenaria / 29 - Outros (PRAZO DE ACORDO COM A DEMANDA)")</f>
        <v>03 Marcenaria / 29 - Outros (PRAZO DE ACORDO COM A DEMANDA)</v>
      </c>
      <c r="K179" s="7"/>
      <c r="L179" s="7" t="str">
        <f>IFERROR(__xludf.DUMMYFUNCTION("""COMPUTED_VALUE"""),"Manutençaõ na fechadura, muita dificuldade em abrir a porta para realizar limpeza, correndo o risco, de quebarar a chave.")</f>
        <v>Manutençaõ na fechadura, muita dificuldade em abrir a porta para realizar limpeza, correndo o risco, de quebarar a chave.</v>
      </c>
      <c r="M179" s="10"/>
      <c r="N179" s="10" t="str">
        <f>IFERROR(__xludf.DUMMYFUNCTION("""COMPUTED_VALUE"""),"Realizado")</f>
        <v>Realizado</v>
      </c>
      <c r="O179" s="11">
        <f>IFERROR(__xludf.DUMMYFUNCTION("""COMPUTED_VALUE"""),45359.0)</f>
        <v>45359</v>
      </c>
      <c r="P179" s="11"/>
    </row>
    <row r="180" ht="27.0" customHeight="1">
      <c r="A180" s="7" t="str">
        <f>IFERROR(__xludf.DUMMYFUNCTION("""COMPUTED_VALUE"""),"178/2024")</f>
        <v>178/2024</v>
      </c>
      <c r="B180" s="8">
        <f>IFERROR(__xludf.DUMMYFUNCTION("""COMPUTED_VALUE"""),45321.360669629634)</f>
        <v>45321.36067</v>
      </c>
      <c r="C180" s="8" t="str">
        <f>IFERROR(__xludf.DUMMYFUNCTION("""COMPUTED_VALUE"""),"amanda.lopes@ufcat.edu.br")</f>
        <v>amanda.lopes@ufcat.edu.br</v>
      </c>
      <c r="D180" s="7" t="str">
        <f>IFERROR(__xludf.DUMMYFUNCTION("""COMPUTED_VALUE"""),"Amanda Matos ")</f>
        <v>Amanda Matos </v>
      </c>
      <c r="E180" s="7">
        <f>IFERROR(__xludf.DUMMYFUNCTION("""COMPUTED_VALUE"""),5340.0)</f>
        <v>5340</v>
      </c>
      <c r="F180" s="7" t="str">
        <f>IFERROR(__xludf.DUMMYFUNCTION("""COMPUTED_VALUE"""),"PREF")</f>
        <v>PREF</v>
      </c>
      <c r="G180" s="9" t="str">
        <f>IFERROR(__xludf.DUMMYFUNCTION("""COMPUTED_VALUE"""),"Bloco L")</f>
        <v>Bloco L</v>
      </c>
      <c r="H180" s="7" t="str">
        <f>IFERROR(__xludf.DUMMYFUNCTION("""COMPUTED_VALUE"""),"Banheiro masculino ")</f>
        <v>Banheiro masculino </v>
      </c>
      <c r="I180" s="7" t="str">
        <f>IFERROR(__xludf.DUMMYFUNCTION("""COMPUTED_VALUE"""),"Instalações Hidrossanitárias")</f>
        <v>Instalações Hidrossanitárias</v>
      </c>
      <c r="J180" s="7" t="str">
        <f>IFERROR(__xludf.DUMMYFUNCTION("""COMPUTED_VALUE"""),"02 Hidráulica / 11 - Vazamento em Tubulação interna (PRAZO DE 15 a 60 DIAS PARA ATENDIMENTO)")</f>
        <v>02 Hidráulica / 11 - Vazamento em Tubulação interna (PRAZO DE 15 a 60 DIAS PARA ATENDIMENTO)</v>
      </c>
      <c r="K180" s="7"/>
      <c r="L180" s="7" t="str">
        <f>IFERROR(__xludf.DUMMYFUNCTION("""COMPUTED_VALUE"""),"Troca de engate ")</f>
        <v>Troca de engate </v>
      </c>
      <c r="M180" s="10"/>
      <c r="N180" s="10" t="str">
        <f>IFERROR(__xludf.DUMMYFUNCTION("""COMPUTED_VALUE"""),"Realizado")</f>
        <v>Realizado</v>
      </c>
      <c r="O180" s="11">
        <f>IFERROR(__xludf.DUMMYFUNCTION("""COMPUTED_VALUE"""),45321.0)</f>
        <v>45321</v>
      </c>
      <c r="P180" s="11"/>
    </row>
    <row r="181" ht="27.0" customHeight="1">
      <c r="A181" s="7" t="str">
        <f>IFERROR(__xludf.DUMMYFUNCTION("""COMPUTED_VALUE"""),"179/2024")</f>
        <v>179/2024</v>
      </c>
      <c r="B181" s="8">
        <f>IFERROR(__xludf.DUMMYFUNCTION("""COMPUTED_VALUE"""),45321.40092127315)</f>
        <v>45321.40092</v>
      </c>
      <c r="C181" s="8" t="str">
        <f>IFERROR(__xludf.DUMMYFUNCTION("""COMPUTED_VALUE"""),"muc.prpe@ufcat.edu.br")</f>
        <v>muc.prpe@ufcat.edu.br</v>
      </c>
      <c r="D181" s="7" t="str">
        <f>IFERROR(__xludf.DUMMYFUNCTION("""COMPUTED_VALUE"""),"DANIEL DOS REIS SIMÕES")</f>
        <v>DANIEL DOS REIS SIMÕES</v>
      </c>
      <c r="E181" s="7">
        <f>IFERROR(__xludf.DUMMYFUNCTION("""COMPUTED_VALUE"""),5333.0)</f>
        <v>5333</v>
      </c>
      <c r="F181" s="7" t="str">
        <f>IFERROR(__xludf.DUMMYFUNCTION("""COMPUTED_VALUE"""),"PRPE")</f>
        <v>PRPE</v>
      </c>
      <c r="G181" s="9" t="str">
        <f>IFERROR(__xludf.DUMMYFUNCTION("""COMPUTED_VALUE"""),"MUC")</f>
        <v>MUC</v>
      </c>
      <c r="H181" s="7" t="str">
        <f>IFERROR(__xludf.DUMMYFUNCTION("""COMPUTED_VALUE"""),"Reservatório de água quente")</f>
        <v>Reservatório de água quente</v>
      </c>
      <c r="I181" s="7" t="str">
        <f>IFERROR(__xludf.DUMMYFUNCTION("""COMPUTED_VALUE"""),"Instalações Hidrossanitárias")</f>
        <v>Instalações Hidrossanitárias</v>
      </c>
      <c r="J181" s="7" t="str">
        <f>IFERROR(__xludf.DUMMYFUNCTION("""COMPUTED_VALUE"""),"02 Hidráulica / 11 - Vazamento em Tubulação interna (PRAZO DE 15 a 60 DIAS PARA ATENDIMENTO)")</f>
        <v>02 Hidráulica / 11 - Vazamento em Tubulação interna (PRAZO DE 15 a 60 DIAS PARA ATENDIMENTO)</v>
      </c>
      <c r="K181" s="7"/>
      <c r="L181" s="7" t="str">
        <f>IFERROR(__xludf.DUMMYFUNCTION("""COMPUTED_VALUE"""),"A resistência do boiler queimou e precisa ser substituído.")</f>
        <v>A resistência do boiler queimou e precisa ser substituído.</v>
      </c>
      <c r="M181" s="10"/>
      <c r="N181" s="10" t="str">
        <f>IFERROR(__xludf.DUMMYFUNCTION("""COMPUTED_VALUE"""),"Realizado")</f>
        <v>Realizado</v>
      </c>
      <c r="O181" s="11">
        <f>IFERROR(__xludf.DUMMYFUNCTION("""COMPUTED_VALUE"""),45322.0)</f>
        <v>45322</v>
      </c>
      <c r="P181" s="11"/>
    </row>
    <row r="182" ht="27.0" customHeight="1">
      <c r="A182" s="7" t="str">
        <f>IFERROR(__xludf.DUMMYFUNCTION("""COMPUTED_VALUE"""),"180/2024")</f>
        <v>180/2024</v>
      </c>
      <c r="B182" s="8">
        <f>IFERROR(__xludf.DUMMYFUNCTION("""COMPUTED_VALUE"""),45321.44185340278)</f>
        <v>45321.44185</v>
      </c>
      <c r="C182" s="8" t="str">
        <f>IFERROR(__xludf.DUMMYFUNCTION("""COMPUTED_VALUE"""),"mayani@ufcat.edu.br")</f>
        <v>mayani@ufcat.edu.br</v>
      </c>
      <c r="D182" s="7" t="str">
        <f>IFERROR(__xludf.DUMMYFUNCTION("""COMPUTED_VALUE"""),"Mayani Thais Lopes")</f>
        <v>Mayani Thais Lopes</v>
      </c>
      <c r="E182" s="7">
        <f>IFERROR(__xludf.DUMMYFUNCTION("""COMPUTED_VALUE"""),3.4999071369E10)</f>
        <v>34999071369</v>
      </c>
      <c r="F182" s="7" t="str">
        <f>IFERROR(__xludf.DUMMYFUNCTION("""COMPUTED_VALUE"""),"IBIOTEC - Enfermagem")</f>
        <v>IBIOTEC - Enfermagem</v>
      </c>
      <c r="G182" s="9" t="str">
        <f>IFERROR(__xludf.DUMMYFUNCTION("""COMPUTED_VALUE"""),"Bloco M")</f>
        <v>Bloco M</v>
      </c>
      <c r="H182" s="7">
        <f>IFERROR(__xludf.DUMMYFUNCTION("""COMPUTED_VALUE"""),151.0)</f>
        <v>151</v>
      </c>
      <c r="I182" s="7" t="str">
        <f>IFERROR(__xludf.DUMMYFUNCTION("""COMPUTED_VALUE"""),"Instalações Hidrossanitárias")</f>
        <v>Instalações Hidrossanitárias</v>
      </c>
      <c r="J182" s="7" t="str">
        <f>IFERROR(__xludf.DUMMYFUNCTION("""COMPUTED_VALUE"""),"02 Hidráulica / 22 - Outros (PRAZO DE 15 a 60 DIAS PARA ATENDIMENTO)")</f>
        <v>02 Hidráulica / 22 - Outros (PRAZO DE 15 a 60 DIAS PARA ATENDIMENTO)</v>
      </c>
      <c r="K182" s="7"/>
      <c r="L182" s="7" t="str">
        <f>IFERROR(__xludf.DUMMYFUNCTION("""COMPUTED_VALUE"""),"A torneira está gotejando.")</f>
        <v>A torneira está gotejando.</v>
      </c>
      <c r="M182" s="10"/>
      <c r="N182" s="10" t="str">
        <f>IFERROR(__xludf.DUMMYFUNCTION("""COMPUTED_VALUE"""),"Realizado")</f>
        <v>Realizado</v>
      </c>
      <c r="O182" s="11">
        <f>IFERROR(__xludf.DUMMYFUNCTION("""COMPUTED_VALUE"""),45321.0)</f>
        <v>45321</v>
      </c>
      <c r="P182" s="11"/>
    </row>
    <row r="183" ht="27.0" customHeight="1">
      <c r="A183" s="7" t="str">
        <f>IFERROR(__xludf.DUMMYFUNCTION("""COMPUTED_VALUE"""),"181/2024")</f>
        <v>181/2024</v>
      </c>
      <c r="B183" s="8">
        <f>IFERROR(__xludf.DUMMYFUNCTION("""COMPUTED_VALUE"""),45321.44890949074)</f>
        <v>45321.44891</v>
      </c>
      <c r="C183" s="8" t="str">
        <f>IFERROR(__xludf.DUMMYFUNCTION("""COMPUTED_VALUE"""),"muc.prpe@ufcat.edu.br")</f>
        <v>muc.prpe@ufcat.edu.br</v>
      </c>
      <c r="D183" s="7" t="str">
        <f>IFERROR(__xludf.DUMMYFUNCTION("""COMPUTED_VALUE"""),"DANIEL DOS REIS SIMÕES")</f>
        <v>DANIEL DOS REIS SIMÕES</v>
      </c>
      <c r="E183" s="7">
        <f>IFERROR(__xludf.DUMMYFUNCTION("""COMPUTED_VALUE"""),5333.0)</f>
        <v>5333</v>
      </c>
      <c r="F183" s="7" t="str">
        <f>IFERROR(__xludf.DUMMYFUNCTION("""COMPUTED_VALUE"""),"PRPE")</f>
        <v>PRPE</v>
      </c>
      <c r="G183" s="9" t="str">
        <f>IFERROR(__xludf.DUMMYFUNCTION("""COMPUTED_VALUE"""),"MUC")</f>
        <v>MUC</v>
      </c>
      <c r="H183" s="7" t="str">
        <f>IFERROR(__xludf.DUMMYFUNCTION("""COMPUTED_VALUE"""),"3º pavimento")</f>
        <v>3º pavimento</v>
      </c>
      <c r="I183" s="7" t="str">
        <f>IFERROR(__xludf.DUMMYFUNCTION("""COMPUTED_VALUE"""),"Reparos (alvenaria, piso, forro e telhado)")</f>
        <v>Reparos (alvenaria, piso, forro e telhado)</v>
      </c>
      <c r="J183" s="7" t="str">
        <f>IFERROR(__xludf.DUMMYFUNCTION("""COMPUTED_VALUE"""),"01 Alvenaria / 06 - Outros (PRAZO DE ATÉ 60 DIAS PARA ATENDIMENTO)")</f>
        <v>01 Alvenaria / 06 - Outros (PRAZO DE ATÉ 60 DIAS PARA ATENDIMENTO)</v>
      </c>
      <c r="K183" s="7"/>
      <c r="L183" s="7" t="str">
        <f>IFERROR(__xludf.DUMMYFUNCTION("""COMPUTED_VALUE"""),"Colar pisos táteis que se soltaram no 3º pavimento.")</f>
        <v>Colar pisos táteis que se soltaram no 3º pavimento.</v>
      </c>
      <c r="M183" s="10"/>
      <c r="N183" s="10" t="str">
        <f>IFERROR(__xludf.DUMMYFUNCTION("""COMPUTED_VALUE"""),"Realizado")</f>
        <v>Realizado</v>
      </c>
      <c r="O183" s="11">
        <f>IFERROR(__xludf.DUMMYFUNCTION("""COMPUTED_VALUE"""),45322.0)</f>
        <v>45322</v>
      </c>
      <c r="P183" s="11"/>
    </row>
    <row r="184" ht="27.0" customHeight="1">
      <c r="A184" s="7" t="str">
        <f>IFERROR(__xludf.DUMMYFUNCTION("""COMPUTED_VALUE"""),"182/2024")</f>
        <v>182/2024</v>
      </c>
      <c r="B184" s="8">
        <f>IFERROR(__xludf.DUMMYFUNCTION("""COMPUTED_VALUE"""),45321.46919740741)</f>
        <v>45321.4692</v>
      </c>
      <c r="C184" s="8" t="str">
        <f>IFERROR(__xludf.DUMMYFUNCTION("""COMPUTED_VALUE"""),"muc.prpe@ufcat.edu.br")</f>
        <v>muc.prpe@ufcat.edu.br</v>
      </c>
      <c r="D184" s="7" t="str">
        <f>IFERROR(__xludf.DUMMYFUNCTION("""COMPUTED_VALUE"""),"DANIEL DOS REIS SIMÕES")</f>
        <v>DANIEL DOS REIS SIMÕES</v>
      </c>
      <c r="E184" s="7">
        <f>IFERROR(__xludf.DUMMYFUNCTION("""COMPUTED_VALUE"""),5333.0)</f>
        <v>5333</v>
      </c>
      <c r="F184" s="7" t="str">
        <f>IFERROR(__xludf.DUMMYFUNCTION("""COMPUTED_VALUE"""),"PRPE")</f>
        <v>PRPE</v>
      </c>
      <c r="G184" s="9" t="str">
        <f>IFERROR(__xludf.DUMMYFUNCTION("""COMPUTED_VALUE"""),"MUC")</f>
        <v>MUC</v>
      </c>
      <c r="H184" s="7" t="str">
        <f>IFERROR(__xludf.DUMMYFUNCTION("""COMPUTED_VALUE"""),"Apto 101")</f>
        <v>Apto 101</v>
      </c>
      <c r="I184" s="7" t="str">
        <f>IFERROR(__xludf.DUMMYFUNCTION("""COMPUTED_VALUE"""),"Pequenos serviços de reparos em Marcenaria")</f>
        <v>Pequenos serviços de reparos em Marcenaria</v>
      </c>
      <c r="J184" s="7" t="str">
        <f>IFERROR(__xludf.DUMMYFUNCTION("""COMPUTED_VALUE"""),"03 Marcenaria / 29 - Outros (PRAZO DE ACORDO COM A DEMANDA)")</f>
        <v>03 Marcenaria / 29 - Outros (PRAZO DE ACORDO COM A DEMANDA)</v>
      </c>
      <c r="K184" s="7"/>
      <c r="L184" s="7" t="str">
        <f>IFERROR(__xludf.DUMMYFUNCTION("""COMPUTED_VALUE"""),"Ajustar a maçanete da porta do banheiro do apto 101 e verificar maçanetas do 301 (C) e porta de entrada do 105.")</f>
        <v>Ajustar a maçanete da porta do banheiro do apto 101 e verificar maçanetas do 301 (C) e porta de entrada do 105.</v>
      </c>
      <c r="M184" s="10"/>
      <c r="N184" s="10" t="str">
        <f>IFERROR(__xludf.DUMMYFUNCTION("""COMPUTED_VALUE"""),"Realizado")</f>
        <v>Realizado</v>
      </c>
      <c r="O184" s="11">
        <f>IFERROR(__xludf.DUMMYFUNCTION("""COMPUTED_VALUE"""),45322.0)</f>
        <v>45322</v>
      </c>
      <c r="P184" s="11"/>
    </row>
    <row r="185" ht="27.0" customHeight="1">
      <c r="A185" s="7" t="str">
        <f>IFERROR(__xludf.DUMMYFUNCTION("""COMPUTED_VALUE"""),"183/2024")</f>
        <v>183/2024</v>
      </c>
      <c r="B185" s="8">
        <f>IFERROR(__xludf.DUMMYFUNCTION("""COMPUTED_VALUE"""),45321.47586530093)</f>
        <v>45321.47587</v>
      </c>
      <c r="C185" s="8" t="str">
        <f>IFERROR(__xludf.DUMMYFUNCTION("""COMPUTED_VALUE"""),"muc.prpe@ufcat.edu.br")</f>
        <v>muc.prpe@ufcat.edu.br</v>
      </c>
      <c r="D185" s="7" t="str">
        <f>IFERROR(__xludf.DUMMYFUNCTION("""COMPUTED_VALUE"""),"DANIEL DOS REIS SIMÕES")</f>
        <v>DANIEL DOS REIS SIMÕES</v>
      </c>
      <c r="E185" s="7">
        <f>IFERROR(__xludf.DUMMYFUNCTION("""COMPUTED_VALUE"""),5333.0)</f>
        <v>5333</v>
      </c>
      <c r="F185" s="7" t="str">
        <f>IFERROR(__xludf.DUMMYFUNCTION("""COMPUTED_VALUE"""),"PRPE")</f>
        <v>PRPE</v>
      </c>
      <c r="G185" s="9" t="str">
        <f>IFERROR(__xludf.DUMMYFUNCTION("""COMPUTED_VALUE"""),"MUC")</f>
        <v>MUC</v>
      </c>
      <c r="H185" s="7" t="str">
        <f>IFERROR(__xludf.DUMMYFUNCTION("""COMPUTED_VALUE"""),"Apto 305 - Quarto B")</f>
        <v>Apto 305 - Quarto B</v>
      </c>
      <c r="I185" s="7" t="str">
        <f>IFERROR(__xludf.DUMMYFUNCTION("""COMPUTED_VALUE"""),"Reparos (alvenaria, piso, forro e telhado)")</f>
        <v>Reparos (alvenaria, piso, forro e telhado)</v>
      </c>
      <c r="J185" s="7" t="str">
        <f>IFERROR(__xludf.DUMMYFUNCTION("""COMPUTED_VALUE"""),"01 Alvenaria / 04 - Revestimento (PRAZO DE ATÉ 60 DIAS PARA ATENDIMENTO)")</f>
        <v>01 Alvenaria / 04 - Revestimento (PRAZO DE ATÉ 60 DIAS PARA ATENDIMENTO)</v>
      </c>
      <c r="K185" s="7"/>
      <c r="L185" s="7" t="str">
        <f>IFERROR(__xludf.DUMMYFUNCTION("""COMPUTED_VALUE"""),"O reparo feito na parede da janela se soltou, quarto B, apto 305. Precisa refazer o reboco. ")</f>
        <v>O reparo feito na parede da janela se soltou, quarto B, apto 305. Precisa refazer o reboco. </v>
      </c>
      <c r="M185" s="10"/>
      <c r="N185" s="10" t="str">
        <f>IFERROR(__xludf.DUMMYFUNCTION("""COMPUTED_VALUE"""),"Realizado")</f>
        <v>Realizado</v>
      </c>
      <c r="O185" s="17">
        <f>IFERROR(__xludf.DUMMYFUNCTION("""COMPUTED_VALUE"""),45331.0)</f>
        <v>45331</v>
      </c>
      <c r="P185" s="17"/>
    </row>
    <row r="186" ht="27.0" customHeight="1">
      <c r="A186" s="7" t="str">
        <f>IFERROR(__xludf.DUMMYFUNCTION("""COMPUTED_VALUE"""),"184/2024")</f>
        <v>184/2024</v>
      </c>
      <c r="B186" s="8">
        <f>IFERROR(__xludf.DUMMYFUNCTION("""COMPUTED_VALUE"""),45321.50200451389)</f>
        <v>45321.502</v>
      </c>
      <c r="C186" s="8" t="str">
        <f>IFERROR(__xludf.DUMMYFUNCTION("""COMPUTED_VALUE"""),"gulbion@ufcat.edu.br")</f>
        <v>gulbion@ufcat.edu.br</v>
      </c>
      <c r="D186" s="7" t="str">
        <f>IFERROR(__xludf.DUMMYFUNCTION("""COMPUTED_VALUE"""),"Gúlbion de Souza Anacleto")</f>
        <v>Gúlbion de Souza Anacleto</v>
      </c>
      <c r="E186" s="7">
        <f>IFERROR(__xludf.DUMMYFUNCTION("""COMPUTED_VALUE"""),5353.0)</f>
        <v>5353</v>
      </c>
      <c r="F186" s="7" t="str">
        <f>IFERROR(__xludf.DUMMYFUNCTION("""COMPUTED_VALUE"""),"PROPESQ")</f>
        <v>PROPESQ</v>
      </c>
      <c r="G186" s="9" t="str">
        <f>IFERROR(__xludf.DUMMYFUNCTION("""COMPUTED_VALUE"""),"Bloco L")</f>
        <v>Bloco L</v>
      </c>
      <c r="H186" s="7" t="str">
        <f>IFERROR(__xludf.DUMMYFUNCTION("""COMPUTED_VALUE"""),"CEI ATHENAS - Sala 105")</f>
        <v>CEI ATHENAS - Sala 105</v>
      </c>
      <c r="I186" s="7" t="str">
        <f>IFERROR(__xludf.DUMMYFUNCTION("""COMPUTED_VALUE"""),"Instalações elétricas")</f>
        <v>Instalações elétricas</v>
      </c>
      <c r="J186" s="7" t="str">
        <f>IFERROR(__xludf.DUMMYFUNCTION("""COMPUTED_VALUE"""),"04 Elétrica / 35 - Troca de Lâmpadas (PRAZO DE ATÉ 15 DIAS PARA ATENDIMENTO)")</f>
        <v>04 Elétrica / 35 - Troca de Lâmpadas (PRAZO DE ATÉ 15 DIAS PARA ATENDIMENTO)</v>
      </c>
      <c r="K186" s="7"/>
      <c r="L186" s="7" t="str">
        <f>IFERROR(__xludf.DUMMYFUNCTION("""COMPUTED_VALUE"""),"Substituição de lâmpada tubular queimada (2 und.).")</f>
        <v>Substituição de lâmpada tubular queimada (2 und.).</v>
      </c>
      <c r="M186" s="10"/>
      <c r="N186" s="10" t="str">
        <f>IFERROR(__xludf.DUMMYFUNCTION("""COMPUTED_VALUE"""),"Realizado")</f>
        <v>Realizado</v>
      </c>
      <c r="O186" s="17">
        <f>IFERROR(__xludf.DUMMYFUNCTION("""COMPUTED_VALUE"""),45336.0)</f>
        <v>45336</v>
      </c>
      <c r="P186" s="17"/>
    </row>
    <row r="187" ht="27.0" customHeight="1">
      <c r="A187" s="7" t="str">
        <f>IFERROR(__xludf.DUMMYFUNCTION("""COMPUTED_VALUE"""),"185/2024")</f>
        <v>185/2024</v>
      </c>
      <c r="B187" s="8">
        <f>IFERROR(__xludf.DUMMYFUNCTION("""COMPUTED_VALUE"""),45321.517234259256)</f>
        <v>45321.51723</v>
      </c>
      <c r="C187" s="8" t="str">
        <f>IFERROR(__xludf.DUMMYFUNCTION("""COMPUTED_VALUE"""),"muc.prpe@ufcat.edu.br")</f>
        <v>muc.prpe@ufcat.edu.br</v>
      </c>
      <c r="D187" s="7" t="str">
        <f>IFERROR(__xludf.DUMMYFUNCTION("""COMPUTED_VALUE"""),"DANIEL DOS REIS SIMÕES")</f>
        <v>DANIEL DOS REIS SIMÕES</v>
      </c>
      <c r="E187" s="7">
        <f>IFERROR(__xludf.DUMMYFUNCTION("""COMPUTED_VALUE"""),5333.0)</f>
        <v>5333</v>
      </c>
      <c r="F187" s="7" t="str">
        <f>IFERROR(__xludf.DUMMYFUNCTION("""COMPUTED_VALUE"""),"PRPE")</f>
        <v>PRPE</v>
      </c>
      <c r="G187" s="9" t="str">
        <f>IFERROR(__xludf.DUMMYFUNCTION("""COMPUTED_VALUE"""),"MUC")</f>
        <v>MUC</v>
      </c>
      <c r="H187" s="7" t="str">
        <f>IFERROR(__xludf.DUMMYFUNCTION("""COMPUTED_VALUE"""),"Apto 205")</f>
        <v>Apto 205</v>
      </c>
      <c r="I187" s="7" t="str">
        <f>IFERROR(__xludf.DUMMYFUNCTION("""COMPUTED_VALUE"""),"Instalações Hidrossanitárias")</f>
        <v>Instalações Hidrossanitárias</v>
      </c>
      <c r="J187" s="7" t="str">
        <f>IFERROR(__xludf.DUMMYFUNCTION("""COMPUTED_VALUE"""),"02 Hidráulica / 22 - Outros (PRAZO DE 15 a 60 DIAS PARA ATENDIMENTO)")</f>
        <v>02 Hidráulica / 22 - Outros (PRAZO DE 15 a 60 DIAS PARA ATENDIMENTO)</v>
      </c>
      <c r="K187" s="7"/>
      <c r="L187" s="7" t="str">
        <f>IFERROR(__xludf.DUMMYFUNCTION("""COMPUTED_VALUE"""),"Infiltração no teto do banheiro do 205")</f>
        <v>Infiltração no teto do banheiro do 205</v>
      </c>
      <c r="M187" s="10"/>
      <c r="N187" s="10" t="str">
        <f>IFERROR(__xludf.DUMMYFUNCTION("""COMPUTED_VALUE"""),"Realizado")</f>
        <v>Realizado</v>
      </c>
      <c r="O187" s="11">
        <f>IFERROR(__xludf.DUMMYFUNCTION("""COMPUTED_VALUE"""),45322.0)</f>
        <v>45322</v>
      </c>
      <c r="P187" s="11"/>
    </row>
    <row r="188" ht="27.0" customHeight="1">
      <c r="A188" s="7" t="str">
        <f>IFERROR(__xludf.DUMMYFUNCTION("""COMPUTED_VALUE"""),"186/2024")</f>
        <v>186/2024</v>
      </c>
      <c r="B188" s="8">
        <f>IFERROR(__xludf.DUMMYFUNCTION("""COMPUTED_VALUE"""),45321.51847751158)</f>
        <v>45321.51848</v>
      </c>
      <c r="C188" s="8" t="str">
        <f>IFERROR(__xludf.DUMMYFUNCTION("""COMPUTED_VALUE"""),"muc.prpe@ufcat.edu.br")</f>
        <v>muc.prpe@ufcat.edu.br</v>
      </c>
      <c r="D188" s="7" t="str">
        <f>IFERROR(__xludf.DUMMYFUNCTION("""COMPUTED_VALUE"""),"DANIEL DOS REIS SIMÕES")</f>
        <v>DANIEL DOS REIS SIMÕES</v>
      </c>
      <c r="E188" s="7">
        <f>IFERROR(__xludf.DUMMYFUNCTION("""COMPUTED_VALUE"""),5333.0)</f>
        <v>5333</v>
      </c>
      <c r="F188" s="7" t="str">
        <f>IFERROR(__xludf.DUMMYFUNCTION("""COMPUTED_VALUE"""),"PRPE")</f>
        <v>PRPE</v>
      </c>
      <c r="G188" s="9" t="str">
        <f>IFERROR(__xludf.DUMMYFUNCTION("""COMPUTED_VALUE"""),"MUC")</f>
        <v>MUC</v>
      </c>
      <c r="H188" s="7" t="str">
        <f>IFERROR(__xludf.DUMMYFUNCTION("""COMPUTED_VALUE"""),"Apto 301")</f>
        <v>Apto 301</v>
      </c>
      <c r="I188" s="7" t="str">
        <f>IFERROR(__xludf.DUMMYFUNCTION("""COMPUTED_VALUE"""),"Instalações Hidrossanitárias")</f>
        <v>Instalações Hidrossanitárias</v>
      </c>
      <c r="J188" s="7" t="str">
        <f>IFERROR(__xludf.DUMMYFUNCTION("""COMPUTED_VALUE"""),"02 Hidráulica / 22 - Outros (PRAZO DE 15 a 60 DIAS PARA ATENDIMENTO)")</f>
        <v>02 Hidráulica / 22 - Outros (PRAZO DE 15 a 60 DIAS PARA ATENDIMENTO)</v>
      </c>
      <c r="K188" s="7"/>
      <c r="L188" s="7" t="str">
        <f>IFERROR(__xludf.DUMMYFUNCTION("""COMPUTED_VALUE"""),"Infiltração no teto do banheiro do 301")</f>
        <v>Infiltração no teto do banheiro do 301</v>
      </c>
      <c r="M188" s="10"/>
      <c r="N188" s="10" t="str">
        <f>IFERROR(__xludf.DUMMYFUNCTION("""COMPUTED_VALUE"""),"Realizado")</f>
        <v>Realizado</v>
      </c>
      <c r="O188" s="11">
        <f>IFERROR(__xludf.DUMMYFUNCTION("""COMPUTED_VALUE"""),45337.0)</f>
        <v>45337</v>
      </c>
      <c r="P188" s="11"/>
    </row>
    <row r="189" ht="27.0" customHeight="1">
      <c r="A189" s="7" t="str">
        <f>IFERROR(__xludf.DUMMYFUNCTION("""COMPUTED_VALUE"""),"187/2024")</f>
        <v>187/2024</v>
      </c>
      <c r="B189" s="8">
        <f>IFERROR(__xludf.DUMMYFUNCTION("""COMPUTED_VALUE"""),45321.52604986111)</f>
        <v>45321.52605</v>
      </c>
      <c r="C189" s="8" t="str">
        <f>IFERROR(__xludf.DUMMYFUNCTION("""COMPUTED_VALUE"""),"fabricio_pacheco@ufcat.edu.br")</f>
        <v>fabricio_pacheco@ufcat.edu.br</v>
      </c>
      <c r="D189" s="7" t="str">
        <f>IFERROR(__xludf.DUMMYFUNCTION("""COMPUTED_VALUE"""),"Fabrício")</f>
        <v>Fabrício</v>
      </c>
      <c r="E189" s="7">
        <f>IFERROR(__xludf.DUMMYFUNCTION("""COMPUTED_VALUE"""),5360.0)</f>
        <v>5360</v>
      </c>
      <c r="F189" s="7" t="str">
        <f>IFERROR(__xludf.DUMMYFUNCTION("""COMPUTED_VALUE"""),"BIBLIOTECA")</f>
        <v>BIBLIOTECA</v>
      </c>
      <c r="G189" s="9" t="str">
        <f>IFERROR(__xludf.DUMMYFUNCTION("""COMPUTED_VALUE"""),"Biblioteca")</f>
        <v>Biblioteca</v>
      </c>
      <c r="H189" s="7" t="str">
        <f>IFERROR(__xludf.DUMMYFUNCTION("""COMPUTED_VALUE"""),"Sala da Coordenação Administrativa da Biblioteca")</f>
        <v>Sala da Coordenação Administrativa da Biblioteca</v>
      </c>
      <c r="I189" s="7" t="str">
        <f>IFERROR(__xludf.DUMMYFUNCTION("""COMPUTED_VALUE"""),"Pequenos serviços de reparos em Marcenaria")</f>
        <v>Pequenos serviços de reparos em Marcenaria</v>
      </c>
      <c r="J189" s="7" t="str">
        <f>IFERROR(__xludf.DUMMYFUNCTION("""COMPUTED_VALUE"""),"03 Marcenaria / 28 -Troca de Fechaduras (PRAZO DE ATÉ 15 DIAS PARA ATENDIMENTO)")</f>
        <v>03 Marcenaria / 28 -Troca de Fechaduras (PRAZO DE ATÉ 15 DIAS PARA ATENDIMENTO)</v>
      </c>
      <c r="K189" s="7"/>
      <c r="L189" s="7" t="str">
        <f>IFERROR(__xludf.DUMMYFUNCTION("""COMPUTED_VALUE"""),"A fechadura da Sala da Coordenação Administrativa da Biblioteca não está destrancando")</f>
        <v>A fechadura da Sala da Coordenação Administrativa da Biblioteca não está destrancando</v>
      </c>
      <c r="M189" s="10"/>
      <c r="N189" s="10" t="str">
        <f>IFERROR(__xludf.DUMMYFUNCTION("""COMPUTED_VALUE"""),"Realizado")</f>
        <v>Realizado</v>
      </c>
      <c r="O189" s="11">
        <f>IFERROR(__xludf.DUMMYFUNCTION("""COMPUTED_VALUE"""),45328.0)</f>
        <v>45328</v>
      </c>
      <c r="P189" s="11"/>
    </row>
    <row r="190" ht="27.0" customHeight="1">
      <c r="A190" s="7" t="str">
        <f>IFERROR(__xludf.DUMMYFUNCTION("""COMPUTED_VALUE"""),"188/2024")</f>
        <v>188/2024</v>
      </c>
      <c r="B190" s="8">
        <f>IFERROR(__xludf.DUMMYFUNCTION("""COMPUTED_VALUE"""),45321.52952273148)</f>
        <v>45321.52952</v>
      </c>
      <c r="C190" s="8" t="str">
        <f>IFERROR(__xludf.DUMMYFUNCTION("""COMPUTED_VALUE"""),"muc.prpe@ufcat.edu.br")</f>
        <v>muc.prpe@ufcat.edu.br</v>
      </c>
      <c r="D190" s="7" t="str">
        <f>IFERROR(__xludf.DUMMYFUNCTION("""COMPUTED_VALUE"""),"DANIEL DOS REIS SIMÕES")</f>
        <v>DANIEL DOS REIS SIMÕES</v>
      </c>
      <c r="E190" s="7">
        <f>IFERROR(__xludf.DUMMYFUNCTION("""COMPUTED_VALUE"""),5333.0)</f>
        <v>5333</v>
      </c>
      <c r="F190" s="7" t="str">
        <f>IFERROR(__xludf.DUMMYFUNCTION("""COMPUTED_VALUE"""),"PRPE")</f>
        <v>PRPE</v>
      </c>
      <c r="G190" s="9" t="str">
        <f>IFERROR(__xludf.DUMMYFUNCTION("""COMPUTED_VALUE"""),"MUC")</f>
        <v>MUC</v>
      </c>
      <c r="H190" s="7" t="str">
        <f>IFERROR(__xludf.DUMMYFUNCTION("""COMPUTED_VALUE"""),"Apto 301")</f>
        <v>Apto 301</v>
      </c>
      <c r="I190" s="7" t="str">
        <f>IFERROR(__xludf.DUMMYFUNCTION("""COMPUTED_VALUE"""),"Pequenos serviços de reparos em Marcenaria")</f>
        <v>Pequenos serviços de reparos em Marcenaria</v>
      </c>
      <c r="J190" s="7" t="str">
        <f>IFERROR(__xludf.DUMMYFUNCTION("""COMPUTED_VALUE"""),"03 Marcenaria / 29 - Outros (PRAZO DE ACORDO COM A DEMANDA)")</f>
        <v>03 Marcenaria / 29 - Outros (PRAZO DE ACORDO COM A DEMANDA)</v>
      </c>
      <c r="K190" s="7"/>
      <c r="L190" s="7" t="str">
        <f>IFERROR(__xludf.DUMMYFUNCTION("""COMPUTED_VALUE"""),"Armário da cozinha está solto. Precisa ajustar de novo na parede. Apto 301")</f>
        <v>Armário da cozinha está solto. Precisa ajustar de novo na parede. Apto 301</v>
      </c>
      <c r="M190" s="10"/>
      <c r="N190" s="10" t="str">
        <f>IFERROR(__xludf.DUMMYFUNCTION("""COMPUTED_VALUE"""),"Realizado")</f>
        <v>Realizado</v>
      </c>
      <c r="O190" s="11">
        <f>IFERROR(__xludf.DUMMYFUNCTION("""COMPUTED_VALUE"""),45331.0)</f>
        <v>45331</v>
      </c>
      <c r="P190" s="11"/>
    </row>
    <row r="191" ht="27.0" customHeight="1">
      <c r="A191" s="7" t="str">
        <f>IFERROR(__xludf.DUMMYFUNCTION("""COMPUTED_VALUE"""),"189/2024")</f>
        <v>189/2024</v>
      </c>
      <c r="B191" s="8">
        <f>IFERROR(__xludf.DUMMYFUNCTION("""COMPUTED_VALUE"""),45321.5828215625)</f>
        <v>45321.58282</v>
      </c>
      <c r="C191" s="8" t="str">
        <f>IFERROR(__xludf.DUMMYFUNCTION("""COMPUTED_VALUE"""),"mayani@ufcat.edu.br")</f>
        <v>mayani@ufcat.edu.br</v>
      </c>
      <c r="D191" s="7" t="str">
        <f>IFERROR(__xludf.DUMMYFUNCTION("""COMPUTED_VALUE"""),"Mayani Thais Lopes")</f>
        <v>Mayani Thais Lopes</v>
      </c>
      <c r="E191" s="7">
        <f>IFERROR(__xludf.DUMMYFUNCTION("""COMPUTED_VALUE"""),3.4999071369E10)</f>
        <v>34999071369</v>
      </c>
      <c r="F191" s="7" t="str">
        <f>IFERROR(__xludf.DUMMYFUNCTION("""COMPUTED_VALUE"""),"IBIOTEC - Enfermagem")</f>
        <v>IBIOTEC - Enfermagem</v>
      </c>
      <c r="G191" s="9" t="str">
        <f>IFERROR(__xludf.DUMMYFUNCTION("""COMPUTED_VALUE"""),"Bloco M")</f>
        <v>Bloco M</v>
      </c>
      <c r="H191" s="7">
        <f>IFERROR(__xludf.DUMMYFUNCTION("""COMPUTED_VALUE"""),155.0)</f>
        <v>155</v>
      </c>
      <c r="I191" s="7" t="str">
        <f>IFERROR(__xludf.DUMMYFUNCTION("""COMPUTED_VALUE"""),"Pequenos serviços de reparos em Marcenaria")</f>
        <v>Pequenos serviços de reparos em Marcenaria</v>
      </c>
      <c r="J191" s="7" t="str">
        <f>IFERROR(__xludf.DUMMYFUNCTION("""COMPUTED_VALUE"""),"03 Marcenaria / 29 - Outros (PRAZO DE ACORDO COM A DEMANDA)")</f>
        <v>03 Marcenaria / 29 - Outros (PRAZO DE ACORDO COM A DEMANDA)</v>
      </c>
      <c r="K191" s="7"/>
      <c r="L191" s="7" t="str">
        <f>IFERROR(__xludf.DUMMYFUNCTION("""COMPUTED_VALUE"""),"Vigia vem informar que a fechadura está com problemas")</f>
        <v>Vigia vem informar que a fechadura está com problemas</v>
      </c>
      <c r="M191" s="10"/>
      <c r="N191" s="10" t="str">
        <f>IFERROR(__xludf.DUMMYFUNCTION("""COMPUTED_VALUE"""),"Realizado")</f>
        <v>Realizado</v>
      </c>
      <c r="O191" s="11">
        <f>IFERROR(__xludf.DUMMYFUNCTION("""COMPUTED_VALUE"""),45328.0)</f>
        <v>45328</v>
      </c>
      <c r="P191" s="11"/>
    </row>
    <row r="192" ht="27.0" customHeight="1">
      <c r="A192" s="7" t="str">
        <f>IFERROR(__xludf.DUMMYFUNCTION("""COMPUTED_VALUE"""),"190/2024")</f>
        <v>190/2024</v>
      </c>
      <c r="B192" s="8">
        <f>IFERROR(__xludf.DUMMYFUNCTION("""COMPUTED_VALUE"""),45321.59353373843)</f>
        <v>45321.59353</v>
      </c>
      <c r="C192" s="8" t="str">
        <f>IFERROR(__xludf.DUMMYFUNCTION("""COMPUTED_VALUE"""),"muc.prpe@ufcat.edu.br")</f>
        <v>muc.prpe@ufcat.edu.br</v>
      </c>
      <c r="D192" s="7" t="str">
        <f>IFERROR(__xludf.DUMMYFUNCTION("""COMPUTED_VALUE"""),"Ludmila ")</f>
        <v>Ludmila </v>
      </c>
      <c r="E192" s="7">
        <f>IFERROR(__xludf.DUMMYFUNCTION("""COMPUTED_VALUE"""),5333.0)</f>
        <v>5333</v>
      </c>
      <c r="F192" s="7" t="str">
        <f>IFERROR(__xludf.DUMMYFUNCTION("""COMPUTED_VALUE"""),"PRPE")</f>
        <v>PRPE</v>
      </c>
      <c r="G192" s="9" t="str">
        <f>IFERROR(__xludf.DUMMYFUNCTION("""COMPUTED_VALUE"""),"MUC")</f>
        <v>MUC</v>
      </c>
      <c r="H192" s="7" t="str">
        <f>IFERROR(__xludf.DUMMYFUNCTION("""COMPUTED_VALUE"""),"apto 406")</f>
        <v>apto 406</v>
      </c>
      <c r="I192" s="7" t="str">
        <f>IFERROR(__xludf.DUMMYFUNCTION("""COMPUTED_VALUE"""),"Reparos (alvenaria, piso, forro e telhado)")</f>
        <v>Reparos (alvenaria, piso, forro e telhado)</v>
      </c>
      <c r="J192" s="7" t="str">
        <f>IFERROR(__xludf.DUMMYFUNCTION("""COMPUTED_VALUE"""),"01 Alvenaria / 06 - Outros (PRAZO DE ATÉ 60 DIAS PARA ATENDIMENTO)")</f>
        <v>01 Alvenaria / 06 - Outros (PRAZO DE ATÉ 60 DIAS PARA ATENDIMENTO)</v>
      </c>
      <c r="K192" s="7"/>
      <c r="L192" s="7" t="str">
        <f>IFERROR(__xludf.DUMMYFUNCTION("""COMPUTED_VALUE"""),"a porta de correr da sala esta emperrada")</f>
        <v>a porta de correr da sala esta emperrada</v>
      </c>
      <c r="M192" s="10"/>
      <c r="N192" s="10" t="str">
        <f>IFERROR(__xludf.DUMMYFUNCTION("""COMPUTED_VALUE"""),"Realizado")</f>
        <v>Realizado</v>
      </c>
      <c r="O192" s="11">
        <f>IFERROR(__xludf.DUMMYFUNCTION("""COMPUTED_VALUE"""),45400.0)</f>
        <v>45400</v>
      </c>
      <c r="P192" s="11"/>
    </row>
    <row r="193" ht="27.0" customHeight="1">
      <c r="A193" s="7" t="str">
        <f>IFERROR(__xludf.DUMMYFUNCTION("""COMPUTED_VALUE"""),"191/2024")</f>
        <v>191/2024</v>
      </c>
      <c r="B193" s="8">
        <f>IFERROR(__xludf.DUMMYFUNCTION("""COMPUTED_VALUE"""),45321.64924737268)</f>
        <v>45321.64925</v>
      </c>
      <c r="C193" s="8" t="str">
        <f>IFERROR(__xludf.DUMMYFUNCTION("""COMPUTED_VALUE"""),"mariaeduarda.borges@ufcat.edu.br")</f>
        <v>mariaeduarda.borges@ufcat.edu.br</v>
      </c>
      <c r="D193" s="7" t="str">
        <f>IFERROR(__xludf.DUMMYFUNCTION("""COMPUTED_VALUE"""),"Maria Eduarda Silva Borges ")</f>
        <v>Maria Eduarda Silva Borges </v>
      </c>
      <c r="E193" s="7">
        <f>IFERROR(__xludf.DUMMYFUNCTION("""COMPUTED_VALUE"""),5340.0)</f>
        <v>5340</v>
      </c>
      <c r="F193" s="7" t="str">
        <f>IFERROR(__xludf.DUMMYFUNCTION("""COMPUTED_VALUE"""),"PREF")</f>
        <v>PREF</v>
      </c>
      <c r="G193" s="9" t="str">
        <f>IFERROR(__xludf.DUMMYFUNCTION("""COMPUTED_VALUE"""),"Bloco J")</f>
        <v>Bloco J</v>
      </c>
      <c r="H193" s="7" t="str">
        <f>IFERROR(__xludf.DUMMYFUNCTION("""COMPUTED_VALUE"""),"BLOCO J")</f>
        <v>BLOCO J</v>
      </c>
      <c r="I193" s="7" t="str">
        <f>IFERROR(__xludf.DUMMYFUNCTION("""COMPUTED_VALUE"""),"Jardinagem ")</f>
        <v>Jardinagem </v>
      </c>
      <c r="J193" s="15"/>
      <c r="K193" s="15"/>
      <c r="L193" s="7" t="str">
        <f>IFERROR(__xludf.DUMMYFUNCTION("""COMPUTED_VALUE"""),"Galhos de uma árvore sobre os condicionadores de ar.")</f>
        <v>Galhos de uma árvore sobre os condicionadores de ar.</v>
      </c>
      <c r="M193" s="10"/>
      <c r="N193" s="10" t="str">
        <f>IFERROR(__xludf.DUMMYFUNCTION("""COMPUTED_VALUE"""),"Realizado")</f>
        <v>Realizado</v>
      </c>
      <c r="O193" s="11">
        <f>IFERROR(__xludf.DUMMYFUNCTION("""COMPUTED_VALUE"""),45356.0)</f>
        <v>45356</v>
      </c>
      <c r="P193" s="11"/>
    </row>
    <row r="194" ht="27.0" customHeight="1">
      <c r="A194" s="7" t="str">
        <f>IFERROR(__xludf.DUMMYFUNCTION("""COMPUTED_VALUE"""),"192/2024")</f>
        <v>192/2024</v>
      </c>
      <c r="B194" s="8">
        <f>IFERROR(__xludf.DUMMYFUNCTION("""COMPUTED_VALUE"""),45321.674188958335)</f>
        <v>45321.67419</v>
      </c>
      <c r="C194" s="8" t="str">
        <f>IFERROR(__xludf.DUMMYFUNCTION("""COMPUTED_VALUE"""),"muc.prpe@ufcat.edu.br")</f>
        <v>muc.prpe@ufcat.edu.br</v>
      </c>
      <c r="D194" s="7" t="str">
        <f>IFERROR(__xludf.DUMMYFUNCTION("""COMPUTED_VALUE"""),"DANIEL DOS REIS SIMÕES")</f>
        <v>DANIEL DOS REIS SIMÕES</v>
      </c>
      <c r="E194" s="7">
        <f>IFERROR(__xludf.DUMMYFUNCTION("""COMPUTED_VALUE"""),5333.0)</f>
        <v>5333</v>
      </c>
      <c r="F194" s="7" t="str">
        <f>IFERROR(__xludf.DUMMYFUNCTION("""COMPUTED_VALUE"""),"PRPE")</f>
        <v>PRPE</v>
      </c>
      <c r="G194" s="9" t="str">
        <f>IFERROR(__xludf.DUMMYFUNCTION("""COMPUTED_VALUE"""),"MUC")</f>
        <v>MUC</v>
      </c>
      <c r="H194" s="7" t="str">
        <f>IFERROR(__xludf.DUMMYFUNCTION("""COMPUTED_VALUE"""),"Apto 402")</f>
        <v>Apto 402</v>
      </c>
      <c r="I194" s="7" t="str">
        <f>IFERROR(__xludf.DUMMYFUNCTION("""COMPUTED_VALUE"""),"Reparos (alvenaria, piso, forro e telhado)")</f>
        <v>Reparos (alvenaria, piso, forro e telhado)</v>
      </c>
      <c r="J194" s="7" t="str">
        <f>IFERROR(__xludf.DUMMYFUNCTION("""COMPUTED_VALUE"""),"01 Alvenaria / 06 - Outros (PRAZO DE ATÉ 60 DIAS PARA ATENDIMENTO)")</f>
        <v>01 Alvenaria / 06 - Outros (PRAZO DE ATÉ 60 DIAS PARA ATENDIMENTO)</v>
      </c>
      <c r="K194" s="7"/>
      <c r="L194" s="7" t="str">
        <f>IFERROR(__xludf.DUMMYFUNCTION("""COMPUTED_VALUE"""),"Instalar cortina no quarto A, apto 402 e verificar gancho do varal.")</f>
        <v>Instalar cortina no quarto A, apto 402 e verificar gancho do varal.</v>
      </c>
      <c r="M194" s="10"/>
      <c r="N194" s="10" t="str">
        <f>IFERROR(__xludf.DUMMYFUNCTION("""COMPUTED_VALUE"""),"Realizado")</f>
        <v>Realizado</v>
      </c>
      <c r="O194" s="11">
        <f>IFERROR(__xludf.DUMMYFUNCTION("""COMPUTED_VALUE"""),45322.0)</f>
        <v>45322</v>
      </c>
      <c r="P194" s="11"/>
    </row>
    <row r="195" ht="27.0" customHeight="1">
      <c r="A195" s="7" t="str">
        <f>IFERROR(__xludf.DUMMYFUNCTION("""COMPUTED_VALUE"""),"193/2024")</f>
        <v>193/2024</v>
      </c>
      <c r="B195" s="8">
        <f>IFERROR(__xludf.DUMMYFUNCTION("""COMPUTED_VALUE"""),45321.677084166666)</f>
        <v>45321.67708</v>
      </c>
      <c r="C195" s="8" t="str">
        <f>IFERROR(__xludf.DUMMYFUNCTION("""COMPUTED_VALUE"""),"muc.prpe@ufcat.edu.br")</f>
        <v>muc.prpe@ufcat.edu.br</v>
      </c>
      <c r="D195" s="7" t="str">
        <f>IFERROR(__xludf.DUMMYFUNCTION("""COMPUTED_VALUE"""),"DANIEL DOS REIS SIMÕES")</f>
        <v>DANIEL DOS REIS SIMÕES</v>
      </c>
      <c r="E195" s="7">
        <f>IFERROR(__xludf.DUMMYFUNCTION("""COMPUTED_VALUE"""),5333.0)</f>
        <v>5333</v>
      </c>
      <c r="F195" s="7" t="str">
        <f>IFERROR(__xludf.DUMMYFUNCTION("""COMPUTED_VALUE"""),"PRPE")</f>
        <v>PRPE</v>
      </c>
      <c r="G195" s="9" t="str">
        <f>IFERROR(__xludf.DUMMYFUNCTION("""COMPUTED_VALUE"""),"MUC")</f>
        <v>MUC</v>
      </c>
      <c r="H195" s="7" t="str">
        <f>IFERROR(__xludf.DUMMYFUNCTION("""COMPUTED_VALUE"""),"MUC")</f>
        <v>MUC</v>
      </c>
      <c r="I195" s="7" t="str">
        <f>IFERROR(__xludf.DUMMYFUNCTION("""COMPUTED_VALUE"""),"Instalações Hidrossanitárias")</f>
        <v>Instalações Hidrossanitárias</v>
      </c>
      <c r="J195" s="7" t="str">
        <f>IFERROR(__xludf.DUMMYFUNCTION("""COMPUTED_VALUE"""),"02 Hidráulica / 22 - Outros (PRAZO DE 15 a 60 DIAS PARA ATENDIMENTO)")</f>
        <v>02 Hidráulica / 22 - Outros (PRAZO DE 15 a 60 DIAS PARA ATENDIMENTO)</v>
      </c>
      <c r="K195" s="7"/>
      <c r="L195" s="7" t="str">
        <f>IFERROR(__xludf.DUMMYFUNCTION("""COMPUTED_VALUE"""),"Verificar a possibilidade de substituir 21 assentos sanitários em apartamentos diversos. ")</f>
        <v>Verificar a possibilidade de substituir 21 assentos sanitários em apartamentos diversos. </v>
      </c>
      <c r="M195" s="10"/>
      <c r="N195" s="10" t="str">
        <f>IFERROR(__xludf.DUMMYFUNCTION("""COMPUTED_VALUE"""),"Realizado")</f>
        <v>Realizado</v>
      </c>
      <c r="O195" s="11">
        <f>IFERROR(__xludf.DUMMYFUNCTION("""COMPUTED_VALUE"""),45331.0)</f>
        <v>45331</v>
      </c>
      <c r="P195" s="11"/>
    </row>
    <row r="196" ht="27.0" customHeight="1">
      <c r="A196" s="7" t="str">
        <f>IFERROR(__xludf.DUMMYFUNCTION("""COMPUTED_VALUE"""),"194/2024")</f>
        <v>194/2024</v>
      </c>
      <c r="B196" s="8">
        <f>IFERROR(__xludf.DUMMYFUNCTION("""COMPUTED_VALUE"""),45321.67718155093)</f>
        <v>45321.67718</v>
      </c>
      <c r="C196" s="8" t="str">
        <f>IFERROR(__xludf.DUMMYFUNCTION("""COMPUTED_VALUE"""),"marcia.mendes@ufcat.edu.br")</f>
        <v>marcia.mendes@ufcat.edu.br</v>
      </c>
      <c r="D196" s="7" t="str">
        <f>IFERROR(__xludf.DUMMYFUNCTION("""COMPUTED_VALUE"""),"Marcia")</f>
        <v>Marcia</v>
      </c>
      <c r="E196" s="7" t="str">
        <f>IFERROR(__xludf.DUMMYFUNCTION("""COMPUTED_VALUE"""),"64 98412-9238")</f>
        <v>64 98412-9238</v>
      </c>
      <c r="F196" s="7" t="str">
        <f>IFERROR(__xludf.DUMMYFUNCTION("""COMPUTED_VALUE"""),"IQ")</f>
        <v>IQ</v>
      </c>
      <c r="G196" s="9" t="str">
        <f>IFERROR(__xludf.DUMMYFUNCTION("""COMPUTED_VALUE"""),"Bloco N")</f>
        <v>Bloco N</v>
      </c>
      <c r="H196" s="7" t="str">
        <f>IFERROR(__xludf.DUMMYFUNCTION("""COMPUTED_VALUE"""),"Laboratório 111.")</f>
        <v>Laboratório 111.</v>
      </c>
      <c r="I196" s="7" t="str">
        <f>IFERROR(__xludf.DUMMYFUNCTION("""COMPUTED_VALUE"""),"Instalações elétricas")</f>
        <v>Instalações elétricas</v>
      </c>
      <c r="J196" s="7" t="str">
        <f>IFERROR(__xludf.DUMMYFUNCTION("""COMPUTED_VALUE"""),"04 Elétrica / 34 - Tomada Uso Geral (PRAZO DE ATÉ 15 DIAS PARA ATENDIMENTO)")</f>
        <v>04 Elétrica / 34 - Tomada Uso Geral (PRAZO DE ATÉ 15 DIAS PARA ATENDIMENTO)</v>
      </c>
      <c r="K196" s="7"/>
      <c r="L196" s="7" t="str">
        <f>IFERROR(__xludf.DUMMYFUNCTION("""COMPUTED_VALUE"""),"Instalar uma tomada e trocar uma tomada (simples pela dupla).")</f>
        <v>Instalar uma tomada e trocar uma tomada (simples pela dupla).</v>
      </c>
      <c r="M196" s="10"/>
      <c r="N196" s="10" t="str">
        <f>IFERROR(__xludf.DUMMYFUNCTION("""COMPUTED_VALUE"""),"Realizado")</f>
        <v>Realizado</v>
      </c>
      <c r="O196" s="11">
        <f>IFERROR(__xludf.DUMMYFUNCTION("""COMPUTED_VALUE"""),45344.0)</f>
        <v>45344</v>
      </c>
      <c r="P196" s="11"/>
    </row>
    <row r="197" ht="27.0" customHeight="1">
      <c r="A197" s="7" t="str">
        <f>IFERROR(__xludf.DUMMYFUNCTION("""COMPUTED_VALUE"""),"195/2024")</f>
        <v>195/2024</v>
      </c>
      <c r="B197" s="8">
        <f>IFERROR(__xludf.DUMMYFUNCTION("""COMPUTED_VALUE"""),45321.71952439815)</f>
        <v>45321.71952</v>
      </c>
      <c r="C197" s="8" t="str">
        <f>IFERROR(__xludf.DUMMYFUNCTION("""COMPUTED_VALUE"""),"iana.abrantes@ufcat.edu.br")</f>
        <v>iana.abrantes@ufcat.edu.br</v>
      </c>
      <c r="D197" s="7" t="str">
        <f>IFERROR(__xludf.DUMMYFUNCTION("""COMPUTED_VALUE"""),"Iana Grecco")</f>
        <v>Iana Grecco</v>
      </c>
      <c r="E197" s="7" t="str">
        <f>IFERROR(__xludf.DUMMYFUNCTION("""COMPUTED_VALUE"""),"62 9 8331-8743")</f>
        <v>62 9 8331-8743</v>
      </c>
      <c r="F197" s="7" t="str">
        <f>IFERROR(__xludf.DUMMYFUNCTION("""COMPUTED_VALUE"""),"FENG - Engenharia Civil")</f>
        <v>FENG - Engenharia Civil</v>
      </c>
      <c r="G197" s="9" t="str">
        <f>IFERROR(__xludf.DUMMYFUNCTION("""COMPUTED_VALUE"""),"Bloco O")</f>
        <v>Bloco O</v>
      </c>
      <c r="H197" s="7" t="str">
        <f>IFERROR(__xludf.DUMMYFUNCTION("""COMPUTED_VALUE"""),"Laboratório Materiais de Construção")</f>
        <v>Laboratório Materiais de Construção</v>
      </c>
      <c r="I197" s="7" t="str">
        <f>IFERROR(__xludf.DUMMYFUNCTION("""COMPUTED_VALUE"""),"Instalações Hidrossanitárias")</f>
        <v>Instalações Hidrossanitárias</v>
      </c>
      <c r="J197" s="7" t="str">
        <f>IFERROR(__xludf.DUMMYFUNCTION("""COMPUTED_VALUE"""),"02 Hidráulica / 07 - Desentupimento (PRAZO DE 1 ATÉ 5 DIAS PARA ATENDIMENTO)")</f>
        <v>02 Hidráulica / 07 - Desentupimento (PRAZO DE 1 ATÉ 5 DIAS PARA ATENDIMENTO)</v>
      </c>
      <c r="K197" s="7"/>
      <c r="L197" s="7" t="str">
        <f>IFERROR(__xludf.DUMMYFUNCTION("""COMPUTED_VALUE"""),"O ralo do Laboratório de Materiais está entupido e quando utilizamos a pia na bancada da esquerda, a água vai para o ralo e este transborda, molhando todo o laboratório.")</f>
        <v>O ralo do Laboratório de Materiais está entupido e quando utilizamos a pia na bancada da esquerda, a água vai para o ralo e este transborda, molhando todo o laboratório.</v>
      </c>
      <c r="M197" s="10"/>
      <c r="N197" s="10" t="str">
        <f>IFERROR(__xludf.DUMMYFUNCTION("""COMPUTED_VALUE"""),"Realizado")</f>
        <v>Realizado</v>
      </c>
      <c r="O197" s="11">
        <f>IFERROR(__xludf.DUMMYFUNCTION("""COMPUTED_VALUE"""),45327.0)</f>
        <v>45327</v>
      </c>
      <c r="P197" s="11"/>
    </row>
    <row r="198" ht="27.0" customHeight="1">
      <c r="A198" s="7" t="str">
        <f>IFERROR(__xludf.DUMMYFUNCTION("""COMPUTED_VALUE"""),"196/2024")</f>
        <v>196/2024</v>
      </c>
      <c r="B198" s="8">
        <f>IFERROR(__xludf.DUMMYFUNCTION("""COMPUTED_VALUE"""),45321.762120115745)</f>
        <v>45321.76212</v>
      </c>
      <c r="C198" s="8" t="str">
        <f>IFERROR(__xludf.DUMMYFUNCTION("""COMPUTED_VALUE"""),"seguranca@ufcat.edu.br")</f>
        <v>seguranca@ufcat.edu.br</v>
      </c>
      <c r="D198" s="7" t="str">
        <f>IFERROR(__xludf.DUMMYFUNCTION("""COMPUTED_VALUE"""),"Maria Duarte")</f>
        <v>Maria Duarte</v>
      </c>
      <c r="E198" s="7">
        <f>IFERROR(__xludf.DUMMYFUNCTION("""COMPUTED_VALUE"""),5318.0)</f>
        <v>5318</v>
      </c>
      <c r="F198" s="7" t="str">
        <f>IFERROR(__xludf.DUMMYFUNCTION("""COMPUTED_VALUE"""),"CENTRAL DE OPERAÇÕES VIGILÂNCIA")</f>
        <v>CENTRAL DE OPERAÇÕES VIGILÂNCIA</v>
      </c>
      <c r="G198" s="9" t="str">
        <f>IFERROR(__xludf.DUMMYFUNCTION("""COMPUTED_VALUE"""),"Didático II")</f>
        <v>Didático II</v>
      </c>
      <c r="H198" s="7" t="str">
        <f>IFERROR(__xludf.DUMMYFUNCTION("""COMPUTED_VALUE"""),"DVR DIDÁTICO II")</f>
        <v>DVR DIDÁTICO II</v>
      </c>
      <c r="I198" s="7" t="str">
        <f>IFERROR(__xludf.DUMMYFUNCTION("""COMPUTED_VALUE"""),"Instalações e/ou Manutenção em Cabeamento de Rede")</f>
        <v>Instalações e/ou Manutenção em Cabeamento de Rede</v>
      </c>
      <c r="J198" s="7" t="str">
        <f>IFERROR(__xludf.DUMMYFUNCTION("""COMPUTED_VALUE"""),"05 Telecomunicações / 39 - CFTV (PRAZO DE ATÉ 15 DIAS PARA ATENDIMENTO)")</f>
        <v>05 Telecomunicações / 39 - CFTV (PRAZO DE ATÉ 15 DIAS PARA ATENDIMENTO)</v>
      </c>
      <c r="K198" s="7"/>
      <c r="L198" s="7" t="str">
        <f>IFERROR(__xludf.DUMMYFUNCTION("""COMPUTED_VALUE"""),"A câmera 10 (LATERAL BLOCO D2), do DVR do Bloco Didático II, se encontra com o MENU (LETRAS) na imagem de visualização.")</f>
        <v>A câmera 10 (LATERAL BLOCO D2), do DVR do Bloco Didático II, se encontra com o MENU (LETRAS) na imagem de visualização.</v>
      </c>
      <c r="M198" s="10"/>
      <c r="N198" s="10" t="str">
        <f>IFERROR(__xludf.DUMMYFUNCTION("""COMPUTED_VALUE"""),"Realizado")</f>
        <v>Realizado</v>
      </c>
      <c r="O198" s="11">
        <f>IFERROR(__xludf.DUMMYFUNCTION("""COMPUTED_VALUE"""),45322.0)</f>
        <v>45322</v>
      </c>
      <c r="P198" s="11"/>
    </row>
    <row r="199" ht="27.0" customHeight="1">
      <c r="A199" s="7" t="str">
        <f>IFERROR(__xludf.DUMMYFUNCTION("""COMPUTED_VALUE"""),"197/2024")</f>
        <v>197/2024</v>
      </c>
      <c r="B199" s="8">
        <f>IFERROR(__xludf.DUMMYFUNCTION("""COMPUTED_VALUE"""),45321.770556689815)</f>
        <v>45321.77056</v>
      </c>
      <c r="C199" s="8" t="str">
        <f>IFERROR(__xludf.DUMMYFUNCTION("""COMPUTED_VALUE"""),"seguranca@ufcat.edu.br")</f>
        <v>seguranca@ufcat.edu.br</v>
      </c>
      <c r="D199" s="7" t="str">
        <f>IFERROR(__xludf.DUMMYFUNCTION("""COMPUTED_VALUE"""),"Maria Duarte")</f>
        <v>Maria Duarte</v>
      </c>
      <c r="E199" s="7">
        <f>IFERROR(__xludf.DUMMYFUNCTION("""COMPUTED_VALUE"""),5318.0)</f>
        <v>5318</v>
      </c>
      <c r="F199" s="7" t="str">
        <f>IFERROR(__xludf.DUMMYFUNCTION("""COMPUTED_VALUE"""),"CENTRAL DE OPERAÇÕES VIGILÂNCIA")</f>
        <v>CENTRAL DE OPERAÇÕES VIGILÂNCIA</v>
      </c>
      <c r="G199" s="9" t="str">
        <f>IFERROR(__xludf.DUMMYFUNCTION("""COMPUTED_VALUE"""),"Didatico I")</f>
        <v>Didatico I</v>
      </c>
      <c r="H199" s="7" t="str">
        <f>IFERROR(__xludf.DUMMYFUNCTION("""COMPUTED_VALUE"""),"Lâmpadas de acesso para as escadas")</f>
        <v>Lâmpadas de acesso para as escadas</v>
      </c>
      <c r="I199" s="7" t="str">
        <f>IFERROR(__xludf.DUMMYFUNCTION("""COMPUTED_VALUE"""),"Instalações elétricas")</f>
        <v>Instalações elétricas</v>
      </c>
      <c r="J199" s="7" t="str">
        <f>IFERROR(__xludf.DUMMYFUNCTION("""COMPUTED_VALUE"""),"04 Elétrica / 30 - Falta de Energia (PRAZO DE 1 a 5 DIAS PARA ATENDIMENTO)")</f>
        <v>04 Elétrica / 30 - Falta de Energia (PRAZO DE 1 a 5 DIAS PARA ATENDIMENTO)</v>
      </c>
      <c r="K199" s="7"/>
      <c r="L199" s="7" t="str">
        <f>IFERROR(__xludf.DUMMYFUNCTION("""COMPUTED_VALUE"""),"As lâmpadas de acesso para as escadas do 1° piso e para o 2° piso do Bloco Didático I, não estão funcionando. A vigia relatou que aparentemente se trata do interruptor do local que liga todas as lâmpadas das escadas que estragou. ")</f>
        <v>As lâmpadas de acesso para as escadas do 1° piso e para o 2° piso do Bloco Didático I, não estão funcionando. A vigia relatou que aparentemente se trata do interruptor do local que liga todas as lâmpadas das escadas que estragou. </v>
      </c>
      <c r="M199" s="10"/>
      <c r="N199" s="10" t="str">
        <f>IFERROR(__xludf.DUMMYFUNCTION("""COMPUTED_VALUE"""),"Realizado")</f>
        <v>Realizado</v>
      </c>
      <c r="O199" s="11">
        <f>IFERROR(__xludf.DUMMYFUNCTION("""COMPUTED_VALUE"""),45322.0)</f>
        <v>45322</v>
      </c>
      <c r="P199" s="11"/>
    </row>
    <row r="200" ht="27.0" customHeight="1">
      <c r="A200" s="7" t="str">
        <f>IFERROR(__xludf.DUMMYFUNCTION("""COMPUTED_VALUE"""),"198/2024")</f>
        <v>198/2024</v>
      </c>
      <c r="B200" s="8">
        <f>IFERROR(__xludf.DUMMYFUNCTION("""COMPUTED_VALUE"""),45322.25466643518)</f>
        <v>45322.25467</v>
      </c>
      <c r="C200" s="8" t="str">
        <f>IFERROR(__xludf.DUMMYFUNCTION("""COMPUTED_VALUE"""),"seguranca@ufcat.edu.br")</f>
        <v>seguranca@ufcat.edu.br</v>
      </c>
      <c r="D200" s="7" t="str">
        <f>IFERROR(__xludf.DUMMYFUNCTION("""COMPUTED_VALUE"""),"Pedro")</f>
        <v>Pedro</v>
      </c>
      <c r="E200" s="7">
        <f>IFERROR(__xludf.DUMMYFUNCTION("""COMPUTED_VALUE"""),5318.0)</f>
        <v>5318</v>
      </c>
      <c r="F200" s="7" t="str">
        <f>IFERROR(__xludf.DUMMYFUNCTION("""COMPUTED_VALUE"""),"CENTRAL DE OPERAÇÕES VIGILÂNCIA")</f>
        <v>CENTRAL DE OPERAÇÕES VIGILÂNCIA</v>
      </c>
      <c r="G200" s="9" t="str">
        <f>IFERROR(__xludf.DUMMYFUNCTION("""COMPUTED_VALUE"""),"Bloco L")</f>
        <v>Bloco L</v>
      </c>
      <c r="H200" s="7" t="str">
        <f>IFERROR(__xludf.DUMMYFUNCTION("""COMPUTED_VALUE"""),"Sala do Rack ")</f>
        <v>Sala do Rack </v>
      </c>
      <c r="I200" s="7" t="str">
        <f>IFERROR(__xludf.DUMMYFUNCTION("""COMPUTED_VALUE"""),"Instalações e/ou Manutenção em Cabeamento de Rede")</f>
        <v>Instalações e/ou Manutenção em Cabeamento de Rede</v>
      </c>
      <c r="J200" s="7" t="str">
        <f>IFERROR(__xludf.DUMMYFUNCTION("""COMPUTED_VALUE"""),"05 Telecomunicações / 39 - CFTV (PRAZO DE ATÉ 15 DIAS PARA ATENDIMENTO)")</f>
        <v>05 Telecomunicações / 39 - CFTV (PRAZO DE ATÉ 15 DIAS PARA ATENDIMENTO)</v>
      </c>
      <c r="K200" s="7"/>
      <c r="L200" s="7" t="str">
        <f>IFERROR(__xludf.DUMMYFUNCTION("""COMPUTED_VALUE"""),"Todas as câmeras do Bloco L interno/ L externo estão off-line ( não estão funcionando )")</f>
        <v>Todas as câmeras do Bloco L interno/ L externo estão off-line ( não estão funcionando )</v>
      </c>
      <c r="M200" s="10"/>
      <c r="N200" s="10" t="str">
        <f>IFERROR(__xludf.DUMMYFUNCTION("""COMPUTED_VALUE"""),"Realizado")</f>
        <v>Realizado</v>
      </c>
      <c r="O200" s="11">
        <f>IFERROR(__xludf.DUMMYFUNCTION("""COMPUTED_VALUE"""),45322.0)</f>
        <v>45322</v>
      </c>
      <c r="P200" s="11"/>
    </row>
    <row r="201" ht="27.0" customHeight="1">
      <c r="A201" s="7" t="str">
        <f>IFERROR(__xludf.DUMMYFUNCTION("""COMPUTED_VALUE"""),"199/2024")</f>
        <v>199/2024</v>
      </c>
      <c r="B201" s="8">
        <f>IFERROR(__xludf.DUMMYFUNCTION("""COMPUTED_VALUE"""),45322.348294375)</f>
        <v>45322.34829</v>
      </c>
      <c r="C201" s="8" t="str">
        <f>IFERROR(__xludf.DUMMYFUNCTION("""COMPUTED_VALUE"""),"muc.prpe@ufcat.edu.br")</f>
        <v>muc.prpe@ufcat.edu.br</v>
      </c>
      <c r="D201" s="7" t="str">
        <f>IFERROR(__xludf.DUMMYFUNCTION("""COMPUTED_VALUE"""),"DANIEL DOS REIS SIMÕES")</f>
        <v>DANIEL DOS REIS SIMÕES</v>
      </c>
      <c r="E201" s="7">
        <f>IFERROR(__xludf.DUMMYFUNCTION("""COMPUTED_VALUE"""),5333.0)</f>
        <v>5333</v>
      </c>
      <c r="F201" s="7" t="str">
        <f>IFERROR(__xludf.DUMMYFUNCTION("""COMPUTED_VALUE"""),"PRPE")</f>
        <v>PRPE</v>
      </c>
      <c r="G201" s="9" t="str">
        <f>IFERROR(__xludf.DUMMYFUNCTION("""COMPUTED_VALUE"""),"MUC")</f>
        <v>MUC</v>
      </c>
      <c r="H201" s="7" t="str">
        <f>IFERROR(__xludf.DUMMYFUNCTION("""COMPUTED_VALUE"""),"Apto 204")</f>
        <v>Apto 204</v>
      </c>
      <c r="I201" s="7" t="str">
        <f>IFERROR(__xludf.DUMMYFUNCTION("""COMPUTED_VALUE"""),"Instalações elétricas")</f>
        <v>Instalações elétricas</v>
      </c>
      <c r="J201" s="7" t="str">
        <f>IFERROR(__xludf.DUMMYFUNCTION("""COMPUTED_VALUE"""),"04 Elétrica / 37 - Outros (PRAZO DE ACORDO COM A DEMANDA)")</f>
        <v>04 Elétrica / 37 - Outros (PRAZO DE ACORDO COM A DEMANDA)</v>
      </c>
      <c r="K201" s="7"/>
      <c r="L201" s="7" t="str">
        <f>IFERROR(__xludf.DUMMYFUNCTION("""COMPUTED_VALUE"""),"Verificar e ajustar o ventilador que quando ligado está balançando muito. Quarto A")</f>
        <v>Verificar e ajustar o ventilador que quando ligado está balançando muito. Quarto A</v>
      </c>
      <c r="M201" s="10" t="str">
        <f>IFERROR(__xludf.DUMMYFUNCTION("""COMPUTED_VALUE"""),"O defeito está nos proprios aparelhos de ventilador ")</f>
        <v>O defeito está nos proprios aparelhos de ventilador </v>
      </c>
      <c r="N201" s="10" t="str">
        <f>IFERROR(__xludf.DUMMYFUNCTION("""COMPUTED_VALUE"""),"Realizado")</f>
        <v>Realizado</v>
      </c>
      <c r="O201" s="11">
        <f>IFERROR(__xludf.DUMMYFUNCTION("""COMPUTED_VALUE"""),45357.0)</f>
        <v>45357</v>
      </c>
      <c r="P201" s="11"/>
    </row>
    <row r="202" ht="27.0" customHeight="1">
      <c r="A202" s="7" t="str">
        <f>IFERROR(__xludf.DUMMYFUNCTION("""COMPUTED_VALUE"""),"200/2024")</f>
        <v>200/2024</v>
      </c>
      <c r="B202" s="8">
        <f>IFERROR(__xludf.DUMMYFUNCTION("""COMPUTED_VALUE"""),45322.44996780093)</f>
        <v>45322.44997</v>
      </c>
      <c r="C202" s="8" t="str">
        <f>IFERROR(__xludf.DUMMYFUNCTION("""COMPUTED_VALUE"""),"progep@ufcat.edu.br")</f>
        <v>progep@ufcat.edu.br</v>
      </c>
      <c r="D202" s="7" t="str">
        <f>IFERROR(__xludf.DUMMYFUNCTION("""COMPUTED_VALUE"""),"Fabiana Alves de Assunção Mesquita")</f>
        <v>Fabiana Alves de Assunção Mesquita</v>
      </c>
      <c r="E202" s="7">
        <f>IFERROR(__xludf.DUMMYFUNCTION("""COMPUTED_VALUE"""),5336.0)</f>
        <v>5336</v>
      </c>
      <c r="F202" s="7" t="str">
        <f>IFERROR(__xludf.DUMMYFUNCTION("""COMPUTED_VALUE"""),"PROGEP")</f>
        <v>PROGEP</v>
      </c>
      <c r="G202" s="9" t="str">
        <f>IFERROR(__xludf.DUMMYFUNCTION("""COMPUTED_VALUE"""),"Bloco Administrativo")</f>
        <v>Bloco Administrativo</v>
      </c>
      <c r="H202" s="7">
        <f>IFERROR(__xludf.DUMMYFUNCTION("""COMPUTED_VALUE"""),123.0)</f>
        <v>123</v>
      </c>
      <c r="I202" s="7" t="str">
        <f>IFERROR(__xludf.DUMMYFUNCTION("""COMPUTED_VALUE"""),"Instalações e/ou Manutenção em Cabeamento de Rede")</f>
        <v>Instalações e/ou Manutenção em Cabeamento de Rede</v>
      </c>
      <c r="J202" s="7" t="str">
        <f>IFERROR(__xludf.DUMMYFUNCTION("""COMPUTED_VALUE"""),"05 Telecomunicações / 38 - Cabeamento de Rede (PRAZO DE ATÉ 15 DIAS PARA ATENDIMENTO)")</f>
        <v>05 Telecomunicações / 38 - Cabeamento de Rede (PRAZO DE ATÉ 15 DIAS PARA ATENDIMENTO)</v>
      </c>
      <c r="K202" s="7"/>
      <c r="L202" s="7" t="str">
        <f>IFERROR(__xludf.DUMMYFUNCTION("""COMPUTED_VALUE"""),"Solicitamos 3 cabos de rede para internet ")</f>
        <v>Solicitamos 3 cabos de rede para internet </v>
      </c>
      <c r="M202" s="10"/>
      <c r="N202" s="10" t="str">
        <f>IFERROR(__xludf.DUMMYFUNCTION("""COMPUTED_VALUE"""),"Realizado")</f>
        <v>Realizado</v>
      </c>
      <c r="O202" s="11">
        <f>IFERROR(__xludf.DUMMYFUNCTION("""COMPUTED_VALUE"""),45324.0)</f>
        <v>45324</v>
      </c>
      <c r="P202" s="11"/>
    </row>
    <row r="203" ht="27.0" customHeight="1">
      <c r="A203" s="7" t="str">
        <f>IFERROR(__xludf.DUMMYFUNCTION("""COMPUTED_VALUE"""),"201/2024")</f>
        <v>201/2024</v>
      </c>
      <c r="B203" s="8">
        <f>IFERROR(__xludf.DUMMYFUNCTION("""COMPUTED_VALUE"""),45322.45170373842)</f>
        <v>45322.4517</v>
      </c>
      <c r="C203" s="8" t="str">
        <f>IFERROR(__xludf.DUMMYFUNCTION("""COMPUTED_VALUE"""),"mariaeduarda.borges@ufcat.edu.br")</f>
        <v>mariaeduarda.borges@ufcat.edu.br</v>
      </c>
      <c r="D203" s="7" t="str">
        <f>IFERROR(__xludf.DUMMYFUNCTION("""COMPUTED_VALUE"""),"Maria Eduarda Silva Bor ges ")</f>
        <v>Maria Eduarda Silva Bor ges </v>
      </c>
      <c r="E203" s="7">
        <f>IFERROR(__xludf.DUMMYFUNCTION("""COMPUTED_VALUE"""),5340.0)</f>
        <v>5340</v>
      </c>
      <c r="F203" s="7" t="str">
        <f>IFERROR(__xludf.DUMMYFUNCTION("""COMPUTED_VALUE"""),"PREF")</f>
        <v>PREF</v>
      </c>
      <c r="G203" s="9" t="str">
        <f>IFERROR(__xludf.DUMMYFUNCTION("""COMPUTED_VALUE"""),"Didatico I")</f>
        <v>Didatico I</v>
      </c>
      <c r="H203" s="7" t="str">
        <f>IFERROR(__xludf.DUMMYFUNCTION("""COMPUTED_VALUE"""),"ESCADAS DE ACESSO PARA O 1° PISO E PARA O 2° PISO.")</f>
        <v>ESCADAS DE ACESSO PARA O 1° PISO E PARA O 2° PISO.</v>
      </c>
      <c r="I203" s="7" t="str">
        <f>IFERROR(__xludf.DUMMYFUNCTION("""COMPUTED_VALUE"""),"Instalações elétricas")</f>
        <v>Instalações elétricas</v>
      </c>
      <c r="J203" s="7" t="str">
        <f>IFERROR(__xludf.DUMMYFUNCTION("""COMPUTED_VALUE"""),"04 Elétrica / 35 - Troca de Lâmpadas (PRAZO DE ATÉ 15 DIAS PARA ATENDIMENTO)")</f>
        <v>04 Elétrica / 35 - Troca de Lâmpadas (PRAZO DE ATÉ 15 DIAS PARA ATENDIMENTO)</v>
      </c>
      <c r="K203" s="7"/>
      <c r="L203" s="7" t="str">
        <f>IFERROR(__xludf.DUMMYFUNCTION("""COMPUTED_VALUE"""),"As lâmpadas das escadas de acesso para o 1° piso e para o 2° piso do Bloco Didático I, se encontram sem funcionamento.")</f>
        <v>As lâmpadas das escadas de acesso para o 1° piso e para o 2° piso do Bloco Didático I, se encontram sem funcionamento.</v>
      </c>
      <c r="M203" s="10"/>
      <c r="N203" s="10" t="str">
        <f>IFERROR(__xludf.DUMMYFUNCTION("""COMPUTED_VALUE"""),"Realizado")</f>
        <v>Realizado</v>
      </c>
      <c r="O203" s="11">
        <f>IFERROR(__xludf.DUMMYFUNCTION("""COMPUTED_VALUE"""),45322.0)</f>
        <v>45322</v>
      </c>
      <c r="P203" s="11"/>
    </row>
    <row r="204" ht="27.0" customHeight="1">
      <c r="A204" s="7" t="str">
        <f>IFERROR(__xludf.DUMMYFUNCTION("""COMPUTED_VALUE"""),"202/2024")</f>
        <v>202/2024</v>
      </c>
      <c r="B204" s="8">
        <f>IFERROR(__xludf.DUMMYFUNCTION("""COMPUTED_VALUE"""),45322.46026072917)</f>
        <v>45322.46026</v>
      </c>
      <c r="C204" s="8" t="str">
        <f>IFERROR(__xludf.DUMMYFUNCTION("""COMPUTED_VALUE"""),"muc.prpe@ufcat.edu.br")</f>
        <v>muc.prpe@ufcat.edu.br</v>
      </c>
      <c r="D204" s="7" t="str">
        <f>IFERROR(__xludf.DUMMYFUNCTION("""COMPUTED_VALUE"""),"DANIEL DOS REIS SIMÕES")</f>
        <v>DANIEL DOS REIS SIMÕES</v>
      </c>
      <c r="E204" s="7">
        <f>IFERROR(__xludf.DUMMYFUNCTION("""COMPUTED_VALUE"""),5333.0)</f>
        <v>5333</v>
      </c>
      <c r="F204" s="7" t="str">
        <f>IFERROR(__xludf.DUMMYFUNCTION("""COMPUTED_VALUE"""),"PRPE")</f>
        <v>PRPE</v>
      </c>
      <c r="G204" s="9" t="str">
        <f>IFERROR(__xludf.DUMMYFUNCTION("""COMPUTED_VALUE"""),"MUC")</f>
        <v>MUC</v>
      </c>
      <c r="H204" s="7" t="str">
        <f>IFERROR(__xludf.DUMMYFUNCTION("""COMPUTED_VALUE"""),"Apto 305")</f>
        <v>Apto 305</v>
      </c>
      <c r="I204" s="7" t="str">
        <f>IFERROR(__xludf.DUMMYFUNCTION("""COMPUTED_VALUE"""),"Instalações Hidrossanitárias")</f>
        <v>Instalações Hidrossanitárias</v>
      </c>
      <c r="J204" s="7" t="str">
        <f>IFERROR(__xludf.DUMMYFUNCTION("""COMPUTED_VALUE"""),"02 Hidráulica / 22 - Outros (PRAZO DE 15 a 60 DIAS PARA ATENDIMENTO)")</f>
        <v>02 Hidráulica / 22 - Outros (PRAZO DE 15 a 60 DIAS PARA ATENDIMENTO)</v>
      </c>
      <c r="K204" s="7"/>
      <c r="L204" s="7" t="str">
        <f>IFERROR(__xludf.DUMMYFUNCTION("""COMPUTED_VALUE"""),"Reparar o banheiro do apto 305 pois está causando infiltração no apto 205.")</f>
        <v>Reparar o banheiro do apto 305 pois está causando infiltração no apto 205.</v>
      </c>
      <c r="M204" s="10"/>
      <c r="N204" s="10" t="str">
        <f>IFERROR(__xludf.DUMMYFUNCTION("""COMPUTED_VALUE"""),"Realizado")</f>
        <v>Realizado</v>
      </c>
      <c r="O204" s="11">
        <f>IFERROR(__xludf.DUMMYFUNCTION("""COMPUTED_VALUE"""),45331.0)</f>
        <v>45331</v>
      </c>
      <c r="P204" s="11"/>
    </row>
    <row r="205" ht="27.0" customHeight="1">
      <c r="A205" s="7" t="str">
        <f>IFERROR(__xludf.DUMMYFUNCTION("""COMPUTED_VALUE"""),"203/2024")</f>
        <v>203/2024</v>
      </c>
      <c r="B205" s="8">
        <f>IFERROR(__xludf.DUMMYFUNCTION("""COMPUTED_VALUE"""),45322.46091041667)</f>
        <v>45322.46091</v>
      </c>
      <c r="C205" s="8" t="str">
        <f>IFERROR(__xludf.DUMMYFUNCTION("""COMPUTED_VALUE"""),"muc.prpe@ufcat.edu.br")</f>
        <v>muc.prpe@ufcat.edu.br</v>
      </c>
      <c r="D205" s="7" t="str">
        <f>IFERROR(__xludf.DUMMYFUNCTION("""COMPUTED_VALUE"""),"DANIEL DOS REIS SIMÕES")</f>
        <v>DANIEL DOS REIS SIMÕES</v>
      </c>
      <c r="E205" s="7">
        <f>IFERROR(__xludf.DUMMYFUNCTION("""COMPUTED_VALUE"""),5333.0)</f>
        <v>5333</v>
      </c>
      <c r="F205" s="7" t="str">
        <f>IFERROR(__xludf.DUMMYFUNCTION("""COMPUTED_VALUE"""),"PRPE")</f>
        <v>PRPE</v>
      </c>
      <c r="G205" s="9" t="str">
        <f>IFERROR(__xludf.DUMMYFUNCTION("""COMPUTED_VALUE"""),"MUC")</f>
        <v>MUC</v>
      </c>
      <c r="H205" s="7" t="str">
        <f>IFERROR(__xludf.DUMMYFUNCTION("""COMPUTED_VALUE"""),"Apto 401")</f>
        <v>Apto 401</v>
      </c>
      <c r="I205" s="7" t="str">
        <f>IFERROR(__xludf.DUMMYFUNCTION("""COMPUTED_VALUE"""),"Instalações Hidrossanitárias")</f>
        <v>Instalações Hidrossanitárias</v>
      </c>
      <c r="J205" s="7" t="str">
        <f>IFERROR(__xludf.DUMMYFUNCTION("""COMPUTED_VALUE"""),"02 Hidráulica / 22 - Outros (PRAZO DE 15 a 60 DIAS PARA ATENDIMENTO)")</f>
        <v>02 Hidráulica / 22 - Outros (PRAZO DE 15 a 60 DIAS PARA ATENDIMENTO)</v>
      </c>
      <c r="K205" s="7"/>
      <c r="L205" s="7" t="str">
        <f>IFERROR(__xludf.DUMMYFUNCTION("""COMPUTED_VALUE"""),"Reparar o banheiro do apto 401 pois está causando infiltração no apto 301.")</f>
        <v>Reparar o banheiro do apto 401 pois está causando infiltração no apto 301.</v>
      </c>
      <c r="M205" s="10"/>
      <c r="N205" s="10" t="str">
        <f>IFERROR(__xludf.DUMMYFUNCTION("""COMPUTED_VALUE"""),"Realizado")</f>
        <v>Realizado</v>
      </c>
      <c r="O205" s="11">
        <f>IFERROR(__xludf.DUMMYFUNCTION("""COMPUTED_VALUE"""),45337.0)</f>
        <v>45337</v>
      </c>
      <c r="P205" s="11"/>
    </row>
    <row r="206" ht="27.0" customHeight="1">
      <c r="A206" s="7" t="str">
        <f>IFERROR(__xludf.DUMMYFUNCTION("""COMPUTED_VALUE"""),"204/2024")</f>
        <v>204/2024</v>
      </c>
      <c r="B206" s="8">
        <f>IFERROR(__xludf.DUMMYFUNCTION("""COMPUTED_VALUE"""),45322.46265011574)</f>
        <v>45322.46265</v>
      </c>
      <c r="C206" s="8" t="str">
        <f>IFERROR(__xludf.DUMMYFUNCTION("""COMPUTED_VALUE"""),"muc.prpe@ufcat.edu.br")</f>
        <v>muc.prpe@ufcat.edu.br</v>
      </c>
      <c r="D206" s="7" t="str">
        <f>IFERROR(__xludf.DUMMYFUNCTION("""COMPUTED_VALUE"""),"DANIEL DOS REIS SIMÕES")</f>
        <v>DANIEL DOS REIS SIMÕES</v>
      </c>
      <c r="E206" s="7">
        <f>IFERROR(__xludf.DUMMYFUNCTION("""COMPUTED_VALUE"""),5333.0)</f>
        <v>5333</v>
      </c>
      <c r="F206" s="7" t="str">
        <f>IFERROR(__xludf.DUMMYFUNCTION("""COMPUTED_VALUE"""),"PRPE")</f>
        <v>PRPE</v>
      </c>
      <c r="G206" s="9" t="str">
        <f>IFERROR(__xludf.DUMMYFUNCTION("""COMPUTED_VALUE"""),"MUC")</f>
        <v>MUC</v>
      </c>
      <c r="H206" s="7" t="str">
        <f>IFERROR(__xludf.DUMMYFUNCTION("""COMPUTED_VALUE"""),"Apto 301")</f>
        <v>Apto 301</v>
      </c>
      <c r="I206" s="7" t="str">
        <f>IFERROR(__xludf.DUMMYFUNCTION("""COMPUTED_VALUE"""),"Pequenos serviços de reparos em Marcenaria")</f>
        <v>Pequenos serviços de reparos em Marcenaria</v>
      </c>
      <c r="J206" s="7" t="str">
        <f>IFERROR(__xludf.DUMMYFUNCTION("""COMPUTED_VALUE"""),"03 Marcenaria / 29 - Outros (PRAZO DE ACORDO COM A DEMANDA)")</f>
        <v>03 Marcenaria / 29 - Outros (PRAZO DE ACORDO COM A DEMANDA)</v>
      </c>
      <c r="K206" s="7"/>
      <c r="L206" s="7" t="str">
        <f>IFERROR(__xludf.DUMMYFUNCTION("""COMPUTED_VALUE"""),"Ajustar o armário da cozinha que está soltando da parede. Manutenção já fez a avaliação. Apto 301")</f>
        <v>Ajustar o armário da cozinha que está soltando da parede. Manutenção já fez a avaliação. Apto 301</v>
      </c>
      <c r="M206" s="10"/>
      <c r="N206" s="10" t="str">
        <f>IFERROR(__xludf.DUMMYFUNCTION("""COMPUTED_VALUE"""),"Realizado")</f>
        <v>Realizado</v>
      </c>
      <c r="O206" s="11">
        <f>IFERROR(__xludf.DUMMYFUNCTION("""COMPUTED_VALUE"""),45331.0)</f>
        <v>45331</v>
      </c>
      <c r="P206" s="11"/>
    </row>
    <row r="207" ht="27.0" customHeight="1">
      <c r="A207" s="7" t="str">
        <f>IFERROR(__xludf.DUMMYFUNCTION("""COMPUTED_VALUE"""),"205/2024")</f>
        <v>205/2024</v>
      </c>
      <c r="B207" s="8">
        <f>IFERROR(__xludf.DUMMYFUNCTION("""COMPUTED_VALUE"""),45322.46476456018)</f>
        <v>45322.46476</v>
      </c>
      <c r="C207" s="8" t="str">
        <f>IFERROR(__xludf.DUMMYFUNCTION("""COMPUTED_VALUE"""),"progep@ufucat.edu.br")</f>
        <v>progep@ufucat.edu.br</v>
      </c>
      <c r="D207" s="7" t="str">
        <f>IFERROR(__xludf.DUMMYFUNCTION("""COMPUTED_VALUE"""),"Fabiana Alves de Assunção Mesquita")</f>
        <v>Fabiana Alves de Assunção Mesquita</v>
      </c>
      <c r="E207" s="7">
        <f>IFERROR(__xludf.DUMMYFUNCTION("""COMPUTED_VALUE"""),5339.0)</f>
        <v>5339</v>
      </c>
      <c r="F207" s="7" t="str">
        <f>IFERROR(__xludf.DUMMYFUNCTION("""COMPUTED_VALUE"""),"PROGEP")</f>
        <v>PROGEP</v>
      </c>
      <c r="G207" s="9" t="str">
        <f>IFERROR(__xludf.DUMMYFUNCTION("""COMPUTED_VALUE"""),"Bloco Administrativo")</f>
        <v>Bloco Administrativo</v>
      </c>
      <c r="H207" s="7">
        <f>IFERROR(__xludf.DUMMYFUNCTION("""COMPUTED_VALUE"""),123.0)</f>
        <v>123</v>
      </c>
      <c r="I207" s="7" t="str">
        <f>IFERROR(__xludf.DUMMYFUNCTION("""COMPUTED_VALUE"""),"Instalações e/ou Manutenção em Cabeamento de Rede")</f>
        <v>Instalações e/ou Manutenção em Cabeamento de Rede</v>
      </c>
      <c r="J207" s="7" t="str">
        <f>IFERROR(__xludf.DUMMYFUNCTION("""COMPUTED_VALUE"""),"05 Telecomunicações / 38 - Cabeamento de Rede (PRAZO DE ATÉ 15 DIAS PARA ATENDIMENTO)")</f>
        <v>05 Telecomunicações / 38 - Cabeamento de Rede (PRAZO DE ATÉ 15 DIAS PARA ATENDIMENTO)</v>
      </c>
      <c r="K207" s="7"/>
      <c r="L207" s="7" t="str">
        <f>IFERROR(__xludf.DUMMYFUNCTION("""COMPUTED_VALUE"""),"Solicitamos 3 fios de rede para internet ")</f>
        <v>Solicitamos 3 fios de rede para internet </v>
      </c>
      <c r="M207" s="10"/>
      <c r="N207" s="10" t="str">
        <f>IFERROR(__xludf.DUMMYFUNCTION("""COMPUTED_VALUE"""),"Realizado")</f>
        <v>Realizado</v>
      </c>
      <c r="O207" s="11">
        <f>IFERROR(__xludf.DUMMYFUNCTION("""COMPUTED_VALUE"""),45331.0)</f>
        <v>45331</v>
      </c>
      <c r="P207" s="11"/>
    </row>
    <row r="208" ht="27.0" customHeight="1">
      <c r="A208" s="7" t="str">
        <f>IFERROR(__xludf.DUMMYFUNCTION("""COMPUTED_VALUE"""),"206/2024")</f>
        <v>206/2024</v>
      </c>
      <c r="B208" s="8">
        <f>IFERROR(__xludf.DUMMYFUNCTION("""COMPUTED_VALUE"""),45322.486130439815)</f>
        <v>45322.48613</v>
      </c>
      <c r="C208" s="8" t="str">
        <f>IFERROR(__xludf.DUMMYFUNCTION("""COMPUTED_VALUE"""),"mayani@ufcat.edu.br")</f>
        <v>mayani@ufcat.edu.br</v>
      </c>
      <c r="D208" s="7" t="str">
        <f>IFERROR(__xludf.DUMMYFUNCTION("""COMPUTED_VALUE"""),"mayani thais lopes")</f>
        <v>mayani thais lopes</v>
      </c>
      <c r="E208" s="7">
        <f>IFERROR(__xludf.DUMMYFUNCTION("""COMPUTED_VALUE"""),3.4999071369E10)</f>
        <v>34999071369</v>
      </c>
      <c r="F208" s="7" t="str">
        <f>IFERROR(__xludf.DUMMYFUNCTION("""COMPUTED_VALUE"""),"IBIOTEC - Enfermagem")</f>
        <v>IBIOTEC - Enfermagem</v>
      </c>
      <c r="G208" s="9" t="str">
        <f>IFERROR(__xludf.DUMMYFUNCTION("""COMPUTED_VALUE"""),"Bloco K")</f>
        <v>Bloco K</v>
      </c>
      <c r="H208" s="7" t="str">
        <f>IFERROR(__xludf.DUMMYFUNCTION("""COMPUTED_VALUE"""),"1A")</f>
        <v>1A</v>
      </c>
      <c r="I208" s="7" t="str">
        <f>IFERROR(__xludf.DUMMYFUNCTION("""COMPUTED_VALUE"""),"Pintura")</f>
        <v>Pintura</v>
      </c>
      <c r="J208" s="7" t="str">
        <f>IFERROR(__xludf.DUMMYFUNCTION("""COMPUTED_VALUE"""),"06 Pintura / 47 - Outros (PRAZO DE ACORDO COM A DEMANDA)")</f>
        <v>06 Pintura / 47 - Outros (PRAZO DE ACORDO COM A DEMANDA)</v>
      </c>
      <c r="K208" s="7"/>
      <c r="L208" s="7" t="str">
        <f>IFERROR(__xludf.DUMMYFUNCTION("""COMPUTED_VALUE"""),"Pintura de vidros da sala da coordenação de enfermagem, pois a claridade ofusca a tela do computador")</f>
        <v>Pintura de vidros da sala da coordenação de enfermagem, pois a claridade ofusca a tela do computador</v>
      </c>
      <c r="M208" s="10"/>
      <c r="N208" s="10" t="str">
        <f>IFERROR(__xludf.DUMMYFUNCTION("""COMPUTED_VALUE"""),"Aguardando análise")</f>
        <v>Aguardando análise</v>
      </c>
      <c r="O208" s="11"/>
      <c r="P208" s="11"/>
    </row>
    <row r="209" ht="27.0" customHeight="1">
      <c r="A209" s="7" t="str">
        <f>IFERROR(__xludf.DUMMYFUNCTION("""COMPUTED_VALUE"""),"207/2024")</f>
        <v>207/2024</v>
      </c>
      <c r="B209" s="8">
        <f>IFERROR(__xludf.DUMMYFUNCTION("""COMPUTED_VALUE"""),45322.558868657405)</f>
        <v>45322.55887</v>
      </c>
      <c r="C209" s="8" t="str">
        <f>IFERROR(__xludf.DUMMYFUNCTION("""COMPUTED_VALUE"""),"amanda.lopes@ufcat.edu.br")</f>
        <v>amanda.lopes@ufcat.edu.br</v>
      </c>
      <c r="D209" s="7" t="str">
        <f>IFERROR(__xludf.DUMMYFUNCTION("""COMPUTED_VALUE"""),"Amanda Matos ")</f>
        <v>Amanda Matos </v>
      </c>
      <c r="E209" s="7">
        <f>IFERROR(__xludf.DUMMYFUNCTION("""COMPUTED_VALUE"""),5340.0)</f>
        <v>5340</v>
      </c>
      <c r="F209" s="7" t="str">
        <f>IFERROR(__xludf.DUMMYFUNCTION("""COMPUTED_VALUE"""),"PREF")</f>
        <v>PREF</v>
      </c>
      <c r="G209" s="9" t="str">
        <f>IFERROR(__xludf.DUMMYFUNCTION("""COMPUTED_VALUE"""),"Bloco P")</f>
        <v>Bloco P</v>
      </c>
      <c r="H209" s="7" t="str">
        <f>IFERROR(__xludf.DUMMYFUNCTION("""COMPUTED_VALUE"""),"Cozinha ")</f>
        <v>Cozinha </v>
      </c>
      <c r="I209" s="7" t="str">
        <f>IFERROR(__xludf.DUMMYFUNCTION("""COMPUTED_VALUE"""),"Instalações Hidrossanitárias")</f>
        <v>Instalações Hidrossanitárias</v>
      </c>
      <c r="J209" s="7" t="str">
        <f>IFERROR(__xludf.DUMMYFUNCTION("""COMPUTED_VALUE"""),"02 Hidráulica / 21 - Troca de filtro de bebedouros (PRAZO DE 15 a 60 DIAS PARA ATENDIMENTO)")</f>
        <v>02 Hidráulica / 21 - Troca de filtro de bebedouros (PRAZO DE 15 a 60 DIAS PARA ATENDIMENTO)</v>
      </c>
      <c r="K209" s="7"/>
      <c r="L209" s="7" t="str">
        <f>IFERROR(__xludf.DUMMYFUNCTION("""COMPUTED_VALUE"""),"Troca filtro do bebedouro ")</f>
        <v>Troca filtro do bebedouro </v>
      </c>
      <c r="M209" s="10"/>
      <c r="N209" s="10" t="str">
        <f>IFERROR(__xludf.DUMMYFUNCTION("""COMPUTED_VALUE"""),"Realizado")</f>
        <v>Realizado</v>
      </c>
      <c r="O209" s="11">
        <f>IFERROR(__xludf.DUMMYFUNCTION("""COMPUTED_VALUE"""),45322.0)</f>
        <v>45322</v>
      </c>
      <c r="P209" s="11"/>
    </row>
    <row r="210" ht="27.0" customHeight="1">
      <c r="A210" s="7" t="str">
        <f>IFERROR(__xludf.DUMMYFUNCTION("""COMPUTED_VALUE"""),"208/2024")</f>
        <v>208/2024</v>
      </c>
      <c r="B210" s="8">
        <f>IFERROR(__xludf.DUMMYFUNCTION("""COMPUTED_VALUE"""),45322.560829884256)</f>
        <v>45322.56083</v>
      </c>
      <c r="C210" s="8" t="str">
        <f>IFERROR(__xludf.DUMMYFUNCTION("""COMPUTED_VALUE"""),"amanda.lopes@ufcat.edu.br")</f>
        <v>amanda.lopes@ufcat.edu.br</v>
      </c>
      <c r="D210" s="7" t="str">
        <f>IFERROR(__xludf.DUMMYFUNCTION("""COMPUTED_VALUE"""),"Amanda Matos ")</f>
        <v>Amanda Matos </v>
      </c>
      <c r="E210" s="7">
        <f>IFERROR(__xludf.DUMMYFUNCTION("""COMPUTED_VALUE"""),5340.0)</f>
        <v>5340</v>
      </c>
      <c r="F210" s="7" t="str">
        <f>IFERROR(__xludf.DUMMYFUNCTION("""COMPUTED_VALUE"""),"PREF")</f>
        <v>PREF</v>
      </c>
      <c r="G210" s="9" t="str">
        <f>IFERROR(__xludf.DUMMYFUNCTION("""COMPUTED_VALUE"""),"Bloco J")</f>
        <v>Bloco J</v>
      </c>
      <c r="H210" s="7" t="str">
        <f>IFERROR(__xludf.DUMMYFUNCTION("""COMPUTED_VALUE"""),"Bebedouro ")</f>
        <v>Bebedouro </v>
      </c>
      <c r="I210" s="7" t="str">
        <f>IFERROR(__xludf.DUMMYFUNCTION("""COMPUTED_VALUE"""),"Instalações Hidrossanitárias")</f>
        <v>Instalações Hidrossanitárias</v>
      </c>
      <c r="J210" s="7" t="str">
        <f>IFERROR(__xludf.DUMMYFUNCTION("""COMPUTED_VALUE"""),"02 Hidráulica / 21 - Troca de filtro de bebedouros (PRAZO DE 15 a 60 DIAS PARA ATENDIMENTO)")</f>
        <v>02 Hidráulica / 21 - Troca de filtro de bebedouros (PRAZO DE 15 a 60 DIAS PARA ATENDIMENTO)</v>
      </c>
      <c r="K210" s="7"/>
      <c r="L210" s="7" t="str">
        <f>IFERROR(__xludf.DUMMYFUNCTION("""COMPUTED_VALUE"""),"troca do filtro do bebedouro ")</f>
        <v>troca do filtro do bebedouro </v>
      </c>
      <c r="M210" s="10"/>
      <c r="N210" s="10" t="str">
        <f>IFERROR(__xludf.DUMMYFUNCTION("""COMPUTED_VALUE"""),"Realizado")</f>
        <v>Realizado</v>
      </c>
      <c r="O210" s="11">
        <f>IFERROR(__xludf.DUMMYFUNCTION("""COMPUTED_VALUE"""),45322.0)</f>
        <v>45322</v>
      </c>
      <c r="P210" s="11"/>
    </row>
    <row r="211" ht="27.0" customHeight="1">
      <c r="A211" s="7" t="str">
        <f>IFERROR(__xludf.DUMMYFUNCTION("""COMPUTED_VALUE"""),"209/2024")</f>
        <v>209/2024</v>
      </c>
      <c r="B211" s="8">
        <f>IFERROR(__xludf.DUMMYFUNCTION("""COMPUTED_VALUE"""),45322.606764537035)</f>
        <v>45322.60676</v>
      </c>
      <c r="C211" s="8" t="str">
        <f>IFERROR(__xludf.DUMMYFUNCTION("""COMPUTED_VALUE"""),"mayani@ufcat.edu.br")</f>
        <v>mayani@ufcat.edu.br</v>
      </c>
      <c r="D211" s="7" t="str">
        <f>IFERROR(__xludf.DUMMYFUNCTION("""COMPUTED_VALUE"""),"mayani thais lopes")</f>
        <v>mayani thais lopes</v>
      </c>
      <c r="E211" s="7">
        <f>IFERROR(__xludf.DUMMYFUNCTION("""COMPUTED_VALUE"""),3.4999071369E10)</f>
        <v>34999071369</v>
      </c>
      <c r="F211" s="7" t="str">
        <f>IFERROR(__xludf.DUMMYFUNCTION("""COMPUTED_VALUE"""),"IBIOTEC - Enfermagem")</f>
        <v>IBIOTEC - Enfermagem</v>
      </c>
      <c r="G211" s="9" t="str">
        <f>IFERROR(__xludf.DUMMYFUNCTION("""COMPUTED_VALUE"""),"Bloco K")</f>
        <v>Bloco K</v>
      </c>
      <c r="H211" s="7" t="str">
        <f>IFERROR(__xludf.DUMMYFUNCTION("""COMPUTED_VALUE"""),"1A")</f>
        <v>1A</v>
      </c>
      <c r="I211" s="7" t="str">
        <f>IFERROR(__xludf.DUMMYFUNCTION("""COMPUTED_VALUE"""),"Pequenos serviços de reparos em Marcenaria")</f>
        <v>Pequenos serviços de reparos em Marcenaria</v>
      </c>
      <c r="J211" s="7" t="str">
        <f>IFERROR(__xludf.DUMMYFUNCTION("""COMPUTED_VALUE"""),"03 Marcenaria / 29 - Outros (PRAZO DE ACORDO COM A DEMANDA)")</f>
        <v>03 Marcenaria / 29 - Outros (PRAZO DE ACORDO COM A DEMANDA)</v>
      </c>
      <c r="K211" s="7"/>
      <c r="L211" s="7" t="str">
        <f>IFERROR(__xludf.DUMMYFUNCTION("""COMPUTED_VALUE"""),"Confecção de uma base de madeira para apoiar o estabilizador que fica no chão. Evitar que o mesmo fique exposto à umidade.")</f>
        <v>Confecção de uma base de madeira para apoiar o estabilizador que fica no chão. Evitar que o mesmo fique exposto à umidade.</v>
      </c>
      <c r="M211" s="10"/>
      <c r="N211" s="10" t="str">
        <f>IFERROR(__xludf.DUMMYFUNCTION("""COMPUTED_VALUE"""),"Realizado")</f>
        <v>Realizado</v>
      </c>
      <c r="O211" s="11">
        <f>IFERROR(__xludf.DUMMYFUNCTION("""COMPUTED_VALUE"""),45330.0)</f>
        <v>45330</v>
      </c>
      <c r="P211" s="11"/>
    </row>
    <row r="212" ht="27.0" customHeight="1">
      <c r="A212" s="7" t="str">
        <f>IFERROR(__xludf.DUMMYFUNCTION("""COMPUTED_VALUE"""),"210/2024")</f>
        <v>210/2024</v>
      </c>
      <c r="B212" s="8">
        <f>IFERROR(__xludf.DUMMYFUNCTION("""COMPUTED_VALUE"""),45322.9075853588)</f>
        <v>45322.90759</v>
      </c>
      <c r="C212" s="8" t="str">
        <f>IFERROR(__xludf.DUMMYFUNCTION("""COMPUTED_VALUE"""),"jodoligeo@ufcat.edu.br")</f>
        <v>jodoligeo@ufcat.edu.br</v>
      </c>
      <c r="D212" s="7" t="str">
        <f>IFERROR(__xludf.DUMMYFUNCTION("""COMPUTED_VALUE"""),"JOAO DONIZETE LIMA")</f>
        <v>JOAO DONIZETE LIMA</v>
      </c>
      <c r="E212" s="7">
        <f>IFERROR(__xludf.DUMMYFUNCTION("""COMPUTED_VALUE"""),5305.0)</f>
        <v>5305</v>
      </c>
      <c r="F212" s="7" t="str">
        <f>IFERROR(__xludf.DUMMYFUNCTION("""COMPUTED_VALUE"""),"IGEO")</f>
        <v>IGEO</v>
      </c>
      <c r="G212" s="9" t="str">
        <f>IFERROR(__xludf.DUMMYFUNCTION("""COMPUTED_VALUE"""),"Bloco A")</f>
        <v>Bloco A</v>
      </c>
      <c r="H212" s="7" t="str">
        <f>IFERROR(__xludf.DUMMYFUNCTION("""COMPUTED_VALUE"""),"02")</f>
        <v>02</v>
      </c>
      <c r="I212" s="7" t="str">
        <f>IFERROR(__xludf.DUMMYFUNCTION("""COMPUTED_VALUE"""),"Pintura")</f>
        <v>Pintura</v>
      </c>
      <c r="J212" s="7" t="str">
        <f>IFERROR(__xludf.DUMMYFUNCTION("""COMPUTED_VALUE"""),"06 Pintura / 46 - Pintura de Móveis (PRAZO DE ATÉ 60 DIAS PARA ATENDIMENTO)")</f>
        <v>06 Pintura / 46 - Pintura de Móveis (PRAZO DE ATÉ 60 DIAS PARA ATENDIMENTO)</v>
      </c>
      <c r="K212" s="7"/>
      <c r="L212" s="7" t="str">
        <f>IFERROR(__xludf.DUMMYFUNCTION("""COMPUTED_VALUE"""),"Pintar as Carteiras da Sala 02, pois as mesmas estão muito enferrujadas nas suas bases, o que poderá levar a perda definitiva do bem móvel.")</f>
        <v>Pintar as Carteiras da Sala 02, pois as mesmas estão muito enferrujadas nas suas bases, o que poderá levar a perda definitiva do bem móvel.</v>
      </c>
      <c r="M212" s="10" t="str">
        <f>IFERROR(__xludf.DUMMYFUNCTION("""COMPUTED_VALUE"""),"Falta de mão de obra ")</f>
        <v>Falta de mão de obra </v>
      </c>
      <c r="N212" s="10" t="str">
        <f>IFERROR(__xludf.DUMMYFUNCTION("""COMPUTED_VALUE"""),"Contratação externa Unidade ")</f>
        <v>Contratação externa Unidade </v>
      </c>
      <c r="O212" s="11">
        <f>IFERROR(__xludf.DUMMYFUNCTION("""COMPUTED_VALUE"""),45337.0)</f>
        <v>45337</v>
      </c>
      <c r="P212" s="11"/>
    </row>
    <row r="213" ht="27.0" customHeight="1">
      <c r="A213" s="7" t="str">
        <f>IFERROR(__xludf.DUMMYFUNCTION("""COMPUTED_VALUE"""),"211/2024")</f>
        <v>211/2024</v>
      </c>
      <c r="B213" s="8">
        <f>IFERROR(__xludf.DUMMYFUNCTION("""COMPUTED_VALUE"""),45322.917102638894)</f>
        <v>45322.9171</v>
      </c>
      <c r="C213" s="8" t="str">
        <f>IFERROR(__xludf.DUMMYFUNCTION("""COMPUTED_VALUE"""),"jodoligeo@ufcat.edu.br")</f>
        <v>jodoligeo@ufcat.edu.br</v>
      </c>
      <c r="D213" s="7" t="str">
        <f>IFERROR(__xludf.DUMMYFUNCTION("""COMPUTED_VALUE"""),"JOAO DONIZETE LIMA")</f>
        <v>JOAO DONIZETE LIMA</v>
      </c>
      <c r="E213" s="7">
        <f>IFERROR(__xludf.DUMMYFUNCTION("""COMPUTED_VALUE"""),5305.0)</f>
        <v>5305</v>
      </c>
      <c r="F213" s="7" t="str">
        <f>IFERROR(__xludf.DUMMYFUNCTION("""COMPUTED_VALUE"""),"IGEO")</f>
        <v>IGEO</v>
      </c>
      <c r="G213" s="9" t="str">
        <f>IFERROR(__xludf.DUMMYFUNCTION("""COMPUTED_VALUE"""),"Bloco B")</f>
        <v>Bloco B</v>
      </c>
      <c r="H213" s="7" t="str">
        <f>IFERROR(__xludf.DUMMYFUNCTION("""COMPUTED_VALUE"""),"sala 27 (Laboratório de Geoprocessamento)")</f>
        <v>sala 27 (Laboratório de Geoprocessamento)</v>
      </c>
      <c r="I213" s="7" t="str">
        <f>IFERROR(__xludf.DUMMYFUNCTION("""COMPUTED_VALUE"""),"Instalações elétricas")</f>
        <v>Instalações elétricas</v>
      </c>
      <c r="J213" s="7" t="str">
        <f>IFERROR(__xludf.DUMMYFUNCTION("""COMPUTED_VALUE"""),"04 Elétrica / 37 - Outros (PRAZO DE ACORDO COM A DEMANDA)")</f>
        <v>04 Elétrica / 37 - Outros (PRAZO DE ACORDO COM A DEMANDA)</v>
      </c>
      <c r="K213" s="7"/>
      <c r="L213" s="7" t="str">
        <f>IFERROR(__xludf.DUMMYFUNCTION("""COMPUTED_VALUE"""),"Efetuar estudo para que ocorra a troca dos interruptores de luz, pois ao acionar um interruptor para apagar a luz para o uso do Datashow as luzes toda da sala se apagam, enquanto um dos outros interruptores apagam apenas uma lâmpada que não é a que fica p"&amp;"róxima ao Datashow.")</f>
        <v>Efetuar estudo para que ocorra a troca dos interruptores de luz, pois ao acionar um interruptor para apagar a luz para o uso do Datashow as luzes toda da sala se apagam, enquanto um dos outros interruptores apagam apenas uma lâmpada que não é a que fica próxima ao Datashow.</v>
      </c>
      <c r="M213" s="10"/>
      <c r="N213" s="10" t="str">
        <f>IFERROR(__xludf.DUMMYFUNCTION("""COMPUTED_VALUE"""),"Realizado")</f>
        <v>Realizado</v>
      </c>
      <c r="O213" s="18">
        <f>IFERROR(__xludf.DUMMYFUNCTION("""COMPUTED_VALUE"""),45344.0)</f>
        <v>45344</v>
      </c>
      <c r="P213" s="18"/>
    </row>
    <row r="214" ht="27.0" customHeight="1">
      <c r="A214" s="7" t="str">
        <f>IFERROR(__xludf.DUMMYFUNCTION("""COMPUTED_VALUE"""),"212/2024")</f>
        <v>212/2024</v>
      </c>
      <c r="B214" s="8">
        <f>IFERROR(__xludf.DUMMYFUNCTION("""COMPUTED_VALUE"""),45323.32573131945)</f>
        <v>45323.32573</v>
      </c>
      <c r="C214" s="8" t="str">
        <f>IFERROR(__xludf.DUMMYFUNCTION("""COMPUTED_VALUE"""),"secretaria@ufcat.edu.br")</f>
        <v>secretaria@ufcat.edu.br</v>
      </c>
      <c r="D214" s="7" t="str">
        <f>IFERROR(__xludf.DUMMYFUNCTION("""COMPUTED_VALUE"""),"Bárbara")</f>
        <v>Bárbara</v>
      </c>
      <c r="E214" s="7">
        <f>IFERROR(__xludf.DUMMYFUNCTION("""COMPUTED_VALUE"""),5308.0)</f>
        <v>5308</v>
      </c>
      <c r="F214" s="7" t="str">
        <f>IFERROR(__xludf.DUMMYFUNCTION("""COMPUTED_VALUE"""),"FAE")</f>
        <v>FAE</v>
      </c>
      <c r="G214" s="9" t="str">
        <f>IFERROR(__xludf.DUMMYFUNCTION("""COMPUTED_VALUE"""),"Bloco I")</f>
        <v>Bloco I</v>
      </c>
      <c r="H214" s="7" t="str">
        <f>IFERROR(__xludf.DUMMYFUNCTION("""COMPUTED_VALUE"""),"Gabinete 1 , sala 1 ")</f>
        <v>Gabinete 1 , sala 1 </v>
      </c>
      <c r="I214" s="7" t="str">
        <f>IFERROR(__xludf.DUMMYFUNCTION("""COMPUTED_VALUE"""),"Pequenos serviços de reparos em Marcenaria")</f>
        <v>Pequenos serviços de reparos em Marcenaria</v>
      </c>
      <c r="J214" s="7" t="str">
        <f>IFERROR(__xludf.DUMMYFUNCTION("""COMPUTED_VALUE"""),"04 Elétrica / 37 - Outros (PRAZO DE ACORDO COM A DEMANDA)")</f>
        <v>04 Elétrica / 37 - Outros (PRAZO DE ACORDO COM A DEMANDA)</v>
      </c>
      <c r="K214" s="7"/>
      <c r="L214" s="7" t="str">
        <f>IFERROR(__xludf.DUMMYFUNCTION("""COMPUTED_VALUE"""),"A fechadura foi trocada recentemente, porem os professores do gabinete estão reclamando que a fechadura não está trancando ")</f>
        <v>A fechadura foi trocada recentemente, porem os professores do gabinete estão reclamando que a fechadura não está trancando </v>
      </c>
      <c r="M214" s="10"/>
      <c r="N214" s="10" t="str">
        <f>IFERROR(__xludf.DUMMYFUNCTION("""COMPUTED_VALUE"""),"Realizado")</f>
        <v>Realizado</v>
      </c>
      <c r="O214" s="11">
        <f>IFERROR(__xludf.DUMMYFUNCTION("""COMPUTED_VALUE"""),45324.0)</f>
        <v>45324</v>
      </c>
      <c r="P214" s="11"/>
    </row>
    <row r="215" ht="32.25" customHeight="1">
      <c r="A215" s="7" t="str">
        <f>IFERROR(__xludf.DUMMYFUNCTION("""COMPUTED_VALUE"""),"213/2024")</f>
        <v>213/2024</v>
      </c>
      <c r="B215" s="8">
        <f>IFERROR(__xludf.DUMMYFUNCTION("""COMPUTED_VALUE"""),45323.39725069444)</f>
        <v>45323.39725</v>
      </c>
      <c r="C215" s="8" t="str">
        <f>IFERROR(__xludf.DUMMYFUNCTION("""COMPUTED_VALUE"""),"atendimento.prpe@ufcat.edu.br")</f>
        <v>atendimento.prpe@ufcat.edu.br</v>
      </c>
      <c r="D215" s="7" t="str">
        <f>IFERROR(__xludf.DUMMYFUNCTION("""COMPUTED_VALUE"""),"Jordana Alves de Aguiar")</f>
        <v>Jordana Alves de Aguiar</v>
      </c>
      <c r="E215" s="7">
        <f>IFERROR(__xludf.DUMMYFUNCTION("""COMPUTED_VALUE"""),5333.0)</f>
        <v>5333</v>
      </c>
      <c r="F215" s="7" t="str">
        <f>IFERROR(__xludf.DUMMYFUNCTION("""COMPUTED_VALUE"""),"PRPE")</f>
        <v>PRPE</v>
      </c>
      <c r="G215" s="9" t="str">
        <f>IFERROR(__xludf.DUMMYFUNCTION("""COMPUTED_VALUE"""),"Bloco Administrativo")</f>
        <v>Bloco Administrativo</v>
      </c>
      <c r="H215" s="7" t="str">
        <f>IFERROR(__xludf.DUMMYFUNCTION("""COMPUTED_VALUE"""),"Sala 101")</f>
        <v>Sala 101</v>
      </c>
      <c r="I215" s="7" t="str">
        <f>IFERROR(__xludf.DUMMYFUNCTION("""COMPUTED_VALUE"""),"Instalações e/ou Manutenção em Cabeamento de Rede")</f>
        <v>Instalações e/ou Manutenção em Cabeamento de Rede</v>
      </c>
      <c r="J215" s="7" t="str">
        <f>IFERROR(__xludf.DUMMYFUNCTION("""COMPUTED_VALUE"""),"05 Telecomunicações / 38 - Cabeamento de Rede (PRAZO DE ATÉ 15 DIAS PARA ATENDIMENTO)")</f>
        <v>05 Telecomunicações / 38 - Cabeamento de Rede (PRAZO DE ATÉ 15 DIAS PARA ATENDIMENTO)</v>
      </c>
      <c r="K215" s="7"/>
      <c r="L215" s="7" t="str">
        <f>IFERROR(__xludf.DUMMYFUNCTION("""COMPUTED_VALUE"""),"2 cabo de rede de 3 metros cada e 1 de 5 metros.")</f>
        <v>2 cabo de rede de 3 metros cada e 1 de 5 metros.</v>
      </c>
      <c r="M215" s="10"/>
      <c r="N215" s="10" t="str">
        <f>IFERROR(__xludf.DUMMYFUNCTION("""COMPUTED_VALUE"""),"Realizado")</f>
        <v>Realizado</v>
      </c>
      <c r="O215" s="11">
        <f>IFERROR(__xludf.DUMMYFUNCTION("""COMPUTED_VALUE"""),45324.0)</f>
        <v>45324</v>
      </c>
      <c r="P215" s="11"/>
    </row>
    <row r="216" ht="27.0" customHeight="1">
      <c r="A216" s="7" t="str">
        <f>IFERROR(__xludf.DUMMYFUNCTION("""COMPUTED_VALUE"""),"214/2024")</f>
        <v>214/2024</v>
      </c>
      <c r="B216" s="8">
        <f>IFERROR(__xludf.DUMMYFUNCTION("""COMPUTED_VALUE"""),45323.419185798615)</f>
        <v>45323.41919</v>
      </c>
      <c r="C216" s="8" t="str">
        <f>IFERROR(__xludf.DUMMYFUNCTION("""COMPUTED_VALUE"""),"mariaeduarda.borges@ufcat.edu.br")</f>
        <v>mariaeduarda.borges@ufcat.edu.br</v>
      </c>
      <c r="D216" s="7" t="str">
        <f>IFERROR(__xludf.DUMMYFUNCTION("""COMPUTED_VALUE"""),"Maria Eduarda Silva Borges ")</f>
        <v>Maria Eduarda Silva Borges </v>
      </c>
      <c r="E216" s="7">
        <f>IFERROR(__xludf.DUMMYFUNCTION("""COMPUTED_VALUE"""),5340.0)</f>
        <v>5340</v>
      </c>
      <c r="F216" s="7" t="str">
        <f>IFERROR(__xludf.DUMMYFUNCTION("""COMPUTED_VALUE"""),"PREF")</f>
        <v>PREF</v>
      </c>
      <c r="G216" s="9" t="str">
        <f>IFERROR(__xludf.DUMMYFUNCTION("""COMPUTED_VALUE"""),"Didático II")</f>
        <v>Didático II</v>
      </c>
      <c r="H216" s="7" t="str">
        <f>IFERROR(__xludf.DUMMYFUNCTION("""COMPUTED_VALUE"""),"SALA 106")</f>
        <v>SALA 106</v>
      </c>
      <c r="I216" s="7" t="str">
        <f>IFERROR(__xludf.DUMMYFUNCTION("""COMPUTED_VALUE"""),"Vidraçaria ")</f>
        <v>Vidraçaria </v>
      </c>
      <c r="J216" s="7" t="str">
        <f>IFERROR(__xludf.DUMMYFUNCTION("""COMPUTED_VALUE"""),"07 Vidraçaria / 48 - Vidro de Janela (PRAZO DE ATÉ 60 DIAS PARA ATENDIMENTO)")</f>
        <v>07 Vidraçaria / 48 - Vidro de Janela (PRAZO DE ATÉ 60 DIAS PARA ATENDIMENTO)</v>
      </c>
      <c r="K216" s="7"/>
      <c r="L216" s="7" t="str">
        <f>IFERROR(__xludf.DUMMYFUNCTION("""COMPUTED_VALUE"""),"Sala 106 relatou que havia um vidro da janela quebrado.")</f>
        <v>Sala 106 relatou que havia um vidro da janela quebrado.</v>
      </c>
      <c r="M216" s="10" t="str">
        <f>IFERROR(__xludf.DUMMYFUNCTION("""COMPUTED_VALUE"""),"Falta de mão de obra e material ")</f>
        <v>Falta de mão de obra e material </v>
      </c>
      <c r="N216" s="10" t="str">
        <f>IFERROR(__xludf.DUMMYFUNCTION("""COMPUTED_VALUE"""),"Contratação externa PREF")</f>
        <v>Contratação externa PREF</v>
      </c>
      <c r="O216" s="11">
        <f>IFERROR(__xludf.DUMMYFUNCTION("""COMPUTED_VALUE"""),45357.0)</f>
        <v>45357</v>
      </c>
      <c r="P216" s="11"/>
    </row>
    <row r="217" ht="27.0" customHeight="1">
      <c r="A217" s="7" t="str">
        <f>IFERROR(__xludf.DUMMYFUNCTION("""COMPUTED_VALUE"""),"215/2024")</f>
        <v>215/2024</v>
      </c>
      <c r="B217" s="8">
        <f>IFERROR(__xludf.DUMMYFUNCTION("""COMPUTED_VALUE"""),45323.42806885416)</f>
        <v>45323.42807</v>
      </c>
      <c r="C217" s="8" t="str">
        <f>IFERROR(__xludf.DUMMYFUNCTION("""COMPUTED_VALUE"""),"mariaeduarda.borges@ufcat.edu.br")</f>
        <v>mariaeduarda.borges@ufcat.edu.br</v>
      </c>
      <c r="D217" s="7" t="str">
        <f>IFERROR(__xludf.DUMMYFUNCTION("""COMPUTED_VALUE"""),"Maria Eduarda Silva Borges ")</f>
        <v>Maria Eduarda Silva Borges </v>
      </c>
      <c r="E217" s="7">
        <f>IFERROR(__xludf.DUMMYFUNCTION("""COMPUTED_VALUE"""),5340.0)</f>
        <v>5340</v>
      </c>
      <c r="F217" s="7" t="str">
        <f>IFERROR(__xludf.DUMMYFUNCTION("""COMPUTED_VALUE"""),"PREF")</f>
        <v>PREF</v>
      </c>
      <c r="G217" s="9" t="str">
        <f>IFERROR(__xludf.DUMMYFUNCTION("""COMPUTED_VALUE"""),"Bloco M")</f>
        <v>Bloco M</v>
      </c>
      <c r="H217" s="7" t="str">
        <f>IFERROR(__xludf.DUMMYFUNCTION("""COMPUTED_VALUE"""),"PRÓXIMO AO BLOCO M")</f>
        <v>PRÓXIMO AO BLOCO M</v>
      </c>
      <c r="I217" s="7" t="str">
        <f>IFERROR(__xludf.DUMMYFUNCTION("""COMPUTED_VALUE"""),"Instalações Hidrossanitárias")</f>
        <v>Instalações Hidrossanitárias</v>
      </c>
      <c r="J217" s="7" t="str">
        <f>IFERROR(__xludf.DUMMYFUNCTION("""COMPUTED_VALUE"""),"04 Elétrica / 31 - Iluminação Externa (PRAZO DE ATÉ 15 DIAS PARA ATENDIMENTO)")</f>
        <v>04 Elétrica / 31 - Iluminação Externa (PRAZO DE ATÉ 15 DIAS PARA ATENDIMENTO)</v>
      </c>
      <c r="K217" s="7"/>
      <c r="L217" s="7" t="str">
        <f>IFERROR(__xludf.DUMMYFUNCTION("""COMPUTED_VALUE"""),"Uma parte da luminária do poste que fica próximo ao Bloco M veio a cair a parte de vidro, e com isso quebrou.")</f>
        <v>Uma parte da luminária do poste que fica próximo ao Bloco M veio a cair a parte de vidro, e com isso quebrou.</v>
      </c>
      <c r="M217" s="10"/>
      <c r="N217" s="10" t="str">
        <f>IFERROR(__xludf.DUMMYFUNCTION("""COMPUTED_VALUE"""),"Realizado")</f>
        <v>Realizado</v>
      </c>
      <c r="O217" s="11">
        <f>IFERROR(__xludf.DUMMYFUNCTION("""COMPUTED_VALUE"""),45341.0)</f>
        <v>45341</v>
      </c>
      <c r="P217" s="11"/>
    </row>
    <row r="218" ht="27.0" customHeight="1">
      <c r="A218" s="7" t="str">
        <f>IFERROR(__xludf.DUMMYFUNCTION("""COMPUTED_VALUE"""),"216/2024")</f>
        <v>216/2024</v>
      </c>
      <c r="B218" s="8">
        <f>IFERROR(__xludf.DUMMYFUNCTION("""COMPUTED_VALUE"""),45323.435419016205)</f>
        <v>45323.43542</v>
      </c>
      <c r="C218" s="8" t="str">
        <f>IFERROR(__xludf.DUMMYFUNCTION("""COMPUTED_VALUE"""),"seplan@ufcat.edu.br")</f>
        <v>seplan@ufcat.edu.br</v>
      </c>
      <c r="D218" s="7" t="str">
        <f>IFERROR(__xludf.DUMMYFUNCTION("""COMPUTED_VALUE"""),"Janaina")</f>
        <v>Janaina</v>
      </c>
      <c r="E218" s="7">
        <f>IFERROR(__xludf.DUMMYFUNCTION("""COMPUTED_VALUE"""),5399.0)</f>
        <v>5399</v>
      </c>
      <c r="F218" s="7" t="str">
        <f>IFERROR(__xludf.DUMMYFUNCTION("""COMPUTED_VALUE"""),"REITORIA")</f>
        <v>REITORIA</v>
      </c>
      <c r="G218" s="9" t="str">
        <f>IFERROR(__xludf.DUMMYFUNCTION("""COMPUTED_VALUE"""),"Bloco Administrativo")</f>
        <v>Bloco Administrativo</v>
      </c>
      <c r="H218" s="7" t="str">
        <f>IFERROR(__xludf.DUMMYFUNCTION("""COMPUTED_VALUE"""),"Cozinha")</f>
        <v>Cozinha</v>
      </c>
      <c r="I218" s="7" t="str">
        <f>IFERROR(__xludf.DUMMYFUNCTION("""COMPUTED_VALUE"""),"Instalações Hidrossanitárias")</f>
        <v>Instalações Hidrossanitárias</v>
      </c>
      <c r="J218" s="7" t="str">
        <f>IFERROR(__xludf.DUMMYFUNCTION("""COMPUTED_VALUE"""),"02 Hidráulica / 08 - Limpeza de Reservatório (PRAZO DE 15 a 60 DIAS PARA ATENDIMENTO)")</f>
        <v>02 Hidráulica / 08 - Limpeza de Reservatório (PRAZO DE 15 a 60 DIAS PARA ATENDIMENTO)</v>
      </c>
      <c r="K218" s="7"/>
      <c r="L218" s="7" t="str">
        <f>IFERROR(__xludf.DUMMYFUNCTION("""COMPUTED_VALUE"""),"O odor desagradável proveniente da cozinha atingiu níveis insuportáveis, afetando tanto os corredores quanto as salas adjacentes.")</f>
        <v>O odor desagradável proveniente da cozinha atingiu níveis insuportáveis, afetando tanto os corredores quanto as salas adjacentes.</v>
      </c>
      <c r="M218" s="10"/>
      <c r="N218" s="10" t="str">
        <f>IFERROR(__xludf.DUMMYFUNCTION("""COMPUTED_VALUE"""),"Realizado")</f>
        <v>Realizado</v>
      </c>
      <c r="O218" s="11">
        <f>IFERROR(__xludf.DUMMYFUNCTION("""COMPUTED_VALUE"""),45324.0)</f>
        <v>45324</v>
      </c>
      <c r="P218" s="11"/>
    </row>
    <row r="219" ht="27.0" customHeight="1">
      <c r="A219" s="7" t="str">
        <f>IFERROR(__xludf.DUMMYFUNCTION("""COMPUTED_VALUE"""),"217/2024")</f>
        <v>217/2024</v>
      </c>
      <c r="B219" s="8">
        <f>IFERROR(__xludf.DUMMYFUNCTION("""COMPUTED_VALUE"""),45323.437707060184)</f>
        <v>45323.43771</v>
      </c>
      <c r="C219" s="8" t="str">
        <f>IFERROR(__xludf.DUMMYFUNCTION("""COMPUTED_VALUE"""),"muc.prpe@ufcat.edu.br")</f>
        <v>muc.prpe@ufcat.edu.br</v>
      </c>
      <c r="D219" s="7" t="str">
        <f>IFERROR(__xludf.DUMMYFUNCTION("""COMPUTED_VALUE"""),"DANIEL DOS REIS SIMÕES")</f>
        <v>DANIEL DOS REIS SIMÕES</v>
      </c>
      <c r="E219" s="7">
        <f>IFERROR(__xludf.DUMMYFUNCTION("""COMPUTED_VALUE"""),5333.0)</f>
        <v>5333</v>
      </c>
      <c r="F219" s="7" t="str">
        <f>IFERROR(__xludf.DUMMYFUNCTION("""COMPUTED_VALUE"""),"PRPE")</f>
        <v>PRPE</v>
      </c>
      <c r="G219" s="9" t="str">
        <f>IFERROR(__xludf.DUMMYFUNCTION("""COMPUTED_VALUE"""),"MUC")</f>
        <v>MUC</v>
      </c>
      <c r="H219" s="7" t="str">
        <f>IFERROR(__xludf.DUMMYFUNCTION("""COMPUTED_VALUE"""),"Apto 204")</f>
        <v>Apto 204</v>
      </c>
      <c r="I219" s="7" t="str">
        <f>IFERROR(__xludf.DUMMYFUNCTION("""COMPUTED_VALUE"""),"Instalações Hidrossanitárias")</f>
        <v>Instalações Hidrossanitárias</v>
      </c>
      <c r="J219" s="7" t="str">
        <f>IFERROR(__xludf.DUMMYFUNCTION("""COMPUTED_VALUE"""),"02 Hidráulica / 22 - Outros (PRAZO DE 15 a 60 DIAS PARA ATENDIMENTO)")</f>
        <v>02 Hidráulica / 22 - Outros (PRAZO DE 15 a 60 DIAS PARA ATENDIMENTO)</v>
      </c>
      <c r="K219" s="7"/>
      <c r="L219" s="7" t="str">
        <f>IFERROR(__xludf.DUMMYFUNCTION("""COMPUTED_VALUE"""),"Registro de abrir a água fria não está funcionando, somente da água quente. Não tem como controlar a temperatura para tomar banho.")</f>
        <v>Registro de abrir a água fria não está funcionando, somente da água quente. Não tem como controlar a temperatura para tomar banho.</v>
      </c>
      <c r="M219" s="10"/>
      <c r="N219" s="10" t="str">
        <f>IFERROR(__xludf.DUMMYFUNCTION("""COMPUTED_VALUE"""),"Realizado")</f>
        <v>Realizado</v>
      </c>
      <c r="O219" s="11">
        <f>IFERROR(__xludf.DUMMYFUNCTION("""COMPUTED_VALUE"""),45331.0)</f>
        <v>45331</v>
      </c>
      <c r="P219" s="11"/>
    </row>
    <row r="220" ht="27.0" customHeight="1">
      <c r="A220" s="7" t="str">
        <f>IFERROR(__xludf.DUMMYFUNCTION("""COMPUTED_VALUE"""),"218/2024")</f>
        <v>218/2024</v>
      </c>
      <c r="B220" s="8">
        <f>IFERROR(__xludf.DUMMYFUNCTION("""COMPUTED_VALUE"""),45323.47718495371)</f>
        <v>45323.47718</v>
      </c>
      <c r="C220" s="8" t="str">
        <f>IFERROR(__xludf.DUMMYFUNCTION("""COMPUTED_VALUE"""),"luci_cardoso@ufcat.edu.br")</f>
        <v>luci_cardoso@ufcat.edu.br</v>
      </c>
      <c r="D220" s="7" t="str">
        <f>IFERROR(__xludf.DUMMYFUNCTION("""COMPUTED_VALUE"""),"Luci R. Cardoso")</f>
        <v>Luci R. Cardoso</v>
      </c>
      <c r="E220" s="7">
        <f>IFERROR(__xludf.DUMMYFUNCTION("""COMPUTED_VALUE"""),5300.0)</f>
        <v>5300</v>
      </c>
      <c r="F220" s="7" t="str">
        <f>IFERROR(__xludf.DUMMYFUNCTION("""COMPUTED_VALUE"""),"REITORIA")</f>
        <v>REITORIA</v>
      </c>
      <c r="G220" s="9" t="str">
        <f>IFERROR(__xludf.DUMMYFUNCTION("""COMPUTED_VALUE"""),"Bloco Administrativo")</f>
        <v>Bloco Administrativo</v>
      </c>
      <c r="H220" s="7" t="str">
        <f>IFERROR(__xludf.DUMMYFUNCTION("""COMPUTED_VALUE"""),"Cozinha segundo piso")</f>
        <v>Cozinha segundo piso</v>
      </c>
      <c r="I220" s="7" t="str">
        <f>IFERROR(__xludf.DUMMYFUNCTION("""COMPUTED_VALUE"""),"Instalações Hidrossanitárias")</f>
        <v>Instalações Hidrossanitárias</v>
      </c>
      <c r="J220" s="7" t="str">
        <f>IFERROR(__xludf.DUMMYFUNCTION("""COMPUTED_VALUE"""),"02 Hidráulica / 17 - Troca de sifão, registro (PRAZO DE 10 a 15 DIAS PARA ATENDIMENTO)")</f>
        <v>02 Hidráulica / 17 - Troca de sifão, registro (PRAZO DE 10 a 15 DIAS PARA ATENDIMENTO)</v>
      </c>
      <c r="K220" s="7"/>
      <c r="L220" s="7" t="str">
        <f>IFERROR(__xludf.DUMMYFUNCTION("""COMPUTED_VALUE"""),"Sinfão pequeno não faz a volta correta pro mal cheiro não voltar, dando mal cheiro na cozinha e corredor do andar.")</f>
        <v>Sinfão pequeno não faz a volta correta pro mal cheiro não voltar, dando mal cheiro na cozinha e corredor do andar.</v>
      </c>
      <c r="M220" s="10"/>
      <c r="N220" s="10" t="str">
        <f>IFERROR(__xludf.DUMMYFUNCTION("""COMPUTED_VALUE"""),"Realizado")</f>
        <v>Realizado</v>
      </c>
      <c r="O220" s="11">
        <f>IFERROR(__xludf.DUMMYFUNCTION("""COMPUTED_VALUE"""),45324.0)</f>
        <v>45324</v>
      </c>
      <c r="P220" s="11"/>
    </row>
    <row r="221" ht="27.0" customHeight="1">
      <c r="A221" s="7" t="str">
        <f>IFERROR(__xludf.DUMMYFUNCTION("""COMPUTED_VALUE"""),"219/2024")</f>
        <v>219/2024</v>
      </c>
      <c r="B221" s="8">
        <f>IFERROR(__xludf.DUMMYFUNCTION("""COMPUTED_VALUE"""),45323.478324675925)</f>
        <v>45323.47832</v>
      </c>
      <c r="C221" s="8" t="str">
        <f>IFERROR(__xludf.DUMMYFUNCTION("""COMPUTED_VALUE"""),"jodoligeo@ufcat.edu.br")</f>
        <v>jodoligeo@ufcat.edu.br</v>
      </c>
      <c r="D221" s="7" t="str">
        <f>IFERROR(__xludf.DUMMYFUNCTION("""COMPUTED_VALUE"""),"JOAO DONIZETE LIMA")</f>
        <v>JOAO DONIZETE LIMA</v>
      </c>
      <c r="E221" s="7">
        <f>IFERROR(__xludf.DUMMYFUNCTION("""COMPUTED_VALUE"""),5305.0)</f>
        <v>5305</v>
      </c>
      <c r="F221" s="7" t="str">
        <f>IFERROR(__xludf.DUMMYFUNCTION("""COMPUTED_VALUE"""),"IGEO")</f>
        <v>IGEO</v>
      </c>
      <c r="G221" s="9" t="str">
        <f>IFERROR(__xludf.DUMMYFUNCTION("""COMPUTED_VALUE"""),"Bloco A")</f>
        <v>Bloco A</v>
      </c>
      <c r="H221" s="7" t="str">
        <f>IFERROR(__xludf.DUMMYFUNCTION("""COMPUTED_VALUE"""),"Sala 01")</f>
        <v>Sala 01</v>
      </c>
      <c r="I221" s="7" t="str">
        <f>IFERROR(__xludf.DUMMYFUNCTION("""COMPUTED_VALUE"""),"Pequenos serviços de reparos em Marcenaria")</f>
        <v>Pequenos serviços de reparos em Marcenaria</v>
      </c>
      <c r="J221" s="7" t="str">
        <f>IFERROR(__xludf.DUMMYFUNCTION("""COMPUTED_VALUE"""),"03 Marcenaria / 29 - Outros (PRAZO DE ACORDO COM A DEMANDA)")</f>
        <v>03 Marcenaria / 29 - Outros (PRAZO DE ACORDO COM A DEMANDA)</v>
      </c>
      <c r="K221" s="7"/>
      <c r="L221" s="7" t="str">
        <f>IFERROR(__xludf.DUMMYFUNCTION("""COMPUTED_VALUE"""),"Realizar levantamento para confecção de uma caixa de madeira (MDF, Madeira, Madeirit) para os Telescópios do Instituto de Geografia. ")</f>
        <v>Realizar levantamento para confecção de uma caixa de madeira (MDF, Madeira, Madeirit) para os Telescópios do Instituto de Geografia. </v>
      </c>
      <c r="M221" s="10"/>
      <c r="N221" s="10" t="str">
        <f>IFERROR(__xludf.DUMMYFUNCTION("""COMPUTED_VALUE"""),"Realizado")</f>
        <v>Realizado</v>
      </c>
      <c r="O221" s="11">
        <f>IFERROR(__xludf.DUMMYFUNCTION("""COMPUTED_VALUE"""),45357.0)</f>
        <v>45357</v>
      </c>
      <c r="P221" s="11"/>
    </row>
    <row r="222" ht="27.0" customHeight="1">
      <c r="A222" s="7" t="str">
        <f>IFERROR(__xludf.DUMMYFUNCTION("""COMPUTED_VALUE"""),"220/2024")</f>
        <v>220/2024</v>
      </c>
      <c r="B222" s="8">
        <f>IFERROR(__xludf.DUMMYFUNCTION("""COMPUTED_VALUE"""),45323.48311164352)</f>
        <v>45323.48311</v>
      </c>
      <c r="C222" s="8" t="str">
        <f>IFERROR(__xludf.DUMMYFUNCTION("""COMPUTED_VALUE"""),"jodoligeo@ufcat.edu.br")</f>
        <v>jodoligeo@ufcat.edu.br</v>
      </c>
      <c r="D222" s="7" t="str">
        <f>IFERROR(__xludf.DUMMYFUNCTION("""COMPUTED_VALUE"""),"JOAO DONIZETE LIMA")</f>
        <v>JOAO DONIZETE LIMA</v>
      </c>
      <c r="E222" s="7">
        <f>IFERROR(__xludf.DUMMYFUNCTION("""COMPUTED_VALUE"""),5305.0)</f>
        <v>5305</v>
      </c>
      <c r="F222" s="7" t="str">
        <f>IFERROR(__xludf.DUMMYFUNCTION("""COMPUTED_VALUE"""),"IGEO")</f>
        <v>IGEO</v>
      </c>
      <c r="G222" s="9" t="str">
        <f>IFERROR(__xludf.DUMMYFUNCTION("""COMPUTED_VALUE"""),"Bloco B")</f>
        <v>Bloco B</v>
      </c>
      <c r="H222" s="7" t="str">
        <f>IFERROR(__xludf.DUMMYFUNCTION("""COMPUTED_VALUE"""),"Sala 02")</f>
        <v>Sala 02</v>
      </c>
      <c r="I222" s="7" t="str">
        <f>IFERROR(__xludf.DUMMYFUNCTION("""COMPUTED_VALUE"""),"Instalações elétricas")</f>
        <v>Instalações elétricas</v>
      </c>
      <c r="J222" s="7" t="str">
        <f>IFERROR(__xludf.DUMMYFUNCTION("""COMPUTED_VALUE"""),"04 Elétrica / 36 - Instalação de Aparelhos em geral (PRAZO DE ATÉ 15 DIAS PARA ATENDIMENTO)")</f>
        <v>04 Elétrica / 36 - Instalação de Aparelhos em geral (PRAZO DE ATÉ 15 DIAS PARA ATENDIMENTO)</v>
      </c>
      <c r="K222" s="7"/>
      <c r="L222" s="7" t="str">
        <f>IFERROR(__xludf.DUMMYFUNCTION("""COMPUTED_VALUE"""),"Reavaliar o atual suporte para DataShow")</f>
        <v>Reavaliar o atual suporte para DataShow</v>
      </c>
      <c r="M222" s="10"/>
      <c r="N222" s="10" t="str">
        <f>IFERROR(__xludf.DUMMYFUNCTION("""COMPUTED_VALUE"""),"Realizado")</f>
        <v>Realizado</v>
      </c>
      <c r="O222" s="11">
        <f>IFERROR(__xludf.DUMMYFUNCTION("""COMPUTED_VALUE"""),45344.0)</f>
        <v>45344</v>
      </c>
      <c r="P222" s="11"/>
    </row>
    <row r="223" ht="27.0" customHeight="1">
      <c r="A223" s="7" t="str">
        <f>IFERROR(__xludf.DUMMYFUNCTION("""COMPUTED_VALUE"""),"221/2024")</f>
        <v>221/2024</v>
      </c>
      <c r="B223" s="8">
        <f>IFERROR(__xludf.DUMMYFUNCTION("""COMPUTED_VALUE"""),45323.562665509264)</f>
        <v>45323.56267</v>
      </c>
      <c r="C223" s="8" t="str">
        <f>IFERROR(__xludf.DUMMYFUNCTION("""COMPUTED_VALUE"""),"beatriz.costa@ufcat.edu.br")</f>
        <v>beatriz.costa@ufcat.edu.br</v>
      </c>
      <c r="D223" s="7" t="str">
        <f>IFERROR(__xludf.DUMMYFUNCTION("""COMPUTED_VALUE"""),"Beatriz")</f>
        <v>Beatriz</v>
      </c>
      <c r="E223" s="7">
        <f>IFERROR(__xludf.DUMMYFUNCTION("""COMPUTED_VALUE"""),5369.0)</f>
        <v>5369</v>
      </c>
      <c r="F223" s="7" t="str">
        <f>IFERROR(__xludf.DUMMYFUNCTION("""COMPUTED_VALUE"""),"PROAF")</f>
        <v>PROAF</v>
      </c>
      <c r="G223" s="9" t="str">
        <f>IFERROR(__xludf.DUMMYFUNCTION("""COMPUTED_VALUE"""),"Bloco P")</f>
        <v>Bloco P</v>
      </c>
      <c r="H223" s="7" t="str">
        <f>IFERROR(__xludf.DUMMYFUNCTION("""COMPUTED_VALUE"""),"Transporte ")</f>
        <v>Transporte </v>
      </c>
      <c r="I223" s="7" t="str">
        <f>IFERROR(__xludf.DUMMYFUNCTION("""COMPUTED_VALUE"""),"Instalações Hidrossanitárias")</f>
        <v>Instalações Hidrossanitárias</v>
      </c>
      <c r="J223"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223" s="7"/>
      <c r="L223" s="7" t="str">
        <f>IFERROR(__xludf.DUMMYFUNCTION("""COMPUTED_VALUE"""),"Banheiro masculino da nova sala do transporte com vazamento de água.")</f>
        <v>Banheiro masculino da nova sala do transporte com vazamento de água.</v>
      </c>
      <c r="M223" s="10"/>
      <c r="N223" s="10" t="str">
        <f>IFERROR(__xludf.DUMMYFUNCTION("""COMPUTED_VALUE"""),"Realizado")</f>
        <v>Realizado</v>
      </c>
      <c r="O223" s="11">
        <f>IFERROR(__xludf.DUMMYFUNCTION("""COMPUTED_VALUE"""),45327.0)</f>
        <v>45327</v>
      </c>
      <c r="P223" s="11"/>
    </row>
    <row r="224" ht="27.0" customHeight="1">
      <c r="A224" s="7" t="str">
        <f>IFERROR(__xludf.DUMMYFUNCTION("""COMPUTED_VALUE"""),"222/2024")</f>
        <v>222/2024</v>
      </c>
      <c r="B224" s="8">
        <f>IFERROR(__xludf.DUMMYFUNCTION("""COMPUTED_VALUE"""),45323.56567953704)</f>
        <v>45323.56568</v>
      </c>
      <c r="C224" s="8" t="str">
        <f>IFERROR(__xludf.DUMMYFUNCTION("""COMPUTED_VALUE"""),"mariaeduarda.borges@8ufcat.edu.br")</f>
        <v>mariaeduarda.borges@8ufcat.edu.br</v>
      </c>
      <c r="D224" s="7" t="str">
        <f>IFERROR(__xludf.DUMMYFUNCTION("""COMPUTED_VALUE"""),"Maria Eduarda Silva Borges ")</f>
        <v>Maria Eduarda Silva Borges </v>
      </c>
      <c r="E224" s="7">
        <f>IFERROR(__xludf.DUMMYFUNCTION("""COMPUTED_VALUE"""),5340.0)</f>
        <v>5340</v>
      </c>
      <c r="F224" s="7" t="str">
        <f>IFERROR(__xludf.DUMMYFUNCTION("""COMPUTED_VALUE"""),"PREF")</f>
        <v>PREF</v>
      </c>
      <c r="G224" s="9" t="str">
        <f>IFERROR(__xludf.DUMMYFUNCTION("""COMPUTED_VALUE"""),"Bloco M")</f>
        <v>Bloco M</v>
      </c>
      <c r="H224" s="7" t="str">
        <f>IFERROR(__xludf.DUMMYFUNCTION("""COMPUTED_VALUE"""),"BANHEIRO MASCULINO DO TÉRREO")</f>
        <v>BANHEIRO MASCULINO DO TÉRREO</v>
      </c>
      <c r="I224" s="7" t="str">
        <f>IFERROR(__xludf.DUMMYFUNCTION("""COMPUTED_VALUE"""),"Instalações Hidrossanitárias")</f>
        <v>Instalações Hidrossanitárias</v>
      </c>
      <c r="J224"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224" s="7"/>
      <c r="L224" s="7" t="str">
        <f>IFERROR(__xludf.DUMMYFUNCTION("""COMPUTED_VALUE"""),"Vazamento na válvula de um dos mictórios, com isso foi necessário desligar o registro de água do banheiro para cessar o vazamento.")</f>
        <v>Vazamento na válvula de um dos mictórios, com isso foi necessário desligar o registro de água do banheiro para cessar o vazamento.</v>
      </c>
      <c r="M224" s="10"/>
      <c r="N224" s="10" t="str">
        <f>IFERROR(__xludf.DUMMYFUNCTION("""COMPUTED_VALUE"""),"Realizado")</f>
        <v>Realizado</v>
      </c>
      <c r="O224" s="11">
        <f>IFERROR(__xludf.DUMMYFUNCTION("""COMPUTED_VALUE"""),45327.0)</f>
        <v>45327</v>
      </c>
      <c r="P224" s="11"/>
    </row>
    <row r="225" ht="27.0" customHeight="1">
      <c r="A225" s="7" t="str">
        <f>IFERROR(__xludf.DUMMYFUNCTION("""COMPUTED_VALUE"""),"223/2024")</f>
        <v>223/2024</v>
      </c>
      <c r="B225" s="8">
        <f>IFERROR(__xludf.DUMMYFUNCTION("""COMPUTED_VALUE"""),45323.586553125)</f>
        <v>45323.58655</v>
      </c>
      <c r="C225" s="8" t="str">
        <f>IFERROR(__xludf.DUMMYFUNCTION("""COMPUTED_VALUE"""),"mariaeduarda.borges@ufcat.edu.br")</f>
        <v>mariaeduarda.borges@ufcat.edu.br</v>
      </c>
      <c r="D225" s="7" t="str">
        <f>IFERROR(__xludf.DUMMYFUNCTION("""COMPUTED_VALUE"""),"Maria Eduarda Silva Borges ")</f>
        <v>Maria Eduarda Silva Borges </v>
      </c>
      <c r="E225" s="7">
        <f>IFERROR(__xludf.DUMMYFUNCTION("""COMPUTED_VALUE"""),5340.0)</f>
        <v>5340</v>
      </c>
      <c r="F225" s="7" t="str">
        <f>IFERROR(__xludf.DUMMYFUNCTION("""COMPUTED_VALUE"""),"PREF")</f>
        <v>PREF</v>
      </c>
      <c r="G225" s="9" t="str">
        <f>IFERROR(__xludf.DUMMYFUNCTION("""COMPUTED_VALUE"""),"Bloco H")</f>
        <v>Bloco H</v>
      </c>
      <c r="H225" s="7" t="str">
        <f>IFERROR(__xludf.DUMMYFUNCTION("""COMPUTED_VALUE"""),"SALA 04")</f>
        <v>SALA 04</v>
      </c>
      <c r="I225" s="7" t="str">
        <f>IFERROR(__xludf.DUMMYFUNCTION("""COMPUTED_VALUE"""),"Pequenos serviços de reparos em Marcenaria")</f>
        <v>Pequenos serviços de reparos em Marcenaria</v>
      </c>
      <c r="J225" s="7" t="str">
        <f>IFERROR(__xludf.DUMMYFUNCTION("""COMPUTED_VALUE"""),"03 Marcenaria / 29 - Outros (PRAZO DE ACORDO COM A DEMANDA)")</f>
        <v>03 Marcenaria / 29 - Outros (PRAZO DE ACORDO COM A DEMANDA)</v>
      </c>
      <c r="K225" s="7"/>
      <c r="L225" s="7" t="str">
        <f>IFERROR(__xludf.DUMMYFUNCTION("""COMPUTED_VALUE"""),"A chave emperrou na fechadura da porta da sala 04 do Bloco H.")</f>
        <v>A chave emperrou na fechadura da porta da sala 04 do Bloco H.</v>
      </c>
      <c r="M225" s="10"/>
      <c r="N225" s="10" t="str">
        <f>IFERROR(__xludf.DUMMYFUNCTION("""COMPUTED_VALUE"""),"Realizado")</f>
        <v>Realizado</v>
      </c>
      <c r="O225" s="11">
        <f>IFERROR(__xludf.DUMMYFUNCTION("""COMPUTED_VALUE"""),45324.0)</f>
        <v>45324</v>
      </c>
      <c r="P225" s="11"/>
    </row>
    <row r="226" ht="27.0" customHeight="1">
      <c r="A226" s="7" t="str">
        <f>IFERROR(__xludf.DUMMYFUNCTION("""COMPUTED_VALUE"""),"224/2024")</f>
        <v>224/2024</v>
      </c>
      <c r="B226" s="8">
        <f>IFERROR(__xludf.DUMMYFUNCTION("""COMPUTED_VALUE"""),45323.58869444444)</f>
        <v>45323.58869</v>
      </c>
      <c r="C226" s="8" t="str">
        <f>IFERROR(__xludf.DUMMYFUNCTION("""COMPUTED_VALUE"""),"mariaeduarda.borges@ufcat.edu.br")</f>
        <v>mariaeduarda.borges@ufcat.edu.br</v>
      </c>
      <c r="D226" s="7" t="str">
        <f>IFERROR(__xludf.DUMMYFUNCTION("""COMPUTED_VALUE"""),"Maria Eduarda Silva Borges ")</f>
        <v>Maria Eduarda Silva Borges </v>
      </c>
      <c r="E226" s="7">
        <f>IFERROR(__xludf.DUMMYFUNCTION("""COMPUTED_VALUE"""),5340.0)</f>
        <v>5340</v>
      </c>
      <c r="F226" s="7" t="str">
        <f>IFERROR(__xludf.DUMMYFUNCTION("""COMPUTED_VALUE"""),"PREF")</f>
        <v>PREF</v>
      </c>
      <c r="G226" s="9" t="str">
        <f>IFERROR(__xludf.DUMMYFUNCTION("""COMPUTED_VALUE"""),"Bloco L")</f>
        <v>Bloco L</v>
      </c>
      <c r="H226" s="7" t="str">
        <f>IFERROR(__xludf.DUMMYFUNCTION("""COMPUTED_VALUE"""),"PRÓXIMO AO BLOCO L")</f>
        <v>PRÓXIMO AO BLOCO L</v>
      </c>
      <c r="I226" s="7" t="str">
        <f>IFERROR(__xludf.DUMMYFUNCTION("""COMPUTED_VALUE"""),"Reparos (alvenaria, piso, forro e telhado)")</f>
        <v>Reparos (alvenaria, piso, forro e telhado)</v>
      </c>
      <c r="J226" s="7" t="str">
        <f>IFERROR(__xludf.DUMMYFUNCTION("""COMPUTED_VALUE"""),"01 Alvenaria / 06 - Outros (PRAZO DE ATÉ 60 DIAS PARA ATENDIMENTO)")</f>
        <v>01 Alvenaria / 06 - Outros (PRAZO DE ATÉ 60 DIAS PARA ATENDIMENTO)</v>
      </c>
      <c r="K226" s="7"/>
      <c r="L226" s="7" t="str">
        <f>IFERROR(__xludf.DUMMYFUNCTION("""COMPUTED_VALUE"""),"Uma tampa de esgoto próxima ao Bloco L, pois a mesma se encontra com a sua estrutura fragilizada.")</f>
        <v>Uma tampa de esgoto próxima ao Bloco L, pois a mesma se encontra com a sua estrutura fragilizada.</v>
      </c>
      <c r="M226" s="10"/>
      <c r="N226" s="10" t="str">
        <f>IFERROR(__xludf.DUMMYFUNCTION("""COMPUTED_VALUE"""),"Realizado")</f>
        <v>Realizado</v>
      </c>
      <c r="O226" s="11">
        <f>IFERROR(__xludf.DUMMYFUNCTION("""COMPUTED_VALUE"""),45331.0)</f>
        <v>45331</v>
      </c>
      <c r="P226" s="11"/>
    </row>
    <row r="227" ht="27.0" customHeight="1">
      <c r="A227" s="7" t="str">
        <f>IFERROR(__xludf.DUMMYFUNCTION("""COMPUTED_VALUE"""),"225/2024")</f>
        <v>225/2024</v>
      </c>
      <c r="B227" s="8">
        <f>IFERROR(__xludf.DUMMYFUNCTION("""COMPUTED_VALUE"""),45323.608641203704)</f>
        <v>45323.60864</v>
      </c>
      <c r="C227" s="8" t="str">
        <f>IFERROR(__xludf.DUMMYFUNCTION("""COMPUTED_VALUE"""),"cpatri.proaf@ufcat.edu.br")</f>
        <v>cpatri.proaf@ufcat.edu.br</v>
      </c>
      <c r="D227" s="7" t="str">
        <f>IFERROR(__xludf.DUMMYFUNCTION("""COMPUTED_VALUE"""),"Lailton Martins Ribeiro")</f>
        <v>Lailton Martins Ribeiro</v>
      </c>
      <c r="E227" s="7">
        <f>IFERROR(__xludf.DUMMYFUNCTION("""COMPUTED_VALUE"""),5343.0)</f>
        <v>5343</v>
      </c>
      <c r="F227" s="7" t="str">
        <f>IFERROR(__xludf.DUMMYFUNCTION("""COMPUTED_VALUE"""),"PROAF")</f>
        <v>PROAF</v>
      </c>
      <c r="G227" s="9" t="str">
        <f>IFERROR(__xludf.DUMMYFUNCTION("""COMPUTED_VALUE"""),"Bloco Administrativo")</f>
        <v>Bloco Administrativo</v>
      </c>
      <c r="H227" s="7" t="str">
        <f>IFERROR(__xludf.DUMMYFUNCTION("""COMPUTED_VALUE"""),"S11")</f>
        <v>S11</v>
      </c>
      <c r="I227" s="7" t="str">
        <f>IFERROR(__xludf.DUMMYFUNCTION("""COMPUTED_VALUE"""),"Pequenos serviços de reparos em Marcenaria")</f>
        <v>Pequenos serviços de reparos em Marcenaria</v>
      </c>
      <c r="J227" s="7" t="str">
        <f>IFERROR(__xludf.DUMMYFUNCTION("""COMPUTED_VALUE"""),"03 Marcenaria / 24 - Conserto de Móveis (PRAZO DE ATÉ 60 DIAS PARA ATENDIMENTO)")</f>
        <v>03 Marcenaria / 24 - Conserto de Móveis (PRAZO DE ATÉ 60 DIAS PARA ATENDIMENTO)</v>
      </c>
      <c r="K227" s="7"/>
      <c r="L227" s="7" t="str">
        <f>IFERROR(__xludf.DUMMYFUNCTION("""COMPUTED_VALUE"""),"Manutenção em mesa")</f>
        <v>Manutenção em mesa</v>
      </c>
      <c r="M227" s="10"/>
      <c r="N227" s="10" t="str">
        <f>IFERROR(__xludf.DUMMYFUNCTION("""COMPUTED_VALUE"""),"Realizado")</f>
        <v>Realizado</v>
      </c>
      <c r="O227" s="11">
        <f>IFERROR(__xludf.DUMMYFUNCTION("""COMPUTED_VALUE"""),45323.0)</f>
        <v>45323</v>
      </c>
      <c r="P227" s="11"/>
    </row>
    <row r="228" ht="27.0" customHeight="1">
      <c r="A228" s="7" t="str">
        <f>IFERROR(__xludf.DUMMYFUNCTION("""COMPUTED_VALUE"""),"226/2024")</f>
        <v>226/2024</v>
      </c>
      <c r="B228" s="8">
        <f>IFERROR(__xludf.DUMMYFUNCTION("""COMPUTED_VALUE"""),45323.68868047454)</f>
        <v>45323.68868</v>
      </c>
      <c r="C228" s="8" t="str">
        <f>IFERROR(__xludf.DUMMYFUNCTION("""COMPUTED_VALUE"""),"propesq@ufcat.edu.br")</f>
        <v>propesq@ufcat.edu.br</v>
      </c>
      <c r="D228" s="7" t="str">
        <f>IFERROR(__xludf.DUMMYFUNCTION("""COMPUTED_VALUE"""),"Ludimila Campos / Moisés Fernandes Lemos")</f>
        <v>Ludimila Campos / Moisés Fernandes Lemos</v>
      </c>
      <c r="E228" s="7">
        <f>IFERROR(__xludf.DUMMYFUNCTION("""COMPUTED_VALUE"""),5357.0)</f>
        <v>5357</v>
      </c>
      <c r="F228" s="7" t="str">
        <f>IFERROR(__xludf.DUMMYFUNCTION("""COMPUTED_VALUE"""),"PROPESQ")</f>
        <v>PROPESQ</v>
      </c>
      <c r="G228" s="9" t="str">
        <f>IFERROR(__xludf.DUMMYFUNCTION("""COMPUTED_VALUE"""),"Bloco L")</f>
        <v>Bloco L</v>
      </c>
      <c r="H228" s="7" t="str">
        <f>IFERROR(__xludf.DUMMYFUNCTION("""COMPUTED_VALUE"""),"Sala 107")</f>
        <v>Sala 107</v>
      </c>
      <c r="I228" s="7" t="str">
        <f>IFERROR(__xludf.DUMMYFUNCTION("""COMPUTED_VALUE"""),"Pequenos serviços de reparos em Marcenaria")</f>
        <v>Pequenos serviços de reparos em Marcenaria</v>
      </c>
      <c r="J228" s="7" t="str">
        <f>IFERROR(__xludf.DUMMYFUNCTION("""COMPUTED_VALUE"""),"01 Alvenaria / 06 - Outros (PRAZO DE ATÉ 60 DIAS PARA ATENDIMENTO)")</f>
        <v>01 Alvenaria / 06 - Outros (PRAZO DE ATÉ 60 DIAS PARA ATENDIMENTO)</v>
      </c>
      <c r="K228" s="7"/>
      <c r="L228" s="7" t="str">
        <f>IFERROR(__xludf.DUMMYFUNCTION("""COMPUTED_VALUE"""),"Instalar, fixar quadro de madeira ")</f>
        <v>Instalar, fixar quadro de madeira </v>
      </c>
      <c r="M228" s="10"/>
      <c r="N228" s="10" t="str">
        <f>IFERROR(__xludf.DUMMYFUNCTION("""COMPUTED_VALUE"""),"Realizado")</f>
        <v>Realizado</v>
      </c>
      <c r="O228" s="11">
        <f>IFERROR(__xludf.DUMMYFUNCTION("""COMPUTED_VALUE"""),45327.0)</f>
        <v>45327</v>
      </c>
      <c r="P228" s="11"/>
    </row>
    <row r="229" ht="27.0" customHeight="1">
      <c r="A229" s="7" t="str">
        <f>IFERROR(__xludf.DUMMYFUNCTION("""COMPUTED_VALUE"""),"227/2024")</f>
        <v>227/2024</v>
      </c>
      <c r="B229" s="8">
        <f>IFERROR(__xludf.DUMMYFUNCTION("""COMPUTED_VALUE"""),45323.69359778935)</f>
        <v>45323.6936</v>
      </c>
      <c r="C229" s="8" t="str">
        <f>IFERROR(__xludf.DUMMYFUNCTION("""COMPUTED_VALUE"""),"propesq@ufcat.edu.br")</f>
        <v>propesq@ufcat.edu.br</v>
      </c>
      <c r="D229" s="7" t="str">
        <f>IFERROR(__xludf.DUMMYFUNCTION("""COMPUTED_VALUE"""),"Ludimila Campos / Thiago Ribeiro")</f>
        <v>Ludimila Campos / Thiago Ribeiro</v>
      </c>
      <c r="E229" s="7">
        <f>IFERROR(__xludf.DUMMYFUNCTION("""COMPUTED_VALUE"""),5357.0)</f>
        <v>5357</v>
      </c>
      <c r="F229" s="7" t="str">
        <f>IFERROR(__xludf.DUMMYFUNCTION("""COMPUTED_VALUE"""),"PROPESQ")</f>
        <v>PROPESQ</v>
      </c>
      <c r="G229" s="9" t="str">
        <f>IFERROR(__xludf.DUMMYFUNCTION("""COMPUTED_VALUE"""),"Bloco L")</f>
        <v>Bloco L</v>
      </c>
      <c r="H229" s="7" t="str">
        <f>IFERROR(__xludf.DUMMYFUNCTION("""COMPUTED_VALUE"""),"Sala 108")</f>
        <v>Sala 108</v>
      </c>
      <c r="I229" s="7" t="str">
        <f>IFERROR(__xludf.DUMMYFUNCTION("""COMPUTED_VALUE"""),"Instalações elétricas")</f>
        <v>Instalações elétricas</v>
      </c>
      <c r="J229" s="7" t="str">
        <f>IFERROR(__xludf.DUMMYFUNCTION("""COMPUTED_VALUE"""),"04 Elétrica / 37 - Outros (PRAZO DE ACORDO COM A DEMANDA)")</f>
        <v>04 Elétrica / 37 - Outros (PRAZO DE ACORDO COM A DEMANDA)</v>
      </c>
      <c r="K229" s="7"/>
      <c r="L229" s="7" t="str">
        <f>IFERROR(__xludf.DUMMYFUNCTION("""COMPUTED_VALUE"""),"Fixar, colar tampa das tomadas")</f>
        <v>Fixar, colar tampa das tomadas</v>
      </c>
      <c r="M229" s="10"/>
      <c r="N229" s="10" t="str">
        <f>IFERROR(__xludf.DUMMYFUNCTION("""COMPUTED_VALUE"""),"Realizado")</f>
        <v>Realizado</v>
      </c>
      <c r="O229" s="11">
        <f>IFERROR(__xludf.DUMMYFUNCTION("""COMPUTED_VALUE"""),45337.0)</f>
        <v>45337</v>
      </c>
      <c r="P229" s="11"/>
    </row>
    <row r="230" ht="27.0" customHeight="1">
      <c r="A230" s="7" t="str">
        <f>IFERROR(__xludf.DUMMYFUNCTION("""COMPUTED_VALUE"""),"228/2024")</f>
        <v>228/2024</v>
      </c>
      <c r="B230" s="8">
        <f>IFERROR(__xludf.DUMMYFUNCTION("""COMPUTED_VALUE"""),45324.317306909725)</f>
        <v>45324.31731</v>
      </c>
      <c r="C230" s="8" t="str">
        <f>IFERROR(__xludf.DUMMYFUNCTION("""COMPUTED_VALUE"""),"secretariafae@ufcat.edu.br")</f>
        <v>secretariafae@ufcat.edu.br</v>
      </c>
      <c r="D230" s="7" t="str">
        <f>IFERROR(__xludf.DUMMYFUNCTION("""COMPUTED_VALUE"""),"Bárbara")</f>
        <v>Bárbara</v>
      </c>
      <c r="E230" s="7">
        <f>IFERROR(__xludf.DUMMYFUNCTION("""COMPUTED_VALUE"""),5308.0)</f>
        <v>5308</v>
      </c>
      <c r="F230" s="7" t="str">
        <f>IFERROR(__xludf.DUMMYFUNCTION("""COMPUTED_VALUE"""),"FAE")</f>
        <v>FAE</v>
      </c>
      <c r="G230" s="9" t="str">
        <f>IFERROR(__xludf.DUMMYFUNCTION("""COMPUTED_VALUE"""),"Bloco H")</f>
        <v>Bloco H</v>
      </c>
      <c r="H230" s="7" t="str">
        <f>IFERROR(__xludf.DUMMYFUNCTION("""COMPUTED_VALUE"""),"gabinete 1 sala 2")</f>
        <v>gabinete 1 sala 2</v>
      </c>
      <c r="I230" s="7" t="str">
        <f>IFERROR(__xludf.DUMMYFUNCTION("""COMPUTED_VALUE"""),"Pequenos serviços de reparos em Marcenaria")</f>
        <v>Pequenos serviços de reparos em Marcenaria</v>
      </c>
      <c r="J230" s="7" t="str">
        <f>IFERROR(__xludf.DUMMYFUNCTION("""COMPUTED_VALUE"""),"03 Marcenaria / 28 -Troca de Fechaduras (PRAZO DE ATÉ 15 DIAS PARA ATENDIMENTO)")</f>
        <v>03 Marcenaria / 28 -Troca de Fechaduras (PRAZO DE ATÉ 15 DIAS PARA ATENDIMENTO)</v>
      </c>
      <c r="K230" s="7"/>
      <c r="L230" s="7" t="str">
        <f>IFERROR(__xludf.DUMMYFUNCTION("""COMPUTED_VALUE"""),"porta não tranca ")</f>
        <v>porta não tranca </v>
      </c>
      <c r="M230" s="10"/>
      <c r="N230" s="10" t="str">
        <f>IFERROR(__xludf.DUMMYFUNCTION("""COMPUTED_VALUE"""),"Realizado")</f>
        <v>Realizado</v>
      </c>
      <c r="O230" s="11">
        <f>IFERROR(__xludf.DUMMYFUNCTION("""COMPUTED_VALUE"""),45324.0)</f>
        <v>45324</v>
      </c>
      <c r="P230" s="11"/>
    </row>
    <row r="231" ht="27.0" customHeight="1">
      <c r="A231" s="7" t="str">
        <f>IFERROR(__xludf.DUMMYFUNCTION("""COMPUTED_VALUE"""),"229/2024")</f>
        <v>229/2024</v>
      </c>
      <c r="B231" s="8">
        <f>IFERROR(__xludf.DUMMYFUNCTION("""COMPUTED_VALUE"""),45324.32144679398)</f>
        <v>45324.32145</v>
      </c>
      <c r="C231" s="8" t="str">
        <f>IFERROR(__xludf.DUMMYFUNCTION("""COMPUTED_VALUE"""),"secretariafae@ufcat.edu.br")</f>
        <v>secretariafae@ufcat.edu.br</v>
      </c>
      <c r="D231" s="7" t="str">
        <f>IFERROR(__xludf.DUMMYFUNCTION("""COMPUTED_VALUE"""),"Bárbara")</f>
        <v>Bárbara</v>
      </c>
      <c r="E231" s="7">
        <f>IFERROR(__xludf.DUMMYFUNCTION("""COMPUTED_VALUE"""),5308.0)</f>
        <v>5308</v>
      </c>
      <c r="F231" s="7" t="str">
        <f>IFERROR(__xludf.DUMMYFUNCTION("""COMPUTED_VALUE"""),"FAE")</f>
        <v>FAE</v>
      </c>
      <c r="G231" s="9" t="str">
        <f>IFERROR(__xludf.DUMMYFUNCTION("""COMPUTED_VALUE"""),"Bloco I")</f>
        <v>Bloco I</v>
      </c>
      <c r="H231" s="7" t="str">
        <f>IFERROR(__xludf.DUMMYFUNCTION("""COMPUTED_VALUE"""),"laboratorio , sala 4")</f>
        <v>laboratorio , sala 4</v>
      </c>
      <c r="I231" s="7" t="str">
        <f>IFERROR(__xludf.DUMMYFUNCTION("""COMPUTED_VALUE"""),"Pequenos serviços de reparos em Marcenaria")</f>
        <v>Pequenos serviços de reparos em Marcenaria</v>
      </c>
      <c r="J231" s="7" t="str">
        <f>IFERROR(__xludf.DUMMYFUNCTION("""COMPUTED_VALUE"""),"03 Marcenaria / 28 -Troca de Fechaduras (PRAZO DE ATÉ 15 DIAS PARA ATENDIMENTO)")</f>
        <v>03 Marcenaria / 28 -Troca de Fechaduras (PRAZO DE ATÉ 15 DIAS PARA ATENDIMENTO)</v>
      </c>
      <c r="K231" s="7"/>
      <c r="L231" s="7" t="str">
        <f>IFERROR(__xludf.DUMMYFUNCTION("""COMPUTED_VALUE"""),"chave não gira ")</f>
        <v>chave não gira </v>
      </c>
      <c r="M231" s="10"/>
      <c r="N231" s="10" t="str">
        <f>IFERROR(__xludf.DUMMYFUNCTION("""COMPUTED_VALUE"""),"Realizado")</f>
        <v>Realizado</v>
      </c>
      <c r="O231" s="11">
        <f>IFERROR(__xludf.DUMMYFUNCTION("""COMPUTED_VALUE"""),45324.0)</f>
        <v>45324</v>
      </c>
      <c r="P231" s="11"/>
    </row>
    <row r="232" ht="27.0" customHeight="1">
      <c r="A232" s="7" t="str">
        <f>IFERROR(__xludf.DUMMYFUNCTION("""COMPUTED_VALUE"""),"230/2024")</f>
        <v>230/2024</v>
      </c>
      <c r="B232" s="8">
        <f>IFERROR(__xludf.DUMMYFUNCTION("""COMPUTED_VALUE"""),45327.38157452546)</f>
        <v>45327.38157</v>
      </c>
      <c r="C232" s="8" t="str">
        <f>IFERROR(__xludf.DUMMYFUNCTION("""COMPUTED_VALUE"""),"cinara.martins@ufcat.edu.br")</f>
        <v>cinara.martins@ufcat.edu.br</v>
      </c>
      <c r="D232" s="7" t="str">
        <f>IFERROR(__xludf.DUMMYFUNCTION("""COMPUTED_VALUE"""),"Cinara Martins")</f>
        <v>Cinara Martins</v>
      </c>
      <c r="E232" s="7" t="str">
        <f>IFERROR(__xludf.DUMMYFUNCTION("""COMPUTED_VALUE"""),"(64) 98406-7434")</f>
        <v>(64) 98406-7434</v>
      </c>
      <c r="F232" s="7" t="str">
        <f>IFERROR(__xludf.DUMMYFUNCTION("""COMPUTED_VALUE"""),"PRPE")</f>
        <v>PRPE</v>
      </c>
      <c r="G232" s="9" t="str">
        <f>IFERROR(__xludf.DUMMYFUNCTION("""COMPUTED_VALUE"""),"Bloco Administrativo")</f>
        <v>Bloco Administrativo</v>
      </c>
      <c r="H232" s="7" t="str">
        <f>IFERROR(__xludf.DUMMYFUNCTION("""COMPUTED_VALUE"""),"103 - 104 e 105")</f>
        <v>103 - 104 e 105</v>
      </c>
      <c r="I232" s="7" t="str">
        <f>IFERROR(__xludf.DUMMYFUNCTION("""COMPUTED_VALUE"""),"Pequenos serviços de reparos em Marcenaria")</f>
        <v>Pequenos serviços de reparos em Marcenaria</v>
      </c>
      <c r="J232" s="7" t="str">
        <f>IFERROR(__xludf.DUMMYFUNCTION("""COMPUTED_VALUE"""),"03 Marcenaria / 29 - Outros (PRAZO DE ACORDO COM A DEMANDA)")</f>
        <v>03 Marcenaria / 29 - Outros (PRAZO DE ACORDO COM A DEMANDA)</v>
      </c>
      <c r="K232" s="7"/>
      <c r="L232" s="7" t="str">
        <f>IFERROR(__xludf.DUMMYFUNCTION("""COMPUTED_VALUE"""),"Colocar fixador de porta de pressão, no piso")</f>
        <v>Colocar fixador de porta de pressão, no piso</v>
      </c>
      <c r="M232" s="10"/>
      <c r="N232" s="10" t="str">
        <f>IFERROR(__xludf.DUMMYFUNCTION("""COMPUTED_VALUE"""),"Realizado")</f>
        <v>Realizado</v>
      </c>
      <c r="O232" s="11">
        <f>IFERROR(__xludf.DUMMYFUNCTION("""COMPUTED_VALUE"""),45330.0)</f>
        <v>45330</v>
      </c>
      <c r="P232" s="11"/>
    </row>
    <row r="233" ht="27.0" customHeight="1">
      <c r="A233" s="7" t="str">
        <f>IFERROR(__xludf.DUMMYFUNCTION("""COMPUTED_VALUE"""),"231/2024")</f>
        <v>231/2024</v>
      </c>
      <c r="B233" s="8">
        <f>IFERROR(__xludf.DUMMYFUNCTION("""COMPUTED_VALUE"""),45327.3907541088)</f>
        <v>45327.39075</v>
      </c>
      <c r="C233" s="8" t="str">
        <f>IFERROR(__xludf.DUMMYFUNCTION("""COMPUTED_VALUE"""),"mariaeduarda.borges@ufcat.edu.br")</f>
        <v>mariaeduarda.borges@ufcat.edu.br</v>
      </c>
      <c r="D233" s="7" t="str">
        <f>IFERROR(__xludf.DUMMYFUNCTION("""COMPUTED_VALUE"""),"Maria Eduarda Silva Borges ")</f>
        <v>Maria Eduarda Silva Borges </v>
      </c>
      <c r="E233" s="7">
        <f>IFERROR(__xludf.DUMMYFUNCTION("""COMPUTED_VALUE"""),5340.0)</f>
        <v>5340</v>
      </c>
      <c r="F233" s="7" t="str">
        <f>IFERROR(__xludf.DUMMYFUNCTION("""COMPUTED_VALUE"""),"PREF")</f>
        <v>PREF</v>
      </c>
      <c r="G233" s="9" t="str">
        <f>IFERROR(__xludf.DUMMYFUNCTION("""COMPUTED_VALUE"""),"Bloco B")</f>
        <v>Bloco B</v>
      </c>
      <c r="H233" s="7" t="str">
        <f>IFERROR(__xludf.DUMMYFUNCTION("""COMPUTED_VALUE"""),"SALA 4")</f>
        <v>SALA 4</v>
      </c>
      <c r="I233" s="7" t="str">
        <f>IFERROR(__xludf.DUMMYFUNCTION("""COMPUTED_VALUE"""),"Pequenos serviços de reparos em Marcenaria")</f>
        <v>Pequenos serviços de reparos em Marcenaria</v>
      </c>
      <c r="J233" s="7" t="str">
        <f>IFERROR(__xludf.DUMMYFUNCTION("""COMPUTED_VALUE"""),"03 Marcenaria / 29 - Outros (PRAZO DE ACORDO COM A DEMANDA)")</f>
        <v>03 Marcenaria / 29 - Outros (PRAZO DE ACORDO COM A DEMANDA)</v>
      </c>
      <c r="K233" s="7"/>
      <c r="L233" s="7" t="str">
        <f>IFERROR(__xludf.DUMMYFUNCTION("""COMPUTED_VALUE"""),"Durante a ronda no perímetro, identificou a porta da sala 4 do bloco B (Getem Núcleo de Pesquisa Geografia, Trabalho e Movimentos Sociais) estava aberta, ao que parece ao tentar fechar a mesma a pessoa não encostou a porta por completo mesmo girando a cha"&amp;"ve não fechou.")</f>
        <v>Durante a ronda no perímetro, identificou a porta da sala 4 do bloco B (Getem Núcleo de Pesquisa Geografia, Trabalho e Movimentos Sociais) estava aberta, ao que parece ao tentar fechar a mesma a pessoa não encostou a porta por completo mesmo girando a chave não fechou.</v>
      </c>
      <c r="M233" s="10"/>
      <c r="N233" s="10" t="str">
        <f>IFERROR(__xludf.DUMMYFUNCTION("""COMPUTED_VALUE"""),"Realizado")</f>
        <v>Realizado</v>
      </c>
      <c r="O233" s="11">
        <f>IFERROR(__xludf.DUMMYFUNCTION("""COMPUTED_VALUE"""),45338.0)</f>
        <v>45338</v>
      </c>
      <c r="P233" s="11"/>
    </row>
    <row r="234" ht="27.0" customHeight="1">
      <c r="A234" s="7" t="str">
        <f>IFERROR(__xludf.DUMMYFUNCTION("""COMPUTED_VALUE"""),"232/2024")</f>
        <v>232/2024</v>
      </c>
      <c r="B234" s="8">
        <f>IFERROR(__xludf.DUMMYFUNCTION("""COMPUTED_VALUE"""),45327.39240877314)</f>
        <v>45327.39241</v>
      </c>
      <c r="C234" s="8" t="str">
        <f>IFERROR(__xludf.DUMMYFUNCTION("""COMPUTED_VALUE"""),"mariaeduarda.borges@ufcat.edu.br")</f>
        <v>mariaeduarda.borges@ufcat.edu.br</v>
      </c>
      <c r="D234" s="7" t="str">
        <f>IFERROR(__xludf.DUMMYFUNCTION("""COMPUTED_VALUE"""),"Maria Eduarda Silva Borges ")</f>
        <v>Maria Eduarda Silva Borges </v>
      </c>
      <c r="E234" s="7">
        <f>IFERROR(__xludf.DUMMYFUNCTION("""COMPUTED_VALUE"""),5340.0)</f>
        <v>5340</v>
      </c>
      <c r="F234" s="7" t="str">
        <f>IFERROR(__xludf.DUMMYFUNCTION("""COMPUTED_VALUE"""),"PREF")</f>
        <v>PREF</v>
      </c>
      <c r="G234" s="9" t="str">
        <f>IFERROR(__xludf.DUMMYFUNCTION("""COMPUTED_VALUE"""),"Bloco M")</f>
        <v>Bloco M</v>
      </c>
      <c r="H234" s="7" t="str">
        <f>IFERROR(__xludf.DUMMYFUNCTION("""COMPUTED_VALUE"""),"AO LADO DO BLOCO M.")</f>
        <v>AO LADO DO BLOCO M.</v>
      </c>
      <c r="I234" s="7" t="str">
        <f>IFERROR(__xludf.DUMMYFUNCTION("""COMPUTED_VALUE"""),"Instalações elétricas")</f>
        <v>Instalações elétricas</v>
      </c>
      <c r="J234" s="7" t="str">
        <f>IFERROR(__xludf.DUMMYFUNCTION("""COMPUTED_VALUE"""),"04 Elétrica / 31 - Iluminação Externa (PRAZO DE ATÉ 15 DIAS PARA ATENDIMENTO)")</f>
        <v>04 Elétrica / 31 - Iluminação Externa (PRAZO DE ATÉ 15 DIAS PARA ATENDIMENTO)</v>
      </c>
      <c r="K234" s="7"/>
      <c r="L234" s="7" t="str">
        <f>IFERROR(__xludf.DUMMYFUNCTION("""COMPUTED_VALUE"""),"Uma das lâmpadas das luminárias ao lado do bloco M toda quebrada no chão podendo machucar alguém e a noite podendo dificultar a visão por conta que não tem claridade. Peço por gentileza que alguém responsável possa corrigir esse problema para que não haja"&amp;" nenhum problema maior .")</f>
        <v>Uma das lâmpadas das luminárias ao lado do bloco M toda quebrada no chão podendo machucar alguém e a noite podendo dificultar a visão por conta que não tem claridade. Peço por gentileza que alguém responsável possa corrigir esse problema para que não haja nenhum problema maior .</v>
      </c>
      <c r="M234" s="10"/>
      <c r="N234" s="10" t="str">
        <f>IFERROR(__xludf.DUMMYFUNCTION("""COMPUTED_VALUE"""),"Realizado")</f>
        <v>Realizado</v>
      </c>
      <c r="O234" s="11">
        <f>IFERROR(__xludf.DUMMYFUNCTION("""COMPUTED_VALUE"""),45341.0)</f>
        <v>45341</v>
      </c>
      <c r="P234" s="11"/>
    </row>
    <row r="235" ht="27.0" customHeight="1">
      <c r="A235" s="7" t="str">
        <f>IFERROR(__xludf.DUMMYFUNCTION("""COMPUTED_VALUE"""),"233/2024")</f>
        <v>233/2024</v>
      </c>
      <c r="B235" s="8">
        <f>IFERROR(__xludf.DUMMYFUNCTION("""COMPUTED_VALUE"""),45327.393716875)</f>
        <v>45327.39372</v>
      </c>
      <c r="C235" s="8" t="str">
        <f>IFERROR(__xludf.DUMMYFUNCTION("""COMPUTED_VALUE"""),"julio_pituba@ufcat.edu.br")</f>
        <v>julio_pituba@ufcat.edu.br</v>
      </c>
      <c r="D235" s="7" t="str">
        <f>IFERROR(__xludf.DUMMYFUNCTION("""COMPUTED_VALUE"""),"José Julio de Cerqueira Pituba")</f>
        <v>José Julio de Cerqueira Pituba</v>
      </c>
      <c r="E235" s="7" t="str">
        <f>IFERROR(__xludf.DUMMYFUNCTION("""COMPUTED_VALUE"""),"(64)999344232")</f>
        <v>(64)999344232</v>
      </c>
      <c r="F235" s="7" t="str">
        <f>IFERROR(__xludf.DUMMYFUNCTION("""COMPUTED_VALUE"""),"FENG - Engenharia Civil")</f>
        <v>FENG - Engenharia Civil</v>
      </c>
      <c r="G235" s="9" t="str">
        <f>IFERROR(__xludf.DUMMYFUNCTION("""COMPUTED_VALUE"""),"Bloco O")</f>
        <v>Bloco O</v>
      </c>
      <c r="H235" s="7" t="str">
        <f>IFERROR(__xludf.DUMMYFUNCTION("""COMPUTED_VALUE"""),"06 - sala Prof José Julio de Cerqueira Pituba / térreo")</f>
        <v>06 - sala Prof José Julio de Cerqueira Pituba / térreo</v>
      </c>
      <c r="I235" s="7" t="str">
        <f>IFERROR(__xludf.DUMMYFUNCTION("""COMPUTED_VALUE"""),"Vidraçaria ")</f>
        <v>Vidraçaria </v>
      </c>
      <c r="J235" s="7" t="str">
        <f>IFERROR(__xludf.DUMMYFUNCTION("""COMPUTED_VALUE"""),"07 Vidraçaria / 50 - Trava interna janela (PRAZO DE ATÉ 60 DIAS PARA ATENDIMENTO)")</f>
        <v>07 Vidraçaria / 50 - Trava interna janela (PRAZO DE ATÉ 60 DIAS PARA ATENDIMENTO)</v>
      </c>
      <c r="K235" s="7"/>
      <c r="L235" s="7" t="str">
        <f>IFERROR(__xludf.DUMMYFUNCTION("""COMPUTED_VALUE"""),"Necessidade de reposicionar a trava da janela e/ou realinhar a esquadria de alumínio, pois a mesma não está fechando (casando com a parte fixa). ")</f>
        <v>Necessidade de reposicionar a trava da janela e/ou realinhar a esquadria de alumínio, pois a mesma não está fechando (casando com a parte fixa). </v>
      </c>
      <c r="M235" s="10"/>
      <c r="N235" s="10" t="str">
        <f>IFERROR(__xludf.DUMMYFUNCTION("""COMPUTED_VALUE"""),"Realizado")</f>
        <v>Realizado</v>
      </c>
      <c r="O235" s="11">
        <f>IFERROR(__xludf.DUMMYFUNCTION("""COMPUTED_VALUE"""),45328.0)</f>
        <v>45328</v>
      </c>
      <c r="P235" s="11"/>
    </row>
    <row r="236" ht="27.0" customHeight="1">
      <c r="A236" s="7" t="str">
        <f>IFERROR(__xludf.DUMMYFUNCTION("""COMPUTED_VALUE"""),"234/2024")</f>
        <v>234/2024</v>
      </c>
      <c r="B236" s="8">
        <f>IFERROR(__xludf.DUMMYFUNCTION("""COMPUTED_VALUE"""),45327.42231165509)</f>
        <v>45327.42231</v>
      </c>
      <c r="C236" s="8" t="str">
        <f>IFERROR(__xludf.DUMMYFUNCTION("""COMPUTED_VALUE"""),"aninhasantosbio@ufcat.edu.br")</f>
        <v>aninhasantosbio@ufcat.edu.br</v>
      </c>
      <c r="D236" s="7" t="str">
        <f>IFERROR(__xludf.DUMMYFUNCTION("""COMPUTED_VALUE"""),"Ana Lucia Santos")</f>
        <v>Ana Lucia Santos</v>
      </c>
      <c r="E236" s="7">
        <f>IFERROR(__xludf.DUMMYFUNCTION("""COMPUTED_VALUE"""),9.81020638E8)</f>
        <v>981020638</v>
      </c>
      <c r="F236" s="7" t="str">
        <f>IFERROR(__xludf.DUMMYFUNCTION("""COMPUTED_VALUE"""),"IBIOTEC - Ciências Biológicas")</f>
        <v>IBIOTEC - Ciências Biológicas</v>
      </c>
      <c r="G236" s="9" t="str">
        <f>IFERROR(__xludf.DUMMYFUNCTION("""COMPUTED_VALUE"""),"Bloco N")</f>
        <v>Bloco N</v>
      </c>
      <c r="H236" s="7" t="str">
        <f>IFERROR(__xludf.DUMMYFUNCTION("""COMPUTED_VALUE"""),"Bebedouro do corredor de 2° piso")</f>
        <v>Bebedouro do corredor de 2° piso</v>
      </c>
      <c r="I236" s="7" t="str">
        <f>IFERROR(__xludf.DUMMYFUNCTION("""COMPUTED_VALUE"""),"Instalações Hidrossanitárias")</f>
        <v>Instalações Hidrossanitárias</v>
      </c>
      <c r="J236" s="7" t="str">
        <f>IFERROR(__xludf.DUMMYFUNCTION("""COMPUTED_VALUE"""),"02 Hidráulica / 20 - Vazamento em bebedouros (PRAZO DE 1 a 5 DIAS PARA ATENDIMENTO)")</f>
        <v>02 Hidráulica / 20 - Vazamento em bebedouros (PRAZO DE 1 a 5 DIAS PARA ATENDIMENTO)</v>
      </c>
      <c r="K236" s="7"/>
      <c r="L236" s="7" t="str">
        <f>IFERROR(__xludf.DUMMYFUNCTION("""COMPUTED_VALUE"""),"O bebedouro do 2° piso está com a mangueira furada. Quando acionado, há vazamento.")</f>
        <v>O bebedouro do 2° piso está com a mangueira furada. Quando acionado, há vazamento.</v>
      </c>
      <c r="M236" s="10"/>
      <c r="N236" s="10" t="str">
        <f>IFERROR(__xludf.DUMMYFUNCTION("""COMPUTED_VALUE"""),"Realizado")</f>
        <v>Realizado</v>
      </c>
      <c r="O236" s="11">
        <f>IFERROR(__xludf.DUMMYFUNCTION("""COMPUTED_VALUE"""),45331.0)</f>
        <v>45331</v>
      </c>
      <c r="P236" s="11"/>
    </row>
    <row r="237" ht="27.0" customHeight="1">
      <c r="A237" s="7" t="str">
        <f>IFERROR(__xludf.DUMMYFUNCTION("""COMPUTED_VALUE"""),"235/2024")</f>
        <v>235/2024</v>
      </c>
      <c r="B237" s="8">
        <f>IFERROR(__xludf.DUMMYFUNCTION("""COMPUTED_VALUE"""),45327.45911211806)</f>
        <v>45327.45911</v>
      </c>
      <c r="C237" s="8" t="str">
        <f>IFERROR(__xludf.DUMMYFUNCTION("""COMPUTED_VALUE"""),"jordanaaguiar@ufcat.edu.br")</f>
        <v>jordanaaguiar@ufcat.edu.br</v>
      </c>
      <c r="D237" s="7" t="str">
        <f>IFERROR(__xludf.DUMMYFUNCTION("""COMPUTED_VALUE"""),"Jordana Alves de Aguiar")</f>
        <v>Jordana Alves de Aguiar</v>
      </c>
      <c r="E237" s="7" t="str">
        <f>IFERROR(__xludf.DUMMYFUNCTION("""COMPUTED_VALUE"""),"(64) 99929-0617")</f>
        <v>(64) 99929-0617</v>
      </c>
      <c r="F237" s="7" t="str">
        <f>IFERROR(__xludf.DUMMYFUNCTION("""COMPUTED_VALUE"""),"PRPE")</f>
        <v>PRPE</v>
      </c>
      <c r="G237" s="9" t="str">
        <f>IFERROR(__xludf.DUMMYFUNCTION("""COMPUTED_VALUE"""),"Bloco Administrativo")</f>
        <v>Bloco Administrativo</v>
      </c>
      <c r="H237" s="7">
        <f>IFERROR(__xludf.DUMMYFUNCTION("""COMPUTED_VALUE"""),101.0)</f>
        <v>101</v>
      </c>
      <c r="I237" s="7" t="str">
        <f>IFERROR(__xludf.DUMMYFUNCTION("""COMPUTED_VALUE"""),"Reparos (alvenaria, piso, forro e telhado)")</f>
        <v>Reparos (alvenaria, piso, forro e telhado)</v>
      </c>
      <c r="J237" s="7" t="str">
        <f>IFERROR(__xludf.DUMMYFUNCTION("""COMPUTED_VALUE"""),"01 Alvenaria / 06 - Outros (PRAZO DE ATÉ 60 DIAS PARA ATENDIMENTO)")</f>
        <v>01 Alvenaria / 06 - Outros (PRAZO DE ATÉ 60 DIAS PARA ATENDIMENTO)</v>
      </c>
      <c r="K237" s="7"/>
      <c r="L237" s="7" t="str">
        <f>IFERROR(__xludf.DUMMYFUNCTION("""COMPUTED_VALUE"""),"Prezados/as, bom dia!
Gostaria que verificassem se é possível abrir uma ""porta"" (sem colocar a porta), entre as salas 101 e 102 ou entre a sala 101 e 103. ")</f>
        <v>Prezados/as, bom dia!
Gostaria que verificassem se é possível abrir uma "porta" (sem colocar a porta), entre as salas 101 e 102 ou entre a sala 101 e 103. </v>
      </c>
      <c r="M237" s="10"/>
      <c r="N237" s="10" t="str">
        <f>IFERROR(__xludf.DUMMYFUNCTION("""COMPUTED_VALUE"""),"Realizado")</f>
        <v>Realizado</v>
      </c>
      <c r="O237" s="11">
        <f>IFERROR(__xludf.DUMMYFUNCTION("""COMPUTED_VALUE"""),45337.0)</f>
        <v>45337</v>
      </c>
      <c r="P237" s="11"/>
    </row>
    <row r="238" ht="27.0" customHeight="1">
      <c r="A238" s="7" t="str">
        <f>IFERROR(__xludf.DUMMYFUNCTION("""COMPUTED_VALUE"""),"236/2024")</f>
        <v>236/2024</v>
      </c>
      <c r="B238" s="8">
        <f>IFERROR(__xludf.DUMMYFUNCTION("""COMPUTED_VALUE"""),45327.59692792824)</f>
        <v>45327.59693</v>
      </c>
      <c r="C238" s="8" t="str">
        <f>IFERROR(__xludf.DUMMYFUNCTION("""COMPUTED_VALUE"""),"secretariafae@ufcat.edu.br")</f>
        <v>secretariafae@ufcat.edu.br</v>
      </c>
      <c r="D238" s="7" t="str">
        <f>IFERROR(__xludf.DUMMYFUNCTION("""COMPUTED_VALUE"""),"Bárbara")</f>
        <v>Bárbara</v>
      </c>
      <c r="E238" s="7">
        <f>IFERROR(__xludf.DUMMYFUNCTION("""COMPUTED_VALUE"""),5308.0)</f>
        <v>5308</v>
      </c>
      <c r="F238" s="7" t="str">
        <f>IFERROR(__xludf.DUMMYFUNCTION("""COMPUTED_VALUE"""),"FAE")</f>
        <v>FAE</v>
      </c>
      <c r="G238" s="9" t="str">
        <f>IFERROR(__xludf.DUMMYFUNCTION("""COMPUTED_VALUE"""),"Didatico I")</f>
        <v>Didatico I</v>
      </c>
      <c r="H238" s="7" t="str">
        <f>IFERROR(__xludf.DUMMYFUNCTION("""COMPUTED_VALUE"""),"Gabinete 2, sala C ")</f>
        <v>Gabinete 2, sala C </v>
      </c>
      <c r="I238" s="7" t="str">
        <f>IFERROR(__xludf.DUMMYFUNCTION("""COMPUTED_VALUE"""),"Pequenos serviços de reparos em Marcenaria")</f>
        <v>Pequenos serviços de reparos em Marcenaria</v>
      </c>
      <c r="J238" s="7" t="str">
        <f>IFERROR(__xludf.DUMMYFUNCTION("""COMPUTED_VALUE"""),"03 Marcenaria / 28 -Troca de Fechaduras (PRAZO DE ATÉ 15 DIAS PARA ATENDIMENTO)")</f>
        <v>03 Marcenaria / 28 -Troca de Fechaduras (PRAZO DE ATÉ 15 DIAS PARA ATENDIMENTO)</v>
      </c>
      <c r="K238" s="7"/>
      <c r="L238" s="7" t="str">
        <f>IFERROR(__xludf.DUMMYFUNCTION("""COMPUTED_VALUE"""),"A professora Cida Almeida relatou que está tentando abrir a sala desde terça-feira passada, porém sem sucesso. Hoje novamente tentou abrir a sala e não conseguiu, disse que a chave fica girando. ")</f>
        <v>A professora Cida Almeida relatou que está tentando abrir a sala desde terça-feira passada, porém sem sucesso. Hoje novamente tentou abrir a sala e não conseguiu, disse que a chave fica girando. </v>
      </c>
      <c r="M238" s="10"/>
      <c r="N238" s="10" t="str">
        <f>IFERROR(__xludf.DUMMYFUNCTION("""COMPUTED_VALUE"""),"Realizado")</f>
        <v>Realizado</v>
      </c>
      <c r="O238" s="11">
        <f>IFERROR(__xludf.DUMMYFUNCTION("""COMPUTED_VALUE"""),45342.0)</f>
        <v>45342</v>
      </c>
      <c r="P238" s="11"/>
    </row>
    <row r="239" ht="27.0" customHeight="1">
      <c r="A239" s="7" t="str">
        <f>IFERROR(__xludf.DUMMYFUNCTION("""COMPUTED_VALUE"""),"237/2024")</f>
        <v>237/2024</v>
      </c>
      <c r="B239" s="8">
        <f>IFERROR(__xludf.DUMMYFUNCTION("""COMPUTED_VALUE"""),45327.65091052083)</f>
        <v>45327.65091</v>
      </c>
      <c r="C239" s="8" t="str">
        <f>IFERROR(__xludf.DUMMYFUNCTION("""COMPUTED_VALUE"""),"muc.prpe@ufcat.edu.br")</f>
        <v>muc.prpe@ufcat.edu.br</v>
      </c>
      <c r="D239" s="7" t="str">
        <f>IFERROR(__xludf.DUMMYFUNCTION("""COMPUTED_VALUE"""),"DANIEL DOS REIS SIMÕES")</f>
        <v>DANIEL DOS REIS SIMÕES</v>
      </c>
      <c r="E239" s="7">
        <f>IFERROR(__xludf.DUMMYFUNCTION("""COMPUTED_VALUE"""),5333.0)</f>
        <v>5333</v>
      </c>
      <c r="F239" s="7" t="str">
        <f>IFERROR(__xludf.DUMMYFUNCTION("""COMPUTED_VALUE"""),"PRPE")</f>
        <v>PRPE</v>
      </c>
      <c r="G239" s="9" t="str">
        <f>IFERROR(__xludf.DUMMYFUNCTION("""COMPUTED_VALUE"""),"MUC")</f>
        <v>MUC</v>
      </c>
      <c r="H239" s="7" t="str">
        <f>IFERROR(__xludf.DUMMYFUNCTION("""COMPUTED_VALUE"""),"Apto 406")</f>
        <v>Apto 406</v>
      </c>
      <c r="I239" s="7" t="str">
        <f>IFERROR(__xludf.DUMMYFUNCTION("""COMPUTED_VALUE"""),"Instalações Hidrossanitárias")</f>
        <v>Instalações Hidrossanitárias</v>
      </c>
      <c r="J239" s="7" t="str">
        <f>IFERROR(__xludf.DUMMYFUNCTION("""COMPUTED_VALUE"""),"02 Hidráulica / 22 - Outros (PRAZO DE 15 a 60 DIAS PARA ATENDIMENTO)")</f>
        <v>02 Hidráulica / 22 - Outros (PRAZO DE 15 a 60 DIAS PARA ATENDIMENTO)</v>
      </c>
      <c r="K239" s="7"/>
      <c r="L239" s="7" t="str">
        <f>IFERROR(__xludf.DUMMYFUNCTION("""COMPUTED_VALUE"""),"Pia do banheiro entupida. Apto 406")</f>
        <v>Pia do banheiro entupida. Apto 406</v>
      </c>
      <c r="M239" s="10"/>
      <c r="N239" s="10" t="str">
        <f>IFERROR(__xludf.DUMMYFUNCTION("""COMPUTED_VALUE"""),"Realizado")</f>
        <v>Realizado</v>
      </c>
      <c r="O239" s="11">
        <f>IFERROR(__xludf.DUMMYFUNCTION("""COMPUTED_VALUE"""),45331.0)</f>
        <v>45331</v>
      </c>
      <c r="P239" s="11"/>
    </row>
    <row r="240" ht="27.0" customHeight="1">
      <c r="A240" s="7" t="str">
        <f>IFERROR(__xludf.DUMMYFUNCTION("""COMPUTED_VALUE"""),"238/2024")</f>
        <v>238/2024</v>
      </c>
      <c r="B240" s="8">
        <f>IFERROR(__xludf.DUMMYFUNCTION("""COMPUTED_VALUE"""),45328.353937314816)</f>
        <v>45328.35394</v>
      </c>
      <c r="C240" s="8" t="str">
        <f>IFERROR(__xludf.DUMMYFUNCTION("""COMPUTED_VALUE"""),"inovacao.propesq@ufcat.edu.br")</f>
        <v>inovacao.propesq@ufcat.edu.br</v>
      </c>
      <c r="D240" s="7" t="str">
        <f>IFERROR(__xludf.DUMMYFUNCTION("""COMPUTED_VALUE"""),"Gúlbion de Souza Anacleto")</f>
        <v>Gúlbion de Souza Anacleto</v>
      </c>
      <c r="E240" s="7">
        <f>IFERROR(__xludf.DUMMYFUNCTION("""COMPUTED_VALUE"""),5353.0)</f>
        <v>5353</v>
      </c>
      <c r="F240" s="7" t="str">
        <f>IFERROR(__xludf.DUMMYFUNCTION("""COMPUTED_VALUE"""),"PROPESQ")</f>
        <v>PROPESQ</v>
      </c>
      <c r="G240" s="9" t="str">
        <f>IFERROR(__xludf.DUMMYFUNCTION("""COMPUTED_VALUE"""),"Bloco L")</f>
        <v>Bloco L</v>
      </c>
      <c r="H240" s="7" t="str">
        <f>IFERROR(__xludf.DUMMYFUNCTION("""COMPUTED_VALUE"""),"Corredor que de acesso aos banheiros e salas 107 e 107")</f>
        <v>Corredor que de acesso aos banheiros e salas 107 e 107</v>
      </c>
      <c r="I240" s="7" t="str">
        <f>IFERROR(__xludf.DUMMYFUNCTION("""COMPUTED_VALUE"""),"Reparos (alvenaria, piso, forro e telhado)")</f>
        <v>Reparos (alvenaria, piso, forro e telhado)</v>
      </c>
      <c r="J240" s="7" t="str">
        <f>IFERROR(__xludf.DUMMYFUNCTION("""COMPUTED_VALUE"""),"01 Alvenaria / 06 - Outros (PRAZO DE ATÉ 60 DIAS PARA ATENDIMENTO)")</f>
        <v>01 Alvenaria / 06 - Outros (PRAZO DE ATÉ 60 DIAS PARA ATENDIMENTO)</v>
      </c>
      <c r="K240" s="7"/>
      <c r="L240" s="7" t="str">
        <f>IFERROR(__xludf.DUMMYFUNCTION("""COMPUTED_VALUE"""),"Infiltração de água saindo pela luminária provocando curto circuito e desarme do disjuntor.")</f>
        <v>Infiltração de água saindo pela luminária provocando curto circuito e desarme do disjuntor.</v>
      </c>
      <c r="M240" s="10"/>
      <c r="N240" s="10" t="str">
        <f>IFERROR(__xludf.DUMMYFUNCTION("""COMPUTED_VALUE"""),"Realizado")</f>
        <v>Realizado</v>
      </c>
      <c r="O240" s="11">
        <f>IFERROR(__xludf.DUMMYFUNCTION("""COMPUTED_VALUE"""),45398.0)</f>
        <v>45398</v>
      </c>
      <c r="P240" s="11"/>
    </row>
    <row r="241" ht="27.0" customHeight="1">
      <c r="A241" s="7" t="str">
        <f>IFERROR(__xludf.DUMMYFUNCTION("""COMPUTED_VALUE"""),"239/2024")</f>
        <v>239/2024</v>
      </c>
      <c r="B241" s="8">
        <f>IFERROR(__xludf.DUMMYFUNCTION("""COMPUTED_VALUE"""),45328.36132322917)</f>
        <v>45328.36132</v>
      </c>
      <c r="C241" s="8" t="str">
        <f>IFERROR(__xludf.DUMMYFUNCTION("""COMPUTED_VALUE"""),"inovacao.propesq@ufcat.edu.br")</f>
        <v>inovacao.propesq@ufcat.edu.br</v>
      </c>
      <c r="D241" s="7" t="str">
        <f>IFERROR(__xludf.DUMMYFUNCTION("""COMPUTED_VALUE"""),"Gúlbion de Souza Anacleto")</f>
        <v>Gúlbion de Souza Anacleto</v>
      </c>
      <c r="E241" s="7">
        <f>IFERROR(__xludf.DUMMYFUNCTION("""COMPUTED_VALUE"""),5353.0)</f>
        <v>5353</v>
      </c>
      <c r="F241" s="7" t="str">
        <f>IFERROR(__xludf.DUMMYFUNCTION("""COMPUTED_VALUE"""),"PROPESQ")</f>
        <v>PROPESQ</v>
      </c>
      <c r="G241" s="9" t="str">
        <f>IFERROR(__xludf.DUMMYFUNCTION("""COMPUTED_VALUE"""),"Bloco L")</f>
        <v>Bloco L</v>
      </c>
      <c r="H241" s="7" t="str">
        <f>IFERROR(__xludf.DUMMYFUNCTION("""COMPUTED_VALUE"""),"Corredor de acesso aos banheiros e salas 107 e 108")</f>
        <v>Corredor de acesso aos banheiros e salas 107 e 108</v>
      </c>
      <c r="I241" s="7" t="str">
        <f>IFERROR(__xludf.DUMMYFUNCTION("""COMPUTED_VALUE"""),"Instalações elétricas")</f>
        <v>Instalações elétricas</v>
      </c>
      <c r="J241" s="7" t="str">
        <f>IFERROR(__xludf.DUMMYFUNCTION("""COMPUTED_VALUE"""),"04 Elétrica / 35 - Troca de Lâmpadas (PRAZO DE ATÉ 15 DIAS PARA ATENDIMENTO)")</f>
        <v>04 Elétrica / 35 - Troca de Lâmpadas (PRAZO DE ATÉ 15 DIAS PARA ATENDIMENTO)</v>
      </c>
      <c r="K241" s="7"/>
      <c r="L241" s="7" t="str">
        <f>IFERROR(__xludf.DUMMYFUNCTION("""COMPUTED_VALUE"""),"Substituir lâmpada tubular queimada devido infiltração de água pela luminária.")</f>
        <v>Substituir lâmpada tubular queimada devido infiltração de água pela luminária.</v>
      </c>
      <c r="M241" s="10"/>
      <c r="N241" s="10" t="str">
        <f>IFERROR(__xludf.DUMMYFUNCTION("""COMPUTED_VALUE"""),"Realizado")</f>
        <v>Realizado</v>
      </c>
      <c r="O241" s="11">
        <f>IFERROR(__xludf.DUMMYFUNCTION("""COMPUTED_VALUE"""),45343.0)</f>
        <v>45343</v>
      </c>
      <c r="P241" s="11"/>
    </row>
    <row r="242" ht="27.0" customHeight="1">
      <c r="A242" s="7" t="str">
        <f>IFERROR(__xludf.DUMMYFUNCTION("""COMPUTED_VALUE"""),"240/2024")</f>
        <v>240/2024</v>
      </c>
      <c r="B242" s="8">
        <f>IFERROR(__xludf.DUMMYFUNCTION("""COMPUTED_VALUE"""),45328.38812636574)</f>
        <v>45328.38813</v>
      </c>
      <c r="C242" s="8" t="str">
        <f>IFERROR(__xludf.DUMMYFUNCTION("""COMPUTED_VALUE"""),"antoverps@ufcat.edu.br")</f>
        <v>antoverps@ufcat.edu.br</v>
      </c>
      <c r="D242" s="7" t="str">
        <f>IFERROR(__xludf.DUMMYFUNCTION("""COMPUTED_VALUE"""),"Antover Panazzolo Sarmento")</f>
        <v>Antover Panazzolo Sarmento</v>
      </c>
      <c r="E242" s="7" t="str">
        <f>IFERROR(__xludf.DUMMYFUNCTION("""COMPUTED_VALUE"""),"64-98103-3013")</f>
        <v>64-98103-3013</v>
      </c>
      <c r="F242" s="7" t="str">
        <f>IFERROR(__xludf.DUMMYFUNCTION("""COMPUTED_VALUE"""),"FENG - Engenharia Civil")</f>
        <v>FENG - Engenharia Civil</v>
      </c>
      <c r="G242" s="9" t="str">
        <f>IFERROR(__xludf.DUMMYFUNCTION("""COMPUTED_VALUE"""),"Bloco L")</f>
        <v>Bloco L</v>
      </c>
      <c r="H242" s="7" t="str">
        <f>IFERROR(__xludf.DUMMYFUNCTION("""COMPUTED_VALUE"""),"Laboratório - Centro de Pesquisas Tecnológicas e Processamento de Imagens - CPTPI")</f>
        <v>Laboratório - Centro de Pesquisas Tecnológicas e Processamento de Imagens - CPTPI</v>
      </c>
      <c r="I242" s="7" t="str">
        <f>IFERROR(__xludf.DUMMYFUNCTION("""COMPUTED_VALUE"""),"Instalações Hidrossanitárias")</f>
        <v>Instalações Hidrossanitárias</v>
      </c>
      <c r="J242" s="7" t="str">
        <f>IFERROR(__xludf.DUMMYFUNCTION("""COMPUTED_VALUE"""),"02 Hidráulica / 22 - Outros (PRAZO DE 15 a 60 DIAS PARA ATENDIMENTO)")</f>
        <v>02 Hidráulica / 22 - Outros (PRAZO DE 15 a 60 DIAS PARA ATENDIMENTO)</v>
      </c>
      <c r="K242" s="7"/>
      <c r="L242" s="7" t="str">
        <f>IFERROR(__xludf.DUMMYFUNCTION("""COMPUTED_VALUE"""),"Limpeza de dreno de ar condicionado")</f>
        <v>Limpeza de dreno de ar condicionado</v>
      </c>
      <c r="M242" s="10" t="str">
        <f>IFERROR(__xludf.DUMMYFUNCTION("""COMPUTED_VALUE"""),"SEINFRA")</f>
        <v>SEINFRA</v>
      </c>
      <c r="N242" s="10" t="str">
        <f>IFERROR(__xludf.DUMMYFUNCTION("""COMPUTED_VALUE"""),"Aguardando Disp. de M.O.")</f>
        <v>Aguardando Disp. de M.O.</v>
      </c>
      <c r="O242" s="11">
        <f>IFERROR(__xludf.DUMMYFUNCTION("""COMPUTED_VALUE"""),45331.0)</f>
        <v>45331</v>
      </c>
      <c r="P242" s="11"/>
    </row>
    <row r="243" ht="27.0" customHeight="1">
      <c r="A243" s="7" t="str">
        <f>IFERROR(__xludf.DUMMYFUNCTION("""COMPUTED_VALUE"""),"241/2024")</f>
        <v>241/2024</v>
      </c>
      <c r="B243" s="8">
        <f>IFERROR(__xludf.DUMMYFUNCTION("""COMPUTED_VALUE"""),45328.41290527778)</f>
        <v>45328.41291</v>
      </c>
      <c r="C243" s="8" t="str">
        <f>IFERROR(__xludf.DUMMYFUNCTION("""COMPUTED_VALUE"""),"secretaria.cep.ufcat@gmail.com")</f>
        <v>secretaria.cep.ufcat@gmail.com</v>
      </c>
      <c r="D243" s="7" t="str">
        <f>IFERROR(__xludf.DUMMYFUNCTION("""COMPUTED_VALUE"""),"Jeane Rabello")</f>
        <v>Jeane Rabello</v>
      </c>
      <c r="E243" s="7">
        <f>IFERROR(__xludf.DUMMYFUNCTION("""COMPUTED_VALUE"""),7609.0)</f>
        <v>7609</v>
      </c>
      <c r="F243" s="7" t="str">
        <f>IFERROR(__xludf.DUMMYFUNCTION("""COMPUTED_VALUE"""),"CEP")</f>
        <v>CEP</v>
      </c>
      <c r="G243" s="9" t="str">
        <f>IFERROR(__xludf.DUMMYFUNCTION("""COMPUTED_VALUE"""),"Didatico I")</f>
        <v>Didatico I</v>
      </c>
      <c r="H243" s="7" t="str">
        <f>IFERROR(__xludf.DUMMYFUNCTION("""COMPUTED_VALUE"""),"Primeiro Andar, Sala 211")</f>
        <v>Primeiro Andar, Sala 211</v>
      </c>
      <c r="I243" s="7" t="str">
        <f>IFERROR(__xludf.DUMMYFUNCTION("""COMPUTED_VALUE"""),"Instalações elétricas")</f>
        <v>Instalações elétricas</v>
      </c>
      <c r="J243" s="7" t="str">
        <f>IFERROR(__xludf.DUMMYFUNCTION("""COMPUTED_VALUE"""),"04 Elétrica / 36 - Instalação de Aparelhos em geral (PRAZO DE ATÉ 15 DIAS PARA ATENDIMENTO)")</f>
        <v>04 Elétrica / 36 - Instalação de Aparelhos em geral (PRAZO DE ATÉ 15 DIAS PARA ATENDIMENTO)</v>
      </c>
      <c r="K243" s="7"/>
      <c r="L243" s="7" t="str">
        <f>IFERROR(__xludf.DUMMYFUNCTION("""COMPUTED_VALUE"""),"Instalação da TV 75'' TCL ")</f>
        <v>Instalação da TV 75'' TCL </v>
      </c>
      <c r="M243" s="10"/>
      <c r="N243" s="10" t="str">
        <f>IFERROR(__xludf.DUMMYFUNCTION("""COMPUTED_VALUE"""),"Realizado")</f>
        <v>Realizado</v>
      </c>
      <c r="O243" s="11">
        <f>IFERROR(__xludf.DUMMYFUNCTION("""COMPUTED_VALUE"""),45337.0)</f>
        <v>45337</v>
      </c>
      <c r="P243" s="11"/>
    </row>
    <row r="244" ht="27.0" customHeight="1">
      <c r="A244" s="7" t="str">
        <f>IFERROR(__xludf.DUMMYFUNCTION("""COMPUTED_VALUE"""),"242/2024")</f>
        <v>242/2024</v>
      </c>
      <c r="B244" s="8">
        <f>IFERROR(__xludf.DUMMYFUNCTION("""COMPUTED_VALUE"""),45328.41597012732)</f>
        <v>45328.41597</v>
      </c>
      <c r="C244" s="8" t="str">
        <f>IFERROR(__xludf.DUMMYFUNCTION("""COMPUTED_VALUE"""),"leomadavi2@gmail.com")</f>
        <v>leomadavi2@gmail.com</v>
      </c>
      <c r="D244" s="7" t="str">
        <f>IFERROR(__xludf.DUMMYFUNCTION("""COMPUTED_VALUE"""),"Leomar Davi")</f>
        <v>Leomar Davi</v>
      </c>
      <c r="E244" s="7">
        <f>IFERROR(__xludf.DUMMYFUNCTION("""COMPUTED_VALUE"""),5358.0)</f>
        <v>5358</v>
      </c>
      <c r="F244" s="7" t="str">
        <f>IFERROR(__xludf.DUMMYFUNCTION("""COMPUTED_VALUE"""),"PRPE")</f>
        <v>PRPE</v>
      </c>
      <c r="G244" s="9" t="str">
        <f>IFERROR(__xludf.DUMMYFUNCTION("""COMPUTED_VALUE"""),"Bloco Administrativo")</f>
        <v>Bloco Administrativo</v>
      </c>
      <c r="H244" s="7">
        <f>IFERROR(__xludf.DUMMYFUNCTION("""COMPUTED_VALUE"""),102.0)</f>
        <v>102</v>
      </c>
      <c r="I244" s="7" t="str">
        <f>IFERROR(__xludf.DUMMYFUNCTION("""COMPUTED_VALUE"""),"Instalações e/ou Manutenção em Cabeamento de Rede")</f>
        <v>Instalações e/ou Manutenção em Cabeamento de Rede</v>
      </c>
      <c r="J244" s="7" t="str">
        <f>IFERROR(__xludf.DUMMYFUNCTION("""COMPUTED_VALUE"""),"05 Telecomunicações / 38 - Cabeamento de Rede (PRAZO DE ATÉ 15 DIAS PARA ATENDIMENTO)")</f>
        <v>05 Telecomunicações / 38 - Cabeamento de Rede (PRAZO DE ATÉ 15 DIAS PARA ATENDIMENTO)</v>
      </c>
      <c r="K244" s="7"/>
      <c r="L244" s="7" t="str">
        <f>IFERROR(__xludf.DUMMYFUNCTION("""COMPUTED_VALUE"""),"Passar cabeamento de rede de internet ")</f>
        <v>Passar cabeamento de rede de internet </v>
      </c>
      <c r="M244" s="10"/>
      <c r="N244" s="10" t="str">
        <f>IFERROR(__xludf.DUMMYFUNCTION("""COMPUTED_VALUE"""),"Realizado")</f>
        <v>Realizado</v>
      </c>
      <c r="O244" s="11">
        <f>IFERROR(__xludf.DUMMYFUNCTION("""COMPUTED_VALUE"""),45363.0)</f>
        <v>45363</v>
      </c>
      <c r="P244" s="11"/>
    </row>
    <row r="245" ht="27.0" customHeight="1">
      <c r="A245" s="7" t="str">
        <f>IFERROR(__xludf.DUMMYFUNCTION("""COMPUTED_VALUE"""),"243/2024")</f>
        <v>243/2024</v>
      </c>
      <c r="B245" s="8">
        <f>IFERROR(__xludf.DUMMYFUNCTION("""COMPUTED_VALUE"""),45328.46976954861)</f>
        <v>45328.46977</v>
      </c>
      <c r="C245" s="8" t="str">
        <f>IFERROR(__xludf.DUMMYFUNCTION("""COMPUTED_VALUE"""),"jpcrocha@ufcat.edu.br")</f>
        <v>jpcrocha@ufcat.edu.br</v>
      </c>
      <c r="D245" s="7" t="str">
        <f>IFERROR(__xludf.DUMMYFUNCTION("""COMPUTED_VALUE"""),"João Pedro Rocha de Carvalho")</f>
        <v>João Pedro Rocha de Carvalho</v>
      </c>
      <c r="E245" s="7">
        <f>IFERROR(__xludf.DUMMYFUNCTION("""COMPUTED_VALUE"""),5334.0)</f>
        <v>5334</v>
      </c>
      <c r="F245" s="7" t="str">
        <f>IFERROR(__xludf.DUMMYFUNCTION("""COMPUTED_VALUE"""),"IQ")</f>
        <v>IQ</v>
      </c>
      <c r="G245" s="9" t="str">
        <f>IFERROR(__xludf.DUMMYFUNCTION("""COMPUTED_VALUE"""),"Bloco N")</f>
        <v>Bloco N</v>
      </c>
      <c r="H245" s="7" t="str">
        <f>IFERROR(__xludf.DUMMYFUNCTION("""COMPUTED_VALUE"""),"105 - Secretaria")</f>
        <v>105 - Secretaria</v>
      </c>
      <c r="I245" s="7" t="str">
        <f>IFERROR(__xludf.DUMMYFUNCTION("""COMPUTED_VALUE"""),"Pequenos serviços de reparos em Marcenaria")</f>
        <v>Pequenos serviços de reparos em Marcenaria</v>
      </c>
      <c r="J245" s="7" t="str">
        <f>IFERROR(__xludf.DUMMYFUNCTION("""COMPUTED_VALUE"""),"03 Marcenaria / 23 - Confecção de Armários  (PRAZO DE ATÉ 120 DIAS PARA ATENDIMENTO)")</f>
        <v>03 Marcenaria / 23 - Confecção de Armários  (PRAZO DE ATÉ 120 DIAS PARA ATENDIMENTO)</v>
      </c>
      <c r="K245" s="7"/>
      <c r="L245" s="7" t="str">
        <f>IFERROR(__xludf.DUMMYFUNCTION("""COMPUTED_VALUE"""),"Confecção e instalação de armário suspenso em parede para guardar Data Shows")</f>
        <v>Confecção e instalação de armário suspenso em parede para guardar Data Shows</v>
      </c>
      <c r="M245" s="10" t="str">
        <f>IFERROR(__xludf.DUMMYFUNCTION("""COMPUTED_VALUE"""),"Falta de mão de obra ")</f>
        <v>Falta de mão de obra </v>
      </c>
      <c r="N245" s="10" t="str">
        <f>IFERROR(__xludf.DUMMYFUNCTION("""COMPUTED_VALUE"""),"Contratação externa Unidade ")</f>
        <v>Contratação externa Unidade </v>
      </c>
      <c r="O245" s="11">
        <f>IFERROR(__xludf.DUMMYFUNCTION("""COMPUTED_VALUE"""),45337.0)</f>
        <v>45337</v>
      </c>
      <c r="P245" s="11"/>
    </row>
    <row r="246" ht="27.0" customHeight="1">
      <c r="A246" s="7" t="str">
        <f>IFERROR(__xludf.DUMMYFUNCTION("""COMPUTED_VALUE"""),"244/2024")</f>
        <v>244/2024</v>
      </c>
      <c r="B246" s="8">
        <f>IFERROR(__xludf.DUMMYFUNCTION("""COMPUTED_VALUE"""),45328.49027354167)</f>
        <v>45328.49027</v>
      </c>
      <c r="C246" s="8" t="str">
        <f>IFERROR(__xludf.DUMMYFUNCTION("""COMPUTED_VALUE"""),"luciufg@gmail.com")</f>
        <v>luciufg@gmail.com</v>
      </c>
      <c r="D246" s="7" t="str">
        <f>IFERROR(__xludf.DUMMYFUNCTION("""COMPUTED_VALUE"""),"Luci Rosa Cardoso")</f>
        <v>Luci Rosa Cardoso</v>
      </c>
      <c r="E246" s="7">
        <f>IFERROR(__xludf.DUMMYFUNCTION("""COMPUTED_VALUE"""),5300.0)</f>
        <v>5300</v>
      </c>
      <c r="F246" s="7" t="str">
        <f>IFERROR(__xludf.DUMMYFUNCTION("""COMPUTED_VALUE"""),"REITORIA")</f>
        <v>REITORIA</v>
      </c>
      <c r="G246" s="9" t="str">
        <f>IFERROR(__xludf.DUMMYFUNCTION("""COMPUTED_VALUE"""),"Bloco Administrativo")</f>
        <v>Bloco Administrativo</v>
      </c>
      <c r="H246" s="7" t="str">
        <f>IFERROR(__xludf.DUMMYFUNCTION("""COMPUTED_VALUE"""),"Reitoria")</f>
        <v>Reitoria</v>
      </c>
      <c r="I246" s="7" t="str">
        <f>IFERROR(__xludf.DUMMYFUNCTION("""COMPUTED_VALUE"""),"Serralheria ")</f>
        <v>Serralheria </v>
      </c>
      <c r="J246" s="7" t="str">
        <f>IFERROR(__xludf.DUMMYFUNCTION("""COMPUTED_VALUE"""),"08 Serralheria / 56 - Outros (PRAZO DE ACORDO COM A DEMANDA)")</f>
        <v>08 Serralheria / 56 - Outros (PRAZO DE ACORDO COM A DEMANDA)</v>
      </c>
      <c r="K246" s="7"/>
      <c r="L246" s="7" t="str">
        <f>IFERROR(__xludf.DUMMYFUNCTION("""COMPUTED_VALUE"""),"Fazer 6 suportes de Estabilizadores")</f>
        <v>Fazer 6 suportes de Estabilizadores</v>
      </c>
      <c r="M246" s="10"/>
      <c r="N246" s="10" t="str">
        <f>IFERROR(__xludf.DUMMYFUNCTION("""COMPUTED_VALUE"""),"Realizado")</f>
        <v>Realizado</v>
      </c>
      <c r="O246" s="11">
        <f>IFERROR(__xludf.DUMMYFUNCTION("""COMPUTED_VALUE"""),45337.0)</f>
        <v>45337</v>
      </c>
      <c r="P246" s="11"/>
    </row>
    <row r="247" ht="27.0" customHeight="1">
      <c r="A247" s="7" t="str">
        <f>IFERROR(__xludf.DUMMYFUNCTION("""COMPUTED_VALUE"""),"245/2024")</f>
        <v>245/2024</v>
      </c>
      <c r="B247" s="8">
        <f>IFERROR(__xludf.DUMMYFUNCTION("""COMPUTED_VALUE"""),45328.60938459491)</f>
        <v>45328.60938</v>
      </c>
      <c r="C247" s="8" t="str">
        <f>IFERROR(__xludf.DUMMYFUNCTION("""COMPUTED_VALUE"""),"lais.naves@ufcat.edu.br")</f>
        <v>lais.naves@ufcat.edu.br</v>
      </c>
      <c r="D247" s="7" t="str">
        <f>IFERROR(__xludf.DUMMYFUNCTION("""COMPUTED_VALUE"""),"Laís Clara")</f>
        <v>Laís Clara</v>
      </c>
      <c r="E247" s="7">
        <f>IFERROR(__xludf.DUMMYFUNCTION("""COMPUTED_VALUE"""),5365.0)</f>
        <v>5365</v>
      </c>
      <c r="F247" s="7" t="str">
        <f>IFERROR(__xludf.DUMMYFUNCTION("""COMPUTED_VALUE"""),"IBIOTEC - Ciências Biológicas")</f>
        <v>IBIOTEC - Ciências Biológicas</v>
      </c>
      <c r="G247" s="9" t="str">
        <f>IFERROR(__xludf.DUMMYFUNCTION("""COMPUTED_VALUE"""),"Bloco M")</f>
        <v>Bloco M</v>
      </c>
      <c r="H247" s="7">
        <f>IFERROR(__xludf.DUMMYFUNCTION("""COMPUTED_VALUE"""),319.0)</f>
        <v>319</v>
      </c>
      <c r="I247" s="7" t="str">
        <f>IFERROR(__xludf.DUMMYFUNCTION("""COMPUTED_VALUE"""),"Instalações e/ou Manutenção em Cabeamento de Rede")</f>
        <v>Instalações e/ou Manutenção em Cabeamento de Rede</v>
      </c>
      <c r="J247" s="7" t="str">
        <f>IFERROR(__xludf.DUMMYFUNCTION("""COMPUTED_VALUE"""),"05 Telecomunicações / 38 - Cabeamento de Rede (PRAZO DE ATÉ 15 DIAS PARA ATENDIMENTO)")</f>
        <v>05 Telecomunicações / 38 - Cabeamento de Rede (PRAZO DE ATÉ 15 DIAS PARA ATENDIMENTO)</v>
      </c>
      <c r="K247" s="7"/>
      <c r="L247" s="7" t="str">
        <f>IFERROR(__xludf.DUMMYFUNCTION("""COMPUTED_VALUE"""),"Solicitação de 2 metros de cabo de rede para a sala 309 do bloco M")</f>
        <v>Solicitação de 2 metros de cabo de rede para a sala 309 do bloco M</v>
      </c>
      <c r="M247" s="10"/>
      <c r="N247" s="10" t="str">
        <f>IFERROR(__xludf.DUMMYFUNCTION("""COMPUTED_VALUE"""),"Realizado")</f>
        <v>Realizado</v>
      </c>
      <c r="O247" s="11">
        <f>IFERROR(__xludf.DUMMYFUNCTION("""COMPUTED_VALUE"""),45341.0)</f>
        <v>45341</v>
      </c>
      <c r="P247" s="11"/>
    </row>
    <row r="248" ht="27.0" customHeight="1">
      <c r="A248" s="7" t="str">
        <f>IFERROR(__xludf.DUMMYFUNCTION("""COMPUTED_VALUE"""),"246/2024")</f>
        <v>246/2024</v>
      </c>
      <c r="B248" s="8">
        <f>IFERROR(__xludf.DUMMYFUNCTION("""COMPUTED_VALUE"""),45328.66857736111)</f>
        <v>45328.66858</v>
      </c>
      <c r="C248" s="8" t="str">
        <f>IFERROR(__xludf.DUMMYFUNCTION("""COMPUTED_VALUE"""),"muc.prpe@ufcat.edu.br")</f>
        <v>muc.prpe@ufcat.edu.br</v>
      </c>
      <c r="D248" s="7" t="str">
        <f>IFERROR(__xludf.DUMMYFUNCTION("""COMPUTED_VALUE"""),"DANIEL DOS REIS SIMÕES")</f>
        <v>DANIEL DOS REIS SIMÕES</v>
      </c>
      <c r="E248" s="7">
        <f>IFERROR(__xludf.DUMMYFUNCTION("""COMPUTED_VALUE"""),5333.0)</f>
        <v>5333</v>
      </c>
      <c r="F248" s="7" t="str">
        <f>IFERROR(__xludf.DUMMYFUNCTION("""COMPUTED_VALUE"""),"PRPE")</f>
        <v>PRPE</v>
      </c>
      <c r="G248" s="9" t="str">
        <f>IFERROR(__xludf.DUMMYFUNCTION("""COMPUTED_VALUE"""),"MUC")</f>
        <v>MUC</v>
      </c>
      <c r="H248" s="7" t="str">
        <f>IFERROR(__xludf.DUMMYFUNCTION("""COMPUTED_VALUE"""),"Apto 404")</f>
        <v>Apto 404</v>
      </c>
      <c r="I248" s="7" t="str">
        <f>IFERROR(__xludf.DUMMYFUNCTION("""COMPUTED_VALUE"""),"Instalações Hidrossanitárias")</f>
        <v>Instalações Hidrossanitárias</v>
      </c>
      <c r="J248" s="7" t="str">
        <f>IFERROR(__xludf.DUMMYFUNCTION("""COMPUTED_VALUE"""),"02 Hidráulica / 17 - Troca de sifão, registro (PRAZO DE 10 a 15 DIAS PARA ATENDIMENTO)")</f>
        <v>02 Hidráulica / 17 - Troca de sifão, registro (PRAZO DE 10 a 15 DIAS PARA ATENDIMENTO)</v>
      </c>
      <c r="K248" s="7"/>
      <c r="L248" s="7" t="str">
        <f>IFERROR(__xludf.DUMMYFUNCTION("""COMPUTED_VALUE"""),"Vazamento na pia do banheiro. Apto 404")</f>
        <v>Vazamento na pia do banheiro. Apto 404</v>
      </c>
      <c r="M248" s="10"/>
      <c r="N248" s="10" t="str">
        <f>IFERROR(__xludf.DUMMYFUNCTION("""COMPUTED_VALUE"""),"Realizado")</f>
        <v>Realizado</v>
      </c>
      <c r="O248" s="11">
        <f>IFERROR(__xludf.DUMMYFUNCTION("""COMPUTED_VALUE"""),45331.0)</f>
        <v>45331</v>
      </c>
      <c r="P248" s="11"/>
    </row>
    <row r="249" ht="27.0" customHeight="1">
      <c r="A249" s="7" t="str">
        <f>IFERROR(__xludf.DUMMYFUNCTION("""COMPUTED_VALUE"""),"247/2024")</f>
        <v>247/2024</v>
      </c>
      <c r="B249" s="8">
        <f>IFERROR(__xludf.DUMMYFUNCTION("""COMPUTED_VALUE"""),45328.66956494213)</f>
        <v>45328.66956</v>
      </c>
      <c r="C249" s="8" t="str">
        <f>IFERROR(__xludf.DUMMYFUNCTION("""COMPUTED_VALUE"""),"muc.prpe@ufcat.edu.br")</f>
        <v>muc.prpe@ufcat.edu.br</v>
      </c>
      <c r="D249" s="7" t="str">
        <f>IFERROR(__xludf.DUMMYFUNCTION("""COMPUTED_VALUE"""),"DANIEL DOS REIS SIMÕES")</f>
        <v>DANIEL DOS REIS SIMÕES</v>
      </c>
      <c r="E249" s="7">
        <f>IFERROR(__xludf.DUMMYFUNCTION("""COMPUTED_VALUE"""),5333.0)</f>
        <v>5333</v>
      </c>
      <c r="F249" s="7" t="str">
        <f>IFERROR(__xludf.DUMMYFUNCTION("""COMPUTED_VALUE"""),"PRPE")</f>
        <v>PRPE</v>
      </c>
      <c r="G249" s="9" t="str">
        <f>IFERROR(__xludf.DUMMYFUNCTION("""COMPUTED_VALUE"""),"MUC")</f>
        <v>MUC</v>
      </c>
      <c r="H249" s="7" t="str">
        <f>IFERROR(__xludf.DUMMYFUNCTION("""COMPUTED_VALUE"""),"Apto 404")</f>
        <v>Apto 404</v>
      </c>
      <c r="I249" s="7" t="str">
        <f>IFERROR(__xludf.DUMMYFUNCTION("""COMPUTED_VALUE"""),"Pequenos serviços de reparos em Marcenaria")</f>
        <v>Pequenos serviços de reparos em Marcenaria</v>
      </c>
      <c r="J249" s="7" t="str">
        <f>IFERROR(__xludf.DUMMYFUNCTION("""COMPUTED_VALUE"""),"03 Marcenaria / 29 - Outros (PRAZO DE ACORDO COM A DEMANDA)")</f>
        <v>03 Marcenaria / 29 - Outros (PRAZO DE ACORDO COM A DEMANDA)</v>
      </c>
      <c r="K249" s="7"/>
      <c r="L249" s="7" t="str">
        <f>IFERROR(__xludf.DUMMYFUNCTION("""COMPUTED_VALUE"""),"A borracha de uma janela do quarto B está saindo e começou a entrar água quando chove.")</f>
        <v>A borracha de uma janela do quarto B está saindo e começou a entrar água quando chove.</v>
      </c>
      <c r="M249" s="10"/>
      <c r="N249" s="10" t="str">
        <f>IFERROR(__xludf.DUMMYFUNCTION("""COMPUTED_VALUE"""),"Realizado")</f>
        <v>Realizado</v>
      </c>
      <c r="O249" s="11">
        <f>IFERROR(__xludf.DUMMYFUNCTION("""COMPUTED_VALUE"""),45331.0)</f>
        <v>45331</v>
      </c>
      <c r="P249" s="11"/>
    </row>
    <row r="250" ht="27.0" customHeight="1">
      <c r="A250" s="7" t="str">
        <f>IFERROR(__xludf.DUMMYFUNCTION("""COMPUTED_VALUE"""),"248/2024")</f>
        <v>248/2024</v>
      </c>
      <c r="B250" s="8">
        <f>IFERROR(__xludf.DUMMYFUNCTION("""COMPUTED_VALUE"""),45329.35842559028)</f>
        <v>45329.35843</v>
      </c>
      <c r="C250" s="8" t="str">
        <f>IFERROR(__xludf.DUMMYFUNCTION("""COMPUTED_VALUE"""),"seguranca@ufcat.edu.br")</f>
        <v>seguranca@ufcat.edu.br</v>
      </c>
      <c r="D250" s="7" t="str">
        <f>IFERROR(__xludf.DUMMYFUNCTION("""COMPUTED_VALUE"""),"Maria Duarte")</f>
        <v>Maria Duarte</v>
      </c>
      <c r="E250" s="7">
        <f>IFERROR(__xludf.DUMMYFUNCTION("""COMPUTED_VALUE"""),5318.0)</f>
        <v>5318</v>
      </c>
      <c r="F250" s="7" t="str">
        <f>IFERROR(__xludf.DUMMYFUNCTION("""COMPUTED_VALUE"""),"CENTRAL DE OPERAÇÕES VIGILÂNCIA")</f>
        <v>CENTRAL DE OPERAÇÕES VIGILÂNCIA</v>
      </c>
      <c r="G250" s="9" t="str">
        <f>IFERROR(__xludf.DUMMYFUNCTION("""COMPUTED_VALUE"""),"Monitoramento")</f>
        <v>Monitoramento</v>
      </c>
      <c r="H250" s="7" t="str">
        <f>IFERROR(__xludf.DUMMYFUNCTION("""COMPUTED_VALUE"""),"Sala monitoramento")</f>
        <v>Sala monitoramento</v>
      </c>
      <c r="I250" s="7" t="str">
        <f>IFERROR(__xludf.DUMMYFUNCTION("""COMPUTED_VALUE"""),"Instalações e/ou Manutenção em Cabeamento de Rede")</f>
        <v>Instalações e/ou Manutenção em Cabeamento de Rede</v>
      </c>
      <c r="J250" s="7" t="str">
        <f>IFERROR(__xludf.DUMMYFUNCTION("""COMPUTED_VALUE"""),"05 Telecomunicações / 39 - CFTV (PRAZO DE ATÉ 15 DIAS PARA ATENDIMENTO)")</f>
        <v>05 Telecomunicações / 39 - CFTV (PRAZO DE ATÉ 15 DIAS PARA ATENDIMENTO)</v>
      </c>
      <c r="K250" s="7"/>
      <c r="L250" s="7" t="str">
        <f>IFERROR(__xludf.DUMMYFUNCTION("""COMPUTED_VALUE"""),"Câmera DOME do DVR do Bloco M, se encontra com a imagem embaçada.")</f>
        <v>Câmera DOME do DVR do Bloco M, se encontra com a imagem embaçada.</v>
      </c>
      <c r="M250" s="10"/>
      <c r="N250" s="10" t="str">
        <f>IFERROR(__xludf.DUMMYFUNCTION("""COMPUTED_VALUE"""),"Realizado")</f>
        <v>Realizado</v>
      </c>
      <c r="O250" s="11">
        <f>IFERROR(__xludf.DUMMYFUNCTION("""COMPUTED_VALUE"""),45341.0)</f>
        <v>45341</v>
      </c>
      <c r="P250" s="11"/>
    </row>
    <row r="251" ht="27.0" customHeight="1">
      <c r="A251" s="7" t="str">
        <f>IFERROR(__xludf.DUMMYFUNCTION("""COMPUTED_VALUE"""),"249/2024")</f>
        <v>249/2024</v>
      </c>
      <c r="B251" s="8">
        <f>IFERROR(__xludf.DUMMYFUNCTION("""COMPUTED_VALUE"""),45329.37049282408)</f>
        <v>45329.37049</v>
      </c>
      <c r="C251" s="8" t="str">
        <f>IFERROR(__xludf.DUMMYFUNCTION("""COMPUTED_VALUE"""),"luci_cardoso@gmail.com")</f>
        <v>luci_cardoso@gmail.com</v>
      </c>
      <c r="D251" s="7" t="str">
        <f>IFERROR(__xludf.DUMMYFUNCTION("""COMPUTED_VALUE"""),"Luci Cardoso")</f>
        <v>Luci Cardoso</v>
      </c>
      <c r="E251" s="7">
        <f>IFERROR(__xludf.DUMMYFUNCTION("""COMPUTED_VALUE"""),5300.0)</f>
        <v>5300</v>
      </c>
      <c r="F251" s="7" t="str">
        <f>IFERROR(__xludf.DUMMYFUNCTION("""COMPUTED_VALUE"""),"REITORIA")</f>
        <v>REITORIA</v>
      </c>
      <c r="G251" s="9" t="str">
        <f>IFERROR(__xludf.DUMMYFUNCTION("""COMPUTED_VALUE"""),"Bloco Administrativo")</f>
        <v>Bloco Administrativo</v>
      </c>
      <c r="H251" s="7" t="str">
        <f>IFERROR(__xludf.DUMMYFUNCTION("""COMPUTED_VALUE"""),"Recepção Reitoria -  segundo piso")</f>
        <v>Recepção Reitoria -  segundo piso</v>
      </c>
      <c r="I251" s="7" t="str">
        <f>IFERROR(__xludf.DUMMYFUNCTION("""COMPUTED_VALUE"""),"Reparos (alvenaria, piso, forro e telhado)")</f>
        <v>Reparos (alvenaria, piso, forro e telhado)</v>
      </c>
      <c r="J251" s="7" t="str">
        <f>IFERROR(__xludf.DUMMYFUNCTION("""COMPUTED_VALUE"""),"01 Alvenaria / 06 - Outros (PRAZO DE ATÉ 60 DIAS PARA ATENDIMENTO)")</f>
        <v>01 Alvenaria / 06 - Outros (PRAZO DE ATÉ 60 DIAS PARA ATENDIMENTO)</v>
      </c>
      <c r="K251" s="7"/>
      <c r="L251" s="7" t="str">
        <f>IFERROR(__xludf.DUMMYFUNCTION("""COMPUTED_VALUE"""),"Fechar vão de espaço entre as janelas e parede; Concertar vazamento e umidade na parede.")</f>
        <v>Fechar vão de espaço entre as janelas e parede; Concertar vazamento e umidade na parede.</v>
      </c>
      <c r="M251" s="10"/>
      <c r="N251" s="10" t="str">
        <f>IFERROR(__xludf.DUMMYFUNCTION("""COMPUTED_VALUE"""),"Realizado")</f>
        <v>Realizado</v>
      </c>
      <c r="O251" s="11">
        <f>IFERROR(__xludf.DUMMYFUNCTION("""COMPUTED_VALUE"""),45371.0)</f>
        <v>45371</v>
      </c>
      <c r="P251" s="11"/>
    </row>
    <row r="252" ht="27.0" customHeight="1">
      <c r="A252" s="7" t="str">
        <f>IFERROR(__xludf.DUMMYFUNCTION("""COMPUTED_VALUE"""),"250/2024")</f>
        <v>250/2024</v>
      </c>
      <c r="B252" s="8">
        <f>IFERROR(__xludf.DUMMYFUNCTION("""COMPUTED_VALUE"""),45329.39280663195)</f>
        <v>45329.39281</v>
      </c>
      <c r="C252" s="8" t="str">
        <f>IFERROR(__xludf.DUMMYFUNCTION("""COMPUTED_VALUE"""),"elaine_carbonero@ufcat.edu.br")</f>
        <v>elaine_carbonero@ufcat.edu.br</v>
      </c>
      <c r="D252" s="7" t="str">
        <f>IFERROR(__xludf.DUMMYFUNCTION("""COMPUTED_VALUE"""),"Elaine Rosechrer Carbonero")</f>
        <v>Elaine Rosechrer Carbonero</v>
      </c>
      <c r="E252" s="7">
        <f>IFERROR(__xludf.DUMMYFUNCTION("""COMPUTED_VALUE"""),6.4981321757E10)</f>
        <v>64981321757</v>
      </c>
      <c r="F252" s="7" t="str">
        <f>IFERROR(__xludf.DUMMYFUNCTION("""COMPUTED_VALUE"""),"SEINFRA")</f>
        <v>SEINFRA</v>
      </c>
      <c r="G252" s="9" t="str">
        <f>IFERROR(__xludf.DUMMYFUNCTION("""COMPUTED_VALUE"""),"Bloco N")</f>
        <v>Bloco N</v>
      </c>
      <c r="H252" s="7" t="str">
        <f>IFERROR(__xludf.DUMMYFUNCTION("""COMPUTED_VALUE"""),"Lab 111 e 115- e corredor do bloco N")</f>
        <v>Lab 111 e 115- e corredor do bloco N</v>
      </c>
      <c r="I252" s="7" t="str">
        <f>IFERROR(__xludf.DUMMYFUNCTION("""COMPUTED_VALUE"""),"Pequenos serviços de reparos em Marcenaria")</f>
        <v>Pequenos serviços de reparos em Marcenaria</v>
      </c>
      <c r="J252" s="7"/>
      <c r="K252" s="7"/>
      <c r="L252" s="7" t="str">
        <f>IFERROR(__xludf.DUMMYFUNCTION("""COMPUTED_VALUE"""),"Análise técnica para verificar a viabilidade de instalação de portas, para acesso/segurança, do bloco N ao bloco K e dos laboratórios 111 e 115 (bloco N) ao almoxarifado")</f>
        <v>Análise técnica para verificar a viabilidade de instalação de portas, para acesso/segurança, do bloco N ao bloco K e dos laboratórios 111 e 115 (bloco N) ao almoxarifado</v>
      </c>
      <c r="M252" s="10"/>
      <c r="N252" s="10" t="str">
        <f>IFERROR(__xludf.DUMMYFUNCTION("""COMPUTED_VALUE"""),"Aguardando análise")</f>
        <v>Aguardando análise</v>
      </c>
      <c r="O252" s="11"/>
      <c r="P252" s="11"/>
    </row>
    <row r="253" ht="27.0" customHeight="1">
      <c r="A253" s="7" t="str">
        <f>IFERROR(__xludf.DUMMYFUNCTION("""COMPUTED_VALUE"""),"251/2024")</f>
        <v>251/2024</v>
      </c>
      <c r="B253" s="8">
        <f>IFERROR(__xludf.DUMMYFUNCTION("""COMPUTED_VALUE"""),45329.39618607639)</f>
        <v>45329.39619</v>
      </c>
      <c r="C253" s="8" t="str">
        <f>IFERROR(__xludf.DUMMYFUNCTION("""COMPUTED_VALUE"""),"elaine_carbonero@ufcat.edu.br")</f>
        <v>elaine_carbonero@ufcat.edu.br</v>
      </c>
      <c r="D253" s="7" t="str">
        <f>IFERROR(__xludf.DUMMYFUNCTION("""COMPUTED_VALUE"""),"Elaine Rosechrer Carbonero")</f>
        <v>Elaine Rosechrer Carbonero</v>
      </c>
      <c r="E253" s="7">
        <f>IFERROR(__xludf.DUMMYFUNCTION("""COMPUTED_VALUE"""),6.4981321757E10)</f>
        <v>64981321757</v>
      </c>
      <c r="F253" s="7" t="str">
        <f>IFERROR(__xludf.DUMMYFUNCTION("""COMPUTED_VALUE"""),"SEINFRA")</f>
        <v>SEINFRA</v>
      </c>
      <c r="G253" s="9" t="str">
        <f>IFERROR(__xludf.DUMMYFUNCTION("""COMPUTED_VALUE"""),"Bloco K")</f>
        <v>Bloco K</v>
      </c>
      <c r="H253" s="7" t="str">
        <f>IFERROR(__xludf.DUMMYFUNCTION("""COMPUTED_VALUE"""),"Sala 102")</f>
        <v>Sala 102</v>
      </c>
      <c r="I253" s="7" t="str">
        <f>IFERROR(__xludf.DUMMYFUNCTION("""COMPUTED_VALUE"""),"Pequenos serviços de reparos em Marcenaria")</f>
        <v>Pequenos serviços de reparos em Marcenaria</v>
      </c>
      <c r="J253" s="7"/>
      <c r="K253" s="7"/>
      <c r="L253" s="7" t="str">
        <f>IFERROR(__xludf.DUMMYFUNCTION("""COMPUTED_VALUE"""),"Análise técnica sobre a viabilidade de colocação de divisórias conforme a imagem em anexo")</f>
        <v>Análise técnica sobre a viabilidade de colocação de divisórias conforme a imagem em anexo</v>
      </c>
      <c r="M253" s="10"/>
      <c r="N253" s="10" t="str">
        <f>IFERROR(__xludf.DUMMYFUNCTION("""COMPUTED_VALUE"""),"Aguardando análise")</f>
        <v>Aguardando análise</v>
      </c>
      <c r="O253" s="11"/>
      <c r="P253" s="11"/>
    </row>
    <row r="254" ht="27.0" customHeight="1">
      <c r="A254" s="7" t="str">
        <f>IFERROR(__xludf.DUMMYFUNCTION("""COMPUTED_VALUE"""),"252/2024")</f>
        <v>252/2024</v>
      </c>
      <c r="B254" s="8">
        <f>IFERROR(__xludf.DUMMYFUNCTION("""COMPUTED_VALUE"""),45329.40487893518)</f>
        <v>45329.40488</v>
      </c>
      <c r="C254" s="8" t="str">
        <f>IFERROR(__xludf.DUMMYFUNCTION("""COMPUTED_VALUE"""),"berenicedfernandes@gmail.com")</f>
        <v>berenicedfernandes@gmail.com</v>
      </c>
      <c r="D254" s="7" t="str">
        <f>IFERROR(__xludf.DUMMYFUNCTION("""COMPUTED_VALUE"""),"Berenice")</f>
        <v>Berenice</v>
      </c>
      <c r="E254" s="7">
        <f>IFERROR(__xludf.DUMMYFUNCTION("""COMPUTED_VALUE"""),5341.0)</f>
        <v>5341</v>
      </c>
      <c r="F254" s="7" t="str">
        <f>IFERROR(__xludf.DUMMYFUNCTION("""COMPUTED_VALUE"""),"SERVIÇO DE LIMPEZA")</f>
        <v>SERVIÇO DE LIMPEZA</v>
      </c>
      <c r="G254" s="9" t="str">
        <f>IFERROR(__xludf.DUMMYFUNCTION("""COMPUTED_VALUE"""),"Didático II")</f>
        <v>Didático II</v>
      </c>
      <c r="H254" s="7" t="str">
        <f>IFERROR(__xludf.DUMMYFUNCTION("""COMPUTED_VALUE"""),"Banheiros")</f>
        <v>Banheiros</v>
      </c>
      <c r="I254" s="7" t="str">
        <f>IFERROR(__xludf.DUMMYFUNCTION("""COMPUTED_VALUE"""),"Instalações Hidrossanitárias")</f>
        <v>Instalações Hidrossanitárias</v>
      </c>
      <c r="J254" s="7" t="str">
        <f>IFERROR(__xludf.DUMMYFUNCTION("""COMPUTED_VALUE"""),"02 Hidráulica / 16 - Instalação de dispenser de Sabonete (PRAZO DE 15 a 60 DIAS PARA ATENDIMENTO)")</f>
        <v>02 Hidráulica / 16 - Instalação de dispenser de Sabonete (PRAZO DE 15 a 60 DIAS PARA ATENDIMENTO)</v>
      </c>
      <c r="K254" s="7"/>
      <c r="L254" s="7" t="str">
        <f>IFERROR(__xludf.DUMMYFUNCTION("""COMPUTED_VALUE"""),"Instalar dispenser de sabonete líquido")</f>
        <v>Instalar dispenser de sabonete líquido</v>
      </c>
      <c r="M254" s="10"/>
      <c r="N254" s="10" t="str">
        <f>IFERROR(__xludf.DUMMYFUNCTION("""COMPUTED_VALUE"""),"Realizado")</f>
        <v>Realizado</v>
      </c>
      <c r="O254" s="11">
        <f>IFERROR(__xludf.DUMMYFUNCTION("""COMPUTED_VALUE"""),45371.0)</f>
        <v>45371</v>
      </c>
      <c r="P254" s="11"/>
    </row>
    <row r="255" ht="27.0" customHeight="1">
      <c r="A255" s="7" t="str">
        <f>IFERROR(__xludf.DUMMYFUNCTION("""COMPUTED_VALUE"""),"253/2024")</f>
        <v>253/2024</v>
      </c>
      <c r="B255" s="8">
        <f>IFERROR(__xludf.DUMMYFUNCTION("""COMPUTED_VALUE"""),45329.40816733796)</f>
        <v>45329.40817</v>
      </c>
      <c r="C255" s="8" t="str">
        <f>IFERROR(__xludf.DUMMYFUNCTION("""COMPUTED_VALUE"""),"berenicevieira@ufcat.edu.br")</f>
        <v>berenicevieira@ufcat.edu.br</v>
      </c>
      <c r="D255" s="7" t="str">
        <f>IFERROR(__xludf.DUMMYFUNCTION("""COMPUTED_VALUE"""),"Berenice")</f>
        <v>Berenice</v>
      </c>
      <c r="E255" s="7">
        <f>IFERROR(__xludf.DUMMYFUNCTION("""COMPUTED_VALUE"""),5341.0)</f>
        <v>5341</v>
      </c>
      <c r="F255" s="7" t="str">
        <f>IFERROR(__xludf.DUMMYFUNCTION("""COMPUTED_VALUE"""),"SERVIÇO DE LIMPEZA")</f>
        <v>SERVIÇO DE LIMPEZA</v>
      </c>
      <c r="G255" s="9" t="str">
        <f>IFERROR(__xludf.DUMMYFUNCTION("""COMPUTED_VALUE"""),"Didatico I")</f>
        <v>Didatico I</v>
      </c>
      <c r="H255" s="7" t="str">
        <f>IFERROR(__xludf.DUMMYFUNCTION("""COMPUTED_VALUE"""),"Banheiros")</f>
        <v>Banheiros</v>
      </c>
      <c r="I255" s="7" t="str">
        <f>IFERROR(__xludf.DUMMYFUNCTION("""COMPUTED_VALUE"""),"Instalações Hidrossanitárias")</f>
        <v>Instalações Hidrossanitárias</v>
      </c>
      <c r="J255" s="7" t="str">
        <f>IFERROR(__xludf.DUMMYFUNCTION("""COMPUTED_VALUE"""),"02 Hidráulica / 16 - Instalação de dispenser de Sabonete (PRAZO DE 15 a 60 DIAS PARA ATENDIMENTO)")</f>
        <v>02 Hidráulica / 16 - Instalação de dispenser de Sabonete (PRAZO DE 15 a 60 DIAS PARA ATENDIMENTO)</v>
      </c>
      <c r="K255" s="7"/>
      <c r="L255" s="7" t="str">
        <f>IFERROR(__xludf.DUMMYFUNCTION("""COMPUTED_VALUE"""),"Instalar dispenser de sabonete líquido")</f>
        <v>Instalar dispenser de sabonete líquido</v>
      </c>
      <c r="M255" s="10"/>
      <c r="N255" s="10" t="str">
        <f>IFERROR(__xludf.DUMMYFUNCTION("""COMPUTED_VALUE"""),"Realizado")</f>
        <v>Realizado</v>
      </c>
      <c r="O255" s="11">
        <f>IFERROR(__xludf.DUMMYFUNCTION("""COMPUTED_VALUE"""),45371.0)</f>
        <v>45371</v>
      </c>
      <c r="P255" s="11"/>
    </row>
    <row r="256" ht="27.0" customHeight="1">
      <c r="A256" s="7" t="str">
        <f>IFERROR(__xludf.DUMMYFUNCTION("""COMPUTED_VALUE"""),"254/2024")</f>
        <v>254/2024</v>
      </c>
      <c r="B256" s="8">
        <f>IFERROR(__xludf.DUMMYFUNCTION("""COMPUTED_VALUE"""),45329.41016003472)</f>
        <v>45329.41016</v>
      </c>
      <c r="C256" s="8" t="str">
        <f>IFERROR(__xludf.DUMMYFUNCTION("""COMPUTED_VALUE"""),"luciufg@gmail.com")</f>
        <v>luciufg@gmail.com</v>
      </c>
      <c r="D256" s="7" t="str">
        <f>IFERROR(__xludf.DUMMYFUNCTION("""COMPUTED_VALUE"""),"Luci Cardoso")</f>
        <v>Luci Cardoso</v>
      </c>
      <c r="E256" s="7">
        <f>IFERROR(__xludf.DUMMYFUNCTION("""COMPUTED_VALUE"""),5300.0)</f>
        <v>5300</v>
      </c>
      <c r="F256" s="7" t="str">
        <f>IFERROR(__xludf.DUMMYFUNCTION("""COMPUTED_VALUE"""),"REITORIA")</f>
        <v>REITORIA</v>
      </c>
      <c r="G256" s="9" t="str">
        <f>IFERROR(__xludf.DUMMYFUNCTION("""COMPUTED_VALUE"""),"Bloco Administrativo")</f>
        <v>Bloco Administrativo</v>
      </c>
      <c r="H256" s="7" t="str">
        <f>IFERROR(__xludf.DUMMYFUNCTION("""COMPUTED_VALUE"""),"Recepção da Reitoria")</f>
        <v>Recepção da Reitoria</v>
      </c>
      <c r="I256" s="7" t="str">
        <f>IFERROR(__xludf.DUMMYFUNCTION("""COMPUTED_VALUE"""),"Vidraçaria ")</f>
        <v>Vidraçaria </v>
      </c>
      <c r="J256" s="7" t="str">
        <f>IFERROR(__xludf.DUMMYFUNCTION("""COMPUTED_VALUE"""),"07 Vidraçaria / 51 - Outros (PRAZO DE ACORDO COM A DEMANDA)")</f>
        <v>07 Vidraçaria / 51 - Outros (PRAZO DE ACORDO COM A DEMANDA)</v>
      </c>
      <c r="K256" s="7"/>
      <c r="L256" s="7" t="str">
        <f>IFERROR(__xludf.DUMMYFUNCTION("""COMPUTED_VALUE"""),"Trocar roldanas da porta de vidro de correr da Recepção da Reitoria , porta está muito pesada e correndo risco de acidente ")</f>
        <v>Trocar roldanas da porta de vidro de correr da Recepção da Reitoria , porta está muito pesada e correndo risco de acidente </v>
      </c>
      <c r="M256" s="10"/>
      <c r="N256" s="10" t="str">
        <f>IFERROR(__xludf.DUMMYFUNCTION("""COMPUTED_VALUE"""),"Realizado")</f>
        <v>Realizado</v>
      </c>
      <c r="O256" s="11">
        <f>IFERROR(__xludf.DUMMYFUNCTION("""COMPUTED_VALUE"""),45358.0)</f>
        <v>45358</v>
      </c>
      <c r="P256" s="11"/>
    </row>
    <row r="257" ht="27.0" customHeight="1">
      <c r="A257" s="7" t="str">
        <f>IFERROR(__xludf.DUMMYFUNCTION("""COMPUTED_VALUE"""),"255/2024")</f>
        <v>255/2024</v>
      </c>
      <c r="B257" s="8">
        <f>IFERROR(__xludf.DUMMYFUNCTION("""COMPUTED_VALUE"""),45329.41302587963)</f>
        <v>45329.41303</v>
      </c>
      <c r="C257" s="8" t="str">
        <f>IFERROR(__xludf.DUMMYFUNCTION("""COMPUTED_VALUE"""),"luciufg@gmail.com")</f>
        <v>luciufg@gmail.com</v>
      </c>
      <c r="D257" s="7" t="str">
        <f>IFERROR(__xludf.DUMMYFUNCTION("""COMPUTED_VALUE"""),"Luci Cardoso")</f>
        <v>Luci Cardoso</v>
      </c>
      <c r="E257" s="7">
        <f>IFERROR(__xludf.DUMMYFUNCTION("""COMPUTED_VALUE"""),5300.0)</f>
        <v>5300</v>
      </c>
      <c r="F257" s="7" t="str">
        <f>IFERROR(__xludf.DUMMYFUNCTION("""COMPUTED_VALUE"""),"REITORIA")</f>
        <v>REITORIA</v>
      </c>
      <c r="G257" s="9" t="str">
        <f>IFERROR(__xludf.DUMMYFUNCTION("""COMPUTED_VALUE"""),"Bloco Administrativo")</f>
        <v>Bloco Administrativo</v>
      </c>
      <c r="H257" s="7" t="str">
        <f>IFERROR(__xludf.DUMMYFUNCTION("""COMPUTED_VALUE"""),"Corredor do segundo piso")</f>
        <v>Corredor do segundo piso</v>
      </c>
      <c r="I257" s="7" t="str">
        <f>IFERROR(__xludf.DUMMYFUNCTION("""COMPUTED_VALUE"""),"Instalações elétricas")</f>
        <v>Instalações elétricas</v>
      </c>
      <c r="J257" s="7" t="str">
        <f>IFERROR(__xludf.DUMMYFUNCTION("""COMPUTED_VALUE"""),"04 Elétrica / 35 - Troca de Lâmpadas (PRAZO DE ATÉ 15 DIAS PARA ATENDIMENTO)")</f>
        <v>04 Elétrica / 35 - Troca de Lâmpadas (PRAZO DE ATÉ 15 DIAS PARA ATENDIMENTO)</v>
      </c>
      <c r="K257" s="7"/>
      <c r="L257" s="7" t="str">
        <f>IFERROR(__xludf.DUMMYFUNCTION("""COMPUTED_VALUE"""),"fazer a troca de 2 lâmpadas queimadas")</f>
        <v>fazer a troca de 2 lâmpadas queimadas</v>
      </c>
      <c r="M257" s="10"/>
      <c r="N257" s="10" t="str">
        <f>IFERROR(__xludf.DUMMYFUNCTION("""COMPUTED_VALUE"""),"Realizado")</f>
        <v>Realizado</v>
      </c>
      <c r="O257" s="11">
        <f>IFERROR(__xludf.DUMMYFUNCTION("""COMPUTED_VALUE"""),45343.0)</f>
        <v>45343</v>
      </c>
      <c r="P257" s="11"/>
    </row>
    <row r="258" ht="27.0" customHeight="1">
      <c r="A258" s="7" t="str">
        <f>IFERROR(__xludf.DUMMYFUNCTION("""COMPUTED_VALUE"""),"256/2024")</f>
        <v>256/2024</v>
      </c>
      <c r="B258" s="8">
        <f>IFERROR(__xludf.DUMMYFUNCTION("""COMPUTED_VALUE"""),45329.44001040509)</f>
        <v>45329.44001</v>
      </c>
      <c r="C258" s="8" t="str">
        <f>IFERROR(__xludf.DUMMYFUNCTION("""COMPUTED_VALUE"""),"josianeribeiro@ufcat.edu.br")</f>
        <v>josianeribeiro@ufcat.edu.br</v>
      </c>
      <c r="D258" s="7" t="str">
        <f>IFERROR(__xludf.DUMMYFUNCTION("""COMPUTED_VALUE"""),"Josiane A. Ribeiro da Silva")</f>
        <v>Josiane A. Ribeiro da Silva</v>
      </c>
      <c r="E258" s="7">
        <f>IFERROR(__xludf.DUMMYFUNCTION("""COMPUTED_VALUE"""),5333.0)</f>
        <v>5333</v>
      </c>
      <c r="F258" s="7" t="str">
        <f>IFERROR(__xludf.DUMMYFUNCTION("""COMPUTED_VALUE"""),"PRPE")</f>
        <v>PRPE</v>
      </c>
      <c r="G258" s="9" t="str">
        <f>IFERROR(__xludf.DUMMYFUNCTION("""COMPUTED_VALUE"""),"Centro de convivência")</f>
        <v>Centro de convivência</v>
      </c>
      <c r="H258" s="7" t="str">
        <f>IFERROR(__xludf.DUMMYFUNCTION("""COMPUTED_VALUE"""),"Centro de Convivência. externo ao RU")</f>
        <v>Centro de Convivência. externo ao RU</v>
      </c>
      <c r="I258" s="7" t="str">
        <f>IFERROR(__xludf.DUMMYFUNCTION("""COMPUTED_VALUE"""),"Instalações elétricas")</f>
        <v>Instalações elétricas</v>
      </c>
      <c r="J258" s="7" t="str">
        <f>IFERROR(__xludf.DUMMYFUNCTION("""COMPUTED_VALUE"""),"04 Elétrica / 37 - Outros (PRAZO DE ACORDO COM A DEMANDA)")</f>
        <v>04 Elétrica / 37 - Outros (PRAZO DE ACORDO COM A DEMANDA)</v>
      </c>
      <c r="K258" s="7"/>
      <c r="L258" s="7" t="str">
        <f>IFERROR(__xludf.DUMMYFUNCTION("""COMPUTED_VALUE"""),"03 ventiladores de teto que não estão funcionando")</f>
        <v>03 ventiladores de teto que não estão funcionando</v>
      </c>
      <c r="M258" s="10"/>
      <c r="N258" s="10" t="str">
        <f>IFERROR(__xludf.DUMMYFUNCTION("""COMPUTED_VALUE"""),"Realizado")</f>
        <v>Realizado</v>
      </c>
      <c r="O258" s="11">
        <f>IFERROR(__xludf.DUMMYFUNCTION("""COMPUTED_VALUE"""),45341.0)</f>
        <v>45341</v>
      </c>
      <c r="P258" s="11"/>
    </row>
    <row r="259" ht="27.0" customHeight="1">
      <c r="A259" s="7" t="str">
        <f>IFERROR(__xludf.DUMMYFUNCTION("""COMPUTED_VALUE"""),"257/2024")</f>
        <v>257/2024</v>
      </c>
      <c r="B259" s="8">
        <f>IFERROR(__xludf.DUMMYFUNCTION("""COMPUTED_VALUE"""),45329.51849949074)</f>
        <v>45329.5185</v>
      </c>
      <c r="C259" s="8" t="str">
        <f>IFERROR(__xludf.DUMMYFUNCTION("""COMPUTED_VALUE"""),"paulo@ufcat.edu.br")</f>
        <v>paulo@ufcat.edu.br</v>
      </c>
      <c r="D259" s="7" t="str">
        <f>IFERROR(__xludf.DUMMYFUNCTION("""COMPUTED_VALUE"""),"Paulo Henrique")</f>
        <v>Paulo Henrique</v>
      </c>
      <c r="E259" s="7">
        <f>IFERROR(__xludf.DUMMYFUNCTION("""COMPUTED_VALUE"""),5337.0)</f>
        <v>5337</v>
      </c>
      <c r="F259" s="7" t="str">
        <f>IFERROR(__xludf.DUMMYFUNCTION("""COMPUTED_VALUE"""),"SETI")</f>
        <v>SETI</v>
      </c>
      <c r="G259" s="9" t="str">
        <f>IFERROR(__xludf.DUMMYFUNCTION("""COMPUTED_VALUE"""),"Bloco Administrativo")</f>
        <v>Bloco Administrativo</v>
      </c>
      <c r="H259" s="7" t="str">
        <f>IFERROR(__xludf.DUMMYFUNCTION("""COMPUTED_VALUE"""),"DCF - Contabilidade")</f>
        <v>DCF - Contabilidade</v>
      </c>
      <c r="I259" s="7" t="str">
        <f>IFERROR(__xludf.DUMMYFUNCTION("""COMPUTED_VALUE"""),"Instalações e/ou Manutenção em Cabeamento de Rede")</f>
        <v>Instalações e/ou Manutenção em Cabeamento de Rede</v>
      </c>
      <c r="J259" s="7" t="str">
        <f>IFERROR(__xludf.DUMMYFUNCTION("""COMPUTED_VALUE"""),"05 Telecomunicações / 38 - Cabeamento de Rede (PRAZO DE ATÉ 15 DIAS PARA ATENDIMENTO)")</f>
        <v>05 Telecomunicações / 38 - Cabeamento de Rede (PRAZO DE ATÉ 15 DIAS PARA ATENDIMENTO)</v>
      </c>
      <c r="K259" s="7"/>
      <c r="L259" s="7" t="str">
        <f>IFERROR(__xludf.DUMMYFUNCTION("""COMPUTED_VALUE"""),"Substituir conector femea por conector RJ-45 macho da sala da Alessandra, pois está com mal contato.")</f>
        <v>Substituir conector femea por conector RJ-45 macho da sala da Alessandra, pois está com mal contato.</v>
      </c>
      <c r="M259" s="10"/>
      <c r="N259" s="10" t="str">
        <f>IFERROR(__xludf.DUMMYFUNCTION("""COMPUTED_VALUE"""),"Realizado")</f>
        <v>Realizado</v>
      </c>
      <c r="O259" s="11">
        <f>IFERROR(__xludf.DUMMYFUNCTION("""COMPUTED_VALUE"""),45341.0)</f>
        <v>45341</v>
      </c>
      <c r="P259" s="11"/>
    </row>
    <row r="260" ht="27.0" customHeight="1">
      <c r="A260" s="7" t="str">
        <f>IFERROR(__xludf.DUMMYFUNCTION("""COMPUTED_VALUE"""),"258/2024")</f>
        <v>258/2024</v>
      </c>
      <c r="B260" s="8">
        <f>IFERROR(__xludf.DUMMYFUNCTION("""COMPUTED_VALUE"""),45329.534865127316)</f>
        <v>45329.53487</v>
      </c>
      <c r="C260" s="8" t="str">
        <f>IFERROR(__xludf.DUMMYFUNCTION("""COMPUTED_VALUE"""),"divinosilva@ufcat.edu.br")</f>
        <v>divinosilva@ufcat.edu.br</v>
      </c>
      <c r="D260" s="7" t="str">
        <f>IFERROR(__xludf.DUMMYFUNCTION("""COMPUTED_VALUE"""),"Divino")</f>
        <v>Divino</v>
      </c>
      <c r="E260" s="7">
        <f>IFERROR(__xludf.DUMMYFUNCTION("""COMPUTED_VALUE"""),5320.0)</f>
        <v>5320</v>
      </c>
      <c r="F260" s="7" t="str">
        <f>IFERROR(__xludf.DUMMYFUNCTION("""COMPUTED_VALUE"""),"IMTec")</f>
        <v>IMTec</v>
      </c>
      <c r="G260" s="9" t="str">
        <f>IFERROR(__xludf.DUMMYFUNCTION("""COMPUTED_VALUE"""),"Bloco M")</f>
        <v>Bloco M</v>
      </c>
      <c r="H260" s="7" t="str">
        <f>IFERROR(__xludf.DUMMYFUNCTION("""COMPUTED_VALUE"""),"Banheiro masculino no 3º piso do Bloco M")</f>
        <v>Banheiro masculino no 3º piso do Bloco M</v>
      </c>
      <c r="I260" s="7" t="str">
        <f>IFERROR(__xludf.DUMMYFUNCTION("""COMPUTED_VALUE"""),"Instalações Hidrossanitárias")</f>
        <v>Instalações Hidrossanitárias</v>
      </c>
      <c r="J260" s="7" t="str">
        <f>IFERROR(__xludf.DUMMYFUNCTION("""COMPUTED_VALUE"""),"02 Hidráulica / 11 - Vazamento em Tubulação interna (PRAZO DE 15 a 60 DIAS PARA ATENDIMENTO)")</f>
        <v>02 Hidráulica / 11 - Vazamento em Tubulação interna (PRAZO DE 15 a 60 DIAS PARA ATENDIMENTO)</v>
      </c>
      <c r="K260" s="7"/>
      <c r="L260" s="7" t="str">
        <f>IFERROR(__xludf.DUMMYFUNCTION("""COMPUTED_VALUE"""),"Vazamento no mictório do banheiro masculino (entupimento)")</f>
        <v>Vazamento no mictório do banheiro masculino (entupimento)</v>
      </c>
      <c r="M260" s="10"/>
      <c r="N260" s="10" t="str">
        <f>IFERROR(__xludf.DUMMYFUNCTION("""COMPUTED_VALUE"""),"Realizado")</f>
        <v>Realizado</v>
      </c>
      <c r="O260" s="11">
        <f>IFERROR(__xludf.DUMMYFUNCTION("""COMPUTED_VALUE"""),45330.0)</f>
        <v>45330</v>
      </c>
      <c r="P260" s="11"/>
    </row>
    <row r="261" ht="27.0" customHeight="1">
      <c r="A261" s="7" t="str">
        <f>IFERROR(__xludf.DUMMYFUNCTION("""COMPUTED_VALUE"""),"259/2024")</f>
        <v>259/2024</v>
      </c>
      <c r="B261" s="8">
        <f>IFERROR(__xludf.DUMMYFUNCTION("""COMPUTED_VALUE"""),45329.56602525463)</f>
        <v>45329.56603</v>
      </c>
      <c r="C261" s="8" t="str">
        <f>IFERROR(__xludf.DUMMYFUNCTION("""COMPUTED_VALUE"""),"kelryene.garcia@ufcat.edu.br")</f>
        <v>kelryene.garcia@ufcat.edu.br</v>
      </c>
      <c r="D261" s="7" t="str">
        <f>IFERROR(__xludf.DUMMYFUNCTION("""COMPUTED_VALUE"""),"Kelryene Garcia")</f>
        <v>Kelryene Garcia</v>
      </c>
      <c r="E261" s="7" t="str">
        <f>IFERROR(__xludf.DUMMYFUNCTION("""COMPUTED_VALUE"""),"3441-5315")</f>
        <v>3441-5315</v>
      </c>
      <c r="F261" s="7" t="str">
        <f>IFERROR(__xludf.DUMMYFUNCTION("""COMPUTED_VALUE"""),"PROAF")</f>
        <v>PROAF</v>
      </c>
      <c r="G261" s="9" t="str">
        <f>IFERROR(__xludf.DUMMYFUNCTION("""COMPUTED_VALUE"""),"Bloco Administrativo")</f>
        <v>Bloco Administrativo</v>
      </c>
      <c r="H261" s="7" t="str">
        <f>IFERROR(__xludf.DUMMYFUNCTION("""COMPUTED_VALUE"""),"Gabinete do Pró-Reitor PROAF")</f>
        <v>Gabinete do Pró-Reitor PROAF</v>
      </c>
      <c r="I261" s="7" t="str">
        <f>IFERROR(__xludf.DUMMYFUNCTION("""COMPUTED_VALUE"""),"Pequenos serviços de reparos em Marcenaria")</f>
        <v>Pequenos serviços de reparos em Marcenaria</v>
      </c>
      <c r="J261" s="7" t="str">
        <f>IFERROR(__xludf.DUMMYFUNCTION("""COMPUTED_VALUE"""),"03 Marcenaria / 29 - Outros (PRAZO DE ACORDO COM A DEMANDA)")</f>
        <v>03 Marcenaria / 29 - Outros (PRAZO DE ACORDO COM A DEMANDA)</v>
      </c>
      <c r="K261" s="7"/>
      <c r="L261" s="7" t="str">
        <f>IFERROR(__xludf.DUMMYFUNCTION("""COMPUTED_VALUE"""),"Fixar dois suportes para fios na parede da sala do pró-reitor (da mesma maneira que tem nas salas de aula), fixar quadro decorativo na parede da sala do pró-reitor, será necessário duas buchas e dois parafusos. Medida do quadro 75x75.")</f>
        <v>Fixar dois suportes para fios na parede da sala do pró-reitor (da mesma maneira que tem nas salas de aula), fixar quadro decorativo na parede da sala do pró-reitor, será necessário duas buchas e dois parafusos. Medida do quadro 75x75.</v>
      </c>
      <c r="M261" s="10"/>
      <c r="N261" s="10" t="str">
        <f>IFERROR(__xludf.DUMMYFUNCTION("""COMPUTED_VALUE"""),"Realizado")</f>
        <v>Realizado</v>
      </c>
      <c r="O261" s="11">
        <f>IFERROR(__xludf.DUMMYFUNCTION("""COMPUTED_VALUE"""),45342.0)</f>
        <v>45342</v>
      </c>
      <c r="P261" s="11"/>
    </row>
    <row r="262" ht="27.0" customHeight="1">
      <c r="A262" s="7" t="str">
        <f>IFERROR(__xludf.DUMMYFUNCTION("""COMPUTED_VALUE"""),"260/2024")</f>
        <v>260/2024</v>
      </c>
      <c r="B262" s="8">
        <f>IFERROR(__xludf.DUMMYFUNCTION("""COMPUTED_VALUE"""),45329.638973796296)</f>
        <v>45329.63897</v>
      </c>
      <c r="C262" s="8" t="str">
        <f>IFERROR(__xludf.DUMMYFUNCTION("""COMPUTED_VALUE"""),"muc.prpe@ufcat.edu.br")</f>
        <v>muc.prpe@ufcat.edu.br</v>
      </c>
      <c r="D262" s="7" t="str">
        <f>IFERROR(__xludf.DUMMYFUNCTION("""COMPUTED_VALUE"""),"DANIEL DOS REIS SIMÕES")</f>
        <v>DANIEL DOS REIS SIMÕES</v>
      </c>
      <c r="E262" s="7">
        <f>IFERROR(__xludf.DUMMYFUNCTION("""COMPUTED_VALUE"""),5333.0)</f>
        <v>5333</v>
      </c>
      <c r="F262" s="7" t="str">
        <f>IFERROR(__xludf.DUMMYFUNCTION("""COMPUTED_VALUE"""),"PRPE")</f>
        <v>PRPE</v>
      </c>
      <c r="G262" s="9" t="str">
        <f>IFERROR(__xludf.DUMMYFUNCTION("""COMPUTED_VALUE"""),"MUC")</f>
        <v>MUC</v>
      </c>
      <c r="H262" s="7" t="str">
        <f>IFERROR(__xludf.DUMMYFUNCTION("""COMPUTED_VALUE"""),"Portaria e Garagem")</f>
        <v>Portaria e Garagem</v>
      </c>
      <c r="I262" s="7" t="str">
        <f>IFERROR(__xludf.DUMMYFUNCTION("""COMPUTED_VALUE"""),"Pintura")</f>
        <v>Pintura</v>
      </c>
      <c r="J262" s="7" t="str">
        <f>IFERROR(__xludf.DUMMYFUNCTION("""COMPUTED_VALUE"""),"06 Pintura / 47 - Outros (PRAZO DE ACORDO COM A DEMANDA)")</f>
        <v>06 Pintura / 47 - Outros (PRAZO DE ACORDO COM A DEMANDA)</v>
      </c>
      <c r="K262" s="7"/>
      <c r="L262" s="7" t="str">
        <f>IFERROR(__xludf.DUMMYFUNCTION("""COMPUTED_VALUE"""),"Pintar os portões de entrada e garagem da MUC")</f>
        <v>Pintar os portões de entrada e garagem da MUC</v>
      </c>
      <c r="M262" s="10"/>
      <c r="N262" s="10" t="str">
        <f>IFERROR(__xludf.DUMMYFUNCTION("""COMPUTED_VALUE"""),"Aguardando análise")</f>
        <v>Aguardando análise</v>
      </c>
      <c r="O262" s="11"/>
      <c r="P262" s="11"/>
    </row>
    <row r="263" ht="27.0" customHeight="1">
      <c r="A263" s="7" t="str">
        <f>IFERROR(__xludf.DUMMYFUNCTION("""COMPUTED_VALUE"""),"261/2024")</f>
        <v>261/2024</v>
      </c>
      <c r="B263" s="8">
        <f>IFERROR(__xludf.DUMMYFUNCTION("""COMPUTED_VALUE"""),45329.676096944444)</f>
        <v>45329.6761</v>
      </c>
      <c r="C263" s="8" t="str">
        <f>IFERROR(__xludf.DUMMYFUNCTION("""COMPUTED_VALUE"""),"berenicevieira@ufcat.edu.br")</f>
        <v>berenicevieira@ufcat.edu.br</v>
      </c>
      <c r="D263" s="7" t="str">
        <f>IFERROR(__xludf.DUMMYFUNCTION("""COMPUTED_VALUE"""),"Berenice")</f>
        <v>Berenice</v>
      </c>
      <c r="E263" s="7">
        <f>IFERROR(__xludf.DUMMYFUNCTION("""COMPUTED_VALUE"""),5341.0)</f>
        <v>5341</v>
      </c>
      <c r="F263" s="7" t="str">
        <f>IFERROR(__xludf.DUMMYFUNCTION("""COMPUTED_VALUE"""),"SERVIÇO DE LIMPEZA")</f>
        <v>SERVIÇO DE LIMPEZA</v>
      </c>
      <c r="G263" s="9" t="str">
        <f>IFERROR(__xludf.DUMMYFUNCTION("""COMPUTED_VALUE"""),"Didatico I")</f>
        <v>Didatico I</v>
      </c>
      <c r="H263" s="7" t="str">
        <f>IFERROR(__xludf.DUMMYFUNCTION("""COMPUTED_VALUE"""),"Banheiros")</f>
        <v>Banheiros</v>
      </c>
      <c r="I263" s="7" t="str">
        <f>IFERROR(__xludf.DUMMYFUNCTION("""COMPUTED_VALUE"""),"Instalações Hidrossanitárias")</f>
        <v>Instalações Hidrossanitárias</v>
      </c>
      <c r="J263" s="7" t="str">
        <f>IFERROR(__xludf.DUMMYFUNCTION("""COMPUTED_VALUE"""),"02 Hidráulica / 14 - Instalação de dispenser Papel Higiênico (PRAZO DE 15 a 60 DIAS PARA ATENDIMENTO)")</f>
        <v>02 Hidráulica / 14 - Instalação de dispenser Papel Higiênico (PRAZO DE 15 a 60 DIAS PARA ATENDIMENTO)</v>
      </c>
      <c r="K263" s="7"/>
      <c r="L263" s="7" t="str">
        <f>IFERROR(__xludf.DUMMYFUNCTION("""COMPUTED_VALUE"""),"Instalação de 11 dispenseres")</f>
        <v>Instalação de 11 dispenseres</v>
      </c>
      <c r="M263" s="10"/>
      <c r="N263" s="10" t="str">
        <f>IFERROR(__xludf.DUMMYFUNCTION("""COMPUTED_VALUE"""),"Realizado")</f>
        <v>Realizado</v>
      </c>
      <c r="O263" s="11">
        <f>IFERROR(__xludf.DUMMYFUNCTION("""COMPUTED_VALUE"""),45371.0)</f>
        <v>45371</v>
      </c>
      <c r="P263" s="11"/>
    </row>
    <row r="264" ht="27.0" customHeight="1">
      <c r="A264" s="7" t="str">
        <f>IFERROR(__xludf.DUMMYFUNCTION("""COMPUTED_VALUE"""),"262/2024")</f>
        <v>262/2024</v>
      </c>
      <c r="B264" s="8">
        <f>IFERROR(__xludf.DUMMYFUNCTION("""COMPUTED_VALUE"""),45329.67841353009)</f>
        <v>45329.67841</v>
      </c>
      <c r="C264" s="8" t="str">
        <f>IFERROR(__xludf.DUMMYFUNCTION("""COMPUTED_VALUE"""),"berenicevieira@ufcat.edu.br")</f>
        <v>berenicevieira@ufcat.edu.br</v>
      </c>
      <c r="D264" s="7" t="str">
        <f>IFERROR(__xludf.DUMMYFUNCTION("""COMPUTED_VALUE"""),"Berenice")</f>
        <v>Berenice</v>
      </c>
      <c r="E264" s="7">
        <f>IFERROR(__xludf.DUMMYFUNCTION("""COMPUTED_VALUE"""),5341.0)</f>
        <v>5341</v>
      </c>
      <c r="F264" s="7" t="str">
        <f>IFERROR(__xludf.DUMMYFUNCTION("""COMPUTED_VALUE"""),"SERVIÇO DE LIMPEZA")</f>
        <v>SERVIÇO DE LIMPEZA</v>
      </c>
      <c r="G264" s="9" t="str">
        <f>IFERROR(__xludf.DUMMYFUNCTION("""COMPUTED_VALUE"""),"Didático II")</f>
        <v>Didático II</v>
      </c>
      <c r="H264" s="7" t="str">
        <f>IFERROR(__xludf.DUMMYFUNCTION("""COMPUTED_VALUE"""),"Banheiros")</f>
        <v>Banheiros</v>
      </c>
      <c r="I264" s="7" t="str">
        <f>IFERROR(__xludf.DUMMYFUNCTION("""COMPUTED_VALUE"""),"Instalações Hidrossanitárias")</f>
        <v>Instalações Hidrossanitárias</v>
      </c>
      <c r="J264" s="7" t="str">
        <f>IFERROR(__xludf.DUMMYFUNCTION("""COMPUTED_VALUE"""),"02 Hidráulica / 14 - Instalação de dispenser Papel Higiênico (PRAZO DE 15 a 60 DIAS PARA ATENDIMENTO)")</f>
        <v>02 Hidráulica / 14 - Instalação de dispenser Papel Higiênico (PRAZO DE 15 a 60 DIAS PARA ATENDIMENTO)</v>
      </c>
      <c r="K264" s="7"/>
      <c r="L264" s="7" t="str">
        <f>IFERROR(__xludf.DUMMYFUNCTION("""COMPUTED_VALUE"""),"Instalar 8 dispenseres")</f>
        <v>Instalar 8 dispenseres</v>
      </c>
      <c r="M264" s="10"/>
      <c r="N264" s="10" t="str">
        <f>IFERROR(__xludf.DUMMYFUNCTION("""COMPUTED_VALUE"""),"Realizado")</f>
        <v>Realizado</v>
      </c>
      <c r="O264" s="11">
        <f>IFERROR(__xludf.DUMMYFUNCTION("""COMPUTED_VALUE"""),45371.0)</f>
        <v>45371</v>
      </c>
      <c r="P264" s="11"/>
    </row>
    <row r="265" ht="27.0" customHeight="1">
      <c r="A265" s="7" t="str">
        <f>IFERROR(__xludf.DUMMYFUNCTION("""COMPUTED_VALUE"""),"263/2024")</f>
        <v>263/2024</v>
      </c>
      <c r="B265" s="8">
        <f>IFERROR(__xludf.DUMMYFUNCTION("""COMPUTED_VALUE"""),45329.68530673611)</f>
        <v>45329.68531</v>
      </c>
      <c r="C265" s="8" t="str">
        <f>IFERROR(__xludf.DUMMYFUNCTION("""COMPUTED_VALUE"""),"patricia_torres@ufcat.edu.br")</f>
        <v>patricia_torres@ufcat.edu.br</v>
      </c>
      <c r="D265" s="7" t="str">
        <f>IFERROR(__xludf.DUMMYFUNCTION("""COMPUTED_VALUE"""),"Patrícia Torres")</f>
        <v>Patrícia Torres</v>
      </c>
      <c r="E265" s="7" t="str">
        <f>IFERROR(__xludf.DUMMYFUNCTION("""COMPUTED_VALUE"""),"64 34415308")</f>
        <v>64 34415308</v>
      </c>
      <c r="F265" s="7" t="str">
        <f>IFERROR(__xludf.DUMMYFUNCTION("""COMPUTED_VALUE"""),"FAE")</f>
        <v>FAE</v>
      </c>
      <c r="G265" s="9" t="str">
        <f>IFERROR(__xludf.DUMMYFUNCTION("""COMPUTED_VALUE"""),"Bloco I")</f>
        <v>Bloco I</v>
      </c>
      <c r="H265" s="7" t="str">
        <f>IFERROR(__xludf.DUMMYFUNCTION("""COMPUTED_VALUE"""),"área externa")</f>
        <v>área externa</v>
      </c>
      <c r="I265" s="7" t="str">
        <f>IFERROR(__xludf.DUMMYFUNCTION("""COMPUTED_VALUE"""),"Reparos (alvenaria, piso, forro e telhado)")</f>
        <v>Reparos (alvenaria, piso, forro e telhado)</v>
      </c>
      <c r="J265" s="7" t="str">
        <f>IFERROR(__xludf.DUMMYFUNCTION("""COMPUTED_VALUE"""),"01 Alvenaria / 06 - Outros (PRAZO DE ATÉ 60 DIAS PARA ATENDIMENTO)")</f>
        <v>01 Alvenaria / 06 - Outros (PRAZO DE ATÉ 60 DIAS PARA ATENDIMENTO)</v>
      </c>
      <c r="K265" s="7"/>
      <c r="L265" s="7" t="str">
        <f>IFERROR(__xludf.DUMMYFUNCTION("""COMPUTED_VALUE"""),"Fazer um local para guardar as ferramentas do laboratorio de agroecologia. ")</f>
        <v>Fazer um local para guardar as ferramentas do laboratorio de agroecologia. </v>
      </c>
      <c r="M265" s="10"/>
      <c r="N265" s="10" t="str">
        <f>IFERROR(__xludf.DUMMYFUNCTION("""COMPUTED_VALUE"""),"Aguardando análise")</f>
        <v>Aguardando análise</v>
      </c>
      <c r="O265" s="11"/>
      <c r="P265" s="11"/>
    </row>
    <row r="266" ht="27.0" customHeight="1">
      <c r="A266" s="7" t="str">
        <f>IFERROR(__xludf.DUMMYFUNCTION("""COMPUTED_VALUE"""),"264/2024")</f>
        <v>264/2024</v>
      </c>
      <c r="B266" s="8">
        <f>IFERROR(__xludf.DUMMYFUNCTION("""COMPUTED_VALUE"""),45330.36354081018)</f>
        <v>45330.36354</v>
      </c>
      <c r="C266" s="8" t="str">
        <f>IFERROR(__xludf.DUMMYFUNCTION("""COMPUTED_VALUE"""),"iana.abrantes@ufcat.edu.br")</f>
        <v>iana.abrantes@ufcat.edu.br</v>
      </c>
      <c r="D266" s="7" t="str">
        <f>IFERROR(__xludf.DUMMYFUNCTION("""COMPUTED_VALUE"""),"Iana Grecco")</f>
        <v>Iana Grecco</v>
      </c>
      <c r="E266" s="7" t="str">
        <f>IFERROR(__xludf.DUMMYFUNCTION("""COMPUTED_VALUE"""),"62 9 8331-8743")</f>
        <v>62 9 8331-8743</v>
      </c>
      <c r="F266" s="7" t="str">
        <f>IFERROR(__xludf.DUMMYFUNCTION("""COMPUTED_VALUE"""),"FENG - Engenharia Civil")</f>
        <v>FENG - Engenharia Civil</v>
      </c>
      <c r="G266" s="9" t="str">
        <f>IFERROR(__xludf.DUMMYFUNCTION("""COMPUTED_VALUE"""),"Bloco O")</f>
        <v>Bloco O</v>
      </c>
      <c r="H266" s="7" t="str">
        <f>IFERROR(__xludf.DUMMYFUNCTION("""COMPUTED_VALUE"""),"Laboratório de Materiais/Estruturas")</f>
        <v>Laboratório de Materiais/Estruturas</v>
      </c>
      <c r="I266" s="7" t="str">
        <f>IFERROR(__xludf.DUMMYFUNCTION("""COMPUTED_VALUE"""),"Instalações elétricas")</f>
        <v>Instalações elétricas</v>
      </c>
      <c r="J266" s="7" t="str">
        <f>IFERROR(__xludf.DUMMYFUNCTION("""COMPUTED_VALUE"""),"04 Elétrica / 37 - Outros (PRAZO DE ACORDO COM A DEMANDA)")</f>
        <v>04 Elétrica / 37 - Outros (PRAZO DE ACORDO COM A DEMANDA)</v>
      </c>
      <c r="K266" s="7"/>
      <c r="L266" s="7" t="str">
        <f>IFERROR(__xludf.DUMMYFUNCTION("""COMPUTED_VALUE"""),"Levantamento de materiais necessários para finalizar a instalação do seguintes equipamentos: argamassadeira, faceadora e compressor de ar")</f>
        <v>Levantamento de materiais necessários para finalizar a instalação do seguintes equipamentos: argamassadeira, faceadora e compressor de ar</v>
      </c>
      <c r="M266" s="10"/>
      <c r="N266" s="10" t="str">
        <f>IFERROR(__xludf.DUMMYFUNCTION("""COMPUTED_VALUE"""),"Aguardando análise")</f>
        <v>Aguardando análise</v>
      </c>
      <c r="O266" s="11"/>
      <c r="P266" s="11"/>
    </row>
    <row r="267" ht="27.0" customHeight="1">
      <c r="A267" s="7" t="str">
        <f>IFERROR(__xludf.DUMMYFUNCTION("""COMPUTED_VALUE"""),"265/2024")</f>
        <v>265/2024</v>
      </c>
      <c r="B267" s="8">
        <f>IFERROR(__xludf.DUMMYFUNCTION("""COMPUTED_VALUE"""),45330.389807175925)</f>
        <v>45330.38981</v>
      </c>
      <c r="C267" s="8" t="str">
        <f>IFERROR(__xludf.DUMMYFUNCTION("""COMPUTED_VALUE"""),"fabricio_pacheco@ufcat.edu.br")</f>
        <v>fabricio_pacheco@ufcat.edu.br</v>
      </c>
      <c r="D267" s="7" t="str">
        <f>IFERROR(__xludf.DUMMYFUNCTION("""COMPUTED_VALUE"""),"Fabrício")</f>
        <v>Fabrício</v>
      </c>
      <c r="E267" s="7">
        <f>IFERROR(__xludf.DUMMYFUNCTION("""COMPUTED_VALUE"""),5306.0)</f>
        <v>5306</v>
      </c>
      <c r="F267" s="7" t="str">
        <f>IFERROR(__xludf.DUMMYFUNCTION("""COMPUTED_VALUE"""),"BIBLIOTECA")</f>
        <v>BIBLIOTECA</v>
      </c>
      <c r="G267" s="9" t="str">
        <f>IFERROR(__xludf.DUMMYFUNCTION("""COMPUTED_VALUE"""),"Biblioteca")</f>
        <v>Biblioteca</v>
      </c>
      <c r="H267" s="7" t="str">
        <f>IFERROR(__xludf.DUMMYFUNCTION("""COMPUTED_VALUE"""),"Balcão de Atendimento da Biblioteca")</f>
        <v>Balcão de Atendimento da Biblioteca</v>
      </c>
      <c r="I267" s="7" t="str">
        <f>IFERROR(__xludf.DUMMYFUNCTION("""COMPUTED_VALUE"""),"Pequenos serviços de reparos em Marcenaria")</f>
        <v>Pequenos serviços de reparos em Marcenaria</v>
      </c>
      <c r="J267" s="7" t="str">
        <f>IFERROR(__xludf.DUMMYFUNCTION("""COMPUTED_VALUE"""),"03 Marcenaria / 29 - Outros (PRAZO DE ACORDO COM A DEMANDA)")</f>
        <v>03 Marcenaria / 29 - Outros (PRAZO DE ACORDO COM A DEMANDA)</v>
      </c>
      <c r="K267" s="7"/>
      <c r="L267" s="7" t="str">
        <f>IFERROR(__xludf.DUMMYFUNCTION("""COMPUTED_VALUE"""),"Realizar ampliação do balcão de atendimento através de corte ou se possível remoção do local para frente do local onde o mesmo está.")</f>
        <v>Realizar ampliação do balcão de atendimento através de corte ou se possível remoção do local para frente do local onde o mesmo está.</v>
      </c>
      <c r="M267" s="10"/>
      <c r="N267" s="10" t="str">
        <f>IFERROR(__xludf.DUMMYFUNCTION("""COMPUTED_VALUE"""),"Aguardando análise")</f>
        <v>Aguardando análise</v>
      </c>
      <c r="O267" s="11"/>
      <c r="P267" s="11"/>
    </row>
    <row r="268" ht="27.0" customHeight="1">
      <c r="A268" s="7" t="str">
        <f>IFERROR(__xludf.DUMMYFUNCTION("""COMPUTED_VALUE"""),"266/2024")</f>
        <v>266/2024</v>
      </c>
      <c r="B268" s="8">
        <f>IFERROR(__xludf.DUMMYFUNCTION("""COMPUTED_VALUE"""),45330.39224828704)</f>
        <v>45330.39225</v>
      </c>
      <c r="C268" s="8" t="str">
        <f>IFERROR(__xludf.DUMMYFUNCTION("""COMPUTED_VALUE"""),"mariaeduarda.borges@ufcat.edu.br")</f>
        <v>mariaeduarda.borges@ufcat.edu.br</v>
      </c>
      <c r="D268" s="7" t="str">
        <f>IFERROR(__xludf.DUMMYFUNCTION("""COMPUTED_VALUE"""),"Maria Eduarda Silva Borges ")</f>
        <v>Maria Eduarda Silva Borges </v>
      </c>
      <c r="E268" s="7">
        <f>IFERROR(__xludf.DUMMYFUNCTION("""COMPUTED_VALUE"""),5340.0)</f>
        <v>5340</v>
      </c>
      <c r="F268" s="7" t="str">
        <f>IFERROR(__xludf.DUMMYFUNCTION("""COMPUTED_VALUE"""),"PREF")</f>
        <v>PREF</v>
      </c>
      <c r="G268" s="9" t="str">
        <f>IFERROR(__xludf.DUMMYFUNCTION("""COMPUTED_VALUE"""),"Bloco M")</f>
        <v>Bloco M</v>
      </c>
      <c r="H268" s="7" t="str">
        <f>IFERROR(__xludf.DUMMYFUNCTION("""COMPUTED_VALUE"""),"BANHEIRO MASCULINO DO 3°PISO")</f>
        <v>BANHEIRO MASCULINO DO 3°PISO</v>
      </c>
      <c r="I268" s="7" t="str">
        <f>IFERROR(__xludf.DUMMYFUNCTION("""COMPUTED_VALUE"""),"Instalações Hidrossanitárias")</f>
        <v>Instalações Hidrossanitárias</v>
      </c>
      <c r="J268" s="7"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268" s="7"/>
      <c r="L268" s="7" t="str">
        <f>IFERROR(__xludf.DUMMYFUNCTION("""COMPUTED_VALUE"""),"O banheiro masculino do 3°piso está com um dos mictórios danificado, sem funcionamento.")</f>
        <v>O banheiro masculino do 3°piso está com um dos mictórios danificado, sem funcionamento.</v>
      </c>
      <c r="M268" s="10"/>
      <c r="N268" s="10" t="str">
        <f>IFERROR(__xludf.DUMMYFUNCTION("""COMPUTED_VALUE"""),"Realizado")</f>
        <v>Realizado</v>
      </c>
      <c r="O268" s="11">
        <f>IFERROR(__xludf.DUMMYFUNCTION("""COMPUTED_VALUE"""),45331.0)</f>
        <v>45331</v>
      </c>
      <c r="P268" s="11"/>
    </row>
    <row r="269" ht="27.0" customHeight="1">
      <c r="A269" s="7" t="str">
        <f>IFERROR(__xludf.DUMMYFUNCTION("""COMPUTED_VALUE"""),"267/2024")</f>
        <v>267/2024</v>
      </c>
      <c r="B269" s="8">
        <f>IFERROR(__xludf.DUMMYFUNCTION("""COMPUTED_VALUE"""),45330.40122986111)</f>
        <v>45330.40123</v>
      </c>
      <c r="C269" s="8" t="str">
        <f>IFERROR(__xludf.DUMMYFUNCTION("""COMPUTED_VALUE"""),"mariaeduarda.borges@ufcat.edu.br")</f>
        <v>mariaeduarda.borges@ufcat.edu.br</v>
      </c>
      <c r="D269" s="7" t="str">
        <f>IFERROR(__xludf.DUMMYFUNCTION("""COMPUTED_VALUE"""),"Maria Eduarda Silva Borges ")</f>
        <v>Maria Eduarda Silva Borges </v>
      </c>
      <c r="E269" s="7">
        <f>IFERROR(__xludf.DUMMYFUNCTION("""COMPUTED_VALUE"""),5340.0)</f>
        <v>5340</v>
      </c>
      <c r="F269" s="7" t="str">
        <f>IFERROR(__xludf.DUMMYFUNCTION("""COMPUTED_VALUE"""),"PREF")</f>
        <v>PREF</v>
      </c>
      <c r="G269" s="9" t="str">
        <f>IFERROR(__xludf.DUMMYFUNCTION("""COMPUTED_VALUE"""),"Quadra/Campo")</f>
        <v>Quadra/Campo</v>
      </c>
      <c r="H269" s="7" t="str">
        <f>IFERROR(__xludf.DUMMYFUNCTION("""COMPUTED_VALUE"""),"CAMPO DA EDUCAÇÃO FISÍCA.")</f>
        <v>CAMPO DA EDUCAÇÃO FISÍCA.</v>
      </c>
      <c r="I269" s="7" t="str">
        <f>IFERROR(__xludf.DUMMYFUNCTION("""COMPUTED_VALUE"""),"Jardinagem ")</f>
        <v>Jardinagem </v>
      </c>
      <c r="J269" s="15"/>
      <c r="K269" s="15"/>
      <c r="L269" s="7" t="str">
        <f>IFERROR(__xludf.DUMMYFUNCTION("""COMPUTED_VALUE"""),"Campo da educação física havia uma árvore caída creio que por conta da chuva forte que amanheceu tendo nesse dia de hoje.")</f>
        <v>Campo da educação física havia uma árvore caída creio que por conta da chuva forte que amanheceu tendo nesse dia de hoje.</v>
      </c>
      <c r="M269" s="10"/>
      <c r="N269" s="10" t="str">
        <f>IFERROR(__xludf.DUMMYFUNCTION("""COMPUTED_VALUE"""),"Realizado")</f>
        <v>Realizado</v>
      </c>
      <c r="O269" s="11">
        <f>IFERROR(__xludf.DUMMYFUNCTION("""COMPUTED_VALUE"""),45356.0)</f>
        <v>45356</v>
      </c>
      <c r="P269" s="11"/>
    </row>
    <row r="270" ht="27.0" customHeight="1">
      <c r="A270" s="7" t="str">
        <f>IFERROR(__xludf.DUMMYFUNCTION("""COMPUTED_VALUE"""),"268/2024")</f>
        <v>268/2024</v>
      </c>
      <c r="B270" s="8">
        <f>IFERROR(__xludf.DUMMYFUNCTION("""COMPUTED_VALUE"""),45330.45194690972)</f>
        <v>45330.45195</v>
      </c>
      <c r="C270" s="8" t="str">
        <f>IFERROR(__xludf.DUMMYFUNCTION("""COMPUTED_VALUE"""),"muc.prpe@ufcat.edu.br")</f>
        <v>muc.prpe@ufcat.edu.br</v>
      </c>
      <c r="D270" s="7" t="str">
        <f>IFERROR(__xludf.DUMMYFUNCTION("""COMPUTED_VALUE"""),"DANIEL DOS REIS SIMÕES")</f>
        <v>DANIEL DOS REIS SIMÕES</v>
      </c>
      <c r="E270" s="7">
        <f>IFERROR(__xludf.DUMMYFUNCTION("""COMPUTED_VALUE"""),5333.0)</f>
        <v>5333</v>
      </c>
      <c r="F270" s="7" t="str">
        <f>IFERROR(__xludf.DUMMYFUNCTION("""COMPUTED_VALUE"""),"PRPE")</f>
        <v>PRPE</v>
      </c>
      <c r="G270" s="9" t="str">
        <f>IFERROR(__xludf.DUMMYFUNCTION("""COMPUTED_VALUE"""),"MUC")</f>
        <v>MUC</v>
      </c>
      <c r="H270" s="7" t="str">
        <f>IFERROR(__xludf.DUMMYFUNCTION("""COMPUTED_VALUE"""),"Cozinha")</f>
        <v>Cozinha</v>
      </c>
      <c r="I270" s="7" t="str">
        <f>IFERROR(__xludf.DUMMYFUNCTION("""COMPUTED_VALUE"""),"Instalações elétricas")</f>
        <v>Instalações elétricas</v>
      </c>
      <c r="J270" s="7" t="str">
        <f>IFERROR(__xludf.DUMMYFUNCTION("""COMPUTED_VALUE"""),"04 Elétrica / 34 - Tomada Uso Geral (PRAZO DE ATÉ 15 DIAS PARA ATENDIMENTO)")</f>
        <v>04 Elétrica / 34 - Tomada Uso Geral (PRAZO DE ATÉ 15 DIAS PARA ATENDIMENTO)</v>
      </c>
      <c r="K270" s="7"/>
      <c r="L270" s="7" t="str">
        <f>IFERROR(__xludf.DUMMYFUNCTION("""COMPUTED_VALUE"""),"As tomadas que ligam a geladeira, micro-ondas e fogareiro pararam de funcionar. ")</f>
        <v>As tomadas que ligam a geladeira, micro-ondas e fogareiro pararam de funcionar. </v>
      </c>
      <c r="M270" s="10"/>
      <c r="N270" s="10" t="str">
        <f>IFERROR(__xludf.DUMMYFUNCTION("""COMPUTED_VALUE"""),"Realizado")</f>
        <v>Realizado</v>
      </c>
      <c r="O270" s="11">
        <f>IFERROR(__xludf.DUMMYFUNCTION("""COMPUTED_VALUE"""),45331.0)</f>
        <v>45331</v>
      </c>
      <c r="P270" s="11"/>
    </row>
    <row r="271" ht="27.0" customHeight="1">
      <c r="A271" s="7" t="str">
        <f>IFERROR(__xludf.DUMMYFUNCTION("""COMPUTED_VALUE"""),"269/2024")</f>
        <v>269/2024</v>
      </c>
      <c r="B271" s="8">
        <f>IFERROR(__xludf.DUMMYFUNCTION("""COMPUTED_VALUE"""),45330.45933355324)</f>
        <v>45330.45933</v>
      </c>
      <c r="C271" s="8" t="str">
        <f>IFERROR(__xludf.DUMMYFUNCTION("""COMPUTED_VALUE"""),"franciscojunior@ufcat.edu.br")</f>
        <v>franciscojunior@ufcat.edu.br</v>
      </c>
      <c r="D271" s="7" t="str">
        <f>IFERROR(__xludf.DUMMYFUNCTION("""COMPUTED_VALUE"""),"Francisco das chagas Nobrega Junior")</f>
        <v>Francisco das chagas Nobrega Junior</v>
      </c>
      <c r="E271" s="7" t="str">
        <f>IFERROR(__xludf.DUMMYFUNCTION("""COMPUTED_VALUE"""),"34 9 9117-7782")</f>
        <v>34 9 9117-7782</v>
      </c>
      <c r="F271" s="7" t="str">
        <f>IFERROR(__xludf.DUMMYFUNCTION("""COMPUTED_VALUE"""),"IF")</f>
        <v>IF</v>
      </c>
      <c r="G271" s="9" t="str">
        <f>IFERROR(__xludf.DUMMYFUNCTION("""COMPUTED_VALUE"""),"Bloco M")</f>
        <v>Bloco M</v>
      </c>
      <c r="H271" s="7">
        <f>IFERROR(__xludf.DUMMYFUNCTION("""COMPUTED_VALUE"""),265.0)</f>
        <v>265</v>
      </c>
      <c r="I271" s="7" t="str">
        <f>IFERROR(__xludf.DUMMYFUNCTION("""COMPUTED_VALUE"""),"Instalações elétricas")</f>
        <v>Instalações elétricas</v>
      </c>
      <c r="J271" s="7" t="str">
        <f>IFERROR(__xludf.DUMMYFUNCTION("""COMPUTED_VALUE"""),"04 Elétrica / 35 - Troca de Lâmpadas (PRAZO DE ATÉ 15 DIAS PARA ATENDIMENTO)")</f>
        <v>04 Elétrica / 35 - Troca de Lâmpadas (PRAZO DE ATÉ 15 DIAS PARA ATENDIMENTO)</v>
      </c>
      <c r="K271" s="7"/>
      <c r="L271" s="7" t="str">
        <f>IFERROR(__xludf.DUMMYFUNCTION("""COMPUTED_VALUE"""),"Trocar 4 lâmpadas na sala 265 bloco M")</f>
        <v>Trocar 4 lâmpadas na sala 265 bloco M</v>
      </c>
      <c r="M271" s="10"/>
      <c r="N271" s="10" t="str">
        <f>IFERROR(__xludf.DUMMYFUNCTION("""COMPUTED_VALUE"""),"Realizado")</f>
        <v>Realizado</v>
      </c>
      <c r="O271" s="11">
        <f>IFERROR(__xludf.DUMMYFUNCTION("""COMPUTED_VALUE"""),45341.0)</f>
        <v>45341</v>
      </c>
      <c r="P271" s="11"/>
    </row>
    <row r="272" ht="27.0" customHeight="1">
      <c r="A272" s="7" t="str">
        <f>IFERROR(__xludf.DUMMYFUNCTION("""COMPUTED_VALUE"""),"270/2024")</f>
        <v>270/2024</v>
      </c>
      <c r="B272" s="8">
        <f>IFERROR(__xludf.DUMMYFUNCTION("""COMPUTED_VALUE"""),45330.471991921295)</f>
        <v>45330.47199</v>
      </c>
      <c r="C272" s="8" t="str">
        <f>IFERROR(__xludf.DUMMYFUNCTION("""COMPUTED_VALUE"""),"pesquisa.propesq@ufcat.edu.br")</f>
        <v>pesquisa.propesq@ufcat.edu.br</v>
      </c>
      <c r="D272" s="7" t="str">
        <f>IFERROR(__xludf.DUMMYFUNCTION("""COMPUTED_VALUE"""),"Bruna R. S. Ferreira")</f>
        <v>Bruna R. S. Ferreira</v>
      </c>
      <c r="E272" s="7" t="str">
        <f>IFERROR(__xludf.DUMMYFUNCTION("""COMPUTED_VALUE"""),"3441-5302")</f>
        <v>3441-5302</v>
      </c>
      <c r="F272" s="7" t="str">
        <f>IFERROR(__xludf.DUMMYFUNCTION("""COMPUTED_VALUE"""),"PROPESQ")</f>
        <v>PROPESQ</v>
      </c>
      <c r="G272" s="9" t="str">
        <f>IFERROR(__xludf.DUMMYFUNCTION("""COMPUTED_VALUE"""),"Bloco L")</f>
        <v>Bloco L</v>
      </c>
      <c r="H272" s="7" t="str">
        <f>IFERROR(__xludf.DUMMYFUNCTION("""COMPUTED_VALUE"""),"Diretoria de Pesquisa - Sala 103")</f>
        <v>Diretoria de Pesquisa - Sala 103</v>
      </c>
      <c r="I272" s="7" t="str">
        <f>IFERROR(__xludf.DUMMYFUNCTION("""COMPUTED_VALUE"""),"Pequenos serviços de reparos em Marcenaria")</f>
        <v>Pequenos serviços de reparos em Marcenaria</v>
      </c>
      <c r="J272" s="7" t="str">
        <f>IFERROR(__xludf.DUMMYFUNCTION("""COMPUTED_VALUE"""),"03 Marcenaria / 29 - Outros (PRAZO DE ACORDO COM A DEMANDA)")</f>
        <v>03 Marcenaria / 29 - Outros (PRAZO DE ACORDO COM A DEMANDA)</v>
      </c>
      <c r="K272" s="7"/>
      <c r="L272" s="7" t="str">
        <f>IFERROR(__xludf.DUMMYFUNCTION("""COMPUTED_VALUE"""),"Instalação de gaveteiro na mesa de trabalho. A PROPESQ já possui o gaveteiro.")</f>
        <v>Instalação de gaveteiro na mesa de trabalho. A PROPESQ já possui o gaveteiro.</v>
      </c>
      <c r="M272" s="10"/>
      <c r="N272" s="10" t="str">
        <f>IFERROR(__xludf.DUMMYFUNCTION("""COMPUTED_VALUE"""),"Realizado")</f>
        <v>Realizado</v>
      </c>
      <c r="O272" s="18">
        <f>IFERROR(__xludf.DUMMYFUNCTION("""COMPUTED_VALUE"""),45344.0)</f>
        <v>45344</v>
      </c>
      <c r="P272" s="18"/>
    </row>
    <row r="273" ht="27.0" customHeight="1">
      <c r="A273" s="7" t="str">
        <f>IFERROR(__xludf.DUMMYFUNCTION("""COMPUTED_VALUE"""),"271/2024")</f>
        <v>271/2024</v>
      </c>
      <c r="B273" s="8">
        <f>IFERROR(__xludf.DUMMYFUNCTION("""COMPUTED_VALUE"""),45330.51213685185)</f>
        <v>45330.51214</v>
      </c>
      <c r="C273" s="8" t="str">
        <f>IFERROR(__xludf.DUMMYFUNCTION("""COMPUTED_VALUE"""),"alda@ufcat.edu.br")</f>
        <v>alda@ufcat.edu.br</v>
      </c>
      <c r="D273" s="7" t="str">
        <f>IFERROR(__xludf.DUMMYFUNCTION("""COMPUTED_VALUE"""),"Alda D'Almeida ")</f>
        <v>Alda D'Almeida </v>
      </c>
      <c r="E273" s="7">
        <f>IFERROR(__xludf.DUMMYFUNCTION("""COMPUTED_VALUE"""),5332.0)</f>
        <v>5332</v>
      </c>
      <c r="F273" s="7" t="str">
        <f>IFERROR(__xludf.DUMMYFUNCTION("""COMPUTED_VALUE"""),"CDPEC")</f>
        <v>CDPEC</v>
      </c>
      <c r="G273" s="9" t="str">
        <f>IFERROR(__xludf.DUMMYFUNCTION("""COMPUTED_VALUE"""),"Bloco F")</f>
        <v>Bloco F</v>
      </c>
      <c r="H273" s="7" t="str">
        <f>IFERROR(__xludf.DUMMYFUNCTION("""COMPUTED_VALUE"""),"Sala 1")</f>
        <v>Sala 1</v>
      </c>
      <c r="I273" s="7" t="str">
        <f>IFERROR(__xludf.DUMMYFUNCTION("""COMPUTED_VALUE"""),"Reparos (alvenaria, piso, forro e telhado)")</f>
        <v>Reparos (alvenaria, piso, forro e telhado)</v>
      </c>
      <c r="J273" s="7" t="str">
        <f>IFERROR(__xludf.DUMMYFUNCTION("""COMPUTED_VALUE"""),"01 Alvenaria / 06 - Outros (PRAZO DE ATÉ 60 DIAS PARA ATENDIMENTO)")</f>
        <v>01 Alvenaria / 06 - Outros (PRAZO DE ATÉ 60 DIAS PARA ATENDIMENTO)</v>
      </c>
      <c r="K273" s="7"/>
      <c r="L273" s="7" t="str">
        <f>IFERROR(__xludf.DUMMYFUNCTION("""COMPUTED_VALUE"""),"Bicho morto no forro ")</f>
        <v>Bicho morto no forro </v>
      </c>
      <c r="M273" s="10"/>
      <c r="N273" s="10" t="str">
        <f>IFERROR(__xludf.DUMMYFUNCTION("""COMPUTED_VALUE"""),"Realizado")</f>
        <v>Realizado</v>
      </c>
      <c r="O273" s="11">
        <f>IFERROR(__xludf.DUMMYFUNCTION("""COMPUTED_VALUE"""),45371.0)</f>
        <v>45371</v>
      </c>
      <c r="P273" s="11"/>
    </row>
    <row r="274" ht="27.0" customHeight="1">
      <c r="A274" s="7" t="str">
        <f>IFERROR(__xludf.DUMMYFUNCTION("""COMPUTED_VALUE"""),"272/2024")</f>
        <v>272/2024</v>
      </c>
      <c r="B274" s="8">
        <f>IFERROR(__xludf.DUMMYFUNCTION("""COMPUTED_VALUE"""),45330.56341393519)</f>
        <v>45330.56341</v>
      </c>
      <c r="C274" s="8" t="str">
        <f>IFERROR(__xludf.DUMMYFUNCTION("""COMPUTED_VALUE"""),"berenicedfernandes@gmail.com")</f>
        <v>berenicedfernandes@gmail.com</v>
      </c>
      <c r="D274" s="7" t="str">
        <f>IFERROR(__xludf.DUMMYFUNCTION("""COMPUTED_VALUE"""),"Berenice")</f>
        <v>Berenice</v>
      </c>
      <c r="E274" s="7">
        <f>IFERROR(__xludf.DUMMYFUNCTION("""COMPUTED_VALUE"""),5341.0)</f>
        <v>5341</v>
      </c>
      <c r="F274" s="7" t="str">
        <f>IFERROR(__xludf.DUMMYFUNCTION("""COMPUTED_VALUE"""),"SERVIÇO DE LIMPEZA")</f>
        <v>SERVIÇO DE LIMPEZA</v>
      </c>
      <c r="G274" s="9" t="str">
        <f>IFERROR(__xludf.DUMMYFUNCTION("""COMPUTED_VALUE"""),"Bloco Administrativo")</f>
        <v>Bloco Administrativo</v>
      </c>
      <c r="H274" s="7" t="str">
        <f>IFERROR(__xludf.DUMMYFUNCTION("""COMPUTED_VALUE"""),"Banheiros")</f>
        <v>Banheiros</v>
      </c>
      <c r="I274" s="7" t="str">
        <f>IFERROR(__xludf.DUMMYFUNCTION("""COMPUTED_VALUE"""),"Instalações Hidrossanitárias")</f>
        <v>Instalações Hidrossanitárias</v>
      </c>
      <c r="J274" s="7" t="str">
        <f>IFERROR(__xludf.DUMMYFUNCTION("""COMPUTED_VALUE"""),"02 Hidráulica / 14 - Instalação de dispenser Papel Higiênico (PRAZO DE 15 a 60 DIAS PARA ATENDIMENTO)")</f>
        <v>02 Hidráulica / 14 - Instalação de dispenser Papel Higiênico (PRAZO DE 15 a 60 DIAS PARA ATENDIMENTO)</v>
      </c>
      <c r="K274" s="7"/>
      <c r="L274" s="7" t="str">
        <f>IFERROR(__xludf.DUMMYFUNCTION("""COMPUTED_VALUE"""),"Instalar 1 dispenser no banheiro no 1º piso e 1 ")</f>
        <v>Instalar 1 dispenser no banheiro no 1º piso e 1 </v>
      </c>
      <c r="M274" s="10"/>
      <c r="N274" s="10" t="str">
        <f>IFERROR(__xludf.DUMMYFUNCTION("""COMPUTED_VALUE"""),"Realizado")</f>
        <v>Realizado</v>
      </c>
      <c r="O274" s="11">
        <f>IFERROR(__xludf.DUMMYFUNCTION("""COMPUTED_VALUE"""),45341.0)</f>
        <v>45341</v>
      </c>
      <c r="P274" s="11"/>
    </row>
    <row r="275" ht="27.0" customHeight="1">
      <c r="A275" s="7" t="str">
        <f>IFERROR(__xludf.DUMMYFUNCTION("""COMPUTED_VALUE"""),"273/2024")</f>
        <v>273/2024</v>
      </c>
      <c r="B275" s="8">
        <f>IFERROR(__xludf.DUMMYFUNCTION("""COMPUTED_VALUE"""),45330.56568641204)</f>
        <v>45330.56569</v>
      </c>
      <c r="C275" s="8" t="str">
        <f>IFERROR(__xludf.DUMMYFUNCTION("""COMPUTED_VALUE"""),"berenicevieira@ufcat.edu.br")</f>
        <v>berenicevieira@ufcat.edu.br</v>
      </c>
      <c r="D275" s="7" t="str">
        <f>IFERROR(__xludf.DUMMYFUNCTION("""COMPUTED_VALUE"""),"Berenice")</f>
        <v>Berenice</v>
      </c>
      <c r="E275" s="7">
        <f>IFERROR(__xludf.DUMMYFUNCTION("""COMPUTED_VALUE"""),5341.0)</f>
        <v>5341</v>
      </c>
      <c r="F275" s="7" t="str">
        <f>IFERROR(__xludf.DUMMYFUNCTION("""COMPUTED_VALUE"""),"SERVIÇO DE LIMPEZA")</f>
        <v>SERVIÇO DE LIMPEZA</v>
      </c>
      <c r="G275" s="9" t="str">
        <f>IFERROR(__xludf.DUMMYFUNCTION("""COMPUTED_VALUE"""),"Bloco Administrativo")</f>
        <v>Bloco Administrativo</v>
      </c>
      <c r="H275" s="7" t="str">
        <f>IFERROR(__xludf.DUMMYFUNCTION("""COMPUTED_VALUE"""),"Banheiro")</f>
        <v>Banheiro</v>
      </c>
      <c r="I275" s="7" t="str">
        <f>IFERROR(__xludf.DUMMYFUNCTION("""COMPUTED_VALUE"""),"Instalações Hidrossanitárias")</f>
        <v>Instalações Hidrossanitárias</v>
      </c>
      <c r="J275" s="7" t="str">
        <f>IFERROR(__xludf.DUMMYFUNCTION("""COMPUTED_VALUE"""),"02 Hidráulica / 13 - Instalação de dispenser Papel Toalha (PRAZO DE 15 a 60 DIAS PARA ATENDIMENTO)")</f>
        <v>02 Hidráulica / 13 - Instalação de dispenser Papel Toalha (PRAZO DE 15 a 60 DIAS PARA ATENDIMENTO)</v>
      </c>
      <c r="K275" s="7"/>
      <c r="L275" s="7" t="str">
        <f>IFERROR(__xludf.DUMMYFUNCTION("""COMPUTED_VALUE"""),"Instalar dispenser de papel toalha no banheiro no Subsolo")</f>
        <v>Instalar dispenser de papel toalha no banheiro no Subsolo</v>
      </c>
      <c r="M275" s="10"/>
      <c r="N275" s="10" t="str">
        <f>IFERROR(__xludf.DUMMYFUNCTION("""COMPUTED_VALUE"""),"Realizado")</f>
        <v>Realizado</v>
      </c>
      <c r="O275" s="11">
        <f>IFERROR(__xludf.DUMMYFUNCTION("""COMPUTED_VALUE"""),45341.0)</f>
        <v>45341</v>
      </c>
      <c r="P275" s="11"/>
    </row>
    <row r="276" ht="27.0" customHeight="1">
      <c r="A276" s="7" t="str">
        <f>IFERROR(__xludf.DUMMYFUNCTION("""COMPUTED_VALUE"""),"274/2024")</f>
        <v>274/2024</v>
      </c>
      <c r="B276" s="8">
        <f>IFERROR(__xludf.DUMMYFUNCTION("""COMPUTED_VALUE"""),45330.567814849535)</f>
        <v>45330.56781</v>
      </c>
      <c r="C276" s="8" t="str">
        <f>IFERROR(__xludf.DUMMYFUNCTION("""COMPUTED_VALUE"""),"berenicevieira@ufcat.edu.br")</f>
        <v>berenicevieira@ufcat.edu.br</v>
      </c>
      <c r="D276" s="7" t="str">
        <f>IFERROR(__xludf.DUMMYFUNCTION("""COMPUTED_VALUE"""),"Berenice")</f>
        <v>Berenice</v>
      </c>
      <c r="E276" s="7">
        <f>IFERROR(__xludf.DUMMYFUNCTION("""COMPUTED_VALUE"""),5341.0)</f>
        <v>5341</v>
      </c>
      <c r="F276" s="7" t="str">
        <f>IFERROR(__xludf.DUMMYFUNCTION("""COMPUTED_VALUE"""),"SERVIÇO DE LIMPEZA")</f>
        <v>SERVIÇO DE LIMPEZA</v>
      </c>
      <c r="G276" s="9" t="str">
        <f>IFERROR(__xludf.DUMMYFUNCTION("""COMPUTED_VALUE"""),"Bloco D")</f>
        <v>Bloco D</v>
      </c>
      <c r="H276" s="7" t="str">
        <f>IFERROR(__xludf.DUMMYFUNCTION("""COMPUTED_VALUE"""),"Banheiro feminino")</f>
        <v>Banheiro feminino</v>
      </c>
      <c r="I276" s="7" t="str">
        <f>IFERROR(__xludf.DUMMYFUNCTION("""COMPUTED_VALUE"""),"Instalações Hidrossanitárias")</f>
        <v>Instalações Hidrossanitárias</v>
      </c>
      <c r="J276" s="7" t="str">
        <f>IFERROR(__xludf.DUMMYFUNCTION("""COMPUTED_VALUE"""),"02 Hidráulica / 14 - Instalação de dispenser Papel Higiênico (PRAZO DE 15 a 60 DIAS PARA ATENDIMENTO)")</f>
        <v>02 Hidráulica / 14 - Instalação de dispenser Papel Higiênico (PRAZO DE 15 a 60 DIAS PARA ATENDIMENTO)</v>
      </c>
      <c r="K276" s="7"/>
      <c r="L276" s="7" t="str">
        <f>IFERROR(__xludf.DUMMYFUNCTION("""COMPUTED_VALUE"""),"Instalar dispenser de papel higiênico")</f>
        <v>Instalar dispenser de papel higiênico</v>
      </c>
      <c r="M276" s="10"/>
      <c r="N276" s="10" t="str">
        <f>IFERROR(__xludf.DUMMYFUNCTION("""COMPUTED_VALUE"""),"Realizado")</f>
        <v>Realizado</v>
      </c>
      <c r="O276" s="11">
        <f>IFERROR(__xludf.DUMMYFUNCTION("""COMPUTED_VALUE"""),45341.0)</f>
        <v>45341</v>
      </c>
      <c r="P276" s="11"/>
    </row>
    <row r="277" ht="27.0" customHeight="1">
      <c r="A277" s="7" t="str">
        <f>IFERROR(__xludf.DUMMYFUNCTION("""COMPUTED_VALUE"""),"275/2024")</f>
        <v>275/2024</v>
      </c>
      <c r="B277" s="8">
        <f>IFERROR(__xludf.DUMMYFUNCTION("""COMPUTED_VALUE"""),45330.59173306713)</f>
        <v>45330.59173</v>
      </c>
      <c r="C277" s="8" t="str">
        <f>IFERROR(__xludf.DUMMYFUNCTION("""COMPUTED_VALUE"""),"nunesdm@ufcat.edu.br")</f>
        <v>nunesdm@ufcat.edu.br</v>
      </c>
      <c r="D277" s="7" t="str">
        <f>IFERROR(__xludf.DUMMYFUNCTION("""COMPUTED_VALUE"""),"Deivid")</f>
        <v>Deivid</v>
      </c>
      <c r="E277" s="7">
        <f>IFERROR(__xludf.DUMMYFUNCTION("""COMPUTED_VALUE"""),3.4991675276E10)</f>
        <v>34991675276</v>
      </c>
      <c r="F277" s="7" t="str">
        <f>IFERROR(__xludf.DUMMYFUNCTION("""COMPUTED_VALUE"""),"FENG  - Engenharia de Produção")</f>
        <v>FENG  - Engenharia de Produção</v>
      </c>
      <c r="G277" s="9" t="str">
        <f>IFERROR(__xludf.DUMMYFUNCTION("""COMPUTED_VALUE"""),"Bloco O")</f>
        <v>Bloco O</v>
      </c>
      <c r="H277" s="7" t="str">
        <f>IFERROR(__xludf.DUMMYFUNCTION("""COMPUTED_VALUE"""),"3°Piso Engenharia de Produçao, Sala 02")</f>
        <v>3°Piso Engenharia de Produçao, Sala 02</v>
      </c>
      <c r="I277" s="7" t="str">
        <f>IFERROR(__xludf.DUMMYFUNCTION("""COMPUTED_VALUE"""),"Reparos (alvenaria, piso, forro e telhado)")</f>
        <v>Reparos (alvenaria, piso, forro e telhado)</v>
      </c>
      <c r="J277" s="7" t="str">
        <f>IFERROR(__xludf.DUMMYFUNCTION("""COMPUTED_VALUE"""),"01 Alvenaria / 03 - Rachadura em Parede (PRAZO DE ATÉ 60 DIAS PARA ATENDIMENTO)")</f>
        <v>01 Alvenaria / 03 - Rachadura em Parede (PRAZO DE ATÉ 60 DIAS PARA ATENDIMENTO)</v>
      </c>
      <c r="K277" s="7"/>
      <c r="L277" s="7" t="str">
        <f>IFERROR(__xludf.DUMMYFUNCTION("""COMPUTED_VALUE"""),"Vazamento do líquido de refrigeração do.ar condicionado instalado na parede. Há necessidade de vedação ao redor da mangueira do aparelho.")</f>
        <v>Vazamento do líquido de refrigeração do.ar condicionado instalado na parede. Há necessidade de vedação ao redor da mangueira do aparelho.</v>
      </c>
      <c r="M277" s="10" t="str">
        <f>IFERROR(__xludf.DUMMYFUNCTION("""COMPUTED_VALUE"""),"SEINFRA")</f>
        <v>SEINFRA</v>
      </c>
      <c r="N277" s="10" t="str">
        <f>IFERROR(__xludf.DUMMYFUNCTION("""COMPUTED_VALUE"""),"Contratação externa Unidade ")</f>
        <v>Contratação externa Unidade </v>
      </c>
      <c r="O277" s="11">
        <f>IFERROR(__xludf.DUMMYFUNCTION("""COMPUTED_VALUE"""),45331.0)</f>
        <v>45331</v>
      </c>
      <c r="P277" s="11"/>
    </row>
    <row r="278" ht="27.0" customHeight="1">
      <c r="A278" s="7" t="str">
        <f>IFERROR(__xludf.DUMMYFUNCTION("""COMPUTED_VALUE"""),"276/2024")</f>
        <v>276/2024</v>
      </c>
      <c r="B278" s="8">
        <f>IFERROR(__xludf.DUMMYFUNCTION("""COMPUTED_VALUE"""),45330.66502572916)</f>
        <v>45330.66503</v>
      </c>
      <c r="C278" s="8" t="str">
        <f>IFERROR(__xludf.DUMMYFUNCTION("""COMPUTED_VALUE"""),"franciscojunior@ufcat.edu.br")</f>
        <v>franciscojunior@ufcat.edu.br</v>
      </c>
      <c r="D278" s="7" t="str">
        <f>IFERROR(__xludf.DUMMYFUNCTION("""COMPUTED_VALUE"""),"Francisco das chagas Nobrega Junior")</f>
        <v>Francisco das chagas Nobrega Junior</v>
      </c>
      <c r="E278" s="7" t="str">
        <f>IFERROR(__xludf.DUMMYFUNCTION("""COMPUTED_VALUE"""),"34 9 9117-7782")</f>
        <v>34 9 9117-7782</v>
      </c>
      <c r="F278" s="7" t="str">
        <f>IFERROR(__xludf.DUMMYFUNCTION("""COMPUTED_VALUE"""),"IF")</f>
        <v>IF</v>
      </c>
      <c r="G278" s="9" t="str">
        <f>IFERROR(__xludf.DUMMYFUNCTION("""COMPUTED_VALUE"""),"Bloco M")</f>
        <v>Bloco M</v>
      </c>
      <c r="H278" s="7" t="str">
        <f>IFERROR(__xludf.DUMMYFUNCTION("""COMPUTED_VALUE"""),"Sala 265")</f>
        <v>Sala 265</v>
      </c>
      <c r="I278" s="7" t="str">
        <f>IFERROR(__xludf.DUMMYFUNCTION("""COMPUTED_VALUE"""),"Pequenos serviços de reparos em Marcenaria")</f>
        <v>Pequenos serviços de reparos em Marcenaria</v>
      </c>
      <c r="J278" s="7" t="str">
        <f>IFERROR(__xludf.DUMMYFUNCTION("""COMPUTED_VALUE"""),"03 Marcenaria / 28 -Troca de Fechaduras (PRAZO DE ATÉ 15 DIAS PARA ATENDIMENTO)")</f>
        <v>03 Marcenaria / 28 -Troca de Fechaduras (PRAZO DE ATÉ 15 DIAS PARA ATENDIMENTO)</v>
      </c>
      <c r="K278" s="7"/>
      <c r="L278" s="7" t="str">
        <f>IFERROR(__xludf.DUMMYFUNCTION("""COMPUTED_VALUE"""),"Trocar fechadura da porta 265 bloco M, pois qualquer chave ou objeto esta abrindo a porta, independentemente se a mesma foi trancada com a chave atual")</f>
        <v>Trocar fechadura da porta 265 bloco M, pois qualquer chave ou objeto esta abrindo a porta, independentemente se a mesma foi trancada com a chave atual</v>
      </c>
      <c r="M278" s="10"/>
      <c r="N278" s="10" t="str">
        <f>IFERROR(__xludf.DUMMYFUNCTION("""COMPUTED_VALUE"""),"Realizado")</f>
        <v>Realizado</v>
      </c>
      <c r="O278" s="11">
        <f>IFERROR(__xludf.DUMMYFUNCTION("""COMPUTED_VALUE"""),45342.0)</f>
        <v>45342</v>
      </c>
      <c r="P278" s="11"/>
    </row>
    <row r="279" ht="27.0" customHeight="1">
      <c r="A279" s="7" t="str">
        <f>IFERROR(__xludf.DUMMYFUNCTION("""COMPUTED_VALUE"""),"277/2024")</f>
        <v>277/2024</v>
      </c>
      <c r="B279" s="8">
        <f>IFERROR(__xludf.DUMMYFUNCTION("""COMPUTED_VALUE"""),45330.68792909722)</f>
        <v>45330.68793</v>
      </c>
      <c r="C279" s="8" t="str">
        <f>IFERROR(__xludf.DUMMYFUNCTION("""COMPUTED_VALUE"""),"prograd@ufcat.edu.br")</f>
        <v>prograd@ufcat.edu.br</v>
      </c>
      <c r="D279" s="7" t="str">
        <f>IFERROR(__xludf.DUMMYFUNCTION("""COMPUTED_VALUE"""),"Luiz Carlos do Carmo ")</f>
        <v>Luiz Carlos do Carmo </v>
      </c>
      <c r="E279" s="7">
        <f>IFERROR(__xludf.DUMMYFUNCTION("""COMPUTED_VALUE"""),5346.0)</f>
        <v>5346</v>
      </c>
      <c r="F279" s="7" t="str">
        <f>IFERROR(__xludf.DUMMYFUNCTION("""COMPUTED_VALUE"""),"PROGRAD")</f>
        <v>PROGRAD</v>
      </c>
      <c r="G279" s="9" t="str">
        <f>IFERROR(__xludf.DUMMYFUNCTION("""COMPUTED_VALUE"""),"Bloco Administrativo")</f>
        <v>Bloco Administrativo</v>
      </c>
      <c r="H279" s="7" t="str">
        <f>IFERROR(__xludf.DUMMYFUNCTION("""COMPUTED_VALUE"""),"sala 16")</f>
        <v>sala 16</v>
      </c>
      <c r="I279" s="7" t="str">
        <f>IFERROR(__xludf.DUMMYFUNCTION("""COMPUTED_VALUE"""),"Pequenos serviços de reparos em Marcenaria")</f>
        <v>Pequenos serviços de reparos em Marcenaria</v>
      </c>
      <c r="J279" s="7" t="str">
        <f>IFERROR(__xludf.DUMMYFUNCTION("""COMPUTED_VALUE"""),"03 Marcenaria / 29 - Outros (PRAZO DE ACORDO COM A DEMANDA)")</f>
        <v>03 Marcenaria / 29 - Outros (PRAZO DE ACORDO COM A DEMANDA)</v>
      </c>
      <c r="K279" s="7"/>
      <c r="L279" s="7" t="str">
        <f>IFERROR(__xludf.DUMMYFUNCTION("""COMPUTED_VALUE"""),"Necessitamos com urgência da retirada de duas portas na sala 16 e 17 na PROGRAD localizada no bloco administrativo, com o objetivo dos carregadores do CPATRI movimentarem o sofá de três lugares  pertencente a sala 17, sem maiores danos. ")</f>
        <v>Necessitamos com urgência da retirada de duas portas na sala 16 e 17 na PROGRAD localizada no bloco administrativo, com o objetivo dos carregadores do CPATRI movimentarem o sofá de três lugares  pertencente a sala 17, sem maiores danos. </v>
      </c>
      <c r="M279" s="10"/>
      <c r="N279" s="10" t="str">
        <f>IFERROR(__xludf.DUMMYFUNCTION("""COMPUTED_VALUE"""),"Realizado")</f>
        <v>Realizado</v>
      </c>
      <c r="O279" s="11">
        <f>IFERROR(__xludf.DUMMYFUNCTION("""COMPUTED_VALUE"""),45331.0)</f>
        <v>45331</v>
      </c>
      <c r="P279" s="11"/>
    </row>
    <row r="280" ht="27.0" customHeight="1">
      <c r="A280" s="7" t="str">
        <f>IFERROR(__xludf.DUMMYFUNCTION("""COMPUTED_VALUE"""),"278/2024")</f>
        <v>278/2024</v>
      </c>
      <c r="B280" s="8">
        <f>IFERROR(__xludf.DUMMYFUNCTION("""COMPUTED_VALUE"""),45331.31042780093)</f>
        <v>45331.31043</v>
      </c>
      <c r="C280" s="8" t="str">
        <f>IFERROR(__xludf.DUMMYFUNCTION("""COMPUTED_VALUE"""),"amanda.lopes@ufcat.edu.br")</f>
        <v>amanda.lopes@ufcat.edu.br</v>
      </c>
      <c r="D280" s="7" t="str">
        <f>IFERROR(__xludf.DUMMYFUNCTION("""COMPUTED_VALUE"""),"Amanda Matos")</f>
        <v>Amanda Matos</v>
      </c>
      <c r="E280" s="7">
        <f>IFERROR(__xludf.DUMMYFUNCTION("""COMPUTED_VALUE"""),5340.0)</f>
        <v>5340</v>
      </c>
      <c r="F280" s="7" t="str">
        <f>IFERROR(__xludf.DUMMYFUNCTION("""COMPUTED_VALUE"""),"PREF")</f>
        <v>PREF</v>
      </c>
      <c r="G280" s="9" t="str">
        <f>IFERROR(__xludf.DUMMYFUNCTION("""COMPUTED_VALUE"""),"Bloco D")</f>
        <v>Bloco D</v>
      </c>
      <c r="H280" s="7" t="str">
        <f>IFERROR(__xludf.DUMMYFUNCTION("""COMPUTED_VALUE"""),"banheiro masculino ")</f>
        <v>banheiro masculino </v>
      </c>
      <c r="I280" s="7" t="str">
        <f>IFERROR(__xludf.DUMMYFUNCTION("""COMPUTED_VALUE"""),"Instalações Hidrossanitárias")</f>
        <v>Instalações Hidrossanitárias</v>
      </c>
      <c r="J280" s="7" t="str">
        <f>IFERROR(__xludf.DUMMYFUNCTION("""COMPUTED_VALUE"""),"02 Hidráulica / 07 - Desentupimento (PRAZO DE 1 ATÉ 5 DIAS PARA ATENDIMENTO)")</f>
        <v>02 Hidráulica / 07 - Desentupimento (PRAZO DE 1 ATÉ 5 DIAS PARA ATENDIMENTO)</v>
      </c>
      <c r="K280" s="7"/>
      <c r="L280" s="7" t="str">
        <f>IFERROR(__xludf.DUMMYFUNCTION("""COMPUTED_VALUE"""),"Mictorio entupido ")</f>
        <v>Mictorio entupido </v>
      </c>
      <c r="M280" s="10"/>
      <c r="N280" s="10" t="str">
        <f>IFERROR(__xludf.DUMMYFUNCTION("""COMPUTED_VALUE"""),"Realizado")</f>
        <v>Realizado</v>
      </c>
      <c r="O280" s="11">
        <f>IFERROR(__xludf.DUMMYFUNCTION("""COMPUTED_VALUE"""),45337.0)</f>
        <v>45337</v>
      </c>
      <c r="P280" s="11"/>
    </row>
    <row r="281" ht="27.0" customHeight="1">
      <c r="A281" s="7" t="str">
        <f>IFERROR(__xludf.DUMMYFUNCTION("""COMPUTED_VALUE"""),"279/2024")</f>
        <v>279/2024</v>
      </c>
      <c r="B281" s="8">
        <f>IFERROR(__xludf.DUMMYFUNCTION("""COMPUTED_VALUE"""),45331.31135483796)</f>
        <v>45331.31135</v>
      </c>
      <c r="C281" s="8" t="str">
        <f>IFERROR(__xludf.DUMMYFUNCTION("""COMPUTED_VALUE"""),"amanda.lopes@ufcat.edu.br")</f>
        <v>amanda.lopes@ufcat.edu.br</v>
      </c>
      <c r="D281" s="7" t="str">
        <f>IFERROR(__xludf.DUMMYFUNCTION("""COMPUTED_VALUE"""),"Amanda Matos ")</f>
        <v>Amanda Matos </v>
      </c>
      <c r="E281" s="7">
        <f>IFERROR(__xludf.DUMMYFUNCTION("""COMPUTED_VALUE"""),5340.0)</f>
        <v>5340</v>
      </c>
      <c r="F281" s="7" t="str">
        <f>IFERROR(__xludf.DUMMYFUNCTION("""COMPUTED_VALUE"""),"PREF")</f>
        <v>PREF</v>
      </c>
      <c r="G281" s="9" t="str">
        <f>IFERROR(__xludf.DUMMYFUNCTION("""COMPUTED_VALUE"""),"Bloco G")</f>
        <v>Bloco G</v>
      </c>
      <c r="H281" s="7" t="str">
        <f>IFERROR(__xludf.DUMMYFUNCTION("""COMPUTED_VALUE"""),"Banheiro masculino ")</f>
        <v>Banheiro masculino </v>
      </c>
      <c r="I281" s="7" t="str">
        <f>IFERROR(__xludf.DUMMYFUNCTION("""COMPUTED_VALUE"""),"Instalações Hidrossanitárias")</f>
        <v>Instalações Hidrossanitárias</v>
      </c>
      <c r="J281" s="7" t="str">
        <f>IFERROR(__xludf.DUMMYFUNCTION("""COMPUTED_VALUE"""),"02 Hidráulica / 07 - Desentupimento (PRAZO DE 1 ATÉ 5 DIAS PARA ATENDIMENTO)")</f>
        <v>02 Hidráulica / 07 - Desentupimento (PRAZO DE 1 ATÉ 5 DIAS PARA ATENDIMENTO)</v>
      </c>
      <c r="K281" s="7"/>
      <c r="L281" s="7" t="str">
        <f>IFERROR(__xludf.DUMMYFUNCTION("""COMPUTED_VALUE"""),"Mictorio entupido ")</f>
        <v>Mictorio entupido </v>
      </c>
      <c r="M281" s="10"/>
      <c r="N281" s="10" t="str">
        <f>IFERROR(__xludf.DUMMYFUNCTION("""COMPUTED_VALUE"""),"Realizado")</f>
        <v>Realizado</v>
      </c>
      <c r="O281" s="11">
        <f>IFERROR(__xludf.DUMMYFUNCTION("""COMPUTED_VALUE"""),45338.0)</f>
        <v>45338</v>
      </c>
      <c r="P281" s="11"/>
    </row>
    <row r="282" ht="27.0" customHeight="1">
      <c r="A282" s="7" t="str">
        <f>IFERROR(__xludf.DUMMYFUNCTION("""COMPUTED_VALUE"""),"280/2024")</f>
        <v>280/2024</v>
      </c>
      <c r="B282" s="8">
        <f>IFERROR(__xludf.DUMMYFUNCTION("""COMPUTED_VALUE"""),45331.31212956019)</f>
        <v>45331.31213</v>
      </c>
      <c r="C282" s="8" t="str">
        <f>IFERROR(__xludf.DUMMYFUNCTION("""COMPUTED_VALUE"""),"amanda.lopes@ufcat.edu.br")</f>
        <v>amanda.lopes@ufcat.edu.br</v>
      </c>
      <c r="D282" s="7" t="str">
        <f>IFERROR(__xludf.DUMMYFUNCTION("""COMPUTED_VALUE"""),"Amanda Matos ")</f>
        <v>Amanda Matos </v>
      </c>
      <c r="E282" s="7">
        <f>IFERROR(__xludf.DUMMYFUNCTION("""COMPUTED_VALUE"""),5340.0)</f>
        <v>5340</v>
      </c>
      <c r="F282" s="7" t="str">
        <f>IFERROR(__xludf.DUMMYFUNCTION("""COMPUTED_VALUE"""),"PREF")</f>
        <v>PREF</v>
      </c>
      <c r="G282" s="9" t="str">
        <f>IFERROR(__xludf.DUMMYFUNCTION("""COMPUTED_VALUE"""),"Bloco G")</f>
        <v>Bloco G</v>
      </c>
      <c r="H282" s="7" t="str">
        <f>IFERROR(__xludf.DUMMYFUNCTION("""COMPUTED_VALUE"""),"Banheiro masculino especial ")</f>
        <v>Banheiro masculino especial </v>
      </c>
      <c r="I282" s="7" t="str">
        <f>IFERROR(__xludf.DUMMYFUNCTION("""COMPUTED_VALUE"""),"Instalações Hidrossanitárias")</f>
        <v>Instalações Hidrossanitárias</v>
      </c>
      <c r="J282" s="7" t="str">
        <f>IFERROR(__xludf.DUMMYFUNCTION("""COMPUTED_VALUE"""),"02 Hidráulica / 11 - Vazamento em Tubulação interna (PRAZO DE 15 a 60 DIAS PARA ATENDIMENTO)")</f>
        <v>02 Hidráulica / 11 - Vazamento em Tubulação interna (PRAZO DE 15 a 60 DIAS PARA ATENDIMENTO)</v>
      </c>
      <c r="K282" s="7"/>
      <c r="L282" s="7" t="str">
        <f>IFERROR(__xludf.DUMMYFUNCTION("""COMPUTED_VALUE"""),"valvula de descarga com vazamento ")</f>
        <v>valvula de descarga com vazamento </v>
      </c>
      <c r="M282" s="10"/>
      <c r="N282" s="10" t="str">
        <f>IFERROR(__xludf.DUMMYFUNCTION("""COMPUTED_VALUE"""),"Realizado")</f>
        <v>Realizado</v>
      </c>
      <c r="O282" s="11">
        <f>IFERROR(__xludf.DUMMYFUNCTION("""COMPUTED_VALUE"""),45338.0)</f>
        <v>45338</v>
      </c>
      <c r="P282" s="11"/>
    </row>
    <row r="283" ht="27.0" customHeight="1">
      <c r="A283" s="7" t="str">
        <f>IFERROR(__xludf.DUMMYFUNCTION("""COMPUTED_VALUE"""),"281/2024")</f>
        <v>281/2024</v>
      </c>
      <c r="B283" s="8">
        <f>IFERROR(__xludf.DUMMYFUNCTION("""COMPUTED_VALUE"""),45331.34900903935)</f>
        <v>45331.34901</v>
      </c>
      <c r="C283" s="8" t="str">
        <f>IFERROR(__xludf.DUMMYFUNCTION("""COMPUTED_VALUE"""),"mariana.nascimento@ufcat.edu.br")</f>
        <v>mariana.nascimento@ufcat.edu.br</v>
      </c>
      <c r="D283" s="7" t="str">
        <f>IFERROR(__xludf.DUMMYFUNCTION("""COMPUTED_VALUE"""),"Mariana Pereira do Nascimento")</f>
        <v>Mariana Pereira do Nascimento</v>
      </c>
      <c r="E283" s="7">
        <f>IFERROR(__xludf.DUMMYFUNCTION("""COMPUTED_VALUE"""),7620.0)</f>
        <v>7620</v>
      </c>
      <c r="F283" s="7" t="str">
        <f>IFERROR(__xludf.DUMMYFUNCTION("""COMPUTED_VALUE"""),"REITORIA")</f>
        <v>REITORIA</v>
      </c>
      <c r="G283" s="9" t="str">
        <f>IFERROR(__xludf.DUMMYFUNCTION("""COMPUTED_VALUE"""),"Bloco Administrativo")</f>
        <v>Bloco Administrativo</v>
      </c>
      <c r="H283" s="7">
        <f>IFERROR(__xludf.DUMMYFUNCTION("""COMPUTED_VALUE"""),122.0)</f>
        <v>122</v>
      </c>
      <c r="I283" s="7" t="str">
        <f>IFERROR(__xludf.DUMMYFUNCTION("""COMPUTED_VALUE"""),"Instalações elétricas")</f>
        <v>Instalações elétricas</v>
      </c>
      <c r="J283" s="7" t="str">
        <f>IFERROR(__xludf.DUMMYFUNCTION("""COMPUTED_VALUE"""),"04 Elétrica / 35 - Troca de Lâmpadas (PRAZO DE ATÉ 15 DIAS PARA ATENDIMENTO)")</f>
        <v>04 Elétrica / 35 - Troca de Lâmpadas (PRAZO DE ATÉ 15 DIAS PARA ATENDIMENTO)</v>
      </c>
      <c r="K283" s="7"/>
      <c r="L283" s="7" t="str">
        <f>IFERROR(__xludf.DUMMYFUNCTION("""COMPUTED_VALUE"""),"Troca de 01 lâmpada queimada ")</f>
        <v>Troca de 01 lâmpada queimada </v>
      </c>
      <c r="M283" s="10"/>
      <c r="N283" s="10" t="str">
        <f>IFERROR(__xludf.DUMMYFUNCTION("""COMPUTED_VALUE"""),"Realizado")</f>
        <v>Realizado</v>
      </c>
      <c r="O283" s="11">
        <f>IFERROR(__xludf.DUMMYFUNCTION("""COMPUTED_VALUE"""),45343.0)</f>
        <v>45343</v>
      </c>
      <c r="P283" s="11"/>
    </row>
    <row r="284" ht="27.0" customHeight="1">
      <c r="A284" s="7" t="str">
        <f>IFERROR(__xludf.DUMMYFUNCTION("""COMPUTED_VALUE"""),"282/2024")</f>
        <v>282/2024</v>
      </c>
      <c r="B284" s="8">
        <f>IFERROR(__xludf.DUMMYFUNCTION("""COMPUTED_VALUE"""),45331.45667131944)</f>
        <v>45331.45667</v>
      </c>
      <c r="C284" s="8" t="str">
        <f>IFERROR(__xludf.DUMMYFUNCTION("""COMPUTED_VALUE"""),"welington_silva@ufcat.edu.br")</f>
        <v>welington_silva@ufcat.edu.br</v>
      </c>
      <c r="D284" s="7" t="str">
        <f>IFERROR(__xludf.DUMMYFUNCTION("""COMPUTED_VALUE"""),"Welington Cesar Silva")</f>
        <v>Welington Cesar Silva</v>
      </c>
      <c r="E284" s="7">
        <f>IFERROR(__xludf.DUMMYFUNCTION("""COMPUTED_VALUE"""),5311.0)</f>
        <v>5311</v>
      </c>
      <c r="F284" s="7" t="str">
        <f>IFERROR(__xludf.DUMMYFUNCTION("""COMPUTED_VALUE"""),"IBIOTEC  - Educação Física")</f>
        <v>IBIOTEC  - Educação Física</v>
      </c>
      <c r="G284" s="9" t="str">
        <f>IFERROR(__xludf.DUMMYFUNCTION("""COMPUTED_VALUE"""),"Bloco D")</f>
        <v>Bloco D</v>
      </c>
      <c r="H284" s="7" t="str">
        <f>IFERROR(__xludf.DUMMYFUNCTION("""COMPUTED_VALUE"""),"Banheiro masculino ")</f>
        <v>Banheiro masculino </v>
      </c>
      <c r="I284" s="7" t="str">
        <f>IFERROR(__xludf.DUMMYFUNCTION("""COMPUTED_VALUE"""),"Reparos (alvenaria, piso, forro e telhado)")</f>
        <v>Reparos (alvenaria, piso, forro e telhado)</v>
      </c>
      <c r="J284" s="7" t="str">
        <f>IFERROR(__xludf.DUMMYFUNCTION("""COMPUTED_VALUE"""),"01 Alvenaria / 02 - Limpeza de Telhado (PRAZO DE ATÉ 60 DIAS PARA ATENDIMENTO)")</f>
        <v>01 Alvenaria / 02 - Limpeza de Telhado (PRAZO DE ATÉ 60 DIAS PARA ATENDIMENTO)</v>
      </c>
      <c r="K284" s="7"/>
      <c r="L284" s="7" t="str">
        <f>IFERROR(__xludf.DUMMYFUNCTION("""COMPUTED_VALUE"""),"Está tendo infiltrações no banheiro masculino ")</f>
        <v>Está tendo infiltrações no banheiro masculino </v>
      </c>
      <c r="M284" s="10"/>
      <c r="N284" s="10" t="str">
        <f>IFERROR(__xludf.DUMMYFUNCTION("""COMPUTED_VALUE"""),"Realizado")</f>
        <v>Realizado</v>
      </c>
      <c r="O284" s="11">
        <f>IFERROR(__xludf.DUMMYFUNCTION("""COMPUTED_VALUE"""),45337.0)</f>
        <v>45337</v>
      </c>
      <c r="P284" s="11"/>
    </row>
    <row r="285" ht="27.0" customHeight="1">
      <c r="A285" s="7" t="str">
        <f>IFERROR(__xludf.DUMMYFUNCTION("""COMPUTED_VALUE"""),"283/2024")</f>
        <v>283/2024</v>
      </c>
      <c r="B285" s="8">
        <f>IFERROR(__xludf.DUMMYFUNCTION("""COMPUTED_VALUE"""),45331.46600803241)</f>
        <v>45331.46601</v>
      </c>
      <c r="C285" s="8" t="str">
        <f>IFERROR(__xludf.DUMMYFUNCTION("""COMPUTED_VALUE"""),"welington_silva@ufcat.edu.br")</f>
        <v>welington_silva@ufcat.edu.br</v>
      </c>
      <c r="D285" s="7" t="str">
        <f>IFERROR(__xludf.DUMMYFUNCTION("""COMPUTED_VALUE"""),"Welington Cesar Silva")</f>
        <v>Welington Cesar Silva</v>
      </c>
      <c r="E285" s="7">
        <f>IFERROR(__xludf.DUMMYFUNCTION("""COMPUTED_VALUE"""),5311.0)</f>
        <v>5311</v>
      </c>
      <c r="F285" s="7" t="str">
        <f>IFERROR(__xludf.DUMMYFUNCTION("""COMPUTED_VALUE"""),"IBIOTEC  - Educação Física")</f>
        <v>IBIOTEC  - Educação Física</v>
      </c>
      <c r="G285" s="9" t="str">
        <f>IFERROR(__xludf.DUMMYFUNCTION("""COMPUTED_VALUE"""),"Bloco D")</f>
        <v>Bloco D</v>
      </c>
      <c r="H285" s="7" t="str">
        <f>IFERROR(__xludf.DUMMYFUNCTION("""COMPUTED_VALUE"""),"01")</f>
        <v>01</v>
      </c>
      <c r="I285" s="7" t="str">
        <f>IFERROR(__xludf.DUMMYFUNCTION("""COMPUTED_VALUE"""),"Reparos (alvenaria, piso, forro e telhado)")</f>
        <v>Reparos (alvenaria, piso, forro e telhado)</v>
      </c>
      <c r="J285" s="7" t="str">
        <f>IFERROR(__xludf.DUMMYFUNCTION("""COMPUTED_VALUE"""),"01 Alvenaria / 06 - Outros (PRAZO DE ATÉ 60 DIAS PARA ATENDIMENTO)")</f>
        <v>01 Alvenaria / 06 - Outros (PRAZO DE ATÉ 60 DIAS PARA ATENDIMENTO)</v>
      </c>
      <c r="K285" s="7"/>
      <c r="L285" s="7" t="str">
        <f>IFERROR(__xludf.DUMMYFUNCTION("""COMPUTED_VALUE"""),"Encobrir dois buracos que tem na parede (onde ficavam os ar condicionado antigos).")</f>
        <v>Encobrir dois buracos que tem na parede (onde ficavam os ar condicionado antigos).</v>
      </c>
      <c r="M285" s="10"/>
      <c r="N285" s="10" t="str">
        <f>IFERROR(__xludf.DUMMYFUNCTION("""COMPUTED_VALUE"""),"Realizado")</f>
        <v>Realizado</v>
      </c>
      <c r="O285" s="11">
        <f>IFERROR(__xludf.DUMMYFUNCTION("""COMPUTED_VALUE"""),45337.0)</f>
        <v>45337</v>
      </c>
      <c r="P285" s="11"/>
    </row>
    <row r="286" ht="27.0" customHeight="1">
      <c r="A286" s="7" t="str">
        <f>IFERROR(__xludf.DUMMYFUNCTION("""COMPUTED_VALUE"""),"284/2024")</f>
        <v>284/2024</v>
      </c>
      <c r="B286" s="8">
        <f>IFERROR(__xludf.DUMMYFUNCTION("""COMPUTED_VALUE"""),45331.46838543982)</f>
        <v>45331.46839</v>
      </c>
      <c r="C286" s="8" t="str">
        <f>IFERROR(__xludf.DUMMYFUNCTION("""COMPUTED_VALUE"""),"welington_silva@ufcat.edu.br")</f>
        <v>welington_silva@ufcat.edu.br</v>
      </c>
      <c r="D286" s="7" t="str">
        <f>IFERROR(__xludf.DUMMYFUNCTION("""COMPUTED_VALUE"""),"Welington Cesar Silva ")</f>
        <v>Welington Cesar Silva </v>
      </c>
      <c r="E286" s="7">
        <f>IFERROR(__xludf.DUMMYFUNCTION("""COMPUTED_VALUE"""),5311.0)</f>
        <v>5311</v>
      </c>
      <c r="F286" s="7" t="str">
        <f>IFERROR(__xludf.DUMMYFUNCTION("""COMPUTED_VALUE"""),"IBIOTEC  - Educação Física")</f>
        <v>IBIOTEC  - Educação Física</v>
      </c>
      <c r="G286" s="9" t="str">
        <f>IFERROR(__xludf.DUMMYFUNCTION("""COMPUTED_VALUE"""),"Bloco D")</f>
        <v>Bloco D</v>
      </c>
      <c r="H286" s="7" t="str">
        <f>IFERROR(__xludf.DUMMYFUNCTION("""COMPUTED_VALUE"""),"01")</f>
        <v>01</v>
      </c>
      <c r="I286" s="7" t="str">
        <f>IFERROR(__xludf.DUMMYFUNCTION("""COMPUTED_VALUE"""),"Reparos (alvenaria, piso, forro e telhado)")</f>
        <v>Reparos (alvenaria, piso, forro e telhado)</v>
      </c>
      <c r="J286" s="7" t="str">
        <f>IFERROR(__xludf.DUMMYFUNCTION("""COMPUTED_VALUE"""),"01 Alvenaria / 06 - Outros (PRAZO DE ATÉ 60 DIAS PARA ATENDIMENTO)")</f>
        <v>01 Alvenaria / 06 - Outros (PRAZO DE ATÉ 60 DIAS PARA ATENDIMENTO)</v>
      </c>
      <c r="K286" s="7"/>
      <c r="L286" s="7" t="str">
        <f>IFERROR(__xludf.DUMMYFUNCTION("""COMPUTED_VALUE"""),"Encobrir dois buracos na parede (onde estavam os ar condicionados)")</f>
        <v>Encobrir dois buracos na parede (onde estavam os ar condicionados)</v>
      </c>
      <c r="M286" s="10"/>
      <c r="N286" s="10" t="str">
        <f>IFERROR(__xludf.DUMMYFUNCTION("""COMPUTED_VALUE"""),"Realizado")</f>
        <v>Realizado</v>
      </c>
      <c r="O286" s="11">
        <f>IFERROR(__xludf.DUMMYFUNCTION("""COMPUTED_VALUE"""),45337.0)</f>
        <v>45337</v>
      </c>
      <c r="P286" s="11"/>
    </row>
    <row r="287" ht="27.0" customHeight="1">
      <c r="A287" s="7" t="str">
        <f>IFERROR(__xludf.DUMMYFUNCTION("""COMPUTED_VALUE"""),"285/2024")</f>
        <v>285/2024</v>
      </c>
      <c r="B287" s="8">
        <f>IFERROR(__xludf.DUMMYFUNCTION("""COMPUTED_VALUE"""),45331.468912372686)</f>
        <v>45331.46891</v>
      </c>
      <c r="C287" s="8" t="str">
        <f>IFERROR(__xludf.DUMMYFUNCTION("""COMPUTED_VALUE"""),"cristiano.ferreira@ufcat.br")</f>
        <v>cristiano.ferreira@ufcat.br</v>
      </c>
      <c r="D287" s="7" t="str">
        <f>IFERROR(__xludf.DUMMYFUNCTION("""COMPUTED_VALUE"""),"Cristiano dos Santos Ferreira")</f>
        <v>Cristiano dos Santos Ferreira</v>
      </c>
      <c r="E287" s="7">
        <f>IFERROR(__xludf.DUMMYFUNCTION("""COMPUTED_VALUE"""),5315.0)</f>
        <v>5315</v>
      </c>
      <c r="F287" s="7" t="str">
        <f>IFERROR(__xludf.DUMMYFUNCTION("""COMPUTED_VALUE"""),"PROAF")</f>
        <v>PROAF</v>
      </c>
      <c r="G287" s="9" t="str">
        <f>IFERROR(__xludf.DUMMYFUNCTION("""COMPUTED_VALUE"""),"Bloco Administrativo")</f>
        <v>Bloco Administrativo</v>
      </c>
      <c r="H287" s="7" t="str">
        <f>IFERROR(__xludf.DUMMYFUNCTION("""COMPUTED_VALUE"""),"S14 - Gabinete do Pró-Reitor de Administração e Finanças")</f>
        <v>S14 - Gabinete do Pró-Reitor de Administração e Finanças</v>
      </c>
      <c r="I287" s="7" t="str">
        <f>IFERROR(__xludf.DUMMYFUNCTION("""COMPUTED_VALUE"""),"Pequenos serviços de reparos em Marcenaria")</f>
        <v>Pequenos serviços de reparos em Marcenaria</v>
      </c>
      <c r="J287" s="7" t="str">
        <f>IFERROR(__xludf.DUMMYFUNCTION("""COMPUTED_VALUE"""),"03 Marcenaria / 24 - Conserto de Móveis (PRAZO DE ATÉ 60 DIAS PARA ATENDIMENTO)")</f>
        <v>03 Marcenaria / 24 - Conserto de Móveis (PRAZO DE ATÉ 60 DIAS PARA ATENDIMENTO)</v>
      </c>
      <c r="K287" s="7"/>
      <c r="L287" s="7" t="str">
        <f>IFERROR(__xludf.DUMMYFUNCTION("""COMPUTED_VALUE"""),"Reforma de uma mesa estilo aparador - Lixamento e envernizamento do tampo e pintura das pernas.")</f>
        <v>Reforma de uma mesa estilo aparador - Lixamento e envernizamento do tampo e pintura das pernas.</v>
      </c>
      <c r="M287" s="10" t="str">
        <f>IFERROR(__xludf.DUMMYFUNCTION("""COMPUTED_VALUE"""),"Cancelado a pedido do solicitante ")</f>
        <v>Cancelado a pedido do solicitante </v>
      </c>
      <c r="N287" s="10" t="str">
        <f>IFERROR(__xludf.DUMMYFUNCTION("""COMPUTED_VALUE"""),"Cancelada pelo solicitante")</f>
        <v>Cancelada pelo solicitante</v>
      </c>
      <c r="O287" s="11">
        <f>IFERROR(__xludf.DUMMYFUNCTION("""COMPUTED_VALUE"""),45378.0)</f>
        <v>45378</v>
      </c>
      <c r="P287" s="11"/>
    </row>
    <row r="288" ht="27.0" customHeight="1">
      <c r="A288" s="7" t="str">
        <f>IFERROR(__xludf.DUMMYFUNCTION("""COMPUTED_VALUE"""),"286/2024")</f>
        <v>286/2024</v>
      </c>
      <c r="B288" s="8">
        <f>IFERROR(__xludf.DUMMYFUNCTION("""COMPUTED_VALUE"""),45331.46969921296)</f>
        <v>45331.4697</v>
      </c>
      <c r="C288" s="8" t="str">
        <f>IFERROR(__xludf.DUMMYFUNCTION("""COMPUTED_VALUE"""),"welington_silva@ufcat.edu.br")</f>
        <v>welington_silva@ufcat.edu.br</v>
      </c>
      <c r="D288" s="7" t="str">
        <f>IFERROR(__xludf.DUMMYFUNCTION("""COMPUTED_VALUE"""),"Welington Cesar Silva")</f>
        <v>Welington Cesar Silva</v>
      </c>
      <c r="E288" s="7">
        <f>IFERROR(__xludf.DUMMYFUNCTION("""COMPUTED_VALUE"""),5311.0)</f>
        <v>5311</v>
      </c>
      <c r="F288" s="7" t="str">
        <f>IFERROR(__xludf.DUMMYFUNCTION("""COMPUTED_VALUE"""),"IBIOTEC  - Educação Física")</f>
        <v>IBIOTEC  - Educação Física</v>
      </c>
      <c r="G288" s="9" t="str">
        <f>IFERROR(__xludf.DUMMYFUNCTION("""COMPUTED_VALUE"""),"Bloco D")</f>
        <v>Bloco D</v>
      </c>
      <c r="H288" s="7" t="str">
        <f>IFERROR(__xludf.DUMMYFUNCTION("""COMPUTED_VALUE"""),"Banheiro feminino ")</f>
        <v>Banheiro feminino </v>
      </c>
      <c r="I288" s="7" t="str">
        <f>IFERROR(__xludf.DUMMYFUNCTION("""COMPUTED_VALUE"""),"Instalações Hidrossanitárias")</f>
        <v>Instalações Hidrossanitárias</v>
      </c>
      <c r="J288" s="7" t="str">
        <f>IFERROR(__xludf.DUMMYFUNCTION("""COMPUTED_VALUE"""),"02 Hidráulica / 09 - Vazamento de Pia (PRAZO DE 15 a 60 DIAS PARA ATENDIMENTO)")</f>
        <v>02 Hidráulica / 09 - Vazamento de Pia (PRAZO DE 15 a 60 DIAS PARA ATENDIMENTO)</v>
      </c>
      <c r="K288" s="7"/>
      <c r="L288" s="7" t="str">
        <f>IFERROR(__xludf.DUMMYFUNCTION("""COMPUTED_VALUE"""),"Vazamento numa pia do banheiro feminino.  ")</f>
        <v>Vazamento numa pia do banheiro feminino.  </v>
      </c>
      <c r="M288" s="10"/>
      <c r="N288" s="10" t="str">
        <f>IFERROR(__xludf.DUMMYFUNCTION("""COMPUTED_VALUE"""),"Realizado")</f>
        <v>Realizado</v>
      </c>
      <c r="O288" s="11">
        <f>IFERROR(__xludf.DUMMYFUNCTION("""COMPUTED_VALUE"""),45337.0)</f>
        <v>45337</v>
      </c>
      <c r="P288" s="11"/>
    </row>
    <row r="289" ht="27.0" customHeight="1">
      <c r="A289" s="7" t="str">
        <f>IFERROR(__xludf.DUMMYFUNCTION("""COMPUTED_VALUE"""),"287/2024")</f>
        <v>287/2024</v>
      </c>
      <c r="B289" s="8">
        <f>IFERROR(__xludf.DUMMYFUNCTION("""COMPUTED_VALUE"""),45331.586513807866)</f>
        <v>45331.58651</v>
      </c>
      <c r="C289" s="8" t="str">
        <f>IFERROR(__xludf.DUMMYFUNCTION("""COMPUTED_VALUE"""),"mirian.lima@ufcat.edu.br")</f>
        <v>mirian.lima@ufcat.edu.br</v>
      </c>
      <c r="D289" s="7" t="str">
        <f>IFERROR(__xludf.DUMMYFUNCTION("""COMPUTED_VALUE"""),"Mirian de Jesus Lima")</f>
        <v>Mirian de Jesus Lima</v>
      </c>
      <c r="E289" s="7">
        <f>IFERROR(__xludf.DUMMYFUNCTION("""COMPUTED_VALUE"""),5323.0)</f>
        <v>5323</v>
      </c>
      <c r="F289" s="7" t="str">
        <f>IFERROR(__xludf.DUMMYFUNCTION("""COMPUTED_VALUE"""),"IBIOTEC - Ciências da Computação")</f>
        <v>IBIOTEC - Ciências da Computação</v>
      </c>
      <c r="G289" s="9" t="str">
        <f>IFERROR(__xludf.DUMMYFUNCTION("""COMPUTED_VALUE"""),"Bloco M")</f>
        <v>Bloco M</v>
      </c>
      <c r="H289" s="7">
        <f>IFERROR(__xludf.DUMMYFUNCTION("""COMPUTED_VALUE"""),317.0)</f>
        <v>317</v>
      </c>
      <c r="I289" s="7" t="str">
        <f>IFERROR(__xludf.DUMMYFUNCTION("""COMPUTED_VALUE"""),"Pequenos serviços de reparos em Marcenaria")</f>
        <v>Pequenos serviços de reparos em Marcenaria</v>
      </c>
      <c r="J289" s="7" t="str">
        <f>IFERROR(__xludf.DUMMYFUNCTION("""COMPUTED_VALUE"""),"03 Marcenaria / 29 - Outros (PRAZO DE ACORDO COM A DEMANDA)")</f>
        <v>03 Marcenaria / 29 - Outros (PRAZO DE ACORDO COM A DEMANDA)</v>
      </c>
      <c r="K289" s="7"/>
      <c r="L289" s="7" t="str">
        <f>IFERROR(__xludf.DUMMYFUNCTION("""COMPUTED_VALUE"""),"Desmontar mesa de reunião, visto que é muito pesada para carregá-la montada.")</f>
        <v>Desmontar mesa de reunião, visto que é muito pesada para carregá-la montada.</v>
      </c>
      <c r="M289" s="10"/>
      <c r="N289" s="10" t="str">
        <f>IFERROR(__xludf.DUMMYFUNCTION("""COMPUTED_VALUE"""),"Realizado")</f>
        <v>Realizado</v>
      </c>
      <c r="O289" s="11">
        <f>IFERROR(__xludf.DUMMYFUNCTION("""COMPUTED_VALUE"""),45337.0)</f>
        <v>45337</v>
      </c>
      <c r="P289" s="11"/>
    </row>
    <row r="290" ht="27.0" customHeight="1">
      <c r="A290" s="7" t="str">
        <f>IFERROR(__xludf.DUMMYFUNCTION("""COMPUTED_VALUE"""),"288/2024")</f>
        <v>288/2024</v>
      </c>
      <c r="B290" s="8">
        <f>IFERROR(__xludf.DUMMYFUNCTION("""COMPUTED_VALUE"""),45331.62515798611)</f>
        <v>45331.62516</v>
      </c>
      <c r="C290" s="8" t="str">
        <f>IFERROR(__xludf.DUMMYFUNCTION("""COMPUTED_VALUE"""),"kellen.rabello@gmail.com")</f>
        <v>kellen.rabello@gmail.com</v>
      </c>
      <c r="D290" s="7" t="str">
        <f>IFERROR(__xludf.DUMMYFUNCTION("""COMPUTED_VALUE"""),"Kellen ")</f>
        <v>Kellen </v>
      </c>
      <c r="E290" s="7">
        <f>IFERROR(__xludf.DUMMYFUNCTION("""COMPUTED_VALUE"""),5391.0)</f>
        <v>5391</v>
      </c>
      <c r="F290" s="7" t="str">
        <f>IFERROR(__xludf.DUMMYFUNCTION("""COMPUTED_VALUE"""),"PREF")</f>
        <v>PREF</v>
      </c>
      <c r="G290" s="9" t="str">
        <f>IFERROR(__xludf.DUMMYFUNCTION("""COMPUTED_VALUE"""),"Sala do Transporte (DLT)")</f>
        <v>Sala do Transporte (DLT)</v>
      </c>
      <c r="H290" s="7" t="str">
        <f>IFERROR(__xludf.DUMMYFUNCTION("""COMPUTED_VALUE"""),"Alojamento dos Motoristas ")</f>
        <v>Alojamento dos Motoristas </v>
      </c>
      <c r="I290" s="7" t="str">
        <f>IFERROR(__xludf.DUMMYFUNCTION("""COMPUTED_VALUE"""),"Instalações e/ou Manutenção em Cabeamento de Rede")</f>
        <v>Instalações e/ou Manutenção em Cabeamento de Rede</v>
      </c>
      <c r="J290" s="7" t="str">
        <f>IFERROR(__xludf.DUMMYFUNCTION("""COMPUTED_VALUE"""),"05 Telecomunicações / 38 - Cabeamento de Rede (PRAZO DE ATÉ 15 DIAS PARA ATENDIMENTO)")</f>
        <v>05 Telecomunicações / 38 - Cabeamento de Rede (PRAZO DE ATÉ 15 DIAS PARA ATENDIMENTO)</v>
      </c>
      <c r="K290" s="7"/>
      <c r="L290" s="7" t="str">
        <f>IFERROR(__xludf.DUMMYFUNCTION("""COMPUTED_VALUE"""),"Levar cabo de internet da sala do transporte para o alojamento - Ligar na TV ")</f>
        <v>Levar cabo de internet da sala do transporte para o alojamento - Ligar na TV </v>
      </c>
      <c r="M290" s="10"/>
      <c r="N290" s="10" t="str">
        <f>IFERROR(__xludf.DUMMYFUNCTION("""COMPUTED_VALUE"""),"Realizado")</f>
        <v>Realizado</v>
      </c>
      <c r="O290" s="11">
        <f>IFERROR(__xludf.DUMMYFUNCTION("""COMPUTED_VALUE"""),45363.0)</f>
        <v>45363</v>
      </c>
      <c r="P290" s="11"/>
    </row>
    <row r="291" ht="27.0" customHeight="1">
      <c r="A291" s="7" t="str">
        <f>IFERROR(__xludf.DUMMYFUNCTION("""COMPUTED_VALUE"""),"289/2024")</f>
        <v>289/2024</v>
      </c>
      <c r="B291" s="8">
        <f>IFERROR(__xludf.DUMMYFUNCTION("""COMPUTED_VALUE"""),45332.237291620375)</f>
        <v>45332.23729</v>
      </c>
      <c r="C291" s="8" t="str">
        <f>IFERROR(__xludf.DUMMYFUNCTION("""COMPUTED_VALUE"""),"juanf33c@gmail.com")</f>
        <v>juanf33c@gmail.com</v>
      </c>
      <c r="D291" s="7" t="str">
        <f>IFERROR(__xludf.DUMMYFUNCTION("""COMPUTED_VALUE"""),"Juan Fabio Soares Martins")</f>
        <v>Juan Fabio Soares Martins</v>
      </c>
      <c r="E291" s="7" t="str">
        <f>IFERROR(__xludf.DUMMYFUNCTION("""COMPUTED_VALUE"""),"62 9 9620-3123")</f>
        <v>62 9 9620-3123</v>
      </c>
      <c r="F291" s="7" t="str">
        <f>IFERROR(__xludf.DUMMYFUNCTION("""COMPUTED_VALUE"""),"SEINFRA")</f>
        <v>SEINFRA</v>
      </c>
      <c r="G291" s="9" t="str">
        <f>IFERROR(__xludf.DUMMYFUNCTION("""COMPUTED_VALUE"""),"Biblioteca")</f>
        <v>Biblioteca</v>
      </c>
      <c r="H291" s="7" t="str">
        <f>IFERROR(__xludf.DUMMYFUNCTION("""COMPUTED_VALUE"""),"Segundo piso, ambiente de estudos à direita da escada.")</f>
        <v>Segundo piso, ambiente de estudos à direita da escada.</v>
      </c>
      <c r="I291" s="7" t="str">
        <f>IFERROR(__xludf.DUMMYFUNCTION("""COMPUTED_VALUE"""),"Instalações elétricas")</f>
        <v>Instalações elétricas</v>
      </c>
      <c r="J291" s="7" t="str">
        <f>IFERROR(__xludf.DUMMYFUNCTION("""COMPUTED_VALUE"""),"04 Elétrica / 35 - Troca de Lâmpadas (PRAZO DE ATÉ 15 DIAS PARA ATENDIMENTO)")</f>
        <v>04 Elétrica / 35 - Troca de Lâmpadas (PRAZO DE ATÉ 15 DIAS PARA ATENDIMENTO)</v>
      </c>
      <c r="K291" s="7"/>
      <c r="L291" s="7" t="str">
        <f>IFERROR(__xludf.DUMMYFUNCTION("""COMPUTED_VALUE"""),"Lâmpada com defeito.")</f>
        <v>Lâmpada com defeito.</v>
      </c>
      <c r="M291" s="10"/>
      <c r="N291" s="10" t="str">
        <f>IFERROR(__xludf.DUMMYFUNCTION("""COMPUTED_VALUE"""),"Realizado")</f>
        <v>Realizado</v>
      </c>
      <c r="O291" s="11">
        <f>IFERROR(__xludf.DUMMYFUNCTION("""COMPUTED_VALUE"""),45343.0)</f>
        <v>45343</v>
      </c>
      <c r="P291" s="11"/>
    </row>
    <row r="292" ht="27.0" customHeight="1">
      <c r="A292" s="7" t="str">
        <f>IFERROR(__xludf.DUMMYFUNCTION("""COMPUTED_VALUE"""),"290/2024")</f>
        <v>290/2024</v>
      </c>
      <c r="B292" s="8">
        <f>IFERROR(__xludf.DUMMYFUNCTION("""COMPUTED_VALUE"""),45335.306658518515)</f>
        <v>45335.30666</v>
      </c>
      <c r="C292" s="8" t="str">
        <f>IFERROR(__xludf.DUMMYFUNCTION("""COMPUTED_VALUE"""),"seguranca@ufcat.edu.br")</f>
        <v>seguranca@ufcat.edu.br</v>
      </c>
      <c r="D292" s="7" t="str">
        <f>IFERROR(__xludf.DUMMYFUNCTION("""COMPUTED_VALUE"""),"Maria Duarte")</f>
        <v>Maria Duarte</v>
      </c>
      <c r="E292" s="7">
        <f>IFERROR(__xludf.DUMMYFUNCTION("""COMPUTED_VALUE"""),5318.0)</f>
        <v>5318</v>
      </c>
      <c r="F292" s="7" t="str">
        <f>IFERROR(__xludf.DUMMYFUNCTION("""COMPUTED_VALUE"""),"CENTRAL DE OPERAÇÕES VIGILÂNCIA")</f>
        <v>CENTRAL DE OPERAÇÕES VIGILÂNCIA</v>
      </c>
      <c r="G292" s="9" t="str">
        <f>IFERROR(__xludf.DUMMYFUNCTION("""COMPUTED_VALUE"""),"Biblioteca")</f>
        <v>Biblioteca</v>
      </c>
      <c r="H292" s="7" t="str">
        <f>IFERROR(__xludf.DUMMYFUNCTION("""COMPUTED_VALUE"""),"DVR BIBLIOTECA")</f>
        <v>DVR BIBLIOTECA</v>
      </c>
      <c r="I292" s="7" t="str">
        <f>IFERROR(__xludf.DUMMYFUNCTION("""COMPUTED_VALUE"""),"Instalações e/ou Manutenção em Cabeamento de Rede")</f>
        <v>Instalações e/ou Manutenção em Cabeamento de Rede</v>
      </c>
      <c r="J292" s="7" t="str">
        <f>IFERROR(__xludf.DUMMYFUNCTION("""COMPUTED_VALUE"""),"05 Telecomunicações / 39 - CFTV (PRAZO DE ATÉ 15 DIAS PARA ATENDIMENTO)")</f>
        <v>05 Telecomunicações / 39 - CFTV (PRAZO DE ATÉ 15 DIAS PARA ATENDIMENTO)</v>
      </c>
      <c r="K292" s="7"/>
      <c r="L292" s="7" t="str">
        <f>IFERROR(__xludf.DUMMYFUNCTION("""COMPUTED_VALUE"""),"A câmera da ''sala do RACK'', do DVR da Biblioteca, se encontra com o MENU na imagem.")</f>
        <v>A câmera da ''sala do RACK'', do DVR da Biblioteca, se encontra com o MENU na imagem.</v>
      </c>
      <c r="M292" s="10"/>
      <c r="N292" s="10" t="str">
        <f>IFERROR(__xludf.DUMMYFUNCTION("""COMPUTED_VALUE"""),"Realizado")</f>
        <v>Realizado</v>
      </c>
      <c r="O292" s="11">
        <f>IFERROR(__xludf.DUMMYFUNCTION("""COMPUTED_VALUE"""),45341.0)</f>
        <v>45341</v>
      </c>
      <c r="P292" s="11"/>
    </row>
    <row r="293" ht="27.0" customHeight="1">
      <c r="A293" s="7" t="str">
        <f>IFERROR(__xludf.DUMMYFUNCTION("""COMPUTED_VALUE"""),"291/2024")</f>
        <v>291/2024</v>
      </c>
      <c r="B293" s="8">
        <f>IFERROR(__xludf.DUMMYFUNCTION("""COMPUTED_VALUE"""),45336.46018515046)</f>
        <v>45336.46019</v>
      </c>
      <c r="C293" s="8" t="str">
        <f>IFERROR(__xludf.DUMMYFUNCTION("""COMPUTED_VALUE"""),"seguranca@ufcat.edu.br")</f>
        <v>seguranca@ufcat.edu.br</v>
      </c>
      <c r="D293" s="7" t="str">
        <f>IFERROR(__xludf.DUMMYFUNCTION("""COMPUTED_VALUE"""),"Carla Braz")</f>
        <v>Carla Braz</v>
      </c>
      <c r="E293" s="7">
        <f>IFERROR(__xludf.DUMMYFUNCTION("""COMPUTED_VALUE"""),5318.0)</f>
        <v>5318</v>
      </c>
      <c r="F293" s="7" t="str">
        <f>IFERROR(__xludf.DUMMYFUNCTION("""COMPUTED_VALUE"""),"CENTRAL DE OPERAÇÕES VIGILÂNCIA")</f>
        <v>CENTRAL DE OPERAÇÕES VIGILÂNCIA</v>
      </c>
      <c r="G293" s="9" t="str">
        <f>IFERROR(__xludf.DUMMYFUNCTION("""COMPUTED_VALUE"""),"Didático II")</f>
        <v>Didático II</v>
      </c>
      <c r="H293" s="7" t="str">
        <f>IFERROR(__xludf.DUMMYFUNCTION("""COMPUTED_VALUE"""),"LATERAL ENTRADA ADITÓRIO ")</f>
        <v>LATERAL ENTRADA ADITÓRIO </v>
      </c>
      <c r="I293" s="7" t="str">
        <f>IFERROR(__xludf.DUMMYFUNCTION("""COMPUTED_VALUE"""),"Instalações e/ou Manutenção em Cabeamento de Rede")</f>
        <v>Instalações e/ou Manutenção em Cabeamento de Rede</v>
      </c>
      <c r="J293" s="7" t="str">
        <f>IFERROR(__xludf.DUMMYFUNCTION("""COMPUTED_VALUE"""),"05 Telecomunicações / 39 - CFTV (PRAZO DE ATÉ 15 DIAS PARA ATENDIMENTO)")</f>
        <v>05 Telecomunicações / 39 - CFTV (PRAZO DE ATÉ 15 DIAS PARA ATENDIMENTO)</v>
      </c>
      <c r="K293" s="7"/>
      <c r="L293" s="7" t="str">
        <f>IFERROR(__xludf.DUMMYFUNCTION("""COMPUTED_VALUE"""),"Imagem com interferência ")</f>
        <v>Imagem com interferência </v>
      </c>
      <c r="M293" s="10"/>
      <c r="N293" s="10" t="str">
        <f>IFERROR(__xludf.DUMMYFUNCTION("""COMPUTED_VALUE"""),"Realizado")</f>
        <v>Realizado</v>
      </c>
      <c r="O293" s="11">
        <f>IFERROR(__xludf.DUMMYFUNCTION("""COMPUTED_VALUE"""),45341.0)</f>
        <v>45341</v>
      </c>
      <c r="P293" s="11"/>
    </row>
    <row r="294" ht="27.0" customHeight="1">
      <c r="A294" s="7" t="str">
        <f>IFERROR(__xludf.DUMMYFUNCTION("""COMPUTED_VALUE"""),"292/2024")</f>
        <v>292/2024</v>
      </c>
      <c r="B294" s="8">
        <f>IFERROR(__xludf.DUMMYFUNCTION("""COMPUTED_VALUE"""),45336.663056944446)</f>
        <v>45336.66306</v>
      </c>
      <c r="C294" s="8" t="str">
        <f>IFERROR(__xludf.DUMMYFUNCTION("""COMPUTED_VALUE"""),"mayani@ufcat.edu.br")</f>
        <v>mayani@ufcat.edu.br</v>
      </c>
      <c r="D294" s="7" t="str">
        <f>IFERROR(__xludf.DUMMYFUNCTION("""COMPUTED_VALUE"""),"Mayani thais lopes")</f>
        <v>Mayani thais lopes</v>
      </c>
      <c r="E294" s="7">
        <f>IFERROR(__xludf.DUMMYFUNCTION("""COMPUTED_VALUE"""),3.4999071369E10)</f>
        <v>34999071369</v>
      </c>
      <c r="F294" s="7" t="str">
        <f>IFERROR(__xludf.DUMMYFUNCTION("""COMPUTED_VALUE"""),"IBIOTEC - Enfermagem")</f>
        <v>IBIOTEC - Enfermagem</v>
      </c>
      <c r="G294" s="9" t="str">
        <f>IFERROR(__xludf.DUMMYFUNCTION("""COMPUTED_VALUE"""),"Bloco K")</f>
        <v>Bloco K</v>
      </c>
      <c r="H294" s="7">
        <f>IFERROR(__xludf.DUMMYFUNCTION("""COMPUTED_VALUE"""),5.0)</f>
        <v>5</v>
      </c>
      <c r="I294" s="7" t="str">
        <f>IFERROR(__xludf.DUMMYFUNCTION("""COMPUTED_VALUE"""),"Instalações Hidrossanitárias")</f>
        <v>Instalações Hidrossanitárias</v>
      </c>
      <c r="J294" s="7" t="str">
        <f>IFERROR(__xludf.DUMMYFUNCTION("""COMPUTED_VALUE"""),"02 Hidráulica / 09 - Vazamento de Pia (PRAZO DE 15 a 60 DIAS PARA ATENDIMENTO)")</f>
        <v>02 Hidráulica / 09 - Vazamento de Pia (PRAZO DE 15 a 60 DIAS PARA ATENDIMENTO)</v>
      </c>
      <c r="K294" s="7"/>
      <c r="L294" s="7" t="str">
        <f>IFERROR(__xludf.DUMMYFUNCTION("""COMPUTED_VALUE"""),"Está vazando água da pia do laboratório. Fiz essa foto em anexo. Infelizmente molhou e danificou toda a prateleira.")</f>
        <v>Está vazando água da pia do laboratório. Fiz essa foto em anexo. Infelizmente molhou e danificou toda a prateleira.</v>
      </c>
      <c r="M294" s="10"/>
      <c r="N294" s="10" t="str">
        <f>IFERROR(__xludf.DUMMYFUNCTION("""COMPUTED_VALUE"""),"Realizado")</f>
        <v>Realizado</v>
      </c>
      <c r="O294" s="11">
        <f>IFERROR(__xludf.DUMMYFUNCTION("""COMPUTED_VALUE"""),45337.0)</f>
        <v>45337</v>
      </c>
      <c r="P294" s="11"/>
    </row>
    <row r="295" ht="27.0" customHeight="1">
      <c r="A295" s="7" t="str">
        <f>IFERROR(__xludf.DUMMYFUNCTION("""COMPUTED_VALUE"""),"293/2024")</f>
        <v>293/2024</v>
      </c>
      <c r="B295" s="8">
        <f>IFERROR(__xludf.DUMMYFUNCTION("""COMPUTED_VALUE"""),45336.677926226854)</f>
        <v>45336.67793</v>
      </c>
      <c r="C295" s="8" t="str">
        <f>IFERROR(__xludf.DUMMYFUNCTION("""COMPUTED_VALUE"""),"logistica.dlt@ufcat.edu.br")</f>
        <v>logistica.dlt@ufcat.edu.br</v>
      </c>
      <c r="D295" s="7" t="str">
        <f>IFERROR(__xludf.DUMMYFUNCTION("""COMPUTED_VALUE"""),"Beatriz")</f>
        <v>Beatriz</v>
      </c>
      <c r="E295" s="7">
        <f>IFERROR(__xludf.DUMMYFUNCTION("""COMPUTED_VALUE"""),5369.0)</f>
        <v>5369</v>
      </c>
      <c r="F295" s="7" t="str">
        <f>IFERROR(__xludf.DUMMYFUNCTION("""COMPUTED_VALUE"""),"DLT")</f>
        <v>DLT</v>
      </c>
      <c r="G295" s="9" t="str">
        <f>IFERROR(__xludf.DUMMYFUNCTION("""COMPUTED_VALUE"""),"Bloco P")</f>
        <v>Bloco P</v>
      </c>
      <c r="H295" s="7" t="str">
        <f>IFERROR(__xludf.DUMMYFUNCTION("""COMPUTED_VALUE"""),"Nova sala do Transporte")</f>
        <v>Nova sala do Transporte</v>
      </c>
      <c r="I295" s="7" t="str">
        <f>IFERROR(__xludf.DUMMYFUNCTION("""COMPUTED_VALUE"""),"Instalações elétricas")</f>
        <v>Instalações elétricas</v>
      </c>
      <c r="J295" s="7" t="str">
        <f>IFERROR(__xludf.DUMMYFUNCTION("""COMPUTED_VALUE"""),"03 Marcenaria / 26 - Quadro Negro (PRAZO DE ATÉ 15 DIAS PARA ATENDIMENTO)")</f>
        <v>03 Marcenaria / 26 - Quadro Negro (PRAZO DE ATÉ 15 DIAS PARA ATENDIMENTO)</v>
      </c>
      <c r="K295" s="7"/>
      <c r="L295" s="7" t="str">
        <f>IFERROR(__xludf.DUMMYFUNCTION("""COMPUTED_VALUE"""),"Instalar um quadro na parede")</f>
        <v>Instalar um quadro na parede</v>
      </c>
      <c r="M295" s="10"/>
      <c r="N295" s="10" t="str">
        <f>IFERROR(__xludf.DUMMYFUNCTION("""COMPUTED_VALUE"""),"Realizado")</f>
        <v>Realizado</v>
      </c>
      <c r="O295" s="11">
        <f>IFERROR(__xludf.DUMMYFUNCTION("""COMPUTED_VALUE"""),45341.0)</f>
        <v>45341</v>
      </c>
      <c r="P295" s="11"/>
    </row>
    <row r="296" ht="27.0" customHeight="1">
      <c r="A296" s="7" t="str">
        <f>IFERROR(__xludf.DUMMYFUNCTION("""COMPUTED_VALUE"""),"294/2024")</f>
        <v>294/2024</v>
      </c>
      <c r="B296" s="8">
        <f>IFERROR(__xludf.DUMMYFUNCTION("""COMPUTED_VALUE"""),45337.37498030093)</f>
        <v>45337.37498</v>
      </c>
      <c r="C296" s="8" t="str">
        <f>IFERROR(__xludf.DUMMYFUNCTION("""COMPUTED_VALUE"""),"dae.prpe@ufcat.edu.br")</f>
        <v>dae.prpe@ufcat.edu.br</v>
      </c>
      <c r="D296" s="7" t="str">
        <f>IFERROR(__xludf.DUMMYFUNCTION("""COMPUTED_VALUE"""),"Leomar Davi de Oliveira Santos")</f>
        <v>Leomar Davi de Oliveira Santos</v>
      </c>
      <c r="E296" s="7">
        <f>IFERROR(__xludf.DUMMYFUNCTION("""COMPUTED_VALUE"""),5321.0)</f>
        <v>5321</v>
      </c>
      <c r="F296" s="7" t="str">
        <f>IFERROR(__xludf.DUMMYFUNCTION("""COMPUTED_VALUE"""),"PRPE")</f>
        <v>PRPE</v>
      </c>
      <c r="G296" s="9" t="str">
        <f>IFERROR(__xludf.DUMMYFUNCTION("""COMPUTED_VALUE"""),"Bloco Administrativo")</f>
        <v>Bloco Administrativo</v>
      </c>
      <c r="H296" s="7" t="str">
        <f>IFERROR(__xludf.DUMMYFUNCTION("""COMPUTED_VALUE"""),"Pró-reitoria de Políticas Estudantis Sala 102(DAE)")</f>
        <v>Pró-reitoria de Políticas Estudantis Sala 102(DAE)</v>
      </c>
      <c r="I296" s="7" t="str">
        <f>IFERROR(__xludf.DUMMYFUNCTION("""COMPUTED_VALUE"""),"Instalações e/ou Manutenção em Cabeamento de Rede")</f>
        <v>Instalações e/ou Manutenção em Cabeamento de Rede</v>
      </c>
      <c r="J296" s="7" t="str">
        <f>IFERROR(__xludf.DUMMYFUNCTION("""COMPUTED_VALUE"""),"05 Telecomunicações / 38 - Cabeamento de Rede (PRAZO DE ATÉ 15 DIAS PARA ATENDIMENTO)")</f>
        <v>05 Telecomunicações / 38 - Cabeamento de Rede (PRAZO DE ATÉ 15 DIAS PARA ATENDIMENTO)</v>
      </c>
      <c r="K296" s="7"/>
      <c r="L296" s="7" t="str">
        <f>IFERROR(__xludf.DUMMYFUNCTION("""COMPUTED_VALUE"""),"Prezado(a), Solicitamos a substituição do cabo de telefone por cabo de rede para, posteriormente, a equipe de informatica habilitar ponto de internet. O cabo de telefone atual é um cabo antigo e para habilitar rede de internet se faz necessário a sua subs"&amp;"tituição. Vide foto em anexo. ")</f>
        <v>Prezado(a), Solicitamos a substituição do cabo de telefone por cabo de rede para, posteriormente, a equipe de informatica habilitar ponto de internet. O cabo de telefone atual é um cabo antigo e para habilitar rede de internet se faz necessário a sua substituição. Vide foto em anexo. </v>
      </c>
      <c r="M296" s="10"/>
      <c r="N296" s="10" t="str">
        <f>IFERROR(__xludf.DUMMYFUNCTION("""COMPUTED_VALUE"""),"Realizado")</f>
        <v>Realizado</v>
      </c>
      <c r="O296" s="11">
        <f>IFERROR(__xludf.DUMMYFUNCTION("""COMPUTED_VALUE"""),45363.0)</f>
        <v>45363</v>
      </c>
      <c r="P296" s="11"/>
    </row>
    <row r="297" ht="27.0" customHeight="1">
      <c r="A297" s="7" t="str">
        <f>IFERROR(__xludf.DUMMYFUNCTION("""COMPUTED_VALUE"""),"295/2024")</f>
        <v>295/2024</v>
      </c>
      <c r="B297" s="8">
        <f>IFERROR(__xludf.DUMMYFUNCTION("""COMPUTED_VALUE"""),45337.390075902775)</f>
        <v>45337.39008</v>
      </c>
      <c r="C297" s="8" t="str">
        <f>IFERROR(__xludf.DUMMYFUNCTION("""COMPUTED_VALUE"""),"guilherme_melo@ufcat.edu.br")</f>
        <v>guilherme_melo@ufcat.edu.br</v>
      </c>
      <c r="D297" s="7" t="str">
        <f>IFERROR(__xludf.DUMMYFUNCTION("""COMPUTED_VALUE"""),"Guilherme Carvalho de Melo")</f>
        <v>Guilherme Carvalho de Melo</v>
      </c>
      <c r="E297" s="7">
        <f>IFERROR(__xludf.DUMMYFUNCTION("""COMPUTED_VALUE"""),5337.0)</f>
        <v>5337</v>
      </c>
      <c r="F297" s="7" t="str">
        <f>IFERROR(__xludf.DUMMYFUNCTION("""COMPUTED_VALUE"""),"SETI")</f>
        <v>SETI</v>
      </c>
      <c r="G297" s="9" t="str">
        <f>IFERROR(__xludf.DUMMYFUNCTION("""COMPUTED_VALUE"""),"SETI")</f>
        <v>SETI</v>
      </c>
      <c r="H297" s="7" t="str">
        <f>IFERROR(__xludf.DUMMYFUNCTION("""COMPUTED_VALUE"""),"sala de suporte (antiga sala de reunião)")</f>
        <v>sala de suporte (antiga sala de reunião)</v>
      </c>
      <c r="I297" s="7" t="str">
        <f>IFERROR(__xludf.DUMMYFUNCTION("""COMPUTED_VALUE"""),"Instalações elétricas")</f>
        <v>Instalações elétricas</v>
      </c>
      <c r="J297" s="7" t="str">
        <f>IFERROR(__xludf.DUMMYFUNCTION("""COMPUTED_VALUE"""),"04 Elétrica / 34 - Tomada Uso Geral (PRAZO DE ATÉ 15 DIAS PARA ATENDIMENTO)")</f>
        <v>04 Elétrica / 34 - Tomada Uso Geral (PRAZO DE ATÉ 15 DIAS PARA ATENDIMENTO)</v>
      </c>
      <c r="K297" s="7"/>
      <c r="L297" s="7" t="str">
        <f>IFERROR(__xludf.DUMMYFUNCTION("""COMPUTED_VALUE"""),"precisamos que seja instalada duas tomadas aqui na nova sala de suporte da SeTI")</f>
        <v>precisamos que seja instalada duas tomadas aqui na nova sala de suporte da SeTI</v>
      </c>
      <c r="M297" s="10"/>
      <c r="N297" s="10" t="str">
        <f>IFERROR(__xludf.DUMMYFUNCTION("""COMPUTED_VALUE"""),"Realizado")</f>
        <v>Realizado</v>
      </c>
      <c r="O297" s="11">
        <f>IFERROR(__xludf.DUMMYFUNCTION("""COMPUTED_VALUE"""),45341.0)</f>
        <v>45341</v>
      </c>
      <c r="P297" s="11"/>
    </row>
    <row r="298" ht="27.0" customHeight="1">
      <c r="A298" s="7" t="str">
        <f>IFERROR(__xludf.DUMMYFUNCTION("""COMPUTED_VALUE"""),"296/2024")</f>
        <v>296/2024</v>
      </c>
      <c r="B298" s="8">
        <f>IFERROR(__xludf.DUMMYFUNCTION("""COMPUTED_VALUE"""),45337.42629372685)</f>
        <v>45337.42629</v>
      </c>
      <c r="C298" s="8" t="str">
        <f>IFERROR(__xludf.DUMMYFUNCTION("""COMPUTED_VALUE"""),"lais.naves@ufcat.edu.br")</f>
        <v>lais.naves@ufcat.edu.br</v>
      </c>
      <c r="D298" s="7" t="str">
        <f>IFERROR(__xludf.DUMMYFUNCTION("""COMPUTED_VALUE"""),"Laís ")</f>
        <v>Laís </v>
      </c>
      <c r="E298" s="7">
        <f>IFERROR(__xludf.DUMMYFUNCTION("""COMPUTED_VALUE"""),5365.0)</f>
        <v>5365</v>
      </c>
      <c r="F298" s="7" t="str">
        <f>IFERROR(__xludf.DUMMYFUNCTION("""COMPUTED_VALUE"""),"IBIOTEC  - Secretaria Administrativa")</f>
        <v>IBIOTEC  - Secretaria Administrativa</v>
      </c>
      <c r="G298" s="9" t="str">
        <f>IFERROR(__xludf.DUMMYFUNCTION("""COMPUTED_VALUE"""),"Bloco M")</f>
        <v>Bloco M</v>
      </c>
      <c r="H298" s="7">
        <f>IFERROR(__xludf.DUMMYFUNCTION("""COMPUTED_VALUE"""),317.0)</f>
        <v>317</v>
      </c>
      <c r="I298" s="7" t="str">
        <f>IFERROR(__xludf.DUMMYFUNCTION("""COMPUTED_VALUE"""),"Instalações e/ou Manutenção em Cabeamento de Rede")</f>
        <v>Instalações e/ou Manutenção em Cabeamento de Rede</v>
      </c>
      <c r="J298" s="7" t="str">
        <f>IFERROR(__xludf.DUMMYFUNCTION("""COMPUTED_VALUE"""),"05 Telecomunicações / 38 - Cabeamento de Rede (PRAZO DE ATÉ 15 DIAS PARA ATENDIMENTO)")</f>
        <v>05 Telecomunicações / 38 - Cabeamento de Rede (PRAZO DE ATÉ 15 DIAS PARA ATENDIMENTO)</v>
      </c>
      <c r="K298" s="7"/>
      <c r="L298" s="7" t="str">
        <f>IFERROR(__xludf.DUMMYFUNCTION("""COMPUTED_VALUE"""),"Solicitação de um cabo de rede de 5 metros.")</f>
        <v>Solicitação de um cabo de rede de 5 metros.</v>
      </c>
      <c r="M298" s="10"/>
      <c r="N298" s="10" t="str">
        <f>IFERROR(__xludf.DUMMYFUNCTION("""COMPUTED_VALUE"""),"Realizado")</f>
        <v>Realizado</v>
      </c>
      <c r="O298" s="11">
        <f>IFERROR(__xludf.DUMMYFUNCTION("""COMPUTED_VALUE"""),45341.0)</f>
        <v>45341</v>
      </c>
      <c r="P298" s="11"/>
    </row>
    <row r="299" ht="27.0" customHeight="1">
      <c r="A299" s="7" t="str">
        <f>IFERROR(__xludf.DUMMYFUNCTION("""COMPUTED_VALUE"""),"297/2024")</f>
        <v>297/2024</v>
      </c>
      <c r="B299" s="8">
        <f>IFERROR(__xludf.DUMMYFUNCTION("""COMPUTED_VALUE"""),45337.43499894676)</f>
        <v>45337.435</v>
      </c>
      <c r="C299" s="8" t="str">
        <f>IFERROR(__xludf.DUMMYFUNCTION("""COMPUTED_VALUE"""),"lais.naves@ufcat.edu.br")</f>
        <v>lais.naves@ufcat.edu.br</v>
      </c>
      <c r="D299" s="7" t="str">
        <f>IFERROR(__xludf.DUMMYFUNCTION("""COMPUTED_VALUE"""),"Laís ")</f>
        <v>Laís </v>
      </c>
      <c r="E299" s="7">
        <f>IFERROR(__xludf.DUMMYFUNCTION("""COMPUTED_VALUE"""),5365.0)</f>
        <v>5365</v>
      </c>
      <c r="F299" s="7" t="str">
        <f>IFERROR(__xludf.DUMMYFUNCTION("""COMPUTED_VALUE"""),"IBIOTEC  - Secretaria Administrativa")</f>
        <v>IBIOTEC  - Secretaria Administrativa</v>
      </c>
      <c r="G299" s="9" t="str">
        <f>IFERROR(__xludf.DUMMYFUNCTION("""COMPUTED_VALUE"""),"Bloco M")</f>
        <v>Bloco M</v>
      </c>
      <c r="H299" s="7">
        <f>IFERROR(__xludf.DUMMYFUNCTION("""COMPUTED_VALUE"""),317.0)</f>
        <v>317</v>
      </c>
      <c r="I299" s="7" t="str">
        <f>IFERROR(__xludf.DUMMYFUNCTION("""COMPUTED_VALUE"""),"Instalações e/ou Manutenção em Cabeamento de Rede")</f>
        <v>Instalações e/ou Manutenção em Cabeamento de Rede</v>
      </c>
      <c r="J299" s="7" t="str">
        <f>IFERROR(__xludf.DUMMYFUNCTION("""COMPUTED_VALUE"""),"05 Telecomunicações / 38 - Cabeamento de Rede (PRAZO DE ATÉ 15 DIAS PARA ATENDIMENTO)")</f>
        <v>05 Telecomunicações / 38 - Cabeamento de Rede (PRAZO DE ATÉ 15 DIAS PARA ATENDIMENTO)</v>
      </c>
      <c r="K299" s="7"/>
      <c r="L299" s="7" t="str">
        <f>IFERROR(__xludf.DUMMYFUNCTION("""COMPUTED_VALUE"""),"Verificação do cabeamento da porta de rede e extensão para o servidor.")</f>
        <v>Verificação do cabeamento da porta de rede e extensão para o servidor.</v>
      </c>
      <c r="M299" s="10"/>
      <c r="N299" s="10" t="str">
        <f>IFERROR(__xludf.DUMMYFUNCTION("""COMPUTED_VALUE"""),"Realizado")</f>
        <v>Realizado</v>
      </c>
      <c r="O299" s="11">
        <f>IFERROR(__xludf.DUMMYFUNCTION("""COMPUTED_VALUE"""),45341.0)</f>
        <v>45341</v>
      </c>
      <c r="P299" s="11"/>
    </row>
    <row r="300" ht="27.0" customHeight="1">
      <c r="A300" s="7" t="str">
        <f>IFERROR(__xludf.DUMMYFUNCTION("""COMPUTED_VALUE"""),"298/2024")</f>
        <v>298/2024</v>
      </c>
      <c r="B300" s="8">
        <f>IFERROR(__xludf.DUMMYFUNCTION("""COMPUTED_VALUE"""),45337.60970887731)</f>
        <v>45337.60971</v>
      </c>
      <c r="C300" s="8" t="str">
        <f>IFERROR(__xludf.DUMMYFUNCTION("""COMPUTED_VALUE"""),"amanda.lopes@ufcat.edu.br")</f>
        <v>amanda.lopes@ufcat.edu.br</v>
      </c>
      <c r="D300" s="7" t="str">
        <f>IFERROR(__xludf.DUMMYFUNCTION("""COMPUTED_VALUE"""),"Amanda Matos")</f>
        <v>Amanda Matos</v>
      </c>
      <c r="E300" s="7">
        <f>IFERROR(__xludf.DUMMYFUNCTION("""COMPUTED_VALUE"""),5340.0)</f>
        <v>5340</v>
      </c>
      <c r="F300" s="7" t="str">
        <f>IFERROR(__xludf.DUMMYFUNCTION("""COMPUTED_VALUE"""),"PREF")</f>
        <v>PREF</v>
      </c>
      <c r="G300" s="9" t="str">
        <f>IFERROR(__xludf.DUMMYFUNCTION("""COMPUTED_VALUE"""),"Bloco D")</f>
        <v>Bloco D</v>
      </c>
      <c r="H300" s="7" t="str">
        <f>IFERROR(__xludf.DUMMYFUNCTION("""COMPUTED_VALUE"""),"banheiro masculino ")</f>
        <v>banheiro masculino </v>
      </c>
      <c r="I300" s="7" t="str">
        <f>IFERROR(__xludf.DUMMYFUNCTION("""COMPUTED_VALUE"""),"Instalações Hidrossanitárias")</f>
        <v>Instalações Hidrossanitárias</v>
      </c>
      <c r="J300" s="7" t="str">
        <f>IFERROR(__xludf.DUMMYFUNCTION("""COMPUTED_VALUE"""),"02 Hidráulica / 07 - Desentupimento (PRAZO DE 1 ATÉ 5 DIAS PARA ATENDIMENTO)")</f>
        <v>02 Hidráulica / 07 - Desentupimento (PRAZO DE 1 ATÉ 5 DIAS PARA ATENDIMENTO)</v>
      </c>
      <c r="K300" s="7"/>
      <c r="L300" s="7" t="str">
        <f>IFERROR(__xludf.DUMMYFUNCTION("""COMPUTED_VALUE"""),"desentupir vaso ")</f>
        <v>desentupir vaso </v>
      </c>
      <c r="M300" s="10"/>
      <c r="N300" s="10" t="str">
        <f>IFERROR(__xludf.DUMMYFUNCTION("""COMPUTED_VALUE"""),"Realizado")</f>
        <v>Realizado</v>
      </c>
      <c r="O300" s="11">
        <f>IFERROR(__xludf.DUMMYFUNCTION("""COMPUTED_VALUE"""),45337.0)</f>
        <v>45337</v>
      </c>
      <c r="P300" s="11"/>
    </row>
    <row r="301" ht="27.0" customHeight="1">
      <c r="A301" s="7" t="str">
        <f>IFERROR(__xludf.DUMMYFUNCTION("""COMPUTED_VALUE"""),"299/2024")</f>
        <v>299/2024</v>
      </c>
      <c r="B301" s="8">
        <f>IFERROR(__xludf.DUMMYFUNCTION("""COMPUTED_VALUE"""),45337.64100495371)</f>
        <v>45337.641</v>
      </c>
      <c r="C301" s="8" t="str">
        <f>IFERROR(__xludf.DUMMYFUNCTION("""COMPUTED_VALUE"""),"cgen@ufcat.edu.br")</f>
        <v>cgen@ufcat.edu.br</v>
      </c>
      <c r="D301" s="7" t="str">
        <f>IFERROR(__xludf.DUMMYFUNCTION("""COMPUTED_VALUE"""),"Isabela Gomes dos Santos")</f>
        <v>Isabela Gomes dos Santos</v>
      </c>
      <c r="E301" s="7" t="str">
        <f>IFERROR(__xludf.DUMMYFUNCTION("""COMPUTED_VALUE"""),"5326 e (64) 98112 3085")</f>
        <v>5326 e (64) 98112 3085</v>
      </c>
      <c r="F301" s="7" t="str">
        <f>IFERROR(__xludf.DUMMYFUNCTION("""COMPUTED_VALUE"""),"CGEN")</f>
        <v>CGEN</v>
      </c>
      <c r="G301" s="9" t="str">
        <f>IFERROR(__xludf.DUMMYFUNCTION("""COMPUTED_VALUE"""),"Bloco M")</f>
        <v>Bloco M</v>
      </c>
      <c r="H301" s="7" t="str">
        <f>IFERROR(__xludf.DUMMYFUNCTION("""COMPUTED_VALUE"""),"Sala 211")</f>
        <v>Sala 211</v>
      </c>
      <c r="I301" s="7" t="str">
        <f>IFERROR(__xludf.DUMMYFUNCTION("""COMPUTED_VALUE"""),"Instalações e/ou Manutenção em Cabeamento de Rede")</f>
        <v>Instalações e/ou Manutenção em Cabeamento de Rede</v>
      </c>
      <c r="J301" s="7" t="str">
        <f>IFERROR(__xludf.DUMMYFUNCTION("""COMPUTED_VALUE"""),"05 Telecomunicações / 38 - Cabeamento de Rede (PRAZO DE ATÉ 15 DIAS PARA ATENDIMENTO)")</f>
        <v>05 Telecomunicações / 38 - Cabeamento de Rede (PRAZO DE ATÉ 15 DIAS PARA ATENDIMENTO)</v>
      </c>
      <c r="K301" s="7"/>
      <c r="L301" s="7" t="str">
        <f>IFERROR(__xludf.DUMMYFUNCTION("""COMPUTED_VALUE"""),"Solicita-se crimpar o cabo ao conector RJ-45. Solicita-se a troca ou ajuste de dois cabos. ")</f>
        <v>Solicita-se crimpar o cabo ao conector RJ-45. Solicita-se a troca ou ajuste de dois cabos. </v>
      </c>
      <c r="M301" s="10"/>
      <c r="N301" s="10" t="str">
        <f>IFERROR(__xludf.DUMMYFUNCTION("""COMPUTED_VALUE"""),"Realizado")</f>
        <v>Realizado</v>
      </c>
      <c r="O301" s="11">
        <f>IFERROR(__xludf.DUMMYFUNCTION("""COMPUTED_VALUE"""),45341.0)</f>
        <v>45341</v>
      </c>
      <c r="P301" s="11"/>
    </row>
    <row r="302" ht="27.0" customHeight="1">
      <c r="A302" s="7" t="str">
        <f>IFERROR(__xludf.DUMMYFUNCTION("""COMPUTED_VALUE"""),"300/2024")</f>
        <v>300/2024</v>
      </c>
      <c r="B302" s="8">
        <f>IFERROR(__xludf.DUMMYFUNCTION("""COMPUTED_VALUE"""),45337.66183077546)</f>
        <v>45337.66183</v>
      </c>
      <c r="C302" s="8" t="str">
        <f>IFERROR(__xludf.DUMMYFUNCTION("""COMPUTED_VALUE"""),"sergio_junior@ufcat.edu.br")</f>
        <v>sergio_junior@ufcat.edu.br</v>
      </c>
      <c r="D302" s="7" t="str">
        <f>IFERROR(__xludf.DUMMYFUNCTION("""COMPUTED_VALUE"""),"Sérgio Antônio Ribeiro de Carvalho Júnior")</f>
        <v>Sérgio Antônio Ribeiro de Carvalho Júnior</v>
      </c>
      <c r="E302" s="7">
        <f>IFERROR(__xludf.DUMMYFUNCTION("""COMPUTED_VALUE"""),5343.0)</f>
        <v>5343</v>
      </c>
      <c r="F302" s="7" t="str">
        <f>IFERROR(__xludf.DUMMYFUNCTION("""COMPUTED_VALUE"""),"CPATRI")</f>
        <v>CPATRI</v>
      </c>
      <c r="G302" s="9" t="str">
        <f>IFERROR(__xludf.DUMMYFUNCTION("""COMPUTED_VALUE"""),"Bloco Administrativo")</f>
        <v>Bloco Administrativo</v>
      </c>
      <c r="H302" s="7" t="str">
        <f>IFERROR(__xludf.DUMMYFUNCTION("""COMPUTED_VALUE"""),"Sala 11 - PROAF")</f>
        <v>Sala 11 - PROAF</v>
      </c>
      <c r="I302" s="7" t="str">
        <f>IFERROR(__xludf.DUMMYFUNCTION("""COMPUTED_VALUE"""),"Serralheria")</f>
        <v>Serralheria</v>
      </c>
      <c r="J302" s="7" t="str">
        <f>IFERROR(__xludf.DUMMYFUNCTION("""COMPUTED_VALUE"""),"08 Serralheria / 56 - Outros (PRAZO DE ACORDO COM A DEMANDA)")</f>
        <v>08 Serralheria / 56 - Outros (PRAZO DE ACORDO COM A DEMANDA)</v>
      </c>
      <c r="K302" s="7"/>
      <c r="L302" s="7" t="str">
        <f>IFERROR(__xludf.DUMMYFUNCTION("""COMPUTED_VALUE"""),"Confecção de 2 cantoneiras de 1 1/2"" para reforço em uma mesa.")</f>
        <v>Confecção de 2 cantoneiras de 1 1/2" para reforço em uma mesa.</v>
      </c>
      <c r="M302" s="10"/>
      <c r="N302" s="10" t="str">
        <f>IFERROR(__xludf.DUMMYFUNCTION("""COMPUTED_VALUE"""),"Realizado")</f>
        <v>Realizado</v>
      </c>
      <c r="O302" s="11">
        <f>IFERROR(__xludf.DUMMYFUNCTION("""COMPUTED_VALUE"""),45397.0)</f>
        <v>45397</v>
      </c>
      <c r="P302" s="11"/>
    </row>
    <row r="303" ht="27.0" customHeight="1">
      <c r="A303" s="7" t="str">
        <f>IFERROR(__xludf.DUMMYFUNCTION("""COMPUTED_VALUE"""),"301/2024")</f>
        <v>301/2024</v>
      </c>
      <c r="B303" s="8">
        <f>IFERROR(__xludf.DUMMYFUNCTION("""COMPUTED_VALUE"""),45337.67877142361)</f>
        <v>45337.67877</v>
      </c>
      <c r="C303" s="8" t="str">
        <f>IFERROR(__xludf.DUMMYFUNCTION("""COMPUTED_VALUE"""),"mirian.lima@ufcat.edu.br")</f>
        <v>mirian.lima@ufcat.edu.br</v>
      </c>
      <c r="D303" s="7" t="str">
        <f>IFERROR(__xludf.DUMMYFUNCTION("""COMPUTED_VALUE"""),"Mirian de Jesus Lima")</f>
        <v>Mirian de Jesus Lima</v>
      </c>
      <c r="E303" s="7">
        <f>IFERROR(__xludf.DUMMYFUNCTION("""COMPUTED_VALUE"""),5323.0)</f>
        <v>5323</v>
      </c>
      <c r="F303" s="7" t="str">
        <f>IFERROR(__xludf.DUMMYFUNCTION("""COMPUTED_VALUE"""),"IBIOTEC - Ciências da Computação")</f>
        <v>IBIOTEC - Ciências da Computação</v>
      </c>
      <c r="G303" s="9" t="str">
        <f>IFERROR(__xludf.DUMMYFUNCTION("""COMPUTED_VALUE"""),"Bloco J")</f>
        <v>Bloco J</v>
      </c>
      <c r="H303" s="7" t="str">
        <f>IFERROR(__xludf.DUMMYFUNCTION("""COMPUTED_VALUE"""),"Sala 17 (Laboratório de Pesquisas).")</f>
        <v>Sala 17 (Laboratório de Pesquisas).</v>
      </c>
      <c r="I303" s="7" t="str">
        <f>IFERROR(__xludf.DUMMYFUNCTION("""COMPUTED_VALUE"""),"Pequenos serviços de reparos em Marcenaria")</f>
        <v>Pequenos serviços de reparos em Marcenaria</v>
      </c>
      <c r="J303" s="7" t="str">
        <f>IFERROR(__xludf.DUMMYFUNCTION("""COMPUTED_VALUE"""),"03 Marcenaria / 29 - Outros (PRAZO DE ACORDO COM A DEMANDA)")</f>
        <v>03 Marcenaria / 29 - Outros (PRAZO DE ACORDO COM A DEMANDA)</v>
      </c>
      <c r="K303" s="7"/>
      <c r="L303" s="7" t="str">
        <f>IFERROR(__xludf.DUMMYFUNCTION("""COMPUTED_VALUE"""),"Montar mesa de reunião.")</f>
        <v>Montar mesa de reunião.</v>
      </c>
      <c r="M303" s="10"/>
      <c r="N303" s="10" t="str">
        <f>IFERROR(__xludf.DUMMYFUNCTION("""COMPUTED_VALUE"""),"Realizado")</f>
        <v>Realizado</v>
      </c>
      <c r="O303" s="11">
        <f>IFERROR(__xludf.DUMMYFUNCTION("""COMPUTED_VALUE"""),45341.0)</f>
        <v>45341</v>
      </c>
      <c r="P303" s="11"/>
    </row>
    <row r="304" ht="27.0" customHeight="1">
      <c r="A304" s="7" t="str">
        <f>IFERROR(__xludf.DUMMYFUNCTION("""COMPUTED_VALUE"""),"302/2024")</f>
        <v>302/2024</v>
      </c>
      <c r="B304" s="8">
        <f>IFERROR(__xludf.DUMMYFUNCTION("""COMPUTED_VALUE"""),45338.393842743055)</f>
        <v>45338.39384</v>
      </c>
      <c r="C304" s="8" t="str">
        <f>IFERROR(__xludf.DUMMYFUNCTION("""COMPUTED_VALUE"""),"mayani@ufcat.edu.br")</f>
        <v>mayani@ufcat.edu.br</v>
      </c>
      <c r="D304" s="7" t="str">
        <f>IFERROR(__xludf.DUMMYFUNCTION("""COMPUTED_VALUE"""),"Mayani thais lopes")</f>
        <v>Mayani thais lopes</v>
      </c>
      <c r="E304" s="7">
        <f>IFERROR(__xludf.DUMMYFUNCTION("""COMPUTED_VALUE"""),3.4999071369E10)</f>
        <v>34999071369</v>
      </c>
      <c r="F304" s="7" t="str">
        <f>IFERROR(__xludf.DUMMYFUNCTION("""COMPUTED_VALUE"""),"IBIOTEC - Enfermagem")</f>
        <v>IBIOTEC - Enfermagem</v>
      </c>
      <c r="G304" s="9" t="str">
        <f>IFERROR(__xludf.DUMMYFUNCTION("""COMPUTED_VALUE"""),"Bloco M")</f>
        <v>Bloco M</v>
      </c>
      <c r="H304" s="7">
        <f>IFERROR(__xludf.DUMMYFUNCTION("""COMPUTED_VALUE"""),164.0)</f>
        <v>164</v>
      </c>
      <c r="I304" s="7" t="str">
        <f>IFERROR(__xludf.DUMMYFUNCTION("""COMPUTED_VALUE"""),"Instalações Hidrossanitárias")</f>
        <v>Instalações Hidrossanitárias</v>
      </c>
      <c r="J304" s="7" t="str">
        <f>IFERROR(__xludf.DUMMYFUNCTION("""COMPUTED_VALUE"""),"02 Hidráulica / 13 - Instalação de dispenser Papel Toalha (PRAZO DE 15 a 60 DIAS PARA ATENDIMENTO)")</f>
        <v>02 Hidráulica / 13 - Instalação de dispenser Papel Toalha (PRAZO DE 15 a 60 DIAS PARA ATENDIMENTO)</v>
      </c>
      <c r="K304" s="7"/>
      <c r="L304" s="7" t="str">
        <f>IFERROR(__xludf.DUMMYFUNCTION("""COMPUTED_VALUE"""),"Também precisa instalar um dispenser de sabonete líquido, no local aonde está sendo instalado o lavatório de mãos")</f>
        <v>Também precisa instalar um dispenser de sabonete líquido, no local aonde está sendo instalado o lavatório de mãos</v>
      </c>
      <c r="M304" s="10"/>
      <c r="N304" s="10" t="str">
        <f>IFERROR(__xludf.DUMMYFUNCTION("""COMPUTED_VALUE"""),"Realizado")</f>
        <v>Realizado</v>
      </c>
      <c r="O304" s="11">
        <f>IFERROR(__xludf.DUMMYFUNCTION("""COMPUTED_VALUE"""),45371.0)</f>
        <v>45371</v>
      </c>
      <c r="P304" s="11"/>
    </row>
    <row r="305" ht="27.0" customHeight="1">
      <c r="A305" s="7" t="str">
        <f>IFERROR(__xludf.DUMMYFUNCTION("""COMPUTED_VALUE"""),"303/2024")</f>
        <v>303/2024</v>
      </c>
      <c r="B305" s="8">
        <f>IFERROR(__xludf.DUMMYFUNCTION("""COMPUTED_VALUE"""),45338.395782175925)</f>
        <v>45338.39578</v>
      </c>
      <c r="C305" s="8" t="str">
        <f>IFERROR(__xludf.DUMMYFUNCTION("""COMPUTED_VALUE"""),"mayani@ufcat.edu.br")</f>
        <v>mayani@ufcat.edu.br</v>
      </c>
      <c r="D305" s="7" t="str">
        <f>IFERROR(__xludf.DUMMYFUNCTION("""COMPUTED_VALUE"""),"mayani thais lopes")</f>
        <v>mayani thais lopes</v>
      </c>
      <c r="E305" s="7">
        <f>IFERROR(__xludf.DUMMYFUNCTION("""COMPUTED_VALUE"""),3.4999071369E10)</f>
        <v>34999071369</v>
      </c>
      <c r="F305" s="7" t="str">
        <f>IFERROR(__xludf.DUMMYFUNCTION("""COMPUTED_VALUE"""),"IBIOTEC - Enfermagem")</f>
        <v>IBIOTEC - Enfermagem</v>
      </c>
      <c r="G305" s="9" t="str">
        <f>IFERROR(__xludf.DUMMYFUNCTION("""COMPUTED_VALUE"""),"Bloco K")</f>
        <v>Bloco K</v>
      </c>
      <c r="H305" s="7">
        <f>IFERROR(__xludf.DUMMYFUNCTION("""COMPUTED_VALUE"""),5.0)</f>
        <v>5</v>
      </c>
      <c r="I305" s="7" t="str">
        <f>IFERROR(__xludf.DUMMYFUNCTION("""COMPUTED_VALUE"""),"Pequenos serviços de reparos em Marcenaria")</f>
        <v>Pequenos serviços de reparos em Marcenaria</v>
      </c>
      <c r="J305" s="7" t="str">
        <f>IFERROR(__xludf.DUMMYFUNCTION("""COMPUTED_VALUE"""),"03 Marcenaria / 24 - Conserto de Móveis (PRAZO DE ATÉ 60 DIAS PARA ATENDIMENTO)")</f>
        <v>03 Marcenaria / 24 - Conserto de Móveis (PRAZO DE ATÉ 60 DIAS PARA ATENDIMENTO)</v>
      </c>
      <c r="K305" s="7"/>
      <c r="L305" s="7" t="str">
        <f>IFERROR(__xludf.DUMMYFUNCTION("""COMPUTED_VALUE"""),"As prateleiras de MDF que ficam abaixo da pia do laboratório infiltraram de água, devido à um vazamento no encanamento. E praticamente dobrou de tamanho. Preciso de uma avaliação para ver a possibilidade de trocar 2 prateleiras.")</f>
        <v>As prateleiras de MDF que ficam abaixo da pia do laboratório infiltraram de água, devido à um vazamento no encanamento. E praticamente dobrou de tamanho. Preciso de uma avaliação para ver a possibilidade de trocar 2 prateleiras.</v>
      </c>
      <c r="M305" s="10"/>
      <c r="N305" s="10" t="str">
        <f>IFERROR(__xludf.DUMMYFUNCTION("""COMPUTED_VALUE"""),"Realizado")</f>
        <v>Realizado</v>
      </c>
      <c r="O305" s="11">
        <f>IFERROR(__xludf.DUMMYFUNCTION("""COMPUTED_VALUE"""),45352.0)</f>
        <v>45352</v>
      </c>
      <c r="P305" s="11"/>
    </row>
    <row r="306" ht="27.0" customHeight="1">
      <c r="A306" s="7" t="str">
        <f>IFERROR(__xludf.DUMMYFUNCTION("""COMPUTED_VALUE"""),"304/2024")</f>
        <v>304/2024</v>
      </c>
      <c r="B306" s="8">
        <f>IFERROR(__xludf.DUMMYFUNCTION("""COMPUTED_VALUE"""),45338.43579539352)</f>
        <v>45338.4358</v>
      </c>
      <c r="C306" s="8" t="str">
        <f>IFERROR(__xludf.DUMMYFUNCTION("""COMPUTED_VALUE"""),"cristiano.ferreira@ufcat.edu.br")</f>
        <v>cristiano.ferreira@ufcat.edu.br</v>
      </c>
      <c r="D306" s="7" t="str">
        <f>IFERROR(__xludf.DUMMYFUNCTION("""COMPUTED_VALUE"""),"Cristiano dos Santos Ferreira")</f>
        <v>Cristiano dos Santos Ferreira</v>
      </c>
      <c r="E306" s="7">
        <f>IFERROR(__xludf.DUMMYFUNCTION("""COMPUTED_VALUE"""),5315.0)</f>
        <v>5315</v>
      </c>
      <c r="F306" s="7" t="str">
        <f>IFERROR(__xludf.DUMMYFUNCTION("""COMPUTED_VALUE"""),"PROAF")</f>
        <v>PROAF</v>
      </c>
      <c r="G306" s="9" t="str">
        <f>IFERROR(__xludf.DUMMYFUNCTION("""COMPUTED_VALUE"""),"Bloco Administrativo")</f>
        <v>Bloco Administrativo</v>
      </c>
      <c r="H306" s="7" t="str">
        <f>IFERROR(__xludf.DUMMYFUNCTION("""COMPUTED_VALUE"""),"Corredores da PROAF")</f>
        <v>Corredores da PROAF</v>
      </c>
      <c r="I306" s="7" t="str">
        <f>IFERROR(__xludf.DUMMYFUNCTION("""COMPUTED_VALUE"""),"Instalações Hidrossanitárias")</f>
        <v>Instalações Hidrossanitárias</v>
      </c>
      <c r="J306" s="7" t="str">
        <f>IFERROR(__xludf.DUMMYFUNCTION("""COMPUTED_VALUE"""),"02 Hidráulica / 15 - Instalação de dispenser Álcool em Gel (PRAZO DE 15 a 60 DIAS PARA ATENDIMENTO)")</f>
        <v>02 Hidráulica / 15 - Instalação de dispenser Álcool em Gel (PRAZO DE 15 a 60 DIAS PARA ATENDIMENTO)</v>
      </c>
      <c r="K306" s="7"/>
      <c r="L306" s="7" t="str">
        <f>IFERROR(__xludf.DUMMYFUNCTION("""COMPUTED_VALUE"""),"Troca/manutenção de dois dispensers de álcool em gel com vazamento.")</f>
        <v>Troca/manutenção de dois dispensers de álcool em gel com vazamento.</v>
      </c>
      <c r="M306" s="10"/>
      <c r="N306" s="10" t="str">
        <f>IFERROR(__xludf.DUMMYFUNCTION("""COMPUTED_VALUE"""),"Realizado")</f>
        <v>Realizado</v>
      </c>
      <c r="O306" s="18">
        <f>IFERROR(__xludf.DUMMYFUNCTION("""COMPUTED_VALUE"""),45344.0)</f>
        <v>45344</v>
      </c>
      <c r="P306" s="18"/>
    </row>
    <row r="307" ht="27.0" customHeight="1">
      <c r="A307" s="7" t="str">
        <f>IFERROR(__xludf.DUMMYFUNCTION("""COMPUTED_VALUE"""),"305/2024")</f>
        <v>305/2024</v>
      </c>
      <c r="B307" s="8">
        <f>IFERROR(__xludf.DUMMYFUNCTION("""COMPUTED_VALUE"""),45338.46915239583)</f>
        <v>45338.46915</v>
      </c>
      <c r="C307" s="8" t="str">
        <f>IFERROR(__xludf.DUMMYFUNCTION("""COMPUTED_VALUE"""),"patricia_torres@ufcat.edu.br")</f>
        <v>patricia_torres@ufcat.edu.br</v>
      </c>
      <c r="D307" s="7" t="str">
        <f>IFERROR(__xludf.DUMMYFUNCTION("""COMPUTED_VALUE"""),"patricia")</f>
        <v>patricia</v>
      </c>
      <c r="E307" s="7">
        <f>IFERROR(__xludf.DUMMYFUNCTION("""COMPUTED_VALUE"""),3.4415308E7)</f>
        <v>34415308</v>
      </c>
      <c r="F307" s="7" t="str">
        <f>IFERROR(__xludf.DUMMYFUNCTION("""COMPUTED_VALUE"""),"FAE")</f>
        <v>FAE</v>
      </c>
      <c r="G307" s="9" t="str">
        <f>IFERROR(__xludf.DUMMYFUNCTION("""COMPUTED_VALUE"""),"Bloco I")</f>
        <v>Bloco I</v>
      </c>
      <c r="H307" s="7" t="str">
        <f>IFERROR(__xludf.DUMMYFUNCTION("""COMPUTED_VALUE"""),"Brinquedoteca")</f>
        <v>Brinquedoteca</v>
      </c>
      <c r="I307" s="7" t="str">
        <f>IFERROR(__xludf.DUMMYFUNCTION("""COMPUTED_VALUE"""),"Instalações Hidrossanitárias")</f>
        <v>Instalações Hidrossanitárias</v>
      </c>
      <c r="J307" s="7" t="str">
        <f>IFERROR(__xludf.DUMMYFUNCTION("""COMPUTED_VALUE"""),"02 Hidráulica / 22 - Outros (PRAZO DE 15 a 60 DIAS PARA ATENDIMENTO)")</f>
        <v>02 Hidráulica / 22 - Outros (PRAZO DE 15 a 60 DIAS PARA ATENDIMENTO)</v>
      </c>
      <c r="K307" s="7"/>
      <c r="L307" s="7" t="str">
        <f>IFERROR(__xludf.DUMMYFUNCTION("""COMPUTED_VALUE"""),"Instalação de bebedouro - já tem o acesso pronto, falta instalar.")</f>
        <v>Instalação de bebedouro - já tem o acesso pronto, falta instalar.</v>
      </c>
      <c r="M307" s="10"/>
      <c r="N307" s="10" t="str">
        <f>IFERROR(__xludf.DUMMYFUNCTION("""COMPUTED_VALUE"""),"Realizado")</f>
        <v>Realizado</v>
      </c>
      <c r="O307" s="11">
        <f>IFERROR(__xludf.DUMMYFUNCTION("""COMPUTED_VALUE"""),45341.0)</f>
        <v>45341</v>
      </c>
      <c r="P307" s="11"/>
    </row>
    <row r="308" ht="27.0" customHeight="1">
      <c r="A308" s="7" t="str">
        <f>IFERROR(__xludf.DUMMYFUNCTION("""COMPUTED_VALUE"""),"306/2024")</f>
        <v>306/2024</v>
      </c>
      <c r="B308" s="8">
        <f>IFERROR(__xludf.DUMMYFUNCTION("""COMPUTED_VALUE"""),45338.472151180555)</f>
        <v>45338.47215</v>
      </c>
      <c r="C308" s="8" t="str">
        <f>IFERROR(__xludf.DUMMYFUNCTION("""COMPUTED_VALUE"""),"patricia_torres@ufcat.edu.br")</f>
        <v>patricia_torres@ufcat.edu.br</v>
      </c>
      <c r="D308" s="7" t="str">
        <f>IFERROR(__xludf.DUMMYFUNCTION("""COMPUTED_VALUE"""),"Patrícia")</f>
        <v>Patrícia</v>
      </c>
      <c r="E308" s="7">
        <f>IFERROR(__xludf.DUMMYFUNCTION("""COMPUTED_VALUE"""),3.4415308E7)</f>
        <v>34415308</v>
      </c>
      <c r="F308" s="7" t="str">
        <f>IFERROR(__xludf.DUMMYFUNCTION("""COMPUTED_VALUE"""),"FAE")</f>
        <v>FAE</v>
      </c>
      <c r="G308" s="9" t="str">
        <f>IFERROR(__xludf.DUMMYFUNCTION("""COMPUTED_VALUE"""),"Bloco I")</f>
        <v>Bloco I</v>
      </c>
      <c r="H308" s="7" t="str">
        <f>IFERROR(__xludf.DUMMYFUNCTION("""COMPUTED_VALUE"""),"brinquedoteca")</f>
        <v>brinquedoteca</v>
      </c>
      <c r="I308" s="7" t="str">
        <f>IFERROR(__xludf.DUMMYFUNCTION("""COMPUTED_VALUE"""),"Pequenos serviços de reparos em Marcenaria")</f>
        <v>Pequenos serviços de reparos em Marcenaria</v>
      </c>
      <c r="J308" s="7" t="str">
        <f>IFERROR(__xludf.DUMMYFUNCTION("""COMPUTED_VALUE"""),"03 Marcenaria / 25 - Divisórias (PRAZO DE ATÉ 60 DIAS PARA ATENDIMENTO)")</f>
        <v>03 Marcenaria / 25 - Divisórias (PRAZO DE ATÉ 60 DIAS PARA ATENDIMENTO)</v>
      </c>
      <c r="K308" s="7"/>
      <c r="L308" s="7" t="str">
        <f>IFERROR(__xludf.DUMMYFUNCTION("""COMPUTED_VALUE"""),"Fazer um portãozinho na porta da brinquedoteca. ")</f>
        <v>Fazer um portãozinho na porta da brinquedoteca. </v>
      </c>
      <c r="M308" s="10"/>
      <c r="N308" s="10" t="str">
        <f>IFERROR(__xludf.DUMMYFUNCTION("""COMPUTED_VALUE"""),"Aguardando análise")</f>
        <v>Aguardando análise</v>
      </c>
      <c r="O308" s="11"/>
      <c r="P308" s="11"/>
    </row>
    <row r="309" ht="27.0" customHeight="1">
      <c r="A309" s="7" t="str">
        <f>IFERROR(__xludf.DUMMYFUNCTION("""COMPUTED_VALUE"""),"307/2024")</f>
        <v>307/2024</v>
      </c>
      <c r="B309" s="8">
        <f>IFERROR(__xludf.DUMMYFUNCTION("""COMPUTED_VALUE"""),45338.476670000004)</f>
        <v>45338.47667</v>
      </c>
      <c r="C309" s="8" t="str">
        <f>IFERROR(__xludf.DUMMYFUNCTION("""COMPUTED_VALUE"""),"ceapsi.ufcat@gmail.com")</f>
        <v>ceapsi.ufcat@gmail.com</v>
      </c>
      <c r="D309" s="7" t="str">
        <f>IFERROR(__xludf.DUMMYFUNCTION("""COMPUTED_VALUE"""),"Camila Martins Mesquita")</f>
        <v>Camila Martins Mesquita</v>
      </c>
      <c r="E309" s="7">
        <f>IFERROR(__xludf.DUMMYFUNCTION("""COMPUTED_VALUE"""),5349.0)</f>
        <v>5349</v>
      </c>
      <c r="F309" s="7" t="str">
        <f>IFERROR(__xludf.DUMMYFUNCTION("""COMPUTED_VALUE"""),"IBIOTEC  - Psicologia")</f>
        <v>IBIOTEC  - Psicologia</v>
      </c>
      <c r="G309" s="9" t="str">
        <f>IFERROR(__xludf.DUMMYFUNCTION("""COMPUTED_VALUE"""),"Bloco M")</f>
        <v>Bloco M</v>
      </c>
      <c r="H309" s="7" t="str">
        <f>IFERROR(__xludf.DUMMYFUNCTION("""COMPUTED_VALUE"""),"CEAPSI Sala 2, 5 e corredor")</f>
        <v>CEAPSI Sala 2, 5 e corredor</v>
      </c>
      <c r="I309" s="7" t="str">
        <f>IFERROR(__xludf.DUMMYFUNCTION("""COMPUTED_VALUE"""),"Instalações elétricas")</f>
        <v>Instalações elétricas</v>
      </c>
      <c r="J309" s="7" t="str">
        <f>IFERROR(__xludf.DUMMYFUNCTION("""COMPUTED_VALUE"""),"04 Elétrica / 35 - Troca de Lâmpadas (PRAZO DE ATÉ 15 DIAS PARA ATENDIMENTO)")</f>
        <v>04 Elétrica / 35 - Troca de Lâmpadas (PRAZO DE ATÉ 15 DIAS PARA ATENDIMENTO)</v>
      </c>
      <c r="K309" s="7"/>
      <c r="L309" s="7" t="str">
        <f>IFERROR(__xludf.DUMMYFUNCTION("""COMPUTED_VALUE"""),"Troca de lâmpadas na sala 2, sala 5 e corredor")</f>
        <v>Troca de lâmpadas na sala 2, sala 5 e corredor</v>
      </c>
      <c r="M309" s="10"/>
      <c r="N309" s="10" t="str">
        <f>IFERROR(__xludf.DUMMYFUNCTION("""COMPUTED_VALUE"""),"Realizado")</f>
        <v>Realizado</v>
      </c>
      <c r="O309" s="11">
        <f>IFERROR(__xludf.DUMMYFUNCTION("""COMPUTED_VALUE"""),45341.0)</f>
        <v>45341</v>
      </c>
      <c r="P309" s="11"/>
    </row>
    <row r="310" ht="27.0" customHeight="1">
      <c r="A310" s="7" t="str">
        <f>IFERROR(__xludf.DUMMYFUNCTION("""COMPUTED_VALUE"""),"308/2024")</f>
        <v>308/2024</v>
      </c>
      <c r="B310" s="8">
        <f>IFERROR(__xludf.DUMMYFUNCTION("""COMPUTED_VALUE"""),45338.478111550925)</f>
        <v>45338.47811</v>
      </c>
      <c r="C310" s="8" t="str">
        <f>IFERROR(__xludf.DUMMYFUNCTION("""COMPUTED_VALUE"""),"ceapsi.ufcat@gmail.com")</f>
        <v>ceapsi.ufcat@gmail.com</v>
      </c>
      <c r="D310" s="7" t="str">
        <f>IFERROR(__xludf.DUMMYFUNCTION("""COMPUTED_VALUE"""),"Camila Martins Mesquita")</f>
        <v>Camila Martins Mesquita</v>
      </c>
      <c r="E310" s="7">
        <f>IFERROR(__xludf.DUMMYFUNCTION("""COMPUTED_VALUE"""),5349.0)</f>
        <v>5349</v>
      </c>
      <c r="F310" s="7" t="str">
        <f>IFERROR(__xludf.DUMMYFUNCTION("""COMPUTED_VALUE"""),"IBIOTEC  - Psicologia")</f>
        <v>IBIOTEC  - Psicologia</v>
      </c>
      <c r="G310" s="9" t="str">
        <f>IFERROR(__xludf.DUMMYFUNCTION("""COMPUTED_VALUE"""),"Bloco M")</f>
        <v>Bloco M</v>
      </c>
      <c r="H310" s="7" t="str">
        <f>IFERROR(__xludf.DUMMYFUNCTION("""COMPUTED_VALUE"""),"CEAPSI Sala dos Estagiários")</f>
        <v>CEAPSI Sala dos Estagiários</v>
      </c>
      <c r="I310" s="7" t="str">
        <f>IFERROR(__xludf.DUMMYFUNCTION("""COMPUTED_VALUE"""),"Instalações elétricas")</f>
        <v>Instalações elétricas</v>
      </c>
      <c r="J310" s="7" t="str">
        <f>IFERROR(__xludf.DUMMYFUNCTION("""COMPUTED_VALUE"""),"04 Elétrica / 34 - Tomada Uso Geral (PRAZO DE ATÉ 15 DIAS PARA ATENDIMENTO)")</f>
        <v>04 Elétrica / 34 - Tomada Uso Geral (PRAZO DE ATÉ 15 DIAS PARA ATENDIMENTO)</v>
      </c>
      <c r="K310" s="7"/>
      <c r="L310" s="7" t="str">
        <f>IFERROR(__xludf.DUMMYFUNCTION("""COMPUTED_VALUE"""),"Estagiário foi ligar o notebook na tomada e pegou fogo")</f>
        <v>Estagiário foi ligar o notebook na tomada e pegou fogo</v>
      </c>
      <c r="M310" s="10"/>
      <c r="N310" s="10" t="str">
        <f>IFERROR(__xludf.DUMMYFUNCTION("""COMPUTED_VALUE"""),"Realizado")</f>
        <v>Realizado</v>
      </c>
      <c r="O310" s="11">
        <f>IFERROR(__xludf.DUMMYFUNCTION("""COMPUTED_VALUE"""),45341.0)</f>
        <v>45341</v>
      </c>
      <c r="P310" s="11"/>
    </row>
    <row r="311" ht="27.0" customHeight="1">
      <c r="A311" s="7" t="str">
        <f>IFERROR(__xludf.DUMMYFUNCTION("""COMPUTED_VALUE"""),"309/2024")</f>
        <v>309/2024</v>
      </c>
      <c r="B311" s="8">
        <f>IFERROR(__xludf.DUMMYFUNCTION("""COMPUTED_VALUE"""),45338.479529432865)</f>
        <v>45338.47953</v>
      </c>
      <c r="C311" s="8" t="str">
        <f>IFERROR(__xludf.DUMMYFUNCTION("""COMPUTED_VALUE"""),"ceapsi.ufcat@gmail.com")</f>
        <v>ceapsi.ufcat@gmail.com</v>
      </c>
      <c r="D311" s="7" t="str">
        <f>IFERROR(__xludf.DUMMYFUNCTION("""COMPUTED_VALUE"""),"Camila Martins Mesquita")</f>
        <v>Camila Martins Mesquita</v>
      </c>
      <c r="E311" s="7">
        <f>IFERROR(__xludf.DUMMYFUNCTION("""COMPUTED_VALUE"""),5349.0)</f>
        <v>5349</v>
      </c>
      <c r="F311" s="7" t="str">
        <f>IFERROR(__xludf.DUMMYFUNCTION("""COMPUTED_VALUE"""),"IBIOTEC  - Psicologia")</f>
        <v>IBIOTEC  - Psicologia</v>
      </c>
      <c r="G311" s="9" t="str">
        <f>IFERROR(__xludf.DUMMYFUNCTION("""COMPUTED_VALUE"""),"Bloco M")</f>
        <v>Bloco M</v>
      </c>
      <c r="H311" s="7" t="str">
        <f>IFERROR(__xludf.DUMMYFUNCTION("""COMPUTED_VALUE"""),"CEAPSI Sala 6")</f>
        <v>CEAPSI Sala 6</v>
      </c>
      <c r="I311" s="7" t="str">
        <f>IFERROR(__xludf.DUMMYFUNCTION("""COMPUTED_VALUE"""),"Instalações Hidrossanitárias")</f>
        <v>Instalações Hidrossanitárias</v>
      </c>
      <c r="J311" s="7" t="str">
        <f>IFERROR(__xludf.DUMMYFUNCTION("""COMPUTED_VALUE"""),"03 Marcenaria / 29 - Outros (PRAZO DE ACORDO COM A DEMANDA)")</f>
        <v>03 Marcenaria / 29 - Outros (PRAZO DE ACORDO COM A DEMANDA)</v>
      </c>
      <c r="K311" s="7"/>
      <c r="L311" s="7" t="str">
        <f>IFERROR(__xludf.DUMMYFUNCTION("""COMPUTED_VALUE"""),"Janela com trava quebrada")</f>
        <v>Janela com trava quebrada</v>
      </c>
      <c r="M311" s="10"/>
      <c r="N311" s="10" t="str">
        <f>IFERROR(__xludf.DUMMYFUNCTION("""COMPUTED_VALUE"""),"Realizado")</f>
        <v>Realizado</v>
      </c>
      <c r="O311" s="11">
        <f>IFERROR(__xludf.DUMMYFUNCTION("""COMPUTED_VALUE"""),45341.0)</f>
        <v>45341</v>
      </c>
      <c r="P311" s="11"/>
    </row>
    <row r="312" ht="27.0" customHeight="1">
      <c r="A312" s="7" t="str">
        <f>IFERROR(__xludf.DUMMYFUNCTION("""COMPUTED_VALUE"""),"310/2024")</f>
        <v>310/2024</v>
      </c>
      <c r="B312" s="8">
        <f>IFERROR(__xludf.DUMMYFUNCTION("""COMPUTED_VALUE"""),45338.552668634264)</f>
        <v>45338.55267</v>
      </c>
      <c r="C312" s="8" t="str">
        <f>IFERROR(__xludf.DUMMYFUNCTION("""COMPUTED_VALUE"""),"thiago_felipe@ufcat.edu.br")</f>
        <v>thiago_felipe@ufcat.edu.br</v>
      </c>
      <c r="D312" s="7" t="str">
        <f>IFERROR(__xludf.DUMMYFUNCTION("""COMPUTED_VALUE"""),"Thiago Felipe Vieira Silva")</f>
        <v>Thiago Felipe Vieira Silva</v>
      </c>
      <c r="E312" s="7" t="str">
        <f>IFERROR(__xludf.DUMMYFUNCTION("""COMPUTED_VALUE"""),"(64) 3441-5323")</f>
        <v>(64) 3441-5323</v>
      </c>
      <c r="F312" s="7" t="str">
        <f>IFERROR(__xludf.DUMMYFUNCTION("""COMPUTED_VALUE"""),"IBIOTEC - Ciências Biológicas")</f>
        <v>IBIOTEC - Ciências Biológicas</v>
      </c>
      <c r="G312" s="9" t="str">
        <f>IFERROR(__xludf.DUMMYFUNCTION("""COMPUTED_VALUE"""),"Bloco M")</f>
        <v>Bloco M</v>
      </c>
      <c r="H312" s="7">
        <f>IFERROR(__xludf.DUMMYFUNCTION("""COMPUTED_VALUE"""),317.0)</f>
        <v>317</v>
      </c>
      <c r="I312" s="7" t="str">
        <f>IFERROR(__xludf.DUMMYFUNCTION("""COMPUTED_VALUE"""),"Reparos (alvenaria, piso, forro e telhado)")</f>
        <v>Reparos (alvenaria, piso, forro e telhado)</v>
      </c>
      <c r="J312" s="7" t="str">
        <f>IFERROR(__xludf.DUMMYFUNCTION("""COMPUTED_VALUE"""),"01 Alvenaria / 05 - Piso (PRAZO DE ATÉ 60 DIAS PARA ATENDIMENTO)")</f>
        <v>01 Alvenaria / 05 - Piso (PRAZO DE ATÉ 60 DIAS PARA ATENDIMENTO)</v>
      </c>
      <c r="K312" s="7"/>
      <c r="L312" s="7" t="str">
        <f>IFERROR(__xludf.DUMMYFUNCTION("""COMPUTED_VALUE"""),"Instalação de um switch na parede, e instalação de canaletas para fiação de cabos de internet, para plugarem no switch.")</f>
        <v>Instalação de um switch na parede, e instalação de canaletas para fiação de cabos de internet, para plugarem no switch.</v>
      </c>
      <c r="M312" s="10"/>
      <c r="N312" s="10" t="str">
        <f>IFERROR(__xludf.DUMMYFUNCTION("""COMPUTED_VALUE"""),"Realizado")</f>
        <v>Realizado</v>
      </c>
      <c r="O312" s="11">
        <f>IFERROR(__xludf.DUMMYFUNCTION("""COMPUTED_VALUE"""),45355.0)</f>
        <v>45355</v>
      </c>
      <c r="P312" s="11"/>
    </row>
    <row r="313" ht="27.0" customHeight="1">
      <c r="A313" s="7" t="str">
        <f>IFERROR(__xludf.DUMMYFUNCTION("""COMPUTED_VALUE"""),"311/2024")</f>
        <v>311/2024</v>
      </c>
      <c r="B313" s="8">
        <f>IFERROR(__xludf.DUMMYFUNCTION("""COMPUTED_VALUE"""),45338.64707556713)</f>
        <v>45338.64708</v>
      </c>
      <c r="C313" s="8" t="str">
        <f>IFERROR(__xludf.DUMMYFUNCTION("""COMPUTED_VALUE"""),"seguranca@ufcat.edu.br")</f>
        <v>seguranca@ufcat.edu.br</v>
      </c>
      <c r="D313" s="7" t="str">
        <f>IFERROR(__xludf.DUMMYFUNCTION("""COMPUTED_VALUE"""),"Carla Braz")</f>
        <v>Carla Braz</v>
      </c>
      <c r="E313" s="7">
        <f>IFERROR(__xludf.DUMMYFUNCTION("""COMPUTED_VALUE"""),5318.0)</f>
        <v>5318</v>
      </c>
      <c r="F313" s="7" t="str">
        <f>IFERROR(__xludf.DUMMYFUNCTION("""COMPUTED_VALUE"""),"CENTRAL DE OPERAÇÕES VIGILÂNCIA")</f>
        <v>CENTRAL DE OPERAÇÕES VIGILÂNCIA</v>
      </c>
      <c r="G313" s="9" t="str">
        <f>IFERROR(__xludf.DUMMYFUNCTION("""COMPUTED_VALUE"""),"Bloco O")</f>
        <v>Bloco O</v>
      </c>
      <c r="H313" s="7" t="str">
        <f>IFERROR(__xludf.DUMMYFUNCTION("""COMPUTED_VALUE"""),"Sala Rack ")</f>
        <v>Sala Rack </v>
      </c>
      <c r="I313" s="7" t="str">
        <f>IFERROR(__xludf.DUMMYFUNCTION("""COMPUTED_VALUE"""),"Instalações e/ou Manutenção em Cabeamento de Rede")</f>
        <v>Instalações e/ou Manutenção em Cabeamento de Rede</v>
      </c>
      <c r="J313" s="7" t="str">
        <f>IFERROR(__xludf.DUMMYFUNCTION("""COMPUTED_VALUE"""),"05 Telecomunicações / 39 - CFTV (PRAZO DE ATÉ 15 DIAS PARA ATENDIMENTO)")</f>
        <v>05 Telecomunicações / 39 - CFTV (PRAZO DE ATÉ 15 DIAS PARA ATENDIMENTO)</v>
      </c>
      <c r="K313" s="7"/>
      <c r="L313" s="7" t="str">
        <f>IFERROR(__xludf.DUMMYFUNCTION("""COMPUTED_VALUE"""),"DVR DESCONECTADO. ")</f>
        <v>DVR DESCONECTADO. </v>
      </c>
      <c r="M313" s="10"/>
      <c r="N313" s="10" t="str">
        <f>IFERROR(__xludf.DUMMYFUNCTION("""COMPUTED_VALUE"""),"Realizado")</f>
        <v>Realizado</v>
      </c>
      <c r="O313" s="11">
        <f>IFERROR(__xludf.DUMMYFUNCTION("""COMPUTED_VALUE"""),45348.0)</f>
        <v>45348</v>
      </c>
      <c r="P313" s="11"/>
    </row>
    <row r="314" ht="27.0" customHeight="1">
      <c r="A314" s="7" t="str">
        <f>IFERROR(__xludf.DUMMYFUNCTION("""COMPUTED_VALUE"""),"312/2024")</f>
        <v>312/2024</v>
      </c>
      <c r="B314" s="8">
        <f>IFERROR(__xludf.DUMMYFUNCTION("""COMPUTED_VALUE"""),45339.76987766204)</f>
        <v>45339.76988</v>
      </c>
      <c r="C314" s="8" t="str">
        <f>IFERROR(__xludf.DUMMYFUNCTION("""COMPUTED_VALUE"""),"seguranca@ufcat.edu.br")</f>
        <v>seguranca@ufcat.edu.br</v>
      </c>
      <c r="D314" s="7" t="str">
        <f>IFERROR(__xludf.DUMMYFUNCTION("""COMPUTED_VALUE"""),"Maria Duarte")</f>
        <v>Maria Duarte</v>
      </c>
      <c r="E314" s="7">
        <f>IFERROR(__xludf.DUMMYFUNCTION("""COMPUTED_VALUE"""),5318.0)</f>
        <v>5318</v>
      </c>
      <c r="F314" s="7" t="str">
        <f>IFERROR(__xludf.DUMMYFUNCTION("""COMPUTED_VALUE"""),"CENTRAL DE OPERAÇÕES VIGILÂNCIA")</f>
        <v>CENTRAL DE OPERAÇÕES VIGILÂNCIA</v>
      </c>
      <c r="G314" s="9" t="str">
        <f>IFERROR(__xludf.DUMMYFUNCTION("""COMPUTED_VALUE"""),"Monitoramento")</f>
        <v>Monitoramento</v>
      </c>
      <c r="H314" s="7" t="str">
        <f>IFERROR(__xludf.DUMMYFUNCTION("""COMPUTED_VALUE"""),"DVR  da PREFEITURA")</f>
        <v>DVR  da PREFEITURA</v>
      </c>
      <c r="I314" s="7" t="str">
        <f>IFERROR(__xludf.DUMMYFUNCTION("""COMPUTED_VALUE"""),"Instalações e/ou Manutenção em Cabeamento de Rede")</f>
        <v>Instalações e/ou Manutenção em Cabeamento de Rede</v>
      </c>
      <c r="J314" s="7" t="str">
        <f>IFERROR(__xludf.DUMMYFUNCTION("""COMPUTED_VALUE"""),"05 Telecomunicações / 39 - CFTV (PRAZO DE ATÉ 15 DIAS PARA ATENDIMENTO)")</f>
        <v>05 Telecomunicações / 39 - CFTV (PRAZO DE ATÉ 15 DIAS PARA ATENDIMENTO)</v>
      </c>
      <c r="K314" s="7"/>
      <c r="L314" s="7" t="str">
        <f>IFERROR(__xludf.DUMMYFUNCTION("""COMPUTED_VALUE"""),"A câmera da sala da Central de Operações, no DVR da Prefeitura, que está identificada como ''PISCINA'', se encontra com interferência na imagem.")</f>
        <v>A câmera da sala da Central de Operações, no DVR da Prefeitura, que está identificada como ''PISCINA'', se encontra com interferência na imagem.</v>
      </c>
      <c r="M314" s="10"/>
      <c r="N314" s="10" t="str">
        <f>IFERROR(__xludf.DUMMYFUNCTION("""COMPUTED_VALUE"""),"Realizado")</f>
        <v>Realizado</v>
      </c>
      <c r="O314" s="11">
        <f>IFERROR(__xludf.DUMMYFUNCTION("""COMPUTED_VALUE"""),45348.0)</f>
        <v>45348</v>
      </c>
      <c r="P314" s="11"/>
    </row>
    <row r="315" ht="27.0" customHeight="1">
      <c r="A315" s="7" t="str">
        <f>IFERROR(__xludf.DUMMYFUNCTION("""COMPUTED_VALUE"""),"313/2024")</f>
        <v>313/2024</v>
      </c>
      <c r="B315" s="8">
        <f>IFERROR(__xludf.DUMMYFUNCTION("""COMPUTED_VALUE"""),45340.25468978009)</f>
        <v>45340.25469</v>
      </c>
      <c r="C315" s="8" t="str">
        <f>IFERROR(__xludf.DUMMYFUNCTION("""COMPUTED_VALUE"""),"seguranca@ufcat.edu.br")</f>
        <v>seguranca@ufcat.edu.br</v>
      </c>
      <c r="D315" s="7" t="str">
        <f>IFERROR(__xludf.DUMMYFUNCTION("""COMPUTED_VALUE"""),"Pedro")</f>
        <v>Pedro</v>
      </c>
      <c r="E315" s="7">
        <f>IFERROR(__xludf.DUMMYFUNCTION("""COMPUTED_VALUE"""),5318.0)</f>
        <v>5318</v>
      </c>
      <c r="F315" s="7" t="str">
        <f>IFERROR(__xludf.DUMMYFUNCTION("""COMPUTED_VALUE"""),"CENTRAL DE OPERAÇÕES VIGILÂNCIA")</f>
        <v>CENTRAL DE OPERAÇÕES VIGILÂNCIA</v>
      </c>
      <c r="G315" s="9" t="str">
        <f>IFERROR(__xludf.DUMMYFUNCTION("""COMPUTED_VALUE"""),"Auditório Paulo de Bastos")</f>
        <v>Auditório Paulo de Bastos</v>
      </c>
      <c r="H315" s="7" t="str">
        <f>IFERROR(__xludf.DUMMYFUNCTION("""COMPUTED_VALUE"""),"Sala do Rack")</f>
        <v>Sala do Rack</v>
      </c>
      <c r="I315" s="7" t="str">
        <f>IFERROR(__xludf.DUMMYFUNCTION("""COMPUTED_VALUE"""),"Instalações e/ou Manutenção em Cabeamento de Rede")</f>
        <v>Instalações e/ou Manutenção em Cabeamento de Rede</v>
      </c>
      <c r="J315" s="7" t="str">
        <f>IFERROR(__xludf.DUMMYFUNCTION("""COMPUTED_VALUE"""),"05 Telecomunicações / 39 - CFTV (PRAZO DE ATÉ 15 DIAS PARA ATENDIMENTO)")</f>
        <v>05 Telecomunicações / 39 - CFTV (PRAZO DE ATÉ 15 DIAS PARA ATENDIMENTO)</v>
      </c>
      <c r="K315" s="7"/>
      <c r="L315" s="7" t="str">
        <f>IFERROR(__xludf.DUMMYFUNCTION("""COMPUTED_VALUE"""),"As câmeras ( Fundos, Garagem 1, Garagem 2 ) estão ficando totalmente pretas no período Noturno.")</f>
        <v>As câmeras ( Fundos, Garagem 1, Garagem 2 ) estão ficando totalmente pretas no período Noturno.</v>
      </c>
      <c r="M315" s="10"/>
      <c r="N315" s="10" t="str">
        <f>IFERROR(__xludf.DUMMYFUNCTION("""COMPUTED_VALUE"""),"Realizado")</f>
        <v>Realizado</v>
      </c>
      <c r="O315" s="11">
        <f>IFERROR(__xludf.DUMMYFUNCTION("""COMPUTED_VALUE"""),45352.0)</f>
        <v>45352</v>
      </c>
      <c r="P315" s="11"/>
    </row>
    <row r="316" ht="27.0" customHeight="1">
      <c r="A316" s="7" t="str">
        <f>IFERROR(__xludf.DUMMYFUNCTION("""COMPUTED_VALUE"""),"314/2024")</f>
        <v>314/2024</v>
      </c>
      <c r="B316" s="8">
        <f>IFERROR(__xludf.DUMMYFUNCTION("""COMPUTED_VALUE"""),45341.39734377315)</f>
        <v>45341.39734</v>
      </c>
      <c r="C316" s="8" t="str">
        <f>IFERROR(__xludf.DUMMYFUNCTION("""COMPUTED_VALUE"""),"muc.prpe@ufcat.edu.br")</f>
        <v>muc.prpe@ufcat.edu.br</v>
      </c>
      <c r="D316" s="7" t="str">
        <f>IFERROR(__xludf.DUMMYFUNCTION("""COMPUTED_VALUE"""),"Ludmila")</f>
        <v>Ludmila</v>
      </c>
      <c r="E316" s="7">
        <f>IFERROR(__xludf.DUMMYFUNCTION("""COMPUTED_VALUE"""),5333.0)</f>
        <v>5333</v>
      </c>
      <c r="F316" s="7" t="str">
        <f>IFERROR(__xludf.DUMMYFUNCTION("""COMPUTED_VALUE"""),"PRPE")</f>
        <v>PRPE</v>
      </c>
      <c r="G316" s="9" t="str">
        <f>IFERROR(__xludf.DUMMYFUNCTION("""COMPUTED_VALUE"""),"MUC")</f>
        <v>MUC</v>
      </c>
      <c r="H316" s="7" t="str">
        <f>IFERROR(__xludf.DUMMYFUNCTION("""COMPUTED_VALUE"""),"apto 304")</f>
        <v>apto 304</v>
      </c>
      <c r="I316" s="7" t="str">
        <f>IFERROR(__xludf.DUMMYFUNCTION("""COMPUTED_VALUE"""),"Instalações Hidrossanitárias")</f>
        <v>Instalações Hidrossanitárias</v>
      </c>
      <c r="J316" s="7" t="str">
        <f>IFERROR(__xludf.DUMMYFUNCTION("""COMPUTED_VALUE"""),"02 Hidráulica / 09 - Vazamento de Pia (PRAZO DE 15 a 60 DIAS PARA ATENDIMENTO)")</f>
        <v>02 Hidráulica / 09 - Vazamento de Pia (PRAZO DE 15 a 60 DIAS PARA ATENDIMENTO)</v>
      </c>
      <c r="K316" s="7"/>
      <c r="L316" s="7" t="str">
        <f>IFERROR(__xludf.DUMMYFUNCTION("""COMPUTED_VALUE"""),"pia do banheiro com vazamento ")</f>
        <v>pia do banheiro com vazamento </v>
      </c>
      <c r="M316" s="10"/>
      <c r="N316" s="10" t="str">
        <f>IFERROR(__xludf.DUMMYFUNCTION("""COMPUTED_VALUE"""),"Realizado")</f>
        <v>Realizado</v>
      </c>
      <c r="O316" s="11">
        <f>IFERROR(__xludf.DUMMYFUNCTION("""COMPUTED_VALUE"""),45343.0)</f>
        <v>45343</v>
      </c>
      <c r="P316" s="11"/>
    </row>
    <row r="317" ht="27.0" customHeight="1">
      <c r="A317" s="7" t="str">
        <f>IFERROR(__xludf.DUMMYFUNCTION("""COMPUTED_VALUE"""),"315/2024")</f>
        <v>315/2024</v>
      </c>
      <c r="B317" s="8">
        <f>IFERROR(__xludf.DUMMYFUNCTION("""COMPUTED_VALUE"""),45341.39987945602)</f>
        <v>45341.39988</v>
      </c>
      <c r="C317" s="8" t="str">
        <f>IFERROR(__xludf.DUMMYFUNCTION("""COMPUTED_VALUE"""),"mariaeduarda.borges@ufcat.edu.br")</f>
        <v>mariaeduarda.borges@ufcat.edu.br</v>
      </c>
      <c r="D317" s="7" t="str">
        <f>IFERROR(__xludf.DUMMYFUNCTION("""COMPUTED_VALUE"""),"Maria Eduarda Silva Borges ")</f>
        <v>Maria Eduarda Silva Borges </v>
      </c>
      <c r="E317" s="7">
        <f>IFERROR(__xludf.DUMMYFUNCTION("""COMPUTED_VALUE"""),5340.0)</f>
        <v>5340</v>
      </c>
      <c r="F317" s="7" t="str">
        <f>IFERROR(__xludf.DUMMYFUNCTION("""COMPUTED_VALUE"""),"PREF")</f>
        <v>PREF</v>
      </c>
      <c r="G317" s="9" t="str">
        <f>IFERROR(__xludf.DUMMYFUNCTION("""COMPUTED_VALUE"""),"Bloco N")</f>
        <v>Bloco N</v>
      </c>
      <c r="H317" s="7" t="str">
        <f>IFERROR(__xludf.DUMMYFUNCTION("""COMPUTED_VALUE"""),"SALA 104")</f>
        <v>SALA 104</v>
      </c>
      <c r="I317" s="7" t="str">
        <f>IFERROR(__xludf.DUMMYFUNCTION("""COMPUTED_VALUE"""),"Pequenos serviços de reparos em Marcenaria")</f>
        <v>Pequenos serviços de reparos em Marcenaria</v>
      </c>
      <c r="J317" s="7" t="str">
        <f>IFERROR(__xludf.DUMMYFUNCTION("""COMPUTED_VALUE"""),"03 Marcenaria / 29 - Outros (PRAZO DE ACORDO COM A DEMANDA)")</f>
        <v>03 Marcenaria / 29 - Outros (PRAZO DE ACORDO COM A DEMANDA)</v>
      </c>
      <c r="K317" s="7"/>
      <c r="L317" s="7" t="str">
        <f>IFERROR(__xludf.DUMMYFUNCTION("""COMPUTED_VALUE"""),"Durante ronda de conferência e fechamento dos Blocos identificou a porta da sala 104 do bloco N não está trancado, parece estar empenada.")</f>
        <v>Durante ronda de conferência e fechamento dos Blocos identificou a porta da sala 104 do bloco N não está trancado, parece estar empenada.</v>
      </c>
      <c r="M317" s="10"/>
      <c r="N317" s="10" t="str">
        <f>IFERROR(__xludf.DUMMYFUNCTION("""COMPUTED_VALUE"""),"Realizado")</f>
        <v>Realizado</v>
      </c>
      <c r="O317" s="18">
        <f>IFERROR(__xludf.DUMMYFUNCTION("""COMPUTED_VALUE"""),45344.0)</f>
        <v>45344</v>
      </c>
      <c r="P317" s="18"/>
    </row>
    <row r="318" ht="27.0" customHeight="1">
      <c r="A318" s="7" t="str">
        <f>IFERROR(__xludf.DUMMYFUNCTION("""COMPUTED_VALUE"""),"316/2024")</f>
        <v>316/2024</v>
      </c>
      <c r="B318" s="8">
        <f>IFERROR(__xludf.DUMMYFUNCTION("""COMPUTED_VALUE"""),45341.41712171296)</f>
        <v>45341.41712</v>
      </c>
      <c r="C318" s="8" t="str">
        <f>IFERROR(__xludf.DUMMYFUNCTION("""COMPUTED_VALUE"""),"mayani@ufcat.edu.br")</f>
        <v>mayani@ufcat.edu.br</v>
      </c>
      <c r="D318" s="7" t="str">
        <f>IFERROR(__xludf.DUMMYFUNCTION("""COMPUTED_VALUE"""),"Mayani Thais Lopes")</f>
        <v>Mayani Thais Lopes</v>
      </c>
      <c r="E318" s="7">
        <f>IFERROR(__xludf.DUMMYFUNCTION("""COMPUTED_VALUE"""),3.4999071369E10)</f>
        <v>34999071369</v>
      </c>
      <c r="F318" s="7" t="str">
        <f>IFERROR(__xludf.DUMMYFUNCTION("""COMPUTED_VALUE"""),"IBIOTEC - Enfermagem")</f>
        <v>IBIOTEC - Enfermagem</v>
      </c>
      <c r="G318" s="9" t="str">
        <f>IFERROR(__xludf.DUMMYFUNCTION("""COMPUTED_VALUE"""),"Bloco M")</f>
        <v>Bloco M</v>
      </c>
      <c r="H318" s="7">
        <f>IFERROR(__xludf.DUMMYFUNCTION("""COMPUTED_VALUE"""),164.0)</f>
        <v>164</v>
      </c>
      <c r="I318" s="7" t="str">
        <f>IFERROR(__xludf.DUMMYFUNCTION("""COMPUTED_VALUE"""),"Pintura")</f>
        <v>Pintura</v>
      </c>
      <c r="J318" s="7" t="str">
        <f>IFERROR(__xludf.DUMMYFUNCTION("""COMPUTED_VALUE"""),"06 Pintura / 43 - Pintura de Parede (PRAZO DE ATÉ 60 DIAS PARA ATENDIMENTO)")</f>
        <v>06 Pintura / 43 - Pintura de Parede (PRAZO DE ATÉ 60 DIAS PARA ATENDIMENTO)</v>
      </c>
      <c r="K318" s="7"/>
      <c r="L318" s="7" t="str">
        <f>IFERROR(__xludf.DUMMYFUNCTION("""COMPUTED_VALUE"""),"Solicita-se pintura para a sala - que acabou de passar por uma pequena reforma (instalação de um lavatório de mãos). Preferencialmente nas 4 paredes, incluindo a tubulização de canos dos cabos, pois nesta sala é realizado atendimento de Praticas Integrati"&amp;"vas e Complementares à comunidade acadêmica e comunidade externa e o ideal é que o local esteja o mais harmônico e aconchegante o possível - e esse efeito pode ser alcançado ao se ter as paredes inteiras brancas.")</f>
        <v>Solicita-se pintura para a sala - que acabou de passar por uma pequena reforma (instalação de um lavatório de mãos). Preferencialmente nas 4 paredes, incluindo a tubulização de canos dos cabos, pois nesta sala é realizado atendimento de Praticas Integrativas e Complementares à comunidade acadêmica e comunidade externa e o ideal é que o local esteja o mais harmônico e aconchegante o possível - e esse efeito pode ser alcançado ao se ter as paredes inteiras brancas.</v>
      </c>
      <c r="M318" s="10"/>
      <c r="N318" s="10" t="str">
        <f>IFERROR(__xludf.DUMMYFUNCTION("""COMPUTED_VALUE"""),"Realizado")</f>
        <v>Realizado</v>
      </c>
      <c r="O318" s="11">
        <f>IFERROR(__xludf.DUMMYFUNCTION("""COMPUTED_VALUE"""),45352.0)</f>
        <v>45352</v>
      </c>
      <c r="P318" s="11"/>
    </row>
    <row r="319" ht="27.0" customHeight="1">
      <c r="A319" s="7" t="str">
        <f>IFERROR(__xludf.DUMMYFUNCTION("""COMPUTED_VALUE"""),"317/2024")</f>
        <v>317/2024</v>
      </c>
      <c r="B319" s="8">
        <f>IFERROR(__xludf.DUMMYFUNCTION("""COMPUTED_VALUE"""),45341.41924021991)</f>
        <v>45341.41924</v>
      </c>
      <c r="C319" s="8" t="str">
        <f>IFERROR(__xludf.DUMMYFUNCTION("""COMPUTED_VALUE"""),"ainhasantosbio@ufcat.edu.br")</f>
        <v>ainhasantosbio@ufcat.edu.br</v>
      </c>
      <c r="D319" s="7" t="str">
        <f>IFERROR(__xludf.DUMMYFUNCTION("""COMPUTED_VALUE"""),"Ana Lúcia Santos")</f>
        <v>Ana Lúcia Santos</v>
      </c>
      <c r="E319" s="7" t="str">
        <f>IFERROR(__xludf.DUMMYFUNCTION("""COMPUTED_VALUE"""),"(64) 98102-0638")</f>
        <v>(64) 98102-0638</v>
      </c>
      <c r="F319" s="7" t="str">
        <f>IFERROR(__xludf.DUMMYFUNCTION("""COMPUTED_VALUE"""),"IBIOTEC - Ciências Biológicas")</f>
        <v>IBIOTEC - Ciências Biológicas</v>
      </c>
      <c r="G319" s="9" t="str">
        <f>IFERROR(__xludf.DUMMYFUNCTION("""COMPUTED_VALUE"""),"Bloco N")</f>
        <v>Bloco N</v>
      </c>
      <c r="H319" s="7" t="str">
        <f>IFERROR(__xludf.DUMMYFUNCTION("""COMPUTED_VALUE"""),"Corredor do piso superior")</f>
        <v>Corredor do piso superior</v>
      </c>
      <c r="I319" s="7" t="str">
        <f>IFERROR(__xludf.DUMMYFUNCTION("""COMPUTED_VALUE"""),"Instalações Hidrossanitárias")</f>
        <v>Instalações Hidrossanitárias</v>
      </c>
      <c r="J319" s="7" t="str">
        <f>IFERROR(__xludf.DUMMYFUNCTION("""COMPUTED_VALUE"""),"02 Hidráulica / 20 - Vazamento em bebedouros (PRAZO DE 1 a 5 DIAS PARA ATENDIMENTO)")</f>
        <v>02 Hidráulica / 20 - Vazamento em bebedouros (PRAZO DE 1 a 5 DIAS PARA ATENDIMENTO)</v>
      </c>
      <c r="K319" s="7"/>
      <c r="L319" s="7" t="str">
        <f>IFERROR(__xludf.DUMMYFUNCTION("""COMPUTED_VALUE"""),"verificar vazamentos nos dois bebedouros localizados no piso superior do bloco N")</f>
        <v>verificar vazamentos nos dois bebedouros localizados no piso superior do bloco N</v>
      </c>
      <c r="M319" s="10"/>
      <c r="N319" s="10" t="str">
        <f>IFERROR(__xludf.DUMMYFUNCTION("""COMPUTED_VALUE"""),"Realizado")</f>
        <v>Realizado</v>
      </c>
      <c r="O319" s="11">
        <f>IFERROR(__xludf.DUMMYFUNCTION("""COMPUTED_VALUE"""),45342.0)</f>
        <v>45342</v>
      </c>
      <c r="P319" s="11"/>
    </row>
    <row r="320" ht="27.0" customHeight="1">
      <c r="A320" s="7" t="str">
        <f>IFERROR(__xludf.DUMMYFUNCTION("""COMPUTED_VALUE"""),"318/2024")</f>
        <v>318/2024</v>
      </c>
      <c r="B320" s="8">
        <f>IFERROR(__xludf.DUMMYFUNCTION("""COMPUTED_VALUE"""),45341.42895259259)</f>
        <v>45341.42895</v>
      </c>
      <c r="C320" s="8" t="str">
        <f>IFERROR(__xludf.DUMMYFUNCTION("""COMPUTED_VALUE"""),"aninhasantosbio@ufcat.edu.br")</f>
        <v>aninhasantosbio@ufcat.edu.br</v>
      </c>
      <c r="D320" s="7" t="str">
        <f>IFERROR(__xludf.DUMMYFUNCTION("""COMPUTED_VALUE"""),"Ana Lúcia Santos")</f>
        <v>Ana Lúcia Santos</v>
      </c>
      <c r="E320" s="7" t="str">
        <f>IFERROR(__xludf.DUMMYFUNCTION("""COMPUTED_VALUE"""),"(64) 98102-0638")</f>
        <v>(64) 98102-0638</v>
      </c>
      <c r="F320" s="7" t="str">
        <f>IFERROR(__xludf.DUMMYFUNCTION("""COMPUTED_VALUE"""),"IBIOTEC - Ciências Biológicas")</f>
        <v>IBIOTEC - Ciências Biológicas</v>
      </c>
      <c r="G320" s="9" t="str">
        <f>IFERROR(__xludf.DUMMYFUNCTION("""COMPUTED_VALUE"""),"Bloco N")</f>
        <v>Bloco N</v>
      </c>
      <c r="H320" s="7">
        <f>IFERROR(__xludf.DUMMYFUNCTION("""COMPUTED_VALUE"""),109.0)</f>
        <v>109</v>
      </c>
      <c r="I320" s="7" t="str">
        <f>IFERROR(__xludf.DUMMYFUNCTION("""COMPUTED_VALUE"""),"Pequenos serviços de reparos em Marcenaria")</f>
        <v>Pequenos serviços de reparos em Marcenaria</v>
      </c>
      <c r="J320" s="7" t="str">
        <f>IFERROR(__xludf.DUMMYFUNCTION("""COMPUTED_VALUE"""),"03 Marcenaria / 29 - Outros (PRAZO DE ACORDO COM A DEMANDA)")</f>
        <v>03 Marcenaria / 29 - Outros (PRAZO DE ACORDO COM A DEMANDA)</v>
      </c>
      <c r="K320" s="7"/>
      <c r="L320" s="7" t="str">
        <f>IFERROR(__xludf.DUMMYFUNCTION("""COMPUTED_VALUE"""),"Verificar a possibilidade de colocar duas prateleiras em um armário")</f>
        <v>Verificar a possibilidade de colocar duas prateleiras em um armário</v>
      </c>
      <c r="M320" s="10"/>
      <c r="N320" s="10" t="str">
        <f>IFERROR(__xludf.DUMMYFUNCTION("""COMPUTED_VALUE"""),"Realizado")</f>
        <v>Realizado</v>
      </c>
      <c r="O320" s="11">
        <f>IFERROR(__xludf.DUMMYFUNCTION("""COMPUTED_VALUE"""),45384.0)</f>
        <v>45384</v>
      </c>
      <c r="P320" s="11"/>
    </row>
    <row r="321" ht="27.0" customHeight="1">
      <c r="A321" s="7" t="str">
        <f>IFERROR(__xludf.DUMMYFUNCTION("""COMPUTED_VALUE"""),"319/2024")</f>
        <v>319/2024</v>
      </c>
      <c r="B321" s="8">
        <f>IFERROR(__xludf.DUMMYFUNCTION("""COMPUTED_VALUE"""),45341.43932247685)</f>
        <v>45341.43932</v>
      </c>
      <c r="C321" s="8" t="str">
        <f>IFERROR(__xludf.DUMMYFUNCTION("""COMPUTED_VALUE"""),"sergio_junior@ufcat.edu.br")</f>
        <v>sergio_junior@ufcat.edu.br</v>
      </c>
      <c r="D321" s="7" t="str">
        <f>IFERROR(__xludf.DUMMYFUNCTION("""COMPUTED_VALUE"""),"Sérgio Antônio")</f>
        <v>Sérgio Antônio</v>
      </c>
      <c r="E321" s="7">
        <f>IFERROR(__xludf.DUMMYFUNCTION("""COMPUTED_VALUE"""),5343.0)</f>
        <v>5343</v>
      </c>
      <c r="F321" s="7" t="str">
        <f>IFERROR(__xludf.DUMMYFUNCTION("""COMPUTED_VALUE"""),"CPATRI")</f>
        <v>CPATRI</v>
      </c>
      <c r="G321" s="9" t="str">
        <f>IFERROR(__xludf.DUMMYFUNCTION("""COMPUTED_VALUE"""),"Bloco Administrativo")</f>
        <v>Bloco Administrativo</v>
      </c>
      <c r="H321" s="7" t="str">
        <f>IFERROR(__xludf.DUMMYFUNCTION("""COMPUTED_VALUE"""),"Cpatri - Coordenação")</f>
        <v>Cpatri - Coordenação</v>
      </c>
      <c r="I321" s="7" t="str">
        <f>IFERROR(__xludf.DUMMYFUNCTION("""COMPUTED_VALUE"""),"Instalações e/ou Manutenção em Cabeamento de Rede")</f>
        <v>Instalações e/ou Manutenção em Cabeamento de Rede</v>
      </c>
      <c r="J321" s="7" t="str">
        <f>IFERROR(__xludf.DUMMYFUNCTION("""COMPUTED_VALUE"""),"05 Telecomunicações / 38 - Cabeamento de Rede (PRAZO DE ATÉ 15 DIAS PARA ATENDIMENTO)")</f>
        <v>05 Telecomunicações / 38 - Cabeamento de Rede (PRAZO DE ATÉ 15 DIAS PARA ATENDIMENTO)</v>
      </c>
      <c r="K321" s="7"/>
      <c r="L321" s="7" t="str">
        <f>IFERROR(__xludf.DUMMYFUNCTION("""COMPUTED_VALUE"""),"Confecção de 10 cabos de rede de 3 metros cada para atender a demandas da PROAF.")</f>
        <v>Confecção de 10 cabos de rede de 3 metros cada para atender a demandas da PROAF.</v>
      </c>
      <c r="M321" s="10"/>
      <c r="N321" s="10" t="str">
        <f>IFERROR(__xludf.DUMMYFUNCTION("""COMPUTED_VALUE"""),"Realizado")</f>
        <v>Realizado</v>
      </c>
      <c r="O321" s="11">
        <f>IFERROR(__xludf.DUMMYFUNCTION("""COMPUTED_VALUE"""),45348.0)</f>
        <v>45348</v>
      </c>
      <c r="P321" s="11"/>
    </row>
    <row r="322" ht="27.0" customHeight="1">
      <c r="A322" s="7" t="str">
        <f>IFERROR(__xludf.DUMMYFUNCTION("""COMPUTED_VALUE"""),"320/2024")</f>
        <v>320/2024</v>
      </c>
      <c r="B322" s="8">
        <f>IFERROR(__xludf.DUMMYFUNCTION("""COMPUTED_VALUE"""),45341.44348300926)</f>
        <v>45341.44348</v>
      </c>
      <c r="C322" s="8" t="str">
        <f>IFERROR(__xludf.DUMMYFUNCTION("""COMPUTED_VALUE"""),"mariaeduarda.borges@ufcat.edu.br")</f>
        <v>mariaeduarda.borges@ufcat.edu.br</v>
      </c>
      <c r="D322" s="7" t="str">
        <f>IFERROR(__xludf.DUMMYFUNCTION("""COMPUTED_VALUE"""),"Maria Eduarda Silva Borges ")</f>
        <v>Maria Eduarda Silva Borges </v>
      </c>
      <c r="E322" s="7">
        <f>IFERROR(__xludf.DUMMYFUNCTION("""COMPUTED_VALUE"""),5340.0)</f>
        <v>5340</v>
      </c>
      <c r="F322" s="7" t="str">
        <f>IFERROR(__xludf.DUMMYFUNCTION("""COMPUTED_VALUE"""),"PREF")</f>
        <v>PREF</v>
      </c>
      <c r="G322" s="9" t="str">
        <f>IFERROR(__xludf.DUMMYFUNCTION("""COMPUTED_VALUE"""),"Didatico I")</f>
        <v>Didatico I</v>
      </c>
      <c r="H322" s="7" t="str">
        <f>IFERROR(__xludf.DUMMYFUNCTION("""COMPUTED_VALUE"""),"COMITÊ DE ÉTICA DE PESQUISA")</f>
        <v>COMITÊ DE ÉTICA DE PESQUISA</v>
      </c>
      <c r="I322" s="7" t="str">
        <f>IFERROR(__xludf.DUMMYFUNCTION("""COMPUTED_VALUE"""),"Pequenos serviços de reparos em Marcenaria")</f>
        <v>Pequenos serviços de reparos em Marcenaria</v>
      </c>
      <c r="J322" s="7" t="str">
        <f>IFERROR(__xludf.DUMMYFUNCTION("""COMPUTED_VALUE"""),"03 Marcenaria / 29 - Outros (PRAZO DE ACORDO COM A DEMANDA)")</f>
        <v>03 Marcenaria / 29 - Outros (PRAZO DE ACORDO COM A DEMANDA)</v>
      </c>
      <c r="K322" s="7"/>
      <c r="L322" s="7" t="str">
        <f>IFERROR(__xludf.DUMMYFUNCTION("""COMPUTED_VALUE"""),"Uma letra do letreiro da entrada do Bloco Didático I do Comitê de Ética de Pesquisa, havia caído, com isso a letra foi guardada na sala de apoio dos vigilantes.")</f>
        <v>Uma letra do letreiro da entrada do Bloco Didático I do Comitê de Ética de Pesquisa, havia caído, com isso a letra foi guardada na sala de apoio dos vigilantes.</v>
      </c>
      <c r="M322" s="10"/>
      <c r="N322" s="10" t="str">
        <f>IFERROR(__xludf.DUMMYFUNCTION("""COMPUTED_VALUE"""),"Realizado")</f>
        <v>Realizado</v>
      </c>
      <c r="O322" s="11">
        <f>IFERROR(__xludf.DUMMYFUNCTION("""COMPUTED_VALUE"""),45348.0)</f>
        <v>45348</v>
      </c>
      <c r="P322" s="11"/>
    </row>
    <row r="323" ht="27.0" customHeight="1">
      <c r="A323" s="7" t="str">
        <f>IFERROR(__xludf.DUMMYFUNCTION("""COMPUTED_VALUE"""),"321/2024")</f>
        <v>321/2024</v>
      </c>
      <c r="B323" s="8">
        <f>IFERROR(__xludf.DUMMYFUNCTION("""COMPUTED_VALUE"""),45341.45108811343)</f>
        <v>45341.45109</v>
      </c>
      <c r="C323" s="8" t="str">
        <f>IFERROR(__xludf.DUMMYFUNCTION("""COMPUTED_VALUE"""),"propesq@ufcat.edu.br")</f>
        <v>propesq@ufcat.edu.br</v>
      </c>
      <c r="D323" s="7" t="str">
        <f>IFERROR(__xludf.DUMMYFUNCTION("""COMPUTED_VALUE"""),"Moisés Fernandes Lemos")</f>
        <v>Moisés Fernandes Lemos</v>
      </c>
      <c r="E323" s="7">
        <f>IFERROR(__xludf.DUMMYFUNCTION("""COMPUTED_VALUE"""),5357.0)</f>
        <v>5357</v>
      </c>
      <c r="F323" s="7" t="str">
        <f>IFERROR(__xludf.DUMMYFUNCTION("""COMPUTED_VALUE"""),"PROPESQ")</f>
        <v>PROPESQ</v>
      </c>
      <c r="G323" s="9" t="str">
        <f>IFERROR(__xludf.DUMMYFUNCTION("""COMPUTED_VALUE"""),"Bloco L")</f>
        <v>Bloco L</v>
      </c>
      <c r="H323" s="7" t="str">
        <f>IFERROR(__xludf.DUMMYFUNCTION("""COMPUTED_VALUE"""),"Elevador - Bloco L")</f>
        <v>Elevador - Bloco L</v>
      </c>
      <c r="I323" s="7" t="str">
        <f>IFERROR(__xludf.DUMMYFUNCTION("""COMPUTED_VALUE"""),"Instalações elétricas")</f>
        <v>Instalações elétricas</v>
      </c>
      <c r="J323" s="7" t="str">
        <f>IFERROR(__xludf.DUMMYFUNCTION("""COMPUTED_VALUE"""),"04 Elétrica / 37 - Outros (PRAZO DE ACORDO COM A DEMANDA)")</f>
        <v>04 Elétrica / 37 - Outros (PRAZO DE ACORDO COM A DEMANDA)</v>
      </c>
      <c r="K323" s="7"/>
      <c r="L323" s="7" t="str">
        <f>IFERROR(__xludf.DUMMYFUNCTION("""COMPUTED_VALUE"""),"Verificação de risco de falha elétrica devido ruídos no elevador do bloco L. ")</f>
        <v>Verificação de risco de falha elétrica devido ruídos no elevador do bloco L. </v>
      </c>
      <c r="M323" s="10" t="str">
        <f>IFERROR(__xludf.DUMMYFUNCTION("""COMPUTED_VALUE"""),"Já enviado solicitação de serviço para empresa ")</f>
        <v>Já enviado solicitação de serviço para empresa </v>
      </c>
      <c r="N323" s="10" t="str">
        <f>IFERROR(__xludf.DUMMYFUNCTION("""COMPUTED_VALUE"""),"Contratação externa PREF")</f>
        <v>Contratação externa PREF</v>
      </c>
      <c r="O323" s="11">
        <f>IFERROR(__xludf.DUMMYFUNCTION("""COMPUTED_VALUE"""),45341.0)</f>
        <v>45341</v>
      </c>
      <c r="P323" s="11"/>
    </row>
    <row r="324" ht="27.0" customHeight="1">
      <c r="A324" s="7" t="str">
        <f>IFERROR(__xludf.DUMMYFUNCTION("""COMPUTED_VALUE"""),"322/2024")</f>
        <v>322/2024</v>
      </c>
      <c r="B324" s="8">
        <f>IFERROR(__xludf.DUMMYFUNCTION("""COMPUTED_VALUE"""),45341.568066886575)</f>
        <v>45341.56807</v>
      </c>
      <c r="C324" s="8" t="str">
        <f>IFERROR(__xludf.DUMMYFUNCTION("""COMPUTED_VALUE"""),"muc.prpe@ufcat.edu.br")</f>
        <v>muc.prpe@ufcat.edu.br</v>
      </c>
      <c r="D324" s="7" t="str">
        <f>IFERROR(__xludf.DUMMYFUNCTION("""COMPUTED_VALUE"""),"DANIEL DOS REIS SIMÕES")</f>
        <v>DANIEL DOS REIS SIMÕES</v>
      </c>
      <c r="E324" s="7">
        <f>IFERROR(__xludf.DUMMYFUNCTION("""COMPUTED_VALUE"""),5333.0)</f>
        <v>5333</v>
      </c>
      <c r="F324" s="7" t="str">
        <f>IFERROR(__xludf.DUMMYFUNCTION("""COMPUTED_VALUE"""),"PRPE")</f>
        <v>PRPE</v>
      </c>
      <c r="G324" s="9" t="str">
        <f>IFERROR(__xludf.DUMMYFUNCTION("""COMPUTED_VALUE"""),"MUC")</f>
        <v>MUC</v>
      </c>
      <c r="H324" s="7" t="str">
        <f>IFERROR(__xludf.DUMMYFUNCTION("""COMPUTED_VALUE"""),"Apto 305")</f>
        <v>Apto 305</v>
      </c>
      <c r="I324" s="7" t="str">
        <f>IFERROR(__xludf.DUMMYFUNCTION("""COMPUTED_VALUE"""),"Pequenos serviços de reparos em Marcenaria")</f>
        <v>Pequenos serviços de reparos em Marcenaria</v>
      </c>
      <c r="J324" s="7" t="str">
        <f>IFERROR(__xludf.DUMMYFUNCTION("""COMPUTED_VALUE"""),"03 Marcenaria / 29 - Outros (PRAZO DE ACORDO COM A DEMANDA)")</f>
        <v>03 Marcenaria / 29 - Outros (PRAZO DE ACORDO COM A DEMANDA)</v>
      </c>
      <c r="K324" s="7"/>
      <c r="L324" s="7" t="str">
        <f>IFERROR(__xludf.DUMMYFUNCTION("""COMPUTED_VALUE"""),"Porta da varanda com dificuldade para abrir. Precisa trocar o rolamento.")</f>
        <v>Porta da varanda com dificuldade para abrir. Precisa trocar o rolamento.</v>
      </c>
      <c r="M324" s="10"/>
      <c r="N324" s="10" t="str">
        <f>IFERROR(__xludf.DUMMYFUNCTION("""COMPUTED_VALUE"""),"Realizado")</f>
        <v>Realizado</v>
      </c>
      <c r="O324" s="11">
        <f>IFERROR(__xludf.DUMMYFUNCTION("""COMPUTED_VALUE"""),45400.0)</f>
        <v>45400</v>
      </c>
      <c r="P324" s="11"/>
    </row>
    <row r="325" ht="27.0" customHeight="1">
      <c r="A325" s="7" t="str">
        <f>IFERROR(__xludf.DUMMYFUNCTION("""COMPUTED_VALUE"""),"323/2024")</f>
        <v>323/2024</v>
      </c>
      <c r="B325" s="8">
        <f>IFERROR(__xludf.DUMMYFUNCTION("""COMPUTED_VALUE"""),45341.61023288194)</f>
        <v>45341.61023</v>
      </c>
      <c r="C325" s="8" t="str">
        <f>IFERROR(__xludf.DUMMYFUNCTION("""COMPUTED_VALUE"""),"amanda.lopes@ufcat.edu.br")</f>
        <v>amanda.lopes@ufcat.edu.br</v>
      </c>
      <c r="D325" s="7" t="str">
        <f>IFERROR(__xludf.DUMMYFUNCTION("""COMPUTED_VALUE"""),"Amanda Matos ")</f>
        <v>Amanda Matos </v>
      </c>
      <c r="E325" s="7">
        <f>IFERROR(__xludf.DUMMYFUNCTION("""COMPUTED_VALUE"""),5340.0)</f>
        <v>5340</v>
      </c>
      <c r="F325" s="7" t="str">
        <f>IFERROR(__xludf.DUMMYFUNCTION("""COMPUTED_VALUE"""),"PREF")</f>
        <v>PREF</v>
      </c>
      <c r="G325" s="9" t="str">
        <f>IFERROR(__xludf.DUMMYFUNCTION("""COMPUTED_VALUE"""),"Bloco I")</f>
        <v>Bloco I</v>
      </c>
      <c r="H325" s="7" t="str">
        <f>IFERROR(__xludf.DUMMYFUNCTION("""COMPUTED_VALUE"""),"Corredor ")</f>
        <v>Corredor </v>
      </c>
      <c r="I325" s="7" t="str">
        <f>IFERROR(__xludf.DUMMYFUNCTION("""COMPUTED_VALUE"""),"Instalações elétricas")</f>
        <v>Instalações elétricas</v>
      </c>
      <c r="J325" s="7" t="str">
        <f>IFERROR(__xludf.DUMMYFUNCTION("""COMPUTED_VALUE"""),"04 Elétrica / 34 - Tomada Uso Geral (PRAZO DE ATÉ 15 DIAS PARA ATENDIMENTO)")</f>
        <v>04 Elétrica / 34 - Tomada Uso Geral (PRAZO DE ATÉ 15 DIAS PARA ATENDIMENTO)</v>
      </c>
      <c r="K325" s="7"/>
      <c r="L325" s="7" t="str">
        <f>IFERROR(__xludf.DUMMYFUNCTION("""COMPUTED_VALUE"""),"Instalação de tomada para bebedouro ")</f>
        <v>Instalação de tomada para bebedouro </v>
      </c>
      <c r="M325" s="10"/>
      <c r="N325" s="10" t="str">
        <f>IFERROR(__xludf.DUMMYFUNCTION("""COMPUTED_VALUE"""),"Realizado")</f>
        <v>Realizado</v>
      </c>
      <c r="O325" s="11">
        <f>IFERROR(__xludf.DUMMYFUNCTION("""COMPUTED_VALUE"""),45352.0)</f>
        <v>45352</v>
      </c>
      <c r="P325" s="11"/>
    </row>
    <row r="326" ht="27.0" customHeight="1">
      <c r="A326" s="7" t="str">
        <f>IFERROR(__xludf.DUMMYFUNCTION("""COMPUTED_VALUE"""),"324/2024")</f>
        <v>324/2024</v>
      </c>
      <c r="B326" s="8">
        <f>IFERROR(__xludf.DUMMYFUNCTION("""COMPUTED_VALUE"""),45341.66889410879)</f>
        <v>45341.66889</v>
      </c>
      <c r="C326" s="8" t="str">
        <f>IFERROR(__xludf.DUMMYFUNCTION("""COMPUTED_VALUE"""),"amanda.lopes@ufcat.edu.br")</f>
        <v>amanda.lopes@ufcat.edu.br</v>
      </c>
      <c r="D326" s="7" t="str">
        <f>IFERROR(__xludf.DUMMYFUNCTION("""COMPUTED_VALUE"""),"Amanda Matos ")</f>
        <v>Amanda Matos </v>
      </c>
      <c r="E326" s="7">
        <f>IFERROR(__xludf.DUMMYFUNCTION("""COMPUTED_VALUE"""),5340.0)</f>
        <v>5340</v>
      </c>
      <c r="F326" s="7" t="str">
        <f>IFERROR(__xludf.DUMMYFUNCTION("""COMPUTED_VALUE"""),"PREF")</f>
        <v>PREF</v>
      </c>
      <c r="G326" s="9" t="str">
        <f>IFERROR(__xludf.DUMMYFUNCTION("""COMPUTED_VALUE"""),"Bloco M")</f>
        <v>Bloco M</v>
      </c>
      <c r="H326" s="7">
        <f>IFERROR(__xludf.DUMMYFUNCTION("""COMPUTED_VALUE"""),315.0)</f>
        <v>315</v>
      </c>
      <c r="I326" s="7" t="str">
        <f>IFERROR(__xludf.DUMMYFUNCTION("""COMPUTED_VALUE"""),"Reparos (alvenaria, piso, forro e telhado)")</f>
        <v>Reparos (alvenaria, piso, forro e telhado)</v>
      </c>
      <c r="J326" s="7" t="str">
        <f>IFERROR(__xludf.DUMMYFUNCTION("""COMPUTED_VALUE"""),"01 Alvenaria / 03 - Rachadura em Parede (PRAZO DE ATÉ 60 DIAS PARA ATENDIMENTO)")</f>
        <v>01 Alvenaria / 03 - Rachadura em Parede (PRAZO DE ATÉ 60 DIAS PARA ATENDIMENTO)</v>
      </c>
      <c r="K326" s="7"/>
      <c r="L326" s="7" t="str">
        <f>IFERROR(__xludf.DUMMYFUNCTION("""COMPUTED_VALUE"""),"tampar parede ")</f>
        <v>tampar parede </v>
      </c>
      <c r="M326" s="10"/>
      <c r="N326" s="10" t="str">
        <f>IFERROR(__xludf.DUMMYFUNCTION("""COMPUTED_VALUE"""),"Realizado")</f>
        <v>Realizado</v>
      </c>
      <c r="O326" s="11">
        <f>IFERROR(__xludf.DUMMYFUNCTION("""COMPUTED_VALUE"""),45341.0)</f>
        <v>45341</v>
      </c>
      <c r="P326" s="11"/>
    </row>
    <row r="327" ht="27.0" customHeight="1">
      <c r="A327" s="7" t="str">
        <f>IFERROR(__xludf.DUMMYFUNCTION("""COMPUTED_VALUE"""),"325/2024")</f>
        <v>325/2024</v>
      </c>
      <c r="B327" s="8">
        <f>IFERROR(__xludf.DUMMYFUNCTION("""COMPUTED_VALUE"""),45341.688566446755)</f>
        <v>45341.68857</v>
      </c>
      <c r="C327" s="8" t="str">
        <f>IFERROR(__xludf.DUMMYFUNCTION("""COMPUTED_VALUE"""),"ibiotec@ufcat.edu.br")</f>
        <v>ibiotec@ufcat.edu.br</v>
      </c>
      <c r="D327" s="7" t="str">
        <f>IFERROR(__xludf.DUMMYFUNCTION("""COMPUTED_VALUE"""),"Aline do Nascimento Duarte Cardoso")</f>
        <v>Aline do Nascimento Duarte Cardoso</v>
      </c>
      <c r="E327" s="7">
        <f>IFERROR(__xludf.DUMMYFUNCTION("""COMPUTED_VALUE"""),5365.0)</f>
        <v>5365</v>
      </c>
      <c r="F327" s="7" t="str">
        <f>IFERROR(__xludf.DUMMYFUNCTION("""COMPUTED_VALUE"""),"IBIOTEC  - Secretaria Administrativa")</f>
        <v>IBIOTEC  - Secretaria Administrativa</v>
      </c>
      <c r="G327" s="9" t="str">
        <f>IFERROR(__xludf.DUMMYFUNCTION("""COMPUTED_VALUE"""),"Bloco M")</f>
        <v>Bloco M</v>
      </c>
      <c r="H327" s="7">
        <f>IFERROR(__xludf.DUMMYFUNCTION("""COMPUTED_VALUE"""),320.0)</f>
        <v>320</v>
      </c>
      <c r="I327" s="7" t="str">
        <f>IFERROR(__xludf.DUMMYFUNCTION("""COMPUTED_VALUE"""),"Pequenos serviços de reparos em Marcenaria")</f>
        <v>Pequenos serviços de reparos em Marcenaria</v>
      </c>
      <c r="J327" s="7" t="str">
        <f>IFERROR(__xludf.DUMMYFUNCTION("""COMPUTED_VALUE"""),"03 Marcenaria / 29 - Outros (PRAZO DE ACORDO COM A DEMANDA)")</f>
        <v>03 Marcenaria / 29 - Outros (PRAZO DE ACORDO COM A DEMANDA)</v>
      </c>
      <c r="K327" s="7"/>
      <c r="L327" s="7" t="str">
        <f>IFERROR(__xludf.DUMMYFUNCTION("""COMPUTED_VALUE"""),"Instalação de quadro branco em parede")</f>
        <v>Instalação de quadro branco em parede</v>
      </c>
      <c r="M327" s="10"/>
      <c r="N327" s="10" t="str">
        <f>IFERROR(__xludf.DUMMYFUNCTION("""COMPUTED_VALUE"""),"Realizado")</f>
        <v>Realizado</v>
      </c>
      <c r="O327" s="11">
        <f>IFERROR(__xludf.DUMMYFUNCTION("""COMPUTED_VALUE"""),45348.0)</f>
        <v>45348</v>
      </c>
      <c r="P327" s="11"/>
    </row>
    <row r="328" ht="27.0" customHeight="1">
      <c r="A328" s="7" t="str">
        <f>IFERROR(__xludf.DUMMYFUNCTION("""COMPUTED_VALUE"""),"326/2024")</f>
        <v>326/2024</v>
      </c>
      <c r="B328" s="8">
        <f>IFERROR(__xludf.DUMMYFUNCTION("""COMPUTED_VALUE"""),45341.70856238426)</f>
        <v>45341.70856</v>
      </c>
      <c r="C328" s="8" t="str">
        <f>IFERROR(__xludf.DUMMYFUNCTION("""COMPUTED_VALUE"""),"pref@ufcat.edu.br")</f>
        <v>pref@ufcat.edu.br</v>
      </c>
      <c r="D328" s="7" t="str">
        <f>IFERROR(__xludf.DUMMYFUNCTION("""COMPUTED_VALUE"""),"Brenner Camargo da Silva")</f>
        <v>Brenner Camargo da Silva</v>
      </c>
      <c r="E328" s="7" t="str">
        <f>IFERROR(__xludf.DUMMYFUNCTION("""COMPUTED_VALUE"""),"3441-5379")</f>
        <v>3441-5379</v>
      </c>
      <c r="F328" s="7" t="str">
        <f>IFERROR(__xludf.DUMMYFUNCTION("""COMPUTED_VALUE"""),"PREF")</f>
        <v>PREF</v>
      </c>
      <c r="G328" s="9" t="str">
        <f>IFERROR(__xludf.DUMMYFUNCTION("""COMPUTED_VALUE"""),"Restaurante Universitário")</f>
        <v>Restaurante Universitário</v>
      </c>
      <c r="H328" s="7" t="str">
        <f>IFERROR(__xludf.DUMMYFUNCTION("""COMPUTED_VALUE"""),"Canteiro Central, localizado em frente ao Restaurante Universitário da UFCAT")</f>
        <v>Canteiro Central, localizado em frente ao Restaurante Universitário da UFCAT</v>
      </c>
      <c r="I328" s="7" t="str">
        <f>IFERROR(__xludf.DUMMYFUNCTION("""COMPUTED_VALUE"""),"Instalações elétricas")</f>
        <v>Instalações elétricas</v>
      </c>
      <c r="J328" s="7" t="str">
        <f>IFERROR(__xludf.DUMMYFUNCTION("""COMPUTED_VALUE"""),"04 Elétrica / 36 - Instalação de Aparelhos em geral (PRAZO DE ATÉ 15 DIAS PARA ATENDIMENTO)")</f>
        <v>04 Elétrica / 36 - Instalação de Aparelhos em geral (PRAZO DE ATÉ 15 DIAS PARA ATENDIMENTO)</v>
      </c>
      <c r="K328" s="7"/>
      <c r="L328" s="7" t="str">
        <f>IFERROR(__xludf.DUMMYFUNCTION("""COMPUTED_VALUE"""),"Verificar a possibilidade de realizar a troca do display do medidor de consumo de energia elétrica localizado no canteiro central do campus I da Universidade Federal de Catalão, mais especificamente, localizado em frente ao Restaurante Universitário (RU),"&amp;" uma vez que o atual medidor de consumo está com seu display de leitura bastante enfraquecido, dificultando a leitura mensal do consumo de energia elétrica do espaço destinado ao RU. ")</f>
        <v>Verificar a possibilidade de realizar a troca do display do medidor de consumo de energia elétrica localizado no canteiro central do campus I da Universidade Federal de Catalão, mais especificamente, localizado em frente ao Restaurante Universitário (RU), uma vez que o atual medidor de consumo está com seu display de leitura bastante enfraquecido, dificultando a leitura mensal do consumo de energia elétrica do espaço destinado ao RU. </v>
      </c>
      <c r="M328" s="10"/>
      <c r="N328" s="10" t="str">
        <f>IFERROR(__xludf.DUMMYFUNCTION("""COMPUTED_VALUE"""),"Aguardando análise")</f>
        <v>Aguardando análise</v>
      </c>
      <c r="O328" s="11"/>
      <c r="P328" s="11"/>
    </row>
    <row r="329" ht="27.0" customHeight="1">
      <c r="A329" s="7" t="str">
        <f>IFERROR(__xludf.DUMMYFUNCTION("""COMPUTED_VALUE"""),"327/2024")</f>
        <v>327/2024</v>
      </c>
      <c r="B329" s="8">
        <f>IFERROR(__xludf.DUMMYFUNCTION("""COMPUTED_VALUE"""),45342.23829796296)</f>
        <v>45342.2383</v>
      </c>
      <c r="C329" s="8" t="str">
        <f>IFERROR(__xludf.DUMMYFUNCTION("""COMPUTED_VALUE"""),"seguranca@ufcat.edu.br")</f>
        <v>seguranca@ufcat.edu.br</v>
      </c>
      <c r="D329" s="7" t="str">
        <f>IFERROR(__xludf.DUMMYFUNCTION("""COMPUTED_VALUE"""),"Pedro")</f>
        <v>Pedro</v>
      </c>
      <c r="E329" s="7">
        <f>IFERROR(__xludf.DUMMYFUNCTION("""COMPUTED_VALUE"""),5318.0)</f>
        <v>5318</v>
      </c>
      <c r="F329" s="7" t="str">
        <f>IFERROR(__xludf.DUMMYFUNCTION("""COMPUTED_VALUE"""),"CENTRAL DE OPERAÇÕES VIGILÂNCIA")</f>
        <v>CENTRAL DE OPERAÇÕES VIGILÂNCIA</v>
      </c>
      <c r="G329" s="9" t="str">
        <f>IFERROR(__xludf.DUMMYFUNCTION("""COMPUTED_VALUE"""),"Bloco N")</f>
        <v>Bloco N</v>
      </c>
      <c r="H329" s="7" t="str">
        <f>IFERROR(__xludf.DUMMYFUNCTION("""COMPUTED_VALUE"""),"Sala do Rack ")</f>
        <v>Sala do Rack </v>
      </c>
      <c r="I329" s="7" t="str">
        <f>IFERROR(__xludf.DUMMYFUNCTION("""COMPUTED_VALUE"""),"Instalações e/ou Manutenção em Cabeamento de Rede")</f>
        <v>Instalações e/ou Manutenção em Cabeamento de Rede</v>
      </c>
      <c r="J329" s="7" t="str">
        <f>IFERROR(__xludf.DUMMYFUNCTION("""COMPUTED_VALUE"""),"05 Telecomunicações / 39 - CFTV (PRAZO DE ATÉ 15 DIAS PARA ATENDIMENTO)")</f>
        <v>05 Telecomunicações / 39 - CFTV (PRAZO DE ATÉ 15 DIAS PARA ATENDIMENTO)</v>
      </c>
      <c r="K329" s="7"/>
      <c r="L329" s="7" t="str">
        <f>IFERROR(__xludf.DUMMYFUNCTION("""COMPUTED_VALUE"""),"Todas as Câmeras do Bloco N,  Não estão funcionando")</f>
        <v>Todas as Câmeras do Bloco N,  Não estão funcionando</v>
      </c>
      <c r="M329" s="10"/>
      <c r="N329" s="10" t="str">
        <f>IFERROR(__xludf.DUMMYFUNCTION("""COMPUTED_VALUE"""),"Realizado")</f>
        <v>Realizado</v>
      </c>
      <c r="O329" s="11">
        <f>IFERROR(__xludf.DUMMYFUNCTION("""COMPUTED_VALUE"""),45342.0)</f>
        <v>45342</v>
      </c>
      <c r="P329" s="11"/>
    </row>
    <row r="330" ht="27.0" customHeight="1">
      <c r="A330" s="7" t="str">
        <f>IFERROR(__xludf.DUMMYFUNCTION("""COMPUTED_VALUE"""),"328/2024")</f>
        <v>328/2024</v>
      </c>
      <c r="B330" s="8">
        <f>IFERROR(__xludf.DUMMYFUNCTION("""COMPUTED_VALUE"""),45342.3622496875)</f>
        <v>45342.36225</v>
      </c>
      <c r="C330" s="8" t="str">
        <f>IFERROR(__xludf.DUMMYFUNCTION("""COMPUTED_VALUE"""),"mariaeduarda.borges@ufcat.edu.br")</f>
        <v>mariaeduarda.borges@ufcat.edu.br</v>
      </c>
      <c r="D330" s="7" t="str">
        <f>IFERROR(__xludf.DUMMYFUNCTION("""COMPUTED_VALUE"""),"Maria Eduarda Silva Borges ")</f>
        <v>Maria Eduarda Silva Borges </v>
      </c>
      <c r="E330" s="7">
        <f>IFERROR(__xludf.DUMMYFUNCTION("""COMPUTED_VALUE"""),5340.0)</f>
        <v>5340</v>
      </c>
      <c r="F330" s="7" t="str">
        <f>IFERROR(__xludf.DUMMYFUNCTION("""COMPUTED_VALUE"""),"PREF")</f>
        <v>PREF</v>
      </c>
      <c r="G330" s="9" t="str">
        <f>IFERROR(__xludf.DUMMYFUNCTION("""COMPUTED_VALUE"""),"Bloco K")</f>
        <v>Bloco K</v>
      </c>
      <c r="H330" s="7" t="str">
        <f>IFERROR(__xludf.DUMMYFUNCTION("""COMPUTED_VALUE"""),"PLACA DE FERRO DA ENTRADA")</f>
        <v>PLACA DE FERRO DA ENTRADA</v>
      </c>
      <c r="I330" s="7" t="str">
        <f>IFERROR(__xludf.DUMMYFUNCTION("""COMPUTED_VALUE"""),"Serralheria")</f>
        <v>Serralheria</v>
      </c>
      <c r="J330" s="7" t="str">
        <f>IFERROR(__xludf.DUMMYFUNCTION("""COMPUTED_VALUE"""),"08 Serralheria / 56 - Outros (PRAZO DE ACORDO COM A DEMANDA)")</f>
        <v>08 Serralheria / 56 - Outros (PRAZO DE ACORDO COM A DEMANDA)</v>
      </c>
      <c r="K330" s="7"/>
      <c r="L330" s="7" t="str">
        <f>IFERROR(__xludf.DUMMYFUNCTION("""COMPUTED_VALUE"""),"A Placa de identificação de localização de ferro, que fica na entrada do Bloco K, havia caído, foi solicitado a vigia Rafaela Rodrigues (Delta-3), que se deslocasse ao local para averiguar, onde a mesma informou que a placa havia perdido a solda.")</f>
        <v>A Placa de identificação de localização de ferro, que fica na entrada do Bloco K, havia caído, foi solicitado a vigia Rafaela Rodrigues (Delta-3), que se deslocasse ao local para averiguar, onde a mesma informou que a placa havia perdido a solda.</v>
      </c>
      <c r="M330" s="10"/>
      <c r="N330" s="10" t="str">
        <f>IFERROR(__xludf.DUMMYFUNCTION("""COMPUTED_VALUE"""),"Realizado")</f>
        <v>Realizado</v>
      </c>
      <c r="O330" s="11">
        <f>IFERROR(__xludf.DUMMYFUNCTION("""COMPUTED_VALUE"""),45342.0)</f>
        <v>45342</v>
      </c>
      <c r="P330" s="11"/>
    </row>
    <row r="331" ht="27.0" customHeight="1">
      <c r="A331" s="7" t="str">
        <f>IFERROR(__xludf.DUMMYFUNCTION("""COMPUTED_VALUE"""),"329/2024")</f>
        <v>329/2024</v>
      </c>
      <c r="B331" s="8">
        <f>IFERROR(__xludf.DUMMYFUNCTION("""COMPUTED_VALUE"""),45342.421790277775)</f>
        <v>45342.42179</v>
      </c>
      <c r="C331" s="8" t="str">
        <f>IFERROR(__xludf.DUMMYFUNCTION("""COMPUTED_VALUE"""),"muc.prpe@ufcat.edu.br")</f>
        <v>muc.prpe@ufcat.edu.br</v>
      </c>
      <c r="D331" s="7" t="str">
        <f>IFERROR(__xludf.DUMMYFUNCTION("""COMPUTED_VALUE""")," Ludmila ")</f>
        <v> Ludmila </v>
      </c>
      <c r="E331" s="7">
        <f>IFERROR(__xludf.DUMMYFUNCTION("""COMPUTED_VALUE"""),5333.0)</f>
        <v>5333</v>
      </c>
      <c r="F331" s="7" t="str">
        <f>IFERROR(__xludf.DUMMYFUNCTION("""COMPUTED_VALUE"""),"PRPE")</f>
        <v>PRPE</v>
      </c>
      <c r="G331" s="9" t="str">
        <f>IFERROR(__xludf.DUMMYFUNCTION("""COMPUTED_VALUE"""),"MUC")</f>
        <v>MUC</v>
      </c>
      <c r="H331" s="7" t="str">
        <f>IFERROR(__xludf.DUMMYFUNCTION("""COMPUTED_VALUE"""),"apto 206")</f>
        <v>apto 206</v>
      </c>
      <c r="I331" s="7" t="str">
        <f>IFERROR(__xludf.DUMMYFUNCTION("""COMPUTED_VALUE"""),"Instalações Hidrossanitárias")</f>
        <v>Instalações Hidrossanitárias</v>
      </c>
      <c r="J331" s="7" t="str">
        <f>IFERROR(__xludf.DUMMYFUNCTION("""COMPUTED_VALUE"""),"02 Hidráulica / 07 - Desentupimento (PRAZO DE 1 ATÉ 5 DIAS PARA ATENDIMENTO)")</f>
        <v>02 Hidráulica / 07 - Desentupimento (PRAZO DE 1 ATÉ 5 DIAS PARA ATENDIMENTO)</v>
      </c>
      <c r="K331" s="7"/>
      <c r="L331" s="7" t="str">
        <f>IFERROR(__xludf.DUMMYFUNCTION("""COMPUTED_VALUE"""),"3 rolos da varanda entupido ")</f>
        <v>3 rolos da varanda entupido </v>
      </c>
      <c r="M331" s="10"/>
      <c r="N331" s="10" t="str">
        <f>IFERROR(__xludf.DUMMYFUNCTION("""COMPUTED_VALUE"""),"Realizado")</f>
        <v>Realizado</v>
      </c>
      <c r="O331" s="11">
        <f>IFERROR(__xludf.DUMMYFUNCTION("""COMPUTED_VALUE"""),45343.0)</f>
        <v>45343</v>
      </c>
      <c r="P331" s="11"/>
    </row>
    <row r="332" ht="27.0" customHeight="1">
      <c r="A332" s="7" t="str">
        <f>IFERROR(__xludf.DUMMYFUNCTION("""COMPUTED_VALUE"""),"330/2024")</f>
        <v>330/2024</v>
      </c>
      <c r="B332" s="8">
        <f>IFERROR(__xludf.DUMMYFUNCTION("""COMPUTED_VALUE"""),45342.427436087964)</f>
        <v>45342.42744</v>
      </c>
      <c r="C332" s="8" t="str">
        <f>IFERROR(__xludf.DUMMYFUNCTION("""COMPUTED_VALUE"""),"inovacao.propesq@ufcat.edu.br")</f>
        <v>inovacao.propesq@ufcat.edu.br</v>
      </c>
      <c r="D332" s="7" t="str">
        <f>IFERROR(__xludf.DUMMYFUNCTION("""COMPUTED_VALUE"""),"Gúlbion de Souza Anacleto")</f>
        <v>Gúlbion de Souza Anacleto</v>
      </c>
      <c r="E332" s="7" t="str">
        <f>IFERROR(__xludf.DUMMYFUNCTION("""COMPUTED_VALUE"""),"34 9 9228-4005")</f>
        <v>34 9 9228-4005</v>
      </c>
      <c r="F332" s="7" t="str">
        <f>IFERROR(__xludf.DUMMYFUNCTION("""COMPUTED_VALUE"""),"PROPESQ")</f>
        <v>PROPESQ</v>
      </c>
      <c r="G332" s="9" t="str">
        <f>IFERROR(__xludf.DUMMYFUNCTION("""COMPUTED_VALUE"""),"Bloco M")</f>
        <v>Bloco M</v>
      </c>
      <c r="H332" s="7" t="str">
        <f>IFERROR(__xludf.DUMMYFUNCTION("""COMPUTED_VALUE"""),"UTT do CEBIO (contêiner ao lado do BLOCO M)")</f>
        <v>UTT do CEBIO (contêiner ao lado do BLOCO M)</v>
      </c>
      <c r="I332" s="7" t="str">
        <f>IFERROR(__xludf.DUMMYFUNCTION("""COMPUTED_VALUE"""),"Instalações elétricas")</f>
        <v>Instalações elétricas</v>
      </c>
      <c r="J332" s="7" t="str">
        <f>IFERROR(__xludf.DUMMYFUNCTION("""COMPUTED_VALUE"""),"04 Elétrica / 35 - Troca de Lâmpadas (PRAZO DE ATÉ 15 DIAS PARA ATENDIMENTO)")</f>
        <v>04 Elétrica / 35 - Troca de Lâmpadas (PRAZO DE ATÉ 15 DIAS PARA ATENDIMENTO)</v>
      </c>
      <c r="K332" s="7"/>
      <c r="L332" s="7" t="str">
        <f>IFERROR(__xludf.DUMMYFUNCTION("""COMPUTED_VALUE"""),"Substituir lâmpada do tipo painel plafon led (vide imagem anexa)")</f>
        <v>Substituir lâmpada do tipo painel plafon led (vide imagem anexa)</v>
      </c>
      <c r="M332" s="10"/>
      <c r="N332" s="10" t="str">
        <f>IFERROR(__xludf.DUMMYFUNCTION("""COMPUTED_VALUE"""),"Realizado")</f>
        <v>Realizado</v>
      </c>
      <c r="O332" s="11">
        <f>IFERROR(__xludf.DUMMYFUNCTION("""COMPUTED_VALUE"""),45352.0)</f>
        <v>45352</v>
      </c>
      <c r="P332" s="11"/>
    </row>
    <row r="333" ht="27.0" customHeight="1">
      <c r="A333" s="7" t="str">
        <f>IFERROR(__xludf.DUMMYFUNCTION("""COMPUTED_VALUE"""),"331/2024")</f>
        <v>331/2024</v>
      </c>
      <c r="B333" s="8">
        <f>IFERROR(__xludf.DUMMYFUNCTION("""COMPUTED_VALUE"""),45342.42965535879)</f>
        <v>45342.42966</v>
      </c>
      <c r="C333" s="8" t="str">
        <f>IFERROR(__xludf.DUMMYFUNCTION("""COMPUTED_VALUE"""),"elaine_carbonero@ufcat.edu.br")</f>
        <v>elaine_carbonero@ufcat.edu.br</v>
      </c>
      <c r="D333" s="7" t="str">
        <f>IFERROR(__xludf.DUMMYFUNCTION("""COMPUTED_VALUE"""),"Elaine R Carbonero")</f>
        <v>Elaine R Carbonero</v>
      </c>
      <c r="E333" s="7">
        <f>IFERROR(__xludf.DUMMYFUNCTION("""COMPUTED_VALUE"""),6.4981321757E10)</f>
        <v>64981321757</v>
      </c>
      <c r="F333" s="7" t="str">
        <f>IFERROR(__xludf.DUMMYFUNCTION("""COMPUTED_VALUE"""),"IQ")</f>
        <v>IQ</v>
      </c>
      <c r="G333" s="9" t="str">
        <f>IFERROR(__xludf.DUMMYFUNCTION("""COMPUTED_VALUE"""),"Bloco N")</f>
        <v>Bloco N</v>
      </c>
      <c r="H333" s="7" t="str">
        <f>IFERROR(__xludf.DUMMYFUNCTION("""COMPUTED_VALUE"""),"lab 111 e 115")</f>
        <v>lab 111 e 115</v>
      </c>
      <c r="I333" s="7" t="str">
        <f>IFERROR(__xludf.DUMMYFUNCTION("""COMPUTED_VALUE"""),"Pequenos serviços de reparos em Marcenaria")</f>
        <v>Pequenos serviços de reparos em Marcenaria</v>
      </c>
      <c r="J333" s="7" t="str">
        <f>IFERROR(__xludf.DUMMYFUNCTION("""COMPUTED_VALUE"""),"03 Marcenaria / 29 - Outros (PRAZO DE ACORDO COM A DEMANDA)")</f>
        <v>03 Marcenaria / 29 - Outros (PRAZO DE ACORDO COM A DEMANDA)</v>
      </c>
      <c r="K333" s="7"/>
      <c r="L333" s="7" t="str">
        <f>IFERROR(__xludf.DUMMYFUNCTION("""COMPUTED_VALUE"""),"Confecção de prateleiras e portas abaixo das bancadas para acondicionamento de produtos")</f>
        <v>Confecção de prateleiras e portas abaixo das bancadas para acondicionamento de produtos</v>
      </c>
      <c r="M333" s="10"/>
      <c r="N333" s="10" t="str">
        <f>IFERROR(__xludf.DUMMYFUNCTION("""COMPUTED_VALUE"""),"Aguardando análise")</f>
        <v>Aguardando análise</v>
      </c>
      <c r="O333" s="11"/>
      <c r="P333" s="11"/>
    </row>
    <row r="334" ht="27.0" customHeight="1">
      <c r="A334" s="7" t="str">
        <f>IFERROR(__xludf.DUMMYFUNCTION("""COMPUTED_VALUE"""),"332/2024")</f>
        <v>332/2024</v>
      </c>
      <c r="B334" s="8">
        <f>IFERROR(__xludf.DUMMYFUNCTION("""COMPUTED_VALUE"""),45342.432097384255)</f>
        <v>45342.4321</v>
      </c>
      <c r="C334" s="8" t="str">
        <f>IFERROR(__xludf.DUMMYFUNCTION("""COMPUTED_VALUE"""),"elaine_carbonero@ufcat.edu.br")</f>
        <v>elaine_carbonero@ufcat.edu.br</v>
      </c>
      <c r="D334" s="7" t="str">
        <f>IFERROR(__xludf.DUMMYFUNCTION("""COMPUTED_VALUE"""),"elaine_carbonero@ufcat.edu.br")</f>
        <v>elaine_carbonero@ufcat.edu.br</v>
      </c>
      <c r="E334" s="7">
        <f>IFERROR(__xludf.DUMMYFUNCTION("""COMPUTED_VALUE"""),6.4981321757E10)</f>
        <v>64981321757</v>
      </c>
      <c r="F334" s="7" t="str">
        <f>IFERROR(__xludf.DUMMYFUNCTION("""COMPUTED_VALUE"""),"IQ")</f>
        <v>IQ</v>
      </c>
      <c r="G334" s="9" t="str">
        <f>IFERROR(__xludf.DUMMYFUNCTION("""COMPUTED_VALUE"""),"Bloco K")</f>
        <v>Bloco K</v>
      </c>
      <c r="H334" s="7" t="str">
        <f>IFERROR(__xludf.DUMMYFUNCTION("""COMPUTED_VALUE"""),"Sala 102, bloco K")</f>
        <v>Sala 102, bloco K</v>
      </c>
      <c r="I334" s="7" t="str">
        <f>IFERROR(__xludf.DUMMYFUNCTION("""COMPUTED_VALUE"""),"Instalações elétricas")</f>
        <v>Instalações elétricas</v>
      </c>
      <c r="J334" s="19"/>
      <c r="K334" s="19"/>
      <c r="L334" s="7" t="str">
        <f>IFERROR(__xludf.DUMMYFUNCTION("""COMPUTED_VALUE"""),"Será colocado uma divisória nesta sala, porém é necessário temperatura adequada para o funcionamento dos equipamentos")</f>
        <v>Será colocado uma divisória nesta sala, porém é necessário temperatura adequada para o funcionamento dos equipamentos</v>
      </c>
      <c r="M334" s="10"/>
      <c r="N334" s="10" t="str">
        <f>IFERROR(__xludf.DUMMYFUNCTION("""COMPUTED_VALUE"""),"Contratação externa Unidade ")</f>
        <v>Contratação externa Unidade </v>
      </c>
      <c r="O334" s="11">
        <f>IFERROR(__xludf.DUMMYFUNCTION("""COMPUTED_VALUE"""),45393.0)</f>
        <v>45393</v>
      </c>
      <c r="P334" s="11"/>
    </row>
    <row r="335" ht="27.0" customHeight="1">
      <c r="A335" s="7" t="str">
        <f>IFERROR(__xludf.DUMMYFUNCTION("""COMPUTED_VALUE"""),"333/2024")</f>
        <v>333/2024</v>
      </c>
      <c r="B335" s="8">
        <f>IFERROR(__xludf.DUMMYFUNCTION("""COMPUTED_VALUE"""),45342.43326871528)</f>
        <v>45342.43327</v>
      </c>
      <c r="C335" s="8" t="str">
        <f>IFERROR(__xludf.DUMMYFUNCTION("""COMPUTED_VALUE"""),"elaine_carbonero@ufcat.edu.br")</f>
        <v>elaine_carbonero@ufcat.edu.br</v>
      </c>
      <c r="D335" s="7" t="str">
        <f>IFERROR(__xludf.DUMMYFUNCTION("""COMPUTED_VALUE"""),"elaine_carbonero@ufcat.edu.br")</f>
        <v>elaine_carbonero@ufcat.edu.br</v>
      </c>
      <c r="E335" s="7">
        <f>IFERROR(__xludf.DUMMYFUNCTION("""COMPUTED_VALUE"""),6.4981321757E10)</f>
        <v>64981321757</v>
      </c>
      <c r="F335" s="7" t="str">
        <f>IFERROR(__xludf.DUMMYFUNCTION("""COMPUTED_VALUE"""),"IQ")</f>
        <v>IQ</v>
      </c>
      <c r="G335" s="9" t="str">
        <f>IFERROR(__xludf.DUMMYFUNCTION("""COMPUTED_VALUE"""),"Bloco K")</f>
        <v>Bloco K</v>
      </c>
      <c r="H335" s="7" t="str">
        <f>IFERROR(__xludf.DUMMYFUNCTION("""COMPUTED_VALUE"""),"Sala 4")</f>
        <v>Sala 4</v>
      </c>
      <c r="I335" s="7" t="str">
        <f>IFERROR(__xludf.DUMMYFUNCTION("""COMPUTED_VALUE"""),"Vidraçaria")</f>
        <v>Vidraçaria</v>
      </c>
      <c r="J335" s="7" t="str">
        <f>IFERROR(__xludf.DUMMYFUNCTION("""COMPUTED_VALUE"""),"07 Vidraçaria / 49 - Vidro de Porta (PRAZO DE ATÉ 60 DIAS PARA ATENDIMENTO)")</f>
        <v>07 Vidraçaria / 49 - Vidro de Porta (PRAZO DE ATÉ 60 DIAS PARA ATENDIMENTO)</v>
      </c>
      <c r="K335" s="7"/>
      <c r="L335" s="7" t="str">
        <f>IFERROR(__xludf.DUMMYFUNCTION("""COMPUTED_VALUE"""),"Colocação de vidro na porta da sala")</f>
        <v>Colocação de vidro na porta da sala</v>
      </c>
      <c r="M335" s="10" t="str">
        <f>IFERROR(__xludf.DUMMYFUNCTION("""COMPUTED_VALUE"""),"Falta de material e mão de obra ")</f>
        <v>Falta de material e mão de obra </v>
      </c>
      <c r="N335" s="10" t="str">
        <f>IFERROR(__xludf.DUMMYFUNCTION("""COMPUTED_VALUE"""),"Contratação externa PREF")</f>
        <v>Contratação externa PREF</v>
      </c>
      <c r="O335" s="11">
        <f>IFERROR(__xludf.DUMMYFUNCTION("""COMPUTED_VALUE"""),45357.0)</f>
        <v>45357</v>
      </c>
      <c r="P335" s="11"/>
    </row>
    <row r="336" ht="27.0" customHeight="1">
      <c r="A336" s="7" t="str">
        <f>IFERROR(__xludf.DUMMYFUNCTION("""COMPUTED_VALUE"""),"334/2024")</f>
        <v>334/2024</v>
      </c>
      <c r="B336" s="8">
        <f>IFERROR(__xludf.DUMMYFUNCTION("""COMPUTED_VALUE"""),45342.45792460648)</f>
        <v>45342.45792</v>
      </c>
      <c r="C336" s="8" t="str">
        <f>IFERROR(__xludf.DUMMYFUNCTION("""COMPUTED_VALUE"""),"amanda.lopes@ufcat.edu.br")</f>
        <v>amanda.lopes@ufcat.edu.br</v>
      </c>
      <c r="D336" s="7" t="str">
        <f>IFERROR(__xludf.DUMMYFUNCTION("""COMPUTED_VALUE"""),"Amanda Matos ")</f>
        <v>Amanda Matos </v>
      </c>
      <c r="E336" s="7">
        <f>IFERROR(__xludf.DUMMYFUNCTION("""COMPUTED_VALUE"""),5340.0)</f>
        <v>5340</v>
      </c>
      <c r="F336" s="7" t="str">
        <f>IFERROR(__xludf.DUMMYFUNCTION("""COMPUTED_VALUE"""),"PREF")</f>
        <v>PREF</v>
      </c>
      <c r="G336" s="9" t="str">
        <f>IFERROR(__xludf.DUMMYFUNCTION("""COMPUTED_VALUE"""),"Bloco N")</f>
        <v>Bloco N</v>
      </c>
      <c r="H336" s="7" t="str">
        <f>IFERROR(__xludf.DUMMYFUNCTION("""COMPUTED_VALUE"""),"Sala 111 e 115")</f>
        <v>Sala 111 e 115</v>
      </c>
      <c r="I336" s="7" t="str">
        <f>IFERROR(__xludf.DUMMYFUNCTION("""COMPUTED_VALUE"""),"Reparos (alvenaria, piso, forro e telhado)")</f>
        <v>Reparos (alvenaria, piso, forro e telhado)</v>
      </c>
      <c r="J336" s="7" t="str">
        <f>IFERROR(__xludf.DUMMYFUNCTION("""COMPUTED_VALUE"""),"01 Alvenaria / 06 - Outros (PRAZO DE ATÉ 60 DIAS PARA ATENDIMENTO)")</f>
        <v>01 Alvenaria / 06 - Outros (PRAZO DE ATÉ 60 DIAS PARA ATENDIMENTO)</v>
      </c>
      <c r="K336" s="7"/>
      <c r="L336" s="7" t="str">
        <f>IFERROR(__xludf.DUMMYFUNCTION("""COMPUTED_VALUE"""),"Construção de bancada para produtos ")</f>
        <v>Construção de bancada para produtos </v>
      </c>
      <c r="M336" s="10"/>
      <c r="N336" s="10" t="str">
        <f>IFERROR(__xludf.DUMMYFUNCTION("""COMPUTED_VALUE"""),"Realizado")</f>
        <v>Realizado</v>
      </c>
      <c r="O336" s="11">
        <f>IFERROR(__xludf.DUMMYFUNCTION("""COMPUTED_VALUE"""),45356.0)</f>
        <v>45356</v>
      </c>
      <c r="P336" s="11"/>
    </row>
    <row r="337" ht="27.0" customHeight="1">
      <c r="A337" s="7" t="str">
        <f>IFERROR(__xludf.DUMMYFUNCTION("""COMPUTED_VALUE"""),"335/2024")</f>
        <v>335/2024</v>
      </c>
      <c r="B337" s="8">
        <f>IFERROR(__xludf.DUMMYFUNCTION("""COMPUTED_VALUE"""),45342.46589179398)</f>
        <v>45342.46589</v>
      </c>
      <c r="C337" s="8" t="str">
        <f>IFERROR(__xludf.DUMMYFUNCTION("""COMPUTED_VALUE"""),"muc.prpe@ufcat.edu.br")</f>
        <v>muc.prpe@ufcat.edu.br</v>
      </c>
      <c r="D337" s="7" t="str">
        <f>IFERROR(__xludf.DUMMYFUNCTION("""COMPUTED_VALUE"""),"Ludmila")</f>
        <v>Ludmila</v>
      </c>
      <c r="E337" s="7">
        <f>IFERROR(__xludf.DUMMYFUNCTION("""COMPUTED_VALUE"""),5333.0)</f>
        <v>5333</v>
      </c>
      <c r="F337" s="7" t="str">
        <f>IFERROR(__xludf.DUMMYFUNCTION("""COMPUTED_VALUE"""),"PRPE")</f>
        <v>PRPE</v>
      </c>
      <c r="G337" s="9" t="str">
        <f>IFERROR(__xludf.DUMMYFUNCTION("""COMPUTED_VALUE"""),"MUC")</f>
        <v>MUC</v>
      </c>
      <c r="H337" s="7" t="str">
        <f>IFERROR(__xludf.DUMMYFUNCTION("""COMPUTED_VALUE"""),"apto 406")</f>
        <v>apto 406</v>
      </c>
      <c r="I337" s="7" t="str">
        <f>IFERROR(__xludf.DUMMYFUNCTION("""COMPUTED_VALUE"""),"Instalações Hidrossanitárias")</f>
        <v>Instalações Hidrossanitárias</v>
      </c>
      <c r="J337" s="7" t="str">
        <f>IFERROR(__xludf.DUMMYFUNCTION("""COMPUTED_VALUE"""),"02 Hidráulica / 22 - Outros (PRAZO DE 15 a 60 DIAS PARA ATENDIMENTO)")</f>
        <v>02 Hidráulica / 22 - Outros (PRAZO DE 15 a 60 DIAS PARA ATENDIMENTO)</v>
      </c>
      <c r="K337" s="7"/>
      <c r="L337" s="7" t="str">
        <f>IFERROR(__xludf.DUMMYFUNCTION("""COMPUTED_VALUE"""),"vazamento na descarga do vaso sanitário")</f>
        <v>vazamento na descarga do vaso sanitário</v>
      </c>
      <c r="M337" s="10"/>
      <c r="N337" s="10" t="str">
        <f>IFERROR(__xludf.DUMMYFUNCTION("""COMPUTED_VALUE"""),"Realizado")</f>
        <v>Realizado</v>
      </c>
      <c r="O337" s="11">
        <f>IFERROR(__xludf.DUMMYFUNCTION("""COMPUTED_VALUE"""),45343.0)</f>
        <v>45343</v>
      </c>
      <c r="P337" s="11"/>
    </row>
    <row r="338" ht="27.0" customHeight="1">
      <c r="A338" s="7" t="str">
        <f>IFERROR(__xludf.DUMMYFUNCTION("""COMPUTED_VALUE"""),"336/2024")</f>
        <v>336/2024</v>
      </c>
      <c r="B338" s="8">
        <f>IFERROR(__xludf.DUMMYFUNCTION("""COMPUTED_VALUE"""),45342.49483876157)</f>
        <v>45342.49484</v>
      </c>
      <c r="C338" s="8" t="str">
        <f>IFERROR(__xludf.DUMMYFUNCTION("""COMPUTED_VALUE"""),"amanda.lopes@ufcat.edu.br")</f>
        <v>amanda.lopes@ufcat.edu.br</v>
      </c>
      <c r="D338" s="7" t="str">
        <f>IFERROR(__xludf.DUMMYFUNCTION("""COMPUTED_VALUE"""),"Amanda Matos ")</f>
        <v>Amanda Matos </v>
      </c>
      <c r="E338" s="7">
        <f>IFERROR(__xludf.DUMMYFUNCTION("""COMPUTED_VALUE"""),5340.0)</f>
        <v>5340</v>
      </c>
      <c r="F338" s="7" t="str">
        <f>IFERROR(__xludf.DUMMYFUNCTION("""COMPUTED_VALUE"""),"PREF")</f>
        <v>PREF</v>
      </c>
      <c r="G338" s="9" t="str">
        <f>IFERROR(__xludf.DUMMYFUNCTION("""COMPUTED_VALUE"""),"Bloco Administrativo")</f>
        <v>Bloco Administrativo</v>
      </c>
      <c r="H338" s="7" t="str">
        <f>IFERROR(__xludf.DUMMYFUNCTION("""COMPUTED_VALUE"""),"Elevador")</f>
        <v>Elevador</v>
      </c>
      <c r="I338" s="7" t="str">
        <f>IFERROR(__xludf.DUMMYFUNCTION("""COMPUTED_VALUE"""),"Instalações elétricas")</f>
        <v>Instalações elétricas</v>
      </c>
      <c r="J338" s="7" t="str">
        <f>IFERROR(__xludf.DUMMYFUNCTION("""COMPUTED_VALUE"""),"04 Elétrica / 35 - Troca de Lâmpadas (PRAZO DE ATÉ 15 DIAS PARA ATENDIMENTO)")</f>
        <v>04 Elétrica / 35 - Troca de Lâmpadas (PRAZO DE ATÉ 15 DIAS PARA ATENDIMENTO)</v>
      </c>
      <c r="K338" s="7"/>
      <c r="L338" s="7" t="str">
        <f>IFERROR(__xludf.DUMMYFUNCTION("""COMPUTED_VALUE"""),"Troca de lampada elevador ")</f>
        <v>Troca de lampada elevador </v>
      </c>
      <c r="M338" s="10"/>
      <c r="N338" s="10" t="str">
        <f>IFERROR(__xludf.DUMMYFUNCTION("""COMPUTED_VALUE"""),"Realizado")</f>
        <v>Realizado</v>
      </c>
      <c r="O338" s="17">
        <f>IFERROR(__xludf.DUMMYFUNCTION("""COMPUTED_VALUE"""),45343.0)</f>
        <v>45343</v>
      </c>
      <c r="P338" s="17"/>
    </row>
    <row r="339" ht="27.0" customHeight="1">
      <c r="A339" s="7" t="str">
        <f>IFERROR(__xludf.DUMMYFUNCTION("""COMPUTED_VALUE"""),"337/2024")</f>
        <v>337/2024</v>
      </c>
      <c r="B339" s="8">
        <f>IFERROR(__xludf.DUMMYFUNCTION("""COMPUTED_VALUE"""),45342.58121462963)</f>
        <v>45342.58121</v>
      </c>
      <c r="C339" s="8" t="str">
        <f>IFERROR(__xludf.DUMMYFUNCTION("""COMPUTED_VALUE"""),"amanda.lopes@ufcat.edu.br")</f>
        <v>amanda.lopes@ufcat.edu.br</v>
      </c>
      <c r="D339" s="7" t="str">
        <f>IFERROR(__xludf.DUMMYFUNCTION("""COMPUTED_VALUE"""),"Amanda Matos ")</f>
        <v>Amanda Matos </v>
      </c>
      <c r="E339" s="7">
        <f>IFERROR(__xludf.DUMMYFUNCTION("""COMPUTED_VALUE"""),5340.0)</f>
        <v>5340</v>
      </c>
      <c r="F339" s="7" t="str">
        <f>IFERROR(__xludf.DUMMYFUNCTION("""COMPUTED_VALUE"""),"PREF")</f>
        <v>PREF</v>
      </c>
      <c r="G339" s="9" t="str">
        <f>IFERROR(__xludf.DUMMYFUNCTION("""COMPUTED_VALUE"""),"Bloco J")</f>
        <v>Bloco J</v>
      </c>
      <c r="H339" s="7" t="str">
        <f>IFERROR(__xludf.DUMMYFUNCTION("""COMPUTED_VALUE"""),"Sala 12")</f>
        <v>Sala 12</v>
      </c>
      <c r="I339" s="7" t="str">
        <f>IFERROR(__xludf.DUMMYFUNCTION("""COMPUTED_VALUE"""),"Serralheria")</f>
        <v>Serralheria</v>
      </c>
      <c r="J339" s="7" t="str">
        <f>IFERROR(__xludf.DUMMYFUNCTION("""COMPUTED_VALUE"""),"08 Serralheria / 54 - Suporte em geral (PRAZO DE ATÉ 60 DIAS PARA ATENDIMENTO)")</f>
        <v>08 Serralheria / 54 - Suporte em geral (PRAZO DE ATÉ 60 DIAS PARA ATENDIMENTO)</v>
      </c>
      <c r="K339" s="7"/>
      <c r="L339" s="7" t="str">
        <f>IFERROR(__xludf.DUMMYFUNCTION("""COMPUTED_VALUE"""),"Flex esta solto da janela ")</f>
        <v>Flex esta solto da janela </v>
      </c>
      <c r="M339" s="10"/>
      <c r="N339" s="10" t="str">
        <f>IFERROR(__xludf.DUMMYFUNCTION("""COMPUTED_VALUE"""),"Realizado")</f>
        <v>Realizado</v>
      </c>
      <c r="O339" s="11">
        <f>IFERROR(__xludf.DUMMYFUNCTION("""COMPUTED_VALUE"""),45345.0)</f>
        <v>45345</v>
      </c>
      <c r="P339" s="11"/>
    </row>
    <row r="340" ht="27.0" customHeight="1">
      <c r="A340" s="7" t="str">
        <f>IFERROR(__xludf.DUMMYFUNCTION("""COMPUTED_VALUE"""),"338/2024")</f>
        <v>338/2024</v>
      </c>
      <c r="B340" s="8">
        <f>IFERROR(__xludf.DUMMYFUNCTION("""COMPUTED_VALUE"""),45342.627191921296)</f>
        <v>45342.62719</v>
      </c>
      <c r="C340" s="8" t="str">
        <f>IFERROR(__xludf.DUMMYFUNCTION("""COMPUTED_VALUE"""),"welington_silva@ufcat.edu.br")</f>
        <v>welington_silva@ufcat.edu.br</v>
      </c>
      <c r="D340" s="7" t="str">
        <f>IFERROR(__xludf.DUMMYFUNCTION("""COMPUTED_VALUE"""),"Welington Cesar Silva ")</f>
        <v>Welington Cesar Silva </v>
      </c>
      <c r="E340" s="7" t="str">
        <f>IFERROR(__xludf.DUMMYFUNCTION("""COMPUTED_VALUE"""),"64/981083924")</f>
        <v>64/981083924</v>
      </c>
      <c r="F340" s="7" t="str">
        <f>IFERROR(__xludf.DUMMYFUNCTION("""COMPUTED_VALUE"""),"IBIOTEC  - Educação Física")</f>
        <v>IBIOTEC  - Educação Física</v>
      </c>
      <c r="G340" s="9" t="str">
        <f>IFERROR(__xludf.DUMMYFUNCTION("""COMPUTED_VALUE"""),"Bloco D")</f>
        <v>Bloco D</v>
      </c>
      <c r="H340" s="7" t="str">
        <f>IFERROR(__xludf.DUMMYFUNCTION("""COMPUTED_VALUE"""),"Quadra coberta ")</f>
        <v>Quadra coberta </v>
      </c>
      <c r="I340" s="7" t="str">
        <f>IFERROR(__xludf.DUMMYFUNCTION("""COMPUTED_VALUE"""),"Instalações elétricas")</f>
        <v>Instalações elétricas</v>
      </c>
      <c r="J340" s="7" t="str">
        <f>IFERROR(__xludf.DUMMYFUNCTION("""COMPUTED_VALUE"""),"04 Elétrica / 37 - Outros (PRAZO DE ACORDO COM A DEMANDA)")</f>
        <v>04 Elétrica / 37 - Outros (PRAZO DE ACORDO COM A DEMANDA)</v>
      </c>
      <c r="K340" s="7"/>
      <c r="L340" s="7" t="str">
        <f>IFERROR(__xludf.DUMMYFUNCTION("""COMPUTED_VALUE"""),"Trocar lâmpadas da quadra que estão queimadas ")</f>
        <v>Trocar lâmpadas da quadra que estão queimadas </v>
      </c>
      <c r="M340" s="10"/>
      <c r="N340" s="10" t="str">
        <f>IFERROR(__xludf.DUMMYFUNCTION("""COMPUTED_VALUE"""),"Realizado")</f>
        <v>Realizado</v>
      </c>
      <c r="O340" s="11">
        <f>IFERROR(__xludf.DUMMYFUNCTION("""COMPUTED_VALUE"""),45343.0)</f>
        <v>45343</v>
      </c>
      <c r="P340" s="11"/>
    </row>
    <row r="341" ht="27.0" customHeight="1">
      <c r="A341" s="7" t="str">
        <f>IFERROR(__xludf.DUMMYFUNCTION("""COMPUTED_VALUE"""),"339/2024")</f>
        <v>339/2024</v>
      </c>
      <c r="B341" s="8">
        <f>IFERROR(__xludf.DUMMYFUNCTION("""COMPUTED_VALUE"""),45342.68138591435)</f>
        <v>45342.68139</v>
      </c>
      <c r="C341" s="8" t="str">
        <f>IFERROR(__xludf.DUMMYFUNCTION("""COMPUTED_VALUE"""),"seguranca@ufcat.edu.br")</f>
        <v>seguranca@ufcat.edu.br</v>
      </c>
      <c r="D341" s="7" t="str">
        <f>IFERROR(__xludf.DUMMYFUNCTION("""COMPUTED_VALUE"""),"Carla Braz")</f>
        <v>Carla Braz</v>
      </c>
      <c r="E341" s="7">
        <f>IFERROR(__xludf.DUMMYFUNCTION("""COMPUTED_VALUE"""),5318.0)</f>
        <v>5318</v>
      </c>
      <c r="F341" s="7" t="str">
        <f>IFERROR(__xludf.DUMMYFUNCTION("""COMPUTED_VALUE"""),"CENTRAL DE OPERAÇÕES VIGILÂNCIA")</f>
        <v>CENTRAL DE OPERAÇÕES VIGILÂNCIA</v>
      </c>
      <c r="G341" s="9" t="str">
        <f>IFERROR(__xludf.DUMMYFUNCTION("""COMPUTED_VALUE"""),"Bloco L")</f>
        <v>Bloco L</v>
      </c>
      <c r="H341" s="7" t="str">
        <f>IFERROR(__xludf.DUMMYFUNCTION("""COMPUTED_VALUE"""),"Hall Entrada")</f>
        <v>Hall Entrada</v>
      </c>
      <c r="I341" s="7" t="str">
        <f>IFERROR(__xludf.DUMMYFUNCTION("""COMPUTED_VALUE"""),"Instalações e/ou Manutenção em Cabeamento de Rede")</f>
        <v>Instalações e/ou Manutenção em Cabeamento de Rede</v>
      </c>
      <c r="J341" s="7" t="str">
        <f>IFERROR(__xludf.DUMMYFUNCTION("""COMPUTED_VALUE"""),"05 Telecomunicações / 39 - CFTV (PRAZO DE ATÉ 15 DIAS PARA ATENDIMENTO)")</f>
        <v>05 Telecomunicações / 39 - CFTV (PRAZO DE ATÉ 15 DIAS PARA ATENDIMENTO)</v>
      </c>
      <c r="K341" s="7"/>
      <c r="L341" s="7" t="str">
        <f>IFERROR(__xludf.DUMMYFUNCTION("""COMPUTED_VALUE"""),"Câmera desconectada. ")</f>
        <v>Câmera desconectada. </v>
      </c>
      <c r="M341" s="10"/>
      <c r="N341" s="10" t="str">
        <f>IFERROR(__xludf.DUMMYFUNCTION("""COMPUTED_VALUE"""),"Realizado")</f>
        <v>Realizado</v>
      </c>
      <c r="O341" s="11">
        <f>IFERROR(__xludf.DUMMYFUNCTION("""COMPUTED_VALUE"""),45343.0)</f>
        <v>45343</v>
      </c>
      <c r="P341" s="11"/>
    </row>
    <row r="342" ht="27.0" customHeight="1">
      <c r="A342" s="7" t="str">
        <f>IFERROR(__xludf.DUMMYFUNCTION("""COMPUTED_VALUE"""),"340/2024")</f>
        <v>340/2024</v>
      </c>
      <c r="B342" s="8">
        <f>IFERROR(__xludf.DUMMYFUNCTION("""COMPUTED_VALUE"""),45342.73517134259)</f>
        <v>45342.73517</v>
      </c>
      <c r="C342" s="8" t="str">
        <f>IFERROR(__xludf.DUMMYFUNCTION("""COMPUTED_VALUE"""),"ucas_eduardo_marques@ufcat.edu.br")</f>
        <v>ucas_eduardo_marques@ufcat.edu.br</v>
      </c>
      <c r="D342" s="7" t="str">
        <f>IFERROR(__xludf.DUMMYFUNCTION("""COMPUTED_VALUE"""),"Lucas Eduardo Marques Santos")</f>
        <v>Lucas Eduardo Marques Santos</v>
      </c>
      <c r="E342" s="7">
        <f>IFERROR(__xludf.DUMMYFUNCTION("""COMPUTED_VALUE"""),5397.0)</f>
        <v>5397</v>
      </c>
      <c r="F342" s="7" t="str">
        <f>IFERROR(__xludf.DUMMYFUNCTION("""COMPUTED_VALUE"""),"NAI")</f>
        <v>NAI</v>
      </c>
      <c r="G342" s="9" t="str">
        <f>IFERROR(__xludf.DUMMYFUNCTION("""COMPUTED_VALUE"""),"Biblioteca")</f>
        <v>Biblioteca</v>
      </c>
      <c r="H342" s="7" t="str">
        <f>IFERROR(__xludf.DUMMYFUNCTION("""COMPUTED_VALUE"""),"Sala do Núcleo de Acessibilidade ")</f>
        <v>Sala do Núcleo de Acessibilidade </v>
      </c>
      <c r="I342" s="7" t="str">
        <f>IFERROR(__xludf.DUMMYFUNCTION("""COMPUTED_VALUE"""),"Instalações e/ou Manutenção em Cabeamento de Rede")</f>
        <v>Instalações e/ou Manutenção em Cabeamento de Rede</v>
      </c>
      <c r="J342" s="7"/>
      <c r="K342" s="7"/>
      <c r="L342" s="7" t="str">
        <f>IFERROR(__xludf.DUMMYFUNCTION("""COMPUTED_VALUE"""),"Venho por meio desse pedir 4 fios de internet cada um com 1 metro e meio de comprimento")</f>
        <v>Venho por meio desse pedir 4 fios de internet cada um com 1 metro e meio de comprimento</v>
      </c>
      <c r="M342" s="10"/>
      <c r="N342" s="10" t="str">
        <f>IFERROR(__xludf.DUMMYFUNCTION("""COMPUTED_VALUE"""),"Realizado")</f>
        <v>Realizado</v>
      </c>
      <c r="O342" s="11">
        <f>IFERROR(__xludf.DUMMYFUNCTION("""COMPUTED_VALUE"""),45343.0)</f>
        <v>45343</v>
      </c>
      <c r="P342" s="11"/>
    </row>
    <row r="343" ht="27.0" customHeight="1">
      <c r="A343" s="7" t="str">
        <f>IFERROR(__xludf.DUMMYFUNCTION("""COMPUTED_VALUE"""),"341/2024")</f>
        <v>341/2024</v>
      </c>
      <c r="B343" s="8">
        <f>IFERROR(__xludf.DUMMYFUNCTION("""COMPUTED_VALUE"""),45343.31666822916)</f>
        <v>45343.31667</v>
      </c>
      <c r="C343" s="8" t="str">
        <f>IFERROR(__xludf.DUMMYFUNCTION("""COMPUTED_VALUE"""),"divinosilva@ufcat.edu.br")</f>
        <v>divinosilva@ufcat.edu.br</v>
      </c>
      <c r="D343" s="7" t="str">
        <f>IFERROR(__xludf.DUMMYFUNCTION("""COMPUTED_VALUE"""),"Divino")</f>
        <v>Divino</v>
      </c>
      <c r="E343" s="7">
        <f>IFERROR(__xludf.DUMMYFUNCTION("""COMPUTED_VALUE"""),5320.0)</f>
        <v>5320</v>
      </c>
      <c r="F343" s="7" t="str">
        <f>IFERROR(__xludf.DUMMYFUNCTION("""COMPUTED_VALUE"""),"IMTec")</f>
        <v>IMTec</v>
      </c>
      <c r="G343" s="9" t="str">
        <f>IFERROR(__xludf.DUMMYFUNCTION("""COMPUTED_VALUE"""),"Bloco M")</f>
        <v>Bloco M</v>
      </c>
      <c r="H343" s="7" t="str">
        <f>IFERROR(__xludf.DUMMYFUNCTION("""COMPUTED_VALUE"""),"Sala 359-IMTec 15, 3º piso do Bloco M")</f>
        <v>Sala 359-IMTec 15, 3º piso do Bloco M</v>
      </c>
      <c r="I343" s="7" t="str">
        <f>IFERROR(__xludf.DUMMYFUNCTION("""COMPUTED_VALUE"""),"Pequenos serviços de reparos em Marcenaria")</f>
        <v>Pequenos serviços de reparos em Marcenaria</v>
      </c>
      <c r="J343" s="7" t="str">
        <f>IFERROR(__xludf.DUMMYFUNCTION("""COMPUTED_VALUE"""),"03 Marcenaria / 24 - Conserto de Móveis (PRAZO DE ATÉ 60 DIAS PARA ATENDIMENTO)")</f>
        <v>03 Marcenaria / 24 - Conserto de Móveis (PRAZO DE ATÉ 60 DIAS PARA ATENDIMENTO)</v>
      </c>
      <c r="K343" s="7"/>
      <c r="L343" s="7" t="str">
        <f>IFERROR(__xludf.DUMMYFUNCTION("""COMPUTED_VALUE"""),"Fixar prateleiras de madeira de armário")</f>
        <v>Fixar prateleiras de madeira de armário</v>
      </c>
      <c r="M343" s="10"/>
      <c r="N343" s="10" t="str">
        <f>IFERROR(__xludf.DUMMYFUNCTION("""COMPUTED_VALUE"""),"Realizado")</f>
        <v>Realizado</v>
      </c>
      <c r="O343" s="11">
        <f>IFERROR(__xludf.DUMMYFUNCTION("""COMPUTED_VALUE"""),45357.0)</f>
        <v>45357</v>
      </c>
      <c r="P343" s="11"/>
    </row>
    <row r="344" ht="27.0" customHeight="1">
      <c r="A344" s="7" t="str">
        <f>IFERROR(__xludf.DUMMYFUNCTION("""COMPUTED_VALUE"""),"342/2024")</f>
        <v>342/2024</v>
      </c>
      <c r="B344" s="8">
        <f>IFERROR(__xludf.DUMMYFUNCTION("""COMPUTED_VALUE"""),45343.369148425925)</f>
        <v>45343.36915</v>
      </c>
      <c r="C344" s="8" t="str">
        <f>IFERROR(__xludf.DUMMYFUNCTION("""COMPUTED_VALUE"""),"seguranca@ufcat.edu.br")</f>
        <v>seguranca@ufcat.edu.br</v>
      </c>
      <c r="D344" s="7" t="str">
        <f>IFERROR(__xludf.DUMMYFUNCTION("""COMPUTED_VALUE"""),"Maria Duarte")</f>
        <v>Maria Duarte</v>
      </c>
      <c r="E344" s="7">
        <f>IFERROR(__xludf.DUMMYFUNCTION("""COMPUTED_VALUE"""),5318.0)</f>
        <v>5318</v>
      </c>
      <c r="F344" s="7" t="str">
        <f>IFERROR(__xludf.DUMMYFUNCTION("""COMPUTED_VALUE"""),"CENTRAL DE OPERAÇÕES VIGILÂNCIA")</f>
        <v>CENTRAL DE OPERAÇÕES VIGILÂNCIA</v>
      </c>
      <c r="G344" s="9" t="str">
        <f>IFERROR(__xludf.DUMMYFUNCTION("""COMPUTED_VALUE"""),"Bloco L")</f>
        <v>Bloco L</v>
      </c>
      <c r="H344" s="7" t="str">
        <f>IFERROR(__xludf.DUMMYFUNCTION("""COMPUTED_VALUE"""),"DVR L Externo ")</f>
        <v>DVR L Externo </v>
      </c>
      <c r="I344" s="7" t="str">
        <f>IFERROR(__xludf.DUMMYFUNCTION("""COMPUTED_VALUE"""),"Instalações e/ou Manutenção em Cabeamento de Rede")</f>
        <v>Instalações e/ou Manutenção em Cabeamento de Rede</v>
      </c>
      <c r="J344" s="7" t="str">
        <f>IFERROR(__xludf.DUMMYFUNCTION("""COMPUTED_VALUE"""),"05 Telecomunicações / 39 - CFTV (PRAZO DE ATÉ 15 DIAS PARA ATENDIMENTO)")</f>
        <v>05 Telecomunicações / 39 - CFTV (PRAZO DE ATÉ 15 DIAS PARA ATENDIMENTO)</v>
      </c>
      <c r="K344" s="7"/>
      <c r="L344" s="7" t="str">
        <f>IFERROR(__xludf.DUMMYFUNCTION("""COMPUTED_VALUE"""),"DVR do Bloco L Externo, se encontra off-line. ")</f>
        <v>DVR do Bloco L Externo, se encontra off-line. </v>
      </c>
      <c r="M344" s="10"/>
      <c r="N344" s="10" t="str">
        <f>IFERROR(__xludf.DUMMYFUNCTION("""COMPUTED_VALUE"""),"Realizado")</f>
        <v>Realizado</v>
      </c>
      <c r="O344" s="11">
        <f>IFERROR(__xludf.DUMMYFUNCTION("""COMPUTED_VALUE"""),45343.0)</f>
        <v>45343</v>
      </c>
      <c r="P344" s="11"/>
    </row>
    <row r="345" ht="27.0" customHeight="1">
      <c r="A345" s="7" t="str">
        <f>IFERROR(__xludf.DUMMYFUNCTION("""COMPUTED_VALUE"""),"343/2024")</f>
        <v>343/2024</v>
      </c>
      <c r="B345" s="8">
        <f>IFERROR(__xludf.DUMMYFUNCTION("""COMPUTED_VALUE"""),45343.37005355324)</f>
        <v>45343.37005</v>
      </c>
      <c r="C345" s="8" t="str">
        <f>IFERROR(__xludf.DUMMYFUNCTION("""COMPUTED_VALUE"""),"seguranca@ufcat.edu.br")</f>
        <v>seguranca@ufcat.edu.br</v>
      </c>
      <c r="D345" s="7" t="str">
        <f>IFERROR(__xludf.DUMMYFUNCTION("""COMPUTED_VALUE"""),"Maria Duarte")</f>
        <v>Maria Duarte</v>
      </c>
      <c r="E345" s="7">
        <f>IFERROR(__xludf.DUMMYFUNCTION("""COMPUTED_VALUE"""),5318.0)</f>
        <v>5318</v>
      </c>
      <c r="F345" s="7" t="str">
        <f>IFERROR(__xludf.DUMMYFUNCTION("""COMPUTED_VALUE"""),"CENTRAL DE OPERAÇÕES VIGILÂNCIA")</f>
        <v>CENTRAL DE OPERAÇÕES VIGILÂNCIA</v>
      </c>
      <c r="G345" s="9" t="str">
        <f>IFERROR(__xludf.DUMMYFUNCTION("""COMPUTED_VALUE"""),"Bloco O")</f>
        <v>Bloco O</v>
      </c>
      <c r="H345" s="7" t="str">
        <f>IFERROR(__xludf.DUMMYFUNCTION("""COMPUTED_VALUE"""),"DVR Bloco O")</f>
        <v>DVR Bloco O</v>
      </c>
      <c r="I345" s="7" t="str">
        <f>IFERROR(__xludf.DUMMYFUNCTION("""COMPUTED_VALUE"""),"Instalações e/ou Manutenção em Cabeamento de Rede")</f>
        <v>Instalações e/ou Manutenção em Cabeamento de Rede</v>
      </c>
      <c r="J345" s="7" t="str">
        <f>IFERROR(__xludf.DUMMYFUNCTION("""COMPUTED_VALUE"""),"05 Telecomunicações / 39 - CFTV (PRAZO DE ATÉ 15 DIAS PARA ATENDIMENTO)")</f>
        <v>05 Telecomunicações / 39 - CFTV (PRAZO DE ATÉ 15 DIAS PARA ATENDIMENTO)</v>
      </c>
      <c r="K345" s="7"/>
      <c r="L345" s="7" t="str">
        <f>IFERROR(__xludf.DUMMYFUNCTION("""COMPUTED_VALUE"""),"DVR do Bloco O, se encontra Off-line")</f>
        <v>DVR do Bloco O, se encontra Off-line</v>
      </c>
      <c r="M345" s="10"/>
      <c r="N345" s="10" t="str">
        <f>IFERROR(__xludf.DUMMYFUNCTION("""COMPUTED_VALUE"""),"Realizado")</f>
        <v>Realizado</v>
      </c>
      <c r="O345" s="11">
        <f>IFERROR(__xludf.DUMMYFUNCTION("""COMPUTED_VALUE"""),45343.0)</f>
        <v>45343</v>
      </c>
      <c r="P345" s="11"/>
    </row>
    <row r="346" ht="27.0" customHeight="1">
      <c r="A346" s="7" t="str">
        <f>IFERROR(__xludf.DUMMYFUNCTION("""COMPUTED_VALUE"""),"344/2024")</f>
        <v>344/2024</v>
      </c>
      <c r="B346" s="8">
        <f>IFERROR(__xludf.DUMMYFUNCTION("""COMPUTED_VALUE"""),45343.384326307874)</f>
        <v>45343.38433</v>
      </c>
      <c r="C346" s="8" t="str">
        <f>IFERROR(__xludf.DUMMYFUNCTION("""COMPUTED_VALUE"""),"bruno.almeida@ufcat.edu.br")</f>
        <v>bruno.almeida@ufcat.edu.br</v>
      </c>
      <c r="D346" s="7" t="str">
        <f>IFERROR(__xludf.DUMMYFUNCTION("""COMPUTED_VALUE"""),"Bruno Henrique Martins de Almeida")</f>
        <v>Bruno Henrique Martins de Almeida</v>
      </c>
      <c r="E346" s="7" t="str">
        <f>IFERROR(__xludf.DUMMYFUNCTION("""COMPUTED_VALUE"""),"64 984576440")</f>
        <v>64 984576440</v>
      </c>
      <c r="F346" s="7" t="str">
        <f>IFERROR(__xludf.DUMMYFUNCTION("""COMPUTED_VALUE"""),"REITORIA")</f>
        <v>REITORIA</v>
      </c>
      <c r="G346" s="9" t="str">
        <f>IFERROR(__xludf.DUMMYFUNCTION("""COMPUTED_VALUE"""),"Bloco Administrativo")</f>
        <v>Bloco Administrativo</v>
      </c>
      <c r="H346" s="7" t="str">
        <f>IFERROR(__xludf.DUMMYFUNCTION("""COMPUTED_VALUE"""),"SALA 108")</f>
        <v>SALA 108</v>
      </c>
      <c r="I346" s="7" t="str">
        <f>IFERROR(__xludf.DUMMYFUNCTION("""COMPUTED_VALUE"""),"Pequenos serviços de reparos em Marcenaria")</f>
        <v>Pequenos serviços de reparos em Marcenaria</v>
      </c>
      <c r="J346" s="7" t="str">
        <f>IFERROR(__xludf.DUMMYFUNCTION("""COMPUTED_VALUE"""),"03 Marcenaria / 28 -Troca de Fechaduras (PRAZO DE ATÉ 15 DIAS PARA ATENDIMENTO)")</f>
        <v>03 Marcenaria / 28 -Troca de Fechaduras (PRAZO DE ATÉ 15 DIAS PARA ATENDIMENTO)</v>
      </c>
      <c r="K346" s="7"/>
      <c r="L346" s="7" t="str">
        <f>IFERROR(__xludf.DUMMYFUNCTION("""COMPUTED_VALUE"""),"A MAÇANETA ESTÁ SEM O PINO A SEGURA.")</f>
        <v>A MAÇANETA ESTÁ SEM O PINO A SEGURA.</v>
      </c>
      <c r="M346" s="10"/>
      <c r="N346" s="10" t="str">
        <f>IFERROR(__xludf.DUMMYFUNCTION("""COMPUTED_VALUE"""),"Realizado")</f>
        <v>Realizado</v>
      </c>
      <c r="O346" s="18">
        <f>IFERROR(__xludf.DUMMYFUNCTION("""COMPUTED_VALUE"""),45343.384326307874)</f>
        <v>45343.38433</v>
      </c>
      <c r="P346" s="18"/>
    </row>
    <row r="347" ht="27.0" customHeight="1">
      <c r="A347" s="7" t="str">
        <f>IFERROR(__xludf.DUMMYFUNCTION("""COMPUTED_VALUE"""),"345/2024")</f>
        <v>345/2024</v>
      </c>
      <c r="B347" s="8">
        <f>IFERROR(__xludf.DUMMYFUNCTION("""COMPUTED_VALUE"""),45343.384875497686)</f>
        <v>45343.38488</v>
      </c>
      <c r="C347" s="8" t="str">
        <f>IFERROR(__xludf.DUMMYFUNCTION("""COMPUTED_VALUE"""),"seguranca@ufcat.edu.br")</f>
        <v>seguranca@ufcat.edu.br</v>
      </c>
      <c r="D347" s="7" t="str">
        <f>IFERROR(__xludf.DUMMYFUNCTION("""COMPUTED_VALUE"""),"Maria Duarte")</f>
        <v>Maria Duarte</v>
      </c>
      <c r="E347" s="7">
        <f>IFERROR(__xludf.DUMMYFUNCTION("""COMPUTED_VALUE"""),5318.0)</f>
        <v>5318</v>
      </c>
      <c r="F347" s="7" t="str">
        <f>IFERROR(__xludf.DUMMYFUNCTION("""COMPUTED_VALUE"""),"CENTRAL DE OPERAÇÕES VIGILÂNCIA")</f>
        <v>CENTRAL DE OPERAÇÕES VIGILÂNCIA</v>
      </c>
      <c r="G347" s="9" t="str">
        <f>IFERROR(__xludf.DUMMYFUNCTION("""COMPUTED_VALUE"""),"Bloco L")</f>
        <v>Bloco L</v>
      </c>
      <c r="H347" s="7" t="str">
        <f>IFERROR(__xludf.DUMMYFUNCTION("""COMPUTED_VALUE"""),"DVR Bloco L Interno ")</f>
        <v>DVR Bloco L Interno </v>
      </c>
      <c r="I347" s="7" t="str">
        <f>IFERROR(__xludf.DUMMYFUNCTION("""COMPUTED_VALUE"""),"Instalações e/ou Manutenção em Cabeamento de Rede")</f>
        <v>Instalações e/ou Manutenção em Cabeamento de Rede</v>
      </c>
      <c r="J347" s="7" t="str">
        <f>IFERROR(__xludf.DUMMYFUNCTION("""COMPUTED_VALUE"""),"05 Telecomunicações / 39 - CFTV (PRAZO DE ATÉ 15 DIAS PARA ATENDIMENTO)")</f>
        <v>05 Telecomunicações / 39 - CFTV (PRAZO DE ATÉ 15 DIAS PARA ATENDIMENTO)</v>
      </c>
      <c r="K347" s="7"/>
      <c r="L347" s="7" t="str">
        <f>IFERROR(__xludf.DUMMYFUNCTION("""COMPUTED_VALUE"""),"DVR Bloco L Interno está com o horário e a data incorreto.")</f>
        <v>DVR Bloco L Interno está com o horário e a data incorreto.</v>
      </c>
      <c r="M347" s="10"/>
      <c r="N347" s="10" t="str">
        <f>IFERROR(__xludf.DUMMYFUNCTION("""COMPUTED_VALUE"""),"Realizado")</f>
        <v>Realizado</v>
      </c>
      <c r="O347" s="11">
        <f>IFERROR(__xludf.DUMMYFUNCTION("""COMPUTED_VALUE"""),45343.0)</f>
        <v>45343</v>
      </c>
      <c r="P347" s="11"/>
    </row>
    <row r="348" ht="27.0" customHeight="1">
      <c r="A348" s="7" t="str">
        <f>IFERROR(__xludf.DUMMYFUNCTION("""COMPUTED_VALUE"""),"346/2024")</f>
        <v>346/2024</v>
      </c>
      <c r="B348" s="8">
        <f>IFERROR(__xludf.DUMMYFUNCTION("""COMPUTED_VALUE"""),45343.38638297454)</f>
        <v>45343.38638</v>
      </c>
      <c r="C348" s="8" t="str">
        <f>IFERROR(__xludf.DUMMYFUNCTION("""COMPUTED_VALUE"""),"seguranca@ufcat.edu.br")</f>
        <v>seguranca@ufcat.edu.br</v>
      </c>
      <c r="D348" s="7" t="str">
        <f>IFERROR(__xludf.DUMMYFUNCTION("""COMPUTED_VALUE"""),"Maria Duarte")</f>
        <v>Maria Duarte</v>
      </c>
      <c r="E348" s="7">
        <f>IFERROR(__xludf.DUMMYFUNCTION("""COMPUTED_VALUE"""),5318.0)</f>
        <v>5318</v>
      </c>
      <c r="F348" s="7" t="str">
        <f>IFERROR(__xludf.DUMMYFUNCTION("""COMPUTED_VALUE"""),"CENTRAL DE OPERAÇÕES VIGILÂNCIA")</f>
        <v>CENTRAL DE OPERAÇÕES VIGILÂNCIA</v>
      </c>
      <c r="G348" s="9" t="str">
        <f>IFERROR(__xludf.DUMMYFUNCTION("""COMPUTED_VALUE"""),"Bloco Administrativo")</f>
        <v>Bloco Administrativo</v>
      </c>
      <c r="H348" s="7" t="str">
        <f>IFERROR(__xludf.DUMMYFUNCTION("""COMPUTED_VALUE"""),"DVR Bloco Administrativo ")</f>
        <v>DVR Bloco Administrativo </v>
      </c>
      <c r="I348" s="7" t="str">
        <f>IFERROR(__xludf.DUMMYFUNCTION("""COMPUTED_VALUE"""),"Instalações e/ou Manutenção em Cabeamento de Rede")</f>
        <v>Instalações e/ou Manutenção em Cabeamento de Rede</v>
      </c>
      <c r="J348" s="7" t="str">
        <f>IFERROR(__xludf.DUMMYFUNCTION("""COMPUTED_VALUE"""),"05 Telecomunicações / 39 - CFTV (PRAZO DE ATÉ 15 DIAS PARA ATENDIMENTO)")</f>
        <v>05 Telecomunicações / 39 - CFTV (PRAZO DE ATÉ 15 DIAS PARA ATENDIMENTO)</v>
      </c>
      <c r="K348" s="7"/>
      <c r="L348" s="7" t="str">
        <f>IFERROR(__xludf.DUMMYFUNCTION("""COMPUTED_VALUE"""),"DVR do Bloco Administrativo está com o horário e a data incorreto.")</f>
        <v>DVR do Bloco Administrativo está com o horário e a data incorreto.</v>
      </c>
      <c r="M348" s="10"/>
      <c r="N348" s="10" t="str">
        <f>IFERROR(__xludf.DUMMYFUNCTION("""COMPUTED_VALUE"""),"Realizado")</f>
        <v>Realizado</v>
      </c>
      <c r="O348" s="18">
        <f>IFERROR(__xludf.DUMMYFUNCTION("""COMPUTED_VALUE"""),45344.0)</f>
        <v>45344</v>
      </c>
      <c r="P348" s="18"/>
    </row>
    <row r="349">
      <c r="A349" s="20" t="str">
        <f>IFERROR(__xludf.DUMMYFUNCTION("""COMPUTED_VALUE"""),"347/2024")</f>
        <v>347/2024</v>
      </c>
      <c r="B349" s="8">
        <f>IFERROR(__xludf.DUMMYFUNCTION("""COMPUTED_VALUE"""),45343.38638297454)</f>
        <v>45343.38638</v>
      </c>
      <c r="C349" s="21" t="str">
        <f>IFERROR(__xludf.DUMMYFUNCTION("""COMPUTED_VALUE"""),"guaraciaraap@ufcat.edu.br")</f>
        <v>guaraciaraap@ufcat.edu.br</v>
      </c>
      <c r="D349" s="22" t="str">
        <f>IFERROR(__xludf.DUMMYFUNCTION("""COMPUTED_VALUE"""),"Guaraciara Picanço")</f>
        <v>Guaraciara Picanço</v>
      </c>
      <c r="E349" s="22" t="str">
        <f>IFERROR(__xludf.DUMMYFUNCTION("""COMPUTED_VALUE"""),"3441-7601")</f>
        <v>3441-7601</v>
      </c>
      <c r="F349" s="22" t="str">
        <f>IFERROR(__xludf.DUMMYFUNCTION("""COMPUTED_VALUE"""),"IBIOTEC - Medicina")</f>
        <v>IBIOTEC - Medicina</v>
      </c>
      <c r="G349" s="22" t="str">
        <f>IFERROR(__xludf.DUMMYFUNCTION("""COMPUTED_VALUE"""),"Campus II")</f>
        <v>Campus II</v>
      </c>
      <c r="H349" s="22" t="str">
        <f>IFERROR(__xludf.DUMMYFUNCTION("""COMPUTED_VALUE"""),"Sala 05 - segundo piso")</f>
        <v>Sala 05 - segundo piso</v>
      </c>
      <c r="I349" s="7" t="str">
        <f>IFERROR(__xludf.DUMMYFUNCTION("""COMPUTED_VALUE"""),"Serralheria")</f>
        <v>Serralheria</v>
      </c>
      <c r="J349" s="23" t="str">
        <f>IFERROR(__xludf.DUMMYFUNCTION("""COMPUTED_VALUE"""),"08 Serralheria / 56 - Outros (PRAZO DE ACORDO COM A DEMANDA)")</f>
        <v>08 Serralheria / 56 - Outros (PRAZO DE ACORDO COM A DEMANDA)</v>
      </c>
      <c r="K349" s="23"/>
      <c r="L349" s="24" t="str">
        <f>IFERROR(__xludf.DUMMYFUNCTION("""COMPUTED_VALUE"""),"Soldagem de rodízio de mesa de transporte hospitalar - material inox. ")</f>
        <v>Soldagem de rodízio de mesa de transporte hospitalar - material inox. </v>
      </c>
      <c r="M349" s="25"/>
      <c r="N349" s="26" t="str">
        <f>IFERROR(__xludf.DUMMYFUNCTION("""COMPUTED_VALUE"""),"Aguardando análise")</f>
        <v>Aguardando análise</v>
      </c>
      <c r="O349" s="12"/>
      <c r="P349" s="12"/>
    </row>
    <row r="350">
      <c r="A350" s="20" t="str">
        <f>IFERROR(__xludf.DUMMYFUNCTION("""COMPUTED_VALUE"""),"348/2024")</f>
        <v>348/2024</v>
      </c>
      <c r="B350" s="8">
        <f>IFERROR(__xludf.DUMMYFUNCTION("""COMPUTED_VALUE"""),45343.38638297454)</f>
        <v>45343.38638</v>
      </c>
      <c r="C350" s="21" t="str">
        <f>IFERROR(__xludf.DUMMYFUNCTION("""COMPUTED_VALUE"""),"divinosilva@ufcat.edu.br")</f>
        <v>divinosilva@ufcat.edu.br</v>
      </c>
      <c r="D350" s="27" t="str">
        <f>IFERROR(__xludf.DUMMYFUNCTION("""COMPUTED_VALUE"""),"Divino")</f>
        <v>Divino</v>
      </c>
      <c r="E350" s="28">
        <f>IFERROR(__xludf.DUMMYFUNCTION("""COMPUTED_VALUE"""),5320.0)</f>
        <v>5320</v>
      </c>
      <c r="F350" s="27" t="str">
        <f>IFERROR(__xludf.DUMMYFUNCTION("""COMPUTED_VALUE"""),"IMTec")</f>
        <v>IMTec</v>
      </c>
      <c r="G350" s="27" t="str">
        <f>IFERROR(__xludf.DUMMYFUNCTION("""COMPUTED_VALUE"""),"Bloco M")</f>
        <v>Bloco M</v>
      </c>
      <c r="H350" s="27" t="str">
        <f>IFERROR(__xludf.DUMMYFUNCTION("""COMPUTED_VALUE"""),"IMTec03, 3º piso do Bloco M")</f>
        <v>IMTec03, 3º piso do Bloco M</v>
      </c>
      <c r="I350" s="7" t="str">
        <f>IFERROR(__xludf.DUMMYFUNCTION("""COMPUTED_VALUE"""),"Pequenos serviços de reparos em Marcenaria")</f>
        <v>Pequenos serviços de reparos em Marcenaria</v>
      </c>
      <c r="J350" s="29" t="str">
        <f>IFERROR(__xludf.DUMMYFUNCTION("""COMPUTED_VALUE"""),"03 Marcenaria / 29 - Outros (PRAZO DE ACORDO COM A DEMANDA)")</f>
        <v>03 Marcenaria / 29 - Outros (PRAZO DE ACORDO COM A DEMANDA)</v>
      </c>
      <c r="K350" s="29"/>
      <c r="L350" s="24" t="str">
        <f>IFERROR(__xludf.DUMMYFUNCTION("""COMPUTED_VALUE"""),"Reparo em moo de fechadura")</f>
        <v>Reparo em moo de fechadura</v>
      </c>
      <c r="M350" s="30"/>
      <c r="N350" s="26" t="str">
        <f>IFERROR(__xludf.DUMMYFUNCTION("""COMPUTED_VALUE"""),"Realizado")</f>
        <v>Realizado</v>
      </c>
      <c r="O350" s="11">
        <f>IFERROR(__xludf.DUMMYFUNCTION("""COMPUTED_VALUE"""),45348.0)</f>
        <v>45348</v>
      </c>
      <c r="P350" s="11"/>
    </row>
    <row r="351">
      <c r="A351" s="20" t="str">
        <f>IFERROR(__xludf.DUMMYFUNCTION("""COMPUTED_VALUE"""),"349/2024")</f>
        <v>349/2024</v>
      </c>
      <c r="B351" s="8">
        <f>IFERROR(__xludf.DUMMYFUNCTION("""COMPUTED_VALUE"""),45343.38638297454)</f>
        <v>45343.38638</v>
      </c>
      <c r="C351" s="21" t="str">
        <f>IFERROR(__xludf.DUMMYFUNCTION("""COMPUTED_VALUE"""),"berenicevieira@ufcat.edu.br")</f>
        <v>berenicevieira@ufcat.edu.br</v>
      </c>
      <c r="D351" s="22" t="str">
        <f>IFERROR(__xludf.DUMMYFUNCTION("""COMPUTED_VALUE"""),"Berenice")</f>
        <v>Berenice</v>
      </c>
      <c r="E351" s="31">
        <f>IFERROR(__xludf.DUMMYFUNCTION("""COMPUTED_VALUE"""),5341.0)</f>
        <v>5341</v>
      </c>
      <c r="F351" s="22" t="str">
        <f>IFERROR(__xludf.DUMMYFUNCTION("""COMPUTED_VALUE"""),"SERVIÇO DE LIMPEZA")</f>
        <v>SERVIÇO DE LIMPEZA</v>
      </c>
      <c r="G351" s="22" t="str">
        <f>IFERROR(__xludf.DUMMYFUNCTION("""COMPUTED_VALUE"""),"Bloco C")</f>
        <v>Bloco C</v>
      </c>
      <c r="H351" s="22" t="str">
        <f>IFERROR(__xludf.DUMMYFUNCTION("""COMPUTED_VALUE"""),"Copa")</f>
        <v>Copa</v>
      </c>
      <c r="I351" s="7" t="str">
        <f>IFERROR(__xludf.DUMMYFUNCTION("""COMPUTED_VALUE"""),"Instalações elétricas")</f>
        <v>Instalações elétricas</v>
      </c>
      <c r="J351" s="23" t="str">
        <f>IFERROR(__xludf.DUMMYFUNCTION("""COMPUTED_VALUE"""),"04 Elétrica / 37 - Outros (PRAZO DE ACORDO COM A DEMANDA)")</f>
        <v>04 Elétrica / 37 - Outros (PRAZO DE ACORDO COM A DEMANDA)</v>
      </c>
      <c r="K351" s="23"/>
      <c r="L351" s="24" t="str">
        <f>IFERROR(__xludf.DUMMYFUNCTION("""COMPUTED_VALUE"""),"Troca de plug fêmea 20 amperes")</f>
        <v>Troca de plug fêmea 20 amperes</v>
      </c>
      <c r="M351" s="25"/>
      <c r="N351" s="26" t="str">
        <f>IFERROR(__xludf.DUMMYFUNCTION("""COMPUTED_VALUE"""),"Realizado")</f>
        <v>Realizado</v>
      </c>
      <c r="O351" s="11">
        <f>IFERROR(__xludf.DUMMYFUNCTION("""COMPUTED_VALUE"""),45344.0)</f>
        <v>45344</v>
      </c>
      <c r="P351" s="11"/>
    </row>
    <row r="352">
      <c r="A352" s="20" t="str">
        <f>IFERROR(__xludf.DUMMYFUNCTION("""COMPUTED_VALUE"""),"350/2024")</f>
        <v>350/2024</v>
      </c>
      <c r="B352" s="8">
        <f>IFERROR(__xludf.DUMMYFUNCTION("""COMPUTED_VALUE"""),45343.38638297454)</f>
        <v>45343.38638</v>
      </c>
      <c r="C352" s="21" t="str">
        <f>IFERROR(__xludf.DUMMYFUNCTION("""COMPUTED_VALUE"""),"berenicedfernandes@gamail.com")</f>
        <v>berenicedfernandes@gamail.com</v>
      </c>
      <c r="D352" s="27" t="str">
        <f>IFERROR(__xludf.DUMMYFUNCTION("""COMPUTED_VALUE"""),"Berenice")</f>
        <v>Berenice</v>
      </c>
      <c r="E352" s="28">
        <f>IFERROR(__xludf.DUMMYFUNCTION("""COMPUTED_VALUE"""),5341.0)</f>
        <v>5341</v>
      </c>
      <c r="F352" s="27" t="str">
        <f>IFERROR(__xludf.DUMMYFUNCTION("""COMPUTED_VALUE"""),"SERVIÇO DE LIMPEZA")</f>
        <v>SERVIÇO DE LIMPEZA</v>
      </c>
      <c r="G352" s="22" t="str">
        <f>IFERROR(__xludf.DUMMYFUNCTION("""COMPUTED_VALUE"""),"Bloco G")</f>
        <v>Bloco G</v>
      </c>
      <c r="H352" s="27" t="str">
        <f>IFERROR(__xludf.DUMMYFUNCTION("""COMPUTED_VALUE"""),"Área externa do bloco G")</f>
        <v>Área externa do bloco G</v>
      </c>
      <c r="I352" s="7" t="str">
        <f>IFERROR(__xludf.DUMMYFUNCTION("""COMPUTED_VALUE"""),"Instalações Hidrossanitárias")</f>
        <v>Instalações Hidrossanitárias</v>
      </c>
      <c r="J352" s="23" t="str">
        <f>IFERROR(__xludf.DUMMYFUNCTION("""COMPUTED_VALUE"""),"02 Hidráulica / 22 - Outros (PRAZO DE 15 a 60 DIAS PARA ATENDIMENTO)")</f>
        <v>02 Hidráulica / 22 - Outros (PRAZO DE 15 a 60 DIAS PARA ATENDIMENTO)</v>
      </c>
      <c r="K352" s="23"/>
      <c r="L352" s="24" t="str">
        <f>IFERROR(__xludf.DUMMYFUNCTION("""COMPUTED_VALUE"""),"Trocar torneira, área externa do bloco G")</f>
        <v>Trocar torneira, área externa do bloco G</v>
      </c>
      <c r="M352" s="32"/>
      <c r="N352" s="26" t="str">
        <f>IFERROR(__xludf.DUMMYFUNCTION("""COMPUTED_VALUE"""),"Realizado")</f>
        <v>Realizado</v>
      </c>
      <c r="O352" s="11">
        <f>IFERROR(__xludf.DUMMYFUNCTION("""COMPUTED_VALUE"""),45343.0)</f>
        <v>45343</v>
      </c>
      <c r="P352" s="11"/>
    </row>
    <row r="353">
      <c r="A353" s="20" t="str">
        <f>IFERROR(__xludf.DUMMYFUNCTION("""COMPUTED_VALUE"""),"351/2024")</f>
        <v>351/2024</v>
      </c>
      <c r="B353" s="8">
        <f>IFERROR(__xludf.DUMMYFUNCTION("""COMPUTED_VALUE"""),45343.38638297454)</f>
        <v>45343.38638</v>
      </c>
      <c r="C353" s="33" t="str">
        <f>IFERROR(__xludf.DUMMYFUNCTION("""COMPUTED_VALUE"""),"amanda.lopes@ufcat.edu.br")</f>
        <v>amanda.lopes@ufcat.edu.br</v>
      </c>
      <c r="D353" s="34" t="str">
        <f>IFERROR(__xludf.DUMMYFUNCTION("""COMPUTED_VALUE"""),"Amanda Matos ")</f>
        <v>Amanda Matos </v>
      </c>
      <c r="E353" s="35">
        <f>IFERROR(__xludf.DUMMYFUNCTION("""COMPUTED_VALUE"""),5340.0)</f>
        <v>5340</v>
      </c>
      <c r="F353" s="34" t="str">
        <f>IFERROR(__xludf.DUMMYFUNCTION("""COMPUTED_VALUE"""),"PREF")</f>
        <v>PREF</v>
      </c>
      <c r="G353" s="34" t="str">
        <f>IFERROR(__xludf.DUMMYFUNCTION("""COMPUTED_VALUE"""),"Auditório Paulo de Bastos")</f>
        <v>Auditório Paulo de Bastos</v>
      </c>
      <c r="H353" s="34" t="str">
        <f>IFERROR(__xludf.DUMMYFUNCTION("""COMPUTED_VALUE"""),"Auditório Paulo de Bastos ")</f>
        <v>Auditório Paulo de Bastos </v>
      </c>
      <c r="I353" s="7" t="str">
        <f>IFERROR(__xludf.DUMMYFUNCTION("""COMPUTED_VALUE"""),"Reparos (alvenaria, piso, forro e telhado)")</f>
        <v>Reparos (alvenaria, piso, forro e telhado)</v>
      </c>
      <c r="J353" s="15" t="str">
        <f>IFERROR(__xludf.DUMMYFUNCTION("""COMPUTED_VALUE"""),"01 Alvenaria / 06 - Outros (PRAZO DE ATÉ 60 DIAS PARA ATENDIMENTO)")</f>
        <v>01 Alvenaria / 06 - Outros (PRAZO DE ATÉ 60 DIAS PARA ATENDIMENTO)</v>
      </c>
      <c r="K353" s="15"/>
      <c r="L353" s="36" t="str">
        <f>IFERROR(__xludf.DUMMYFUNCTION("""COMPUTED_VALUE"""),"Instalação de extintor ")</f>
        <v>Instalação de extintor </v>
      </c>
      <c r="M353" s="25"/>
      <c r="N353" s="26" t="str">
        <f>IFERROR(__xludf.DUMMYFUNCTION("""COMPUTED_VALUE"""),"Realizado")</f>
        <v>Realizado</v>
      </c>
      <c r="O353" s="11">
        <f>IFERROR(__xludf.DUMMYFUNCTION("""COMPUTED_VALUE"""),45343.0)</f>
        <v>45343</v>
      </c>
      <c r="P353" s="11"/>
    </row>
    <row r="354">
      <c r="A354" s="20" t="str">
        <f>IFERROR(__xludf.DUMMYFUNCTION("""COMPUTED_VALUE"""),"352/2024")</f>
        <v>352/2024</v>
      </c>
      <c r="B354" s="8">
        <f>IFERROR(__xludf.DUMMYFUNCTION("""COMPUTED_VALUE"""),45343.38638297454)</f>
        <v>45343.38638</v>
      </c>
      <c r="C354" s="37" t="str">
        <f>IFERROR(__xludf.DUMMYFUNCTION("""COMPUTED_VALUE"""),"amanda.lopes@ufcat.edu.br")</f>
        <v>amanda.lopes@ufcat.edu.br</v>
      </c>
      <c r="D354" s="38" t="str">
        <f>IFERROR(__xludf.DUMMYFUNCTION("""COMPUTED_VALUE"""),"Amanda Matos ")</f>
        <v>Amanda Matos </v>
      </c>
      <c r="E354" s="39">
        <f>IFERROR(__xludf.DUMMYFUNCTION("""COMPUTED_VALUE"""),5340.0)</f>
        <v>5340</v>
      </c>
      <c r="F354" s="38" t="str">
        <f>IFERROR(__xludf.DUMMYFUNCTION("""COMPUTED_VALUE"""),"PREF")</f>
        <v>PREF</v>
      </c>
      <c r="G354" s="38" t="str">
        <f>IFERROR(__xludf.DUMMYFUNCTION("""COMPUTED_VALUE"""),"Bloco L")</f>
        <v>Bloco L</v>
      </c>
      <c r="H354" s="38" t="str">
        <f>IFERROR(__xludf.DUMMYFUNCTION("""COMPUTED_VALUE"""),"Externo ")</f>
        <v>Externo </v>
      </c>
      <c r="I354" s="7" t="str">
        <f>IFERROR(__xludf.DUMMYFUNCTION("""COMPUTED_VALUE"""),"Reparos (alvenaria, piso, forro e telhado)")</f>
        <v>Reparos (alvenaria, piso, forro e telhado)</v>
      </c>
      <c r="J354" s="15" t="str">
        <f>IFERROR(__xludf.DUMMYFUNCTION("""COMPUTED_VALUE"""),"01 Alvenaria / 06 - Outros (PRAZO DE ATÉ 60 DIAS PARA ATENDIMENTO)")</f>
        <v>01 Alvenaria / 06 - Outros (PRAZO DE ATÉ 60 DIAS PARA ATENDIMENTO)</v>
      </c>
      <c r="K354" s="15"/>
      <c r="L354" s="29" t="str">
        <f>IFERROR(__xludf.DUMMYFUNCTION("""COMPUTED_VALUE"""),"Confecção tampa de esgoto ")</f>
        <v>Confecção tampa de esgoto </v>
      </c>
      <c r="M354" s="25"/>
      <c r="N354" s="26" t="str">
        <f>IFERROR(__xludf.DUMMYFUNCTION("""COMPUTED_VALUE"""),"Realizado")</f>
        <v>Realizado</v>
      </c>
      <c r="O354" s="11">
        <f>IFERROR(__xludf.DUMMYFUNCTION("""COMPUTED_VALUE"""),45365.0)</f>
        <v>45365</v>
      </c>
      <c r="P354" s="11"/>
    </row>
    <row r="355">
      <c r="A355" s="20" t="str">
        <f>IFERROR(__xludf.DUMMYFUNCTION("""COMPUTED_VALUE"""),"353/2024")</f>
        <v>353/2024</v>
      </c>
      <c r="B355" s="8">
        <f>IFERROR(__xludf.DUMMYFUNCTION("""COMPUTED_VALUE"""),45343.38638297454)</f>
        <v>45343.38638</v>
      </c>
      <c r="C355" s="21" t="str">
        <f>IFERROR(__xludf.DUMMYFUNCTION("""COMPUTED_VALUE"""),"seguranca@ufcat.edu.br")</f>
        <v>seguranca@ufcat.edu.br</v>
      </c>
      <c r="D355" s="22" t="str">
        <f>IFERROR(__xludf.DUMMYFUNCTION("""COMPUTED_VALUE"""),"Maria Duarte")</f>
        <v>Maria Duarte</v>
      </c>
      <c r="E355" s="31">
        <f>IFERROR(__xludf.DUMMYFUNCTION("""COMPUTED_VALUE"""),5318.0)</f>
        <v>5318</v>
      </c>
      <c r="F355" s="22" t="str">
        <f>IFERROR(__xludf.DUMMYFUNCTION("""COMPUTED_VALUE"""),"CENTRAL DE OPERAÇÕES VIGILÂNCIA")</f>
        <v>CENTRAL DE OPERAÇÕES VIGILÂNCIA</v>
      </c>
      <c r="G355" s="22" t="str">
        <f>IFERROR(__xludf.DUMMYFUNCTION("""COMPUTED_VALUE"""),"Bloco N")</f>
        <v>Bloco N</v>
      </c>
      <c r="H355" s="22" t="str">
        <f>IFERROR(__xludf.DUMMYFUNCTION("""COMPUTED_VALUE"""),"DVR do Bloco N")</f>
        <v>DVR do Bloco N</v>
      </c>
      <c r="I355" s="7" t="str">
        <f>IFERROR(__xludf.DUMMYFUNCTION("""COMPUTED_VALUE"""),"Instalações e/ou Manutenção em Cabeamento de Rede")</f>
        <v>Instalações e/ou Manutenção em Cabeamento de Rede</v>
      </c>
      <c r="J355" s="15" t="str">
        <f>IFERROR(__xludf.DUMMYFUNCTION("""COMPUTED_VALUE"""),"05 Telecomunicações / 39 - CFTV (PRAZO DE ATÉ 15 DIAS PARA ATENDIMENTO)")</f>
        <v>05 Telecomunicações / 39 - CFTV (PRAZO DE ATÉ 15 DIAS PARA ATENDIMENTO)</v>
      </c>
      <c r="K355" s="15"/>
      <c r="L355" s="15" t="str">
        <f>IFERROR(__xludf.DUMMYFUNCTION("""COMPUTED_VALUE"""),"DVR do Bloco N está com o horário atrasado (uma hora atrasado).")</f>
        <v>DVR do Bloco N está com o horário atrasado (uma hora atrasado).</v>
      </c>
      <c r="M355" s="25"/>
      <c r="N355" s="26" t="str">
        <f>IFERROR(__xludf.DUMMYFUNCTION("""COMPUTED_VALUE"""),"Realizado")</f>
        <v>Realizado</v>
      </c>
      <c r="O355" s="11">
        <f>IFERROR(__xludf.DUMMYFUNCTION("""COMPUTED_VALUE"""),45348.0)</f>
        <v>45348</v>
      </c>
      <c r="P355" s="11"/>
    </row>
    <row r="356">
      <c r="A356" s="20" t="str">
        <f>IFERROR(__xludf.DUMMYFUNCTION("""COMPUTED_VALUE"""),"354/2024")</f>
        <v>354/2024</v>
      </c>
      <c r="B356" s="8">
        <f>IFERROR(__xludf.DUMMYFUNCTION("""COMPUTED_VALUE"""),45343.38638297454)</f>
        <v>45343.38638</v>
      </c>
      <c r="C356" s="21" t="str">
        <f>IFERROR(__xludf.DUMMYFUNCTION("""COMPUTED_VALUE"""),"secretariafae@ufcat.edu.br")</f>
        <v>secretariafae@ufcat.edu.br</v>
      </c>
      <c r="D356" s="22" t="str">
        <f>IFERROR(__xludf.DUMMYFUNCTION("""COMPUTED_VALUE"""),"Bárbara")</f>
        <v>Bárbara</v>
      </c>
      <c r="E356" s="31">
        <f>IFERROR(__xludf.DUMMYFUNCTION("""COMPUTED_VALUE"""),5308.0)</f>
        <v>5308</v>
      </c>
      <c r="F356" s="22" t="str">
        <f>IFERROR(__xludf.DUMMYFUNCTION("""COMPUTED_VALUE"""),"FAE")</f>
        <v>FAE</v>
      </c>
      <c r="G356" s="22" t="str">
        <f>IFERROR(__xludf.DUMMYFUNCTION("""COMPUTED_VALUE"""),"Bloco I")</f>
        <v>Bloco I</v>
      </c>
      <c r="H356" s="22" t="str">
        <f>IFERROR(__xludf.DUMMYFUNCTION("""COMPUTED_VALUE"""),"Brinquedoteca ")</f>
        <v>Brinquedoteca </v>
      </c>
      <c r="I356" s="7" t="str">
        <f>IFERROR(__xludf.DUMMYFUNCTION("""COMPUTED_VALUE"""),"Instalações elétricas")</f>
        <v>Instalações elétricas</v>
      </c>
      <c r="J356" s="15" t="str">
        <f>IFERROR(__xludf.DUMMYFUNCTION("""COMPUTED_VALUE"""),"04 Elétrica / 35 - Troca de Lâmpadas (PRAZO DE ATÉ 15 DIAS PARA ATENDIMENTO)")</f>
        <v>04 Elétrica / 35 - Troca de Lâmpadas (PRAZO DE ATÉ 15 DIAS PARA ATENDIMENTO)</v>
      </c>
      <c r="K356" s="15"/>
      <c r="L356" s="15" t="str">
        <f>IFERROR(__xludf.DUMMYFUNCTION("""COMPUTED_VALUE"""),"trocar lampada queimada na brinquedoteca ")</f>
        <v>trocar lampada queimada na brinquedoteca </v>
      </c>
      <c r="M356" s="25"/>
      <c r="N356" s="26" t="str">
        <f>IFERROR(__xludf.DUMMYFUNCTION("""COMPUTED_VALUE"""),"Realizado")</f>
        <v>Realizado</v>
      </c>
      <c r="O356" s="11">
        <f>IFERROR(__xludf.DUMMYFUNCTION("""COMPUTED_VALUE"""),45352.0)</f>
        <v>45352</v>
      </c>
      <c r="P356" s="11"/>
    </row>
    <row r="357">
      <c r="A357" s="20" t="str">
        <f>IFERROR(__xludf.DUMMYFUNCTION("""COMPUTED_VALUE"""),"355/2024")</f>
        <v>355/2024</v>
      </c>
      <c r="B357" s="8">
        <f>IFERROR(__xludf.DUMMYFUNCTION("""COMPUTED_VALUE"""),45343.49960542824)</f>
        <v>45343.49961</v>
      </c>
      <c r="C357" s="21" t="str">
        <f>IFERROR(__xludf.DUMMYFUNCTION("""COMPUTED_VALUE"""),"amanda.lopes@ufcat.edu.br")</f>
        <v>amanda.lopes@ufcat.edu.br</v>
      </c>
      <c r="D357" s="22" t="str">
        <f>IFERROR(__xludf.DUMMYFUNCTION("""COMPUTED_VALUE"""),"Amanda Matos ")</f>
        <v>Amanda Matos </v>
      </c>
      <c r="E357" s="31">
        <f>IFERROR(__xludf.DUMMYFUNCTION("""COMPUTED_VALUE"""),5340.0)</f>
        <v>5340</v>
      </c>
      <c r="F357" s="22" t="str">
        <f>IFERROR(__xludf.DUMMYFUNCTION("""COMPUTED_VALUE"""),"PREF")</f>
        <v>PREF</v>
      </c>
      <c r="G357" s="22" t="str">
        <f>IFERROR(__xludf.DUMMYFUNCTION("""COMPUTED_VALUE"""),"Piscina")</f>
        <v>Piscina</v>
      </c>
      <c r="H357" s="22" t="str">
        <f>IFERROR(__xludf.DUMMYFUNCTION("""COMPUTED_VALUE"""),"Lado externo ")</f>
        <v>Lado externo </v>
      </c>
      <c r="I357" s="7" t="str">
        <f>IFERROR(__xludf.DUMMYFUNCTION("""COMPUTED_VALUE"""),"Serralheria")</f>
        <v>Serralheria</v>
      </c>
      <c r="J357" s="15" t="str">
        <f>IFERROR(__xludf.DUMMYFUNCTION("""COMPUTED_VALUE"""),"08 Serralheria / 56 - Outros (PRAZO DE ACORDO COM A DEMANDA)")</f>
        <v>08 Serralheria / 56 - Outros (PRAZO DE ACORDO COM A DEMANDA)</v>
      </c>
      <c r="K357" s="15"/>
      <c r="L357" s="15" t="str">
        <f>IFERROR(__xludf.DUMMYFUNCTION("""COMPUTED_VALUE"""),"Instalação de tela de sombrite para proteção envolta da piscina ")</f>
        <v>Instalação de tela de sombrite para proteção envolta da piscina </v>
      </c>
      <c r="M357" s="25"/>
      <c r="N357" s="26" t="str">
        <f>IFERROR(__xludf.DUMMYFUNCTION("""COMPUTED_VALUE"""),"Realizado")</f>
        <v>Realizado</v>
      </c>
      <c r="O357" s="11">
        <f>IFERROR(__xludf.DUMMYFUNCTION("""COMPUTED_VALUE"""),45365.0)</f>
        <v>45365</v>
      </c>
      <c r="P357" s="11"/>
    </row>
    <row r="358">
      <c r="A358" s="20" t="str">
        <f>IFERROR(__xludf.DUMMYFUNCTION("""COMPUTED_VALUE"""),"356/2024")</f>
        <v>356/2024</v>
      </c>
      <c r="B358" s="8">
        <f>IFERROR(__xludf.DUMMYFUNCTION("""COMPUTED_VALUE"""),45343.49960542824)</f>
        <v>45343.49961</v>
      </c>
      <c r="C358" s="21" t="str">
        <f>IFERROR(__xludf.DUMMYFUNCTION("""COMPUTED_VALUE"""),"amanda.lopes@ufcat.edu.br")</f>
        <v>amanda.lopes@ufcat.edu.br</v>
      </c>
      <c r="D358" s="22" t="str">
        <f>IFERROR(__xludf.DUMMYFUNCTION("""COMPUTED_VALUE"""),"Amanda Matos")</f>
        <v>Amanda Matos</v>
      </c>
      <c r="E358" s="31">
        <f>IFERROR(__xludf.DUMMYFUNCTION("""COMPUTED_VALUE"""),5340.0)</f>
        <v>5340</v>
      </c>
      <c r="F358" s="22" t="str">
        <f>IFERROR(__xludf.DUMMYFUNCTION("""COMPUTED_VALUE"""),"PREF")</f>
        <v>PREF</v>
      </c>
      <c r="G358" s="22" t="str">
        <f>IFERROR(__xludf.DUMMYFUNCTION("""COMPUTED_VALUE"""),"Bloco P")</f>
        <v>Bloco P</v>
      </c>
      <c r="H358" s="22" t="str">
        <f>IFERROR(__xludf.DUMMYFUNCTION("""COMPUTED_VALUE"""),"Prefeitura Universitária")</f>
        <v>Prefeitura Universitária</v>
      </c>
      <c r="I358" s="7" t="str">
        <f>IFERROR(__xludf.DUMMYFUNCTION("""COMPUTED_VALUE"""),"Vidraçaria")</f>
        <v>Vidraçaria</v>
      </c>
      <c r="J358" s="15" t="str">
        <f>IFERROR(__xludf.DUMMYFUNCTION("""COMPUTED_VALUE"""),"07 Vidraçaria / 51 - Outros (PRAZO DE ACORDO COM A DEMANDA)")</f>
        <v>07 Vidraçaria / 51 - Outros (PRAZO DE ACORDO COM A DEMANDA)</v>
      </c>
      <c r="K358" s="15"/>
      <c r="L358" s="15" t="str">
        <f>IFERROR(__xludf.DUMMYFUNCTION("""COMPUTED_VALUE"""),"Reparo porta prefeitura universitária, a mesma esta com dificuldade de abrir ")</f>
        <v>Reparo porta prefeitura universitária, a mesma esta com dificuldade de abrir </v>
      </c>
      <c r="M358" s="25"/>
      <c r="N358" s="26" t="str">
        <f>IFERROR(__xludf.DUMMYFUNCTION("""COMPUTED_VALUE"""),"Realizado")</f>
        <v>Realizado</v>
      </c>
      <c r="O358" s="11">
        <f>IFERROR(__xludf.DUMMYFUNCTION("""COMPUTED_VALUE"""),45348.0)</f>
        <v>45348</v>
      </c>
      <c r="P358" s="11"/>
    </row>
    <row r="359">
      <c r="A359" s="20" t="str">
        <f>IFERROR(__xludf.DUMMYFUNCTION("""COMPUTED_VALUE"""),"357/2024")</f>
        <v>357/2024</v>
      </c>
      <c r="B359" s="8">
        <f>IFERROR(__xludf.DUMMYFUNCTION("""COMPUTED_VALUE"""),45343.49960542824)</f>
        <v>45343.49961</v>
      </c>
      <c r="C359" s="21" t="str">
        <f>IFERROR(__xludf.DUMMYFUNCTION("""COMPUTED_VALUE"""),"guilherme_melo@ufcat.edu.br")</f>
        <v>guilherme_melo@ufcat.edu.br</v>
      </c>
      <c r="D359" s="22" t="str">
        <f>IFERROR(__xludf.DUMMYFUNCTION("""COMPUTED_VALUE"""),"Guilherme")</f>
        <v>Guilherme</v>
      </c>
      <c r="E359" s="31">
        <f>IFERROR(__xludf.DUMMYFUNCTION("""COMPUTED_VALUE"""),5337.0)</f>
        <v>5337</v>
      </c>
      <c r="F359" s="22" t="str">
        <f>IFERROR(__xludf.DUMMYFUNCTION("""COMPUTED_VALUE"""),"SETI")</f>
        <v>SETI</v>
      </c>
      <c r="G359" s="22" t="str">
        <f>IFERROR(__xludf.DUMMYFUNCTION("""COMPUTED_VALUE"""),"Bloco C")</f>
        <v>Bloco C</v>
      </c>
      <c r="H359" s="22" t="str">
        <f>IFERROR(__xludf.DUMMYFUNCTION("""COMPUTED_VALUE"""),"corredor bloco C")</f>
        <v>corredor bloco C</v>
      </c>
      <c r="I359" s="7" t="str">
        <f>IFERROR(__xludf.DUMMYFUNCTION("""COMPUTED_VALUE"""),"Instalações e/ou Manutenção em Cabeamento de Rede")</f>
        <v>Instalações e/ou Manutenção em Cabeamento de Rede</v>
      </c>
      <c r="J359" s="15" t="str">
        <f>IFERROR(__xludf.DUMMYFUNCTION("""COMPUTED_VALUE"""),"05 Telecomunicações / 38 - Cabeamento de Rede (PRAZO DE ATÉ 15 DIAS PARA ATENDIMENTO)")</f>
        <v>05 Telecomunicações / 38 - Cabeamento de Rede (PRAZO DE ATÉ 15 DIAS PARA ATENDIMENTO)</v>
      </c>
      <c r="K359" s="15"/>
      <c r="L359" s="15" t="str">
        <f>IFERROR(__xludf.DUMMYFUNCTION("""COMPUTED_VALUE"""),"Colocar um AP no início do corredor do bloco C (pegar o AP aqui na SeTI) ")</f>
        <v>Colocar um AP no início do corredor do bloco C (pegar o AP aqui na SeTI) </v>
      </c>
      <c r="M359" s="25"/>
      <c r="N359" s="26" t="str">
        <f>IFERROR(__xludf.DUMMYFUNCTION("""COMPUTED_VALUE"""),"Realizado")</f>
        <v>Realizado</v>
      </c>
      <c r="O359" s="11">
        <f>IFERROR(__xludf.DUMMYFUNCTION("""COMPUTED_VALUE"""),45358.0)</f>
        <v>45358</v>
      </c>
      <c r="P359" s="11"/>
    </row>
    <row r="360">
      <c r="A360" s="20" t="str">
        <f>IFERROR(__xludf.DUMMYFUNCTION("""COMPUTED_VALUE"""),"358/2024")</f>
        <v>358/2024</v>
      </c>
      <c r="B360" s="8">
        <f>IFERROR(__xludf.DUMMYFUNCTION("""COMPUTED_VALUE"""),45343.49960542824)</f>
        <v>45343.49961</v>
      </c>
      <c r="C360" s="21" t="str">
        <f>IFERROR(__xludf.DUMMYFUNCTION("""COMPUTED_VALUE"""),"deusmarsilva@ufcat.edu.br")</f>
        <v>deusmarsilva@ufcat.edu.br</v>
      </c>
      <c r="D360" s="22" t="str">
        <f>IFERROR(__xludf.DUMMYFUNCTION("""COMPUTED_VALUE"""),"Deusmar Machado da Silva")</f>
        <v>Deusmar Machado da Silva</v>
      </c>
      <c r="E360" s="22" t="str">
        <f>IFERROR(__xludf.DUMMYFUNCTION("""COMPUTED_VALUE"""),"00")</f>
        <v>00</v>
      </c>
      <c r="F360" s="22" t="str">
        <f>IFERROR(__xludf.DUMMYFUNCTION("""COMPUTED_VALUE"""),"IBIOTEC - Medicina")</f>
        <v>IBIOTEC - Medicina</v>
      </c>
      <c r="G360" s="22" t="str">
        <f>IFERROR(__xludf.DUMMYFUNCTION("""COMPUTED_VALUE"""),"Campus II")</f>
        <v>Campus II</v>
      </c>
      <c r="H360" s="22" t="str">
        <f>IFERROR(__xludf.DUMMYFUNCTION("""COMPUTED_VALUE"""),"Sala 13")</f>
        <v>Sala 13</v>
      </c>
      <c r="I360" s="7" t="str">
        <f>IFERROR(__xludf.DUMMYFUNCTION("""COMPUTED_VALUE"""),"Serralheria")</f>
        <v>Serralheria</v>
      </c>
      <c r="J360" s="15" t="str">
        <f>IFERROR(__xludf.DUMMYFUNCTION("""COMPUTED_VALUE"""),"08 Serralheria / 56 - Outros (PRAZO DE ACORDO COM A DEMANDA)")</f>
        <v>08 Serralheria / 56 - Outros (PRAZO DE ACORDO COM A DEMANDA)</v>
      </c>
      <c r="K360" s="15"/>
      <c r="L360" s="15" t="str">
        <f>IFERROR(__xludf.DUMMYFUNCTION("""COMPUTED_VALUE"""),"Trocar a fechadura da porta do laboratório Didático I (sala13 do corredor da anatomia). ")</f>
        <v>Trocar a fechadura da porta do laboratório Didático I (sala13 do corredor da anatomia). </v>
      </c>
      <c r="M360" s="20"/>
      <c r="N360" s="26" t="str">
        <f>IFERROR(__xludf.DUMMYFUNCTION("""COMPUTED_VALUE"""),"Realizado")</f>
        <v>Realizado</v>
      </c>
      <c r="O360" s="11">
        <f>IFERROR(__xludf.DUMMYFUNCTION("""COMPUTED_VALUE"""),45377.0)</f>
        <v>45377</v>
      </c>
      <c r="P360" s="11"/>
    </row>
    <row r="361">
      <c r="A361" s="20" t="str">
        <f>IFERROR(__xludf.DUMMYFUNCTION("""COMPUTED_VALUE"""),"359/2024")</f>
        <v>359/2024</v>
      </c>
      <c r="B361" s="8">
        <f>IFERROR(__xludf.DUMMYFUNCTION("""COMPUTED_VALUE"""),45343.49960542824)</f>
        <v>45343.49961</v>
      </c>
      <c r="C361" s="21" t="str">
        <f>IFERROR(__xludf.DUMMYFUNCTION("""COMPUTED_VALUE"""),"iana.abrantes@ufcat.edu.br")</f>
        <v>iana.abrantes@ufcat.edu.br</v>
      </c>
      <c r="D361" s="22" t="str">
        <f>IFERROR(__xludf.DUMMYFUNCTION("""COMPUTED_VALUE"""),"Iana Grecco")</f>
        <v>Iana Grecco</v>
      </c>
      <c r="E361" s="22" t="str">
        <f>IFERROR(__xludf.DUMMYFUNCTION("""COMPUTED_VALUE"""),"62 9 8331-8743")</f>
        <v>62 9 8331-8743</v>
      </c>
      <c r="F361" s="22" t="str">
        <f>IFERROR(__xludf.DUMMYFUNCTION("""COMPUTED_VALUE"""),"FENG - Engenharia Civil")</f>
        <v>FENG - Engenharia Civil</v>
      </c>
      <c r="G361" s="22" t="str">
        <f>IFERROR(__xludf.DUMMYFUNCTION("""COMPUTED_VALUE"""),"Bloco O")</f>
        <v>Bloco O</v>
      </c>
      <c r="H361" s="22" t="str">
        <f>IFERROR(__xludf.DUMMYFUNCTION("""COMPUTED_VALUE"""),"Laboratório de Hidráulica/Saneamento")</f>
        <v>Laboratório de Hidráulica/Saneamento</v>
      </c>
      <c r="I361" s="7" t="str">
        <f>IFERROR(__xludf.DUMMYFUNCTION("""COMPUTED_VALUE"""),"Instalações Hidrossanitárias")</f>
        <v>Instalações Hidrossanitárias</v>
      </c>
      <c r="J361" s="15" t="str">
        <f>IFERROR(__xludf.DUMMYFUNCTION("""COMPUTED_VALUE"""),"02 Hidráulica / 22 - Outros (PRAZO DE 15 a 60 DIAS PARA ATENDIMENTO)")</f>
        <v>02 Hidráulica / 22 - Outros (PRAZO DE 15 a 60 DIAS PARA ATENDIMENTO)</v>
      </c>
      <c r="K361" s="15"/>
      <c r="L361" s="15" t="str">
        <f>IFERROR(__xludf.DUMMYFUNCTION("""COMPUTED_VALUE"""),"Retirada de bomba da bancada de canal hidráulico para manutenção.")</f>
        <v>Retirada de bomba da bancada de canal hidráulico para manutenção.</v>
      </c>
      <c r="M361" s="25"/>
      <c r="N361" s="26" t="str">
        <f>IFERROR(__xludf.DUMMYFUNCTION("""COMPUTED_VALUE"""),"Realizado")</f>
        <v>Realizado</v>
      </c>
      <c r="O361" s="11">
        <f>IFERROR(__xludf.DUMMYFUNCTION("""COMPUTED_VALUE"""),45352.0)</f>
        <v>45352</v>
      </c>
      <c r="P361" s="11"/>
    </row>
    <row r="362">
      <c r="A362" s="20" t="str">
        <f>IFERROR(__xludf.DUMMYFUNCTION("""COMPUTED_VALUE"""),"360/2024")</f>
        <v>360/2024</v>
      </c>
      <c r="B362" s="8">
        <f>IFERROR(__xludf.DUMMYFUNCTION("""COMPUTED_VALUE"""),45343.0)</f>
        <v>45343</v>
      </c>
      <c r="C362" s="21" t="str">
        <f>IFERROR(__xludf.DUMMYFUNCTION("""COMPUTED_VALUE"""),"vaston@ufcat.edu.br")</f>
        <v>vaston@ufcat.edu.br</v>
      </c>
      <c r="D362" s="22" t="str">
        <f>IFERROR(__xludf.DUMMYFUNCTION("""COMPUTED_VALUE"""),"Vaston G. Costa")</f>
        <v>Vaston G. Costa</v>
      </c>
      <c r="E362" s="22" t="str">
        <f>IFERROR(__xludf.DUMMYFUNCTION("""COMPUTED_VALUE"""),"3441-5320")</f>
        <v>3441-5320</v>
      </c>
      <c r="F362" s="22" t="str">
        <f>IFERROR(__xludf.DUMMYFUNCTION("""COMPUTED_VALUE"""),"IMTec")</f>
        <v>IMTec</v>
      </c>
      <c r="G362" s="22" t="str">
        <f>IFERROR(__xludf.DUMMYFUNCTION("""COMPUTED_VALUE"""),"Bloco J")</f>
        <v>Bloco J</v>
      </c>
      <c r="H362" s="40">
        <f>IFERROR(__xludf.DUMMYFUNCTION("""COMPUTED_VALUE"""),3.0)</f>
        <v>3</v>
      </c>
      <c r="I362" s="20"/>
      <c r="J362" s="29"/>
      <c r="K362" s="29"/>
      <c r="L362" s="15" t="str">
        <f>IFERROR(__xludf.DUMMYFUNCTION("""COMPUTED_VALUE"""),"Furo de 22mm em mdf 18mm para alunos em projeto de robótica ")</f>
        <v>Furo de 22mm em mdf 18mm para alunos em projeto de robótica </v>
      </c>
      <c r="M362" s="25"/>
      <c r="N362" s="26" t="str">
        <f>IFERROR(__xludf.DUMMYFUNCTION("""COMPUTED_VALUE"""),"Realizado")</f>
        <v>Realizado</v>
      </c>
      <c r="O362" s="8">
        <f>IFERROR(__xludf.DUMMYFUNCTION("""COMPUTED_VALUE"""),45344.0)</f>
        <v>45344</v>
      </c>
      <c r="P362" s="8"/>
    </row>
    <row r="363">
      <c r="A363" s="20" t="str">
        <f>IFERROR(__xludf.DUMMYFUNCTION("""COMPUTED_VALUE"""),"361/2024")</f>
        <v>361/2024</v>
      </c>
      <c r="B363" s="8">
        <f>IFERROR(__xludf.DUMMYFUNCTION("""COMPUTED_VALUE"""),45344.0)</f>
        <v>45344</v>
      </c>
      <c r="C363" s="21" t="str">
        <f>IFERROR(__xludf.DUMMYFUNCTION("""COMPUTED_VALUE"""),"brunocezar@ufcat.edu.br")</f>
        <v>brunocezar@ufcat.edu.br</v>
      </c>
      <c r="D363" s="22" t="str">
        <f>IFERROR(__xludf.DUMMYFUNCTION("""COMPUTED_VALUE"""),"Bruno Cezar")</f>
        <v>Bruno Cezar</v>
      </c>
      <c r="E363" s="31">
        <f>IFERROR(__xludf.DUMMYFUNCTION("""COMPUTED_VALUE"""),5376.0)</f>
        <v>5376</v>
      </c>
      <c r="F363" s="22" t="str">
        <f>IFERROR(__xludf.DUMMYFUNCTION("""COMPUTED_VALUE"""),"FENG  - Engenharia de Produção")</f>
        <v>FENG  - Engenharia de Produção</v>
      </c>
      <c r="G363" s="22" t="str">
        <f>IFERROR(__xludf.DUMMYFUNCTION("""COMPUTED_VALUE"""),"Bloco O")</f>
        <v>Bloco O</v>
      </c>
      <c r="H363" s="22" t="str">
        <f>IFERROR(__xludf.DUMMYFUNCTION("""COMPUTED_VALUE"""),"Sanitário feminino - 3º piso")</f>
        <v>Sanitário feminino - 3º piso</v>
      </c>
      <c r="I363" s="7" t="str">
        <f>IFERROR(__xludf.DUMMYFUNCTION("""COMPUTED_VALUE"""),"Instalações Hidrossanitárias")</f>
        <v>Instalações Hidrossanitárias</v>
      </c>
      <c r="J363" s="15" t="str">
        <f>IFERROR(__xludf.DUMMYFUNCTION("""COMPUTED_VALUE"""),"02 Hidráulica / 11 - Vazamento em Tubulação interna (PRAZO DE 15 a 60 DIAS PARA ATENDIMENTO)")</f>
        <v>02 Hidráulica / 11 - Vazamento em Tubulação interna (PRAZO DE 15 a 60 DIAS PARA ATENDIMENTO)</v>
      </c>
      <c r="K363" s="15"/>
      <c r="L363" s="15" t="str">
        <f>IFERROR(__xludf.DUMMYFUNCTION("""COMPUTED_VALUE"""),"Vaso com vazamento")</f>
        <v>Vaso com vazamento</v>
      </c>
      <c r="M363" s="25"/>
      <c r="N363" s="26" t="str">
        <f>IFERROR(__xludf.DUMMYFUNCTION("""COMPUTED_VALUE"""),"Realizado")</f>
        <v>Realizado</v>
      </c>
      <c r="O363" s="8">
        <f>IFERROR(__xludf.DUMMYFUNCTION("""COMPUTED_VALUE"""),45344.0)</f>
        <v>45344</v>
      </c>
      <c r="P363" s="8"/>
    </row>
    <row r="364">
      <c r="A364" s="20" t="str">
        <f>IFERROR(__xludf.DUMMYFUNCTION("""COMPUTED_VALUE"""),"362/2024")</f>
        <v>362/2024</v>
      </c>
      <c r="B364" s="8">
        <f>IFERROR(__xludf.DUMMYFUNCTION("""COMPUTED_VALUE"""),45344.0)</f>
        <v>45344</v>
      </c>
      <c r="C364" s="21" t="str">
        <f>IFERROR(__xludf.DUMMYFUNCTION("""COMPUTED_VALUE"""),"manutencao.pref@ucat.edu.br")</f>
        <v>manutencao.pref@ucat.edu.br</v>
      </c>
      <c r="D364" s="22" t="str">
        <f>IFERROR(__xludf.DUMMYFUNCTION("""COMPUTED_VALUE"""),"Filipe")</f>
        <v>Filipe</v>
      </c>
      <c r="E364" s="31">
        <f>IFERROR(__xludf.DUMMYFUNCTION("""COMPUTED_VALUE"""),5340.0)</f>
        <v>5340</v>
      </c>
      <c r="F364" s="22" t="str">
        <f>IFERROR(__xludf.DUMMYFUNCTION("""COMPUTED_VALUE"""),"PREF")</f>
        <v>PREF</v>
      </c>
      <c r="G364" s="22" t="str">
        <f>IFERROR(__xludf.DUMMYFUNCTION("""COMPUTED_VALUE"""),"Bloco C")</f>
        <v>Bloco C</v>
      </c>
      <c r="H364" s="22" t="str">
        <f>IFERROR(__xludf.DUMMYFUNCTION("""COMPUTED_VALUE"""),"Antigo monitoramento")</f>
        <v>Antigo monitoramento</v>
      </c>
      <c r="I364" s="7" t="str">
        <f>IFERROR(__xludf.DUMMYFUNCTION("""COMPUTED_VALUE"""),"Instalações elétricas")</f>
        <v>Instalações elétricas</v>
      </c>
      <c r="J364" s="15" t="str">
        <f>IFERROR(__xludf.DUMMYFUNCTION("""COMPUTED_VALUE"""),"04 Elétrica / 37 - Outros (PRAZO DE ACORDO COM A DEMANDA)")</f>
        <v>04 Elétrica / 37 - Outros (PRAZO DE ACORDO COM A DEMANDA)</v>
      </c>
      <c r="K364" s="15"/>
      <c r="L364" s="15" t="str">
        <f>IFERROR(__xludf.DUMMYFUNCTION("""COMPUTED_VALUE"""),"retirar tranca eletrônica")</f>
        <v>retirar tranca eletrônica</v>
      </c>
      <c r="M364" s="25"/>
      <c r="N364" s="26" t="str">
        <f>IFERROR(__xludf.DUMMYFUNCTION("""COMPUTED_VALUE"""),"Realizado")</f>
        <v>Realizado</v>
      </c>
      <c r="O364" s="11">
        <f>IFERROR(__xludf.DUMMYFUNCTION("""COMPUTED_VALUE"""),45348.0)</f>
        <v>45348</v>
      </c>
      <c r="P364" s="11"/>
    </row>
    <row r="365">
      <c r="A365" s="20" t="str">
        <f>IFERROR(__xludf.DUMMYFUNCTION("""COMPUTED_VALUE"""),"363/2024")</f>
        <v>363/2024</v>
      </c>
      <c r="B365" s="8">
        <f>IFERROR(__xludf.DUMMYFUNCTION("""COMPUTED_VALUE"""),45344.0)</f>
        <v>45344</v>
      </c>
      <c r="C365" s="21" t="str">
        <f>IFERROR(__xludf.DUMMYFUNCTION("""COMPUTED_VALUE"""),"manutencao.pref@ufcat.edu.br")</f>
        <v>manutencao.pref@ufcat.edu.br</v>
      </c>
      <c r="D365" s="22" t="str">
        <f>IFERROR(__xludf.DUMMYFUNCTION("""COMPUTED_VALUE"""),"Filipe")</f>
        <v>Filipe</v>
      </c>
      <c r="E365" s="31">
        <f>IFERROR(__xludf.DUMMYFUNCTION("""COMPUTED_VALUE"""),5340.0)</f>
        <v>5340</v>
      </c>
      <c r="F365" s="22" t="str">
        <f>IFERROR(__xludf.DUMMYFUNCTION("""COMPUTED_VALUE"""),"PREF")</f>
        <v>PREF</v>
      </c>
      <c r="G365" s="22" t="str">
        <f>IFERROR(__xludf.DUMMYFUNCTION("""COMPUTED_VALUE"""),"Bloco Administrativo")</f>
        <v>Bloco Administrativo</v>
      </c>
      <c r="H365" s="22" t="str">
        <f>IFERROR(__xludf.DUMMYFUNCTION("""COMPUTED_VALUE"""),"subsolo ")</f>
        <v>subsolo </v>
      </c>
      <c r="I365" s="7" t="str">
        <f>IFERROR(__xludf.DUMMYFUNCTION("""COMPUTED_VALUE"""),"Instalações elétricas")</f>
        <v>Instalações elétricas</v>
      </c>
      <c r="J365" s="15" t="str">
        <f>IFERROR(__xludf.DUMMYFUNCTION("""COMPUTED_VALUE"""),"04 Elétrica / 37 - Outros (PRAZO DE ACORDO COM A DEMANDA)")</f>
        <v>04 Elétrica / 37 - Outros (PRAZO DE ACORDO COM A DEMANDA)</v>
      </c>
      <c r="K365" s="15"/>
      <c r="L365" s="15" t="str">
        <f>IFERROR(__xludf.DUMMYFUNCTION("""COMPUTED_VALUE"""),"instalação de tranca eletrônica em divisória recém instalada")</f>
        <v>instalação de tranca eletrônica em divisória recém instalada</v>
      </c>
      <c r="M365" s="25"/>
      <c r="N365" s="26" t="str">
        <f>IFERROR(__xludf.DUMMYFUNCTION("""COMPUTED_VALUE"""),"Realizado")</f>
        <v>Realizado</v>
      </c>
      <c r="O365" s="11">
        <f>IFERROR(__xludf.DUMMYFUNCTION("""COMPUTED_VALUE"""),45352.0)</f>
        <v>45352</v>
      </c>
      <c r="P365" s="11"/>
    </row>
    <row r="366">
      <c r="A366" s="20" t="str">
        <f>IFERROR(__xludf.DUMMYFUNCTION("""COMPUTED_VALUE"""),"364/2024")</f>
        <v>364/2024</v>
      </c>
      <c r="B366" s="8">
        <f>IFERROR(__xludf.DUMMYFUNCTION("""COMPUTED_VALUE"""),45344.0)</f>
        <v>45344</v>
      </c>
      <c r="C366" s="21" t="str">
        <f>IFERROR(__xludf.DUMMYFUNCTION("""COMPUTED_VALUE"""),"isabela.moraes@ufcat.edu.br")</f>
        <v>isabela.moraes@ufcat.edu.br</v>
      </c>
      <c r="D366" s="22" t="str">
        <f>IFERROR(__xludf.DUMMYFUNCTION("""COMPUTED_VALUE"""),"Isabela Rocceline")</f>
        <v>Isabela Rocceline</v>
      </c>
      <c r="E366" s="31">
        <f>IFERROR(__xludf.DUMMYFUNCTION("""COMPUTED_VALUE"""),5369.0)</f>
        <v>5369</v>
      </c>
      <c r="F366" s="22" t="str">
        <f>IFERROR(__xludf.DUMMYFUNCTION("""COMPUTED_VALUE"""),"PROAF")</f>
        <v>PROAF</v>
      </c>
      <c r="G366" s="22" t="str">
        <f>IFERROR(__xludf.DUMMYFUNCTION("""COMPUTED_VALUE"""),"Bloco P")</f>
        <v>Bloco P</v>
      </c>
      <c r="H366" s="22" t="str">
        <f>IFERROR(__xludf.DUMMYFUNCTION("""COMPUTED_VALUE"""),"Sala de Transporte")</f>
        <v>Sala de Transporte</v>
      </c>
      <c r="I366" s="20" t="str">
        <f>IFERROR(__xludf.DUMMYFUNCTION("""COMPUTED_VALUE"""),"Vidraçaria")</f>
        <v>Vidraçaria</v>
      </c>
      <c r="J366" s="15" t="str">
        <f>IFERROR(__xludf.DUMMYFUNCTION("""COMPUTED_VALUE"""),"07 Vidraçaria / 48 - Vidro de Janela (PRAZO DE ATÉ 60 DIAS PARA ATENDIMENTO)")</f>
        <v>07 Vidraçaria / 48 - Vidro de Janela (PRAZO DE ATÉ 60 DIAS PARA ATENDIMENTO)</v>
      </c>
      <c r="K366" s="15"/>
      <c r="L366" s="15" t="str">
        <f>IFERROR(__xludf.DUMMYFUNCTION("""COMPUTED_VALUE"""),"Colocar o vidro da janela do banheiro feminino")</f>
        <v>Colocar o vidro da janela do banheiro feminino</v>
      </c>
      <c r="M366" s="15" t="str">
        <f>IFERROR(__xludf.DUMMYFUNCTION("""COMPUTED_VALUE"""),"A janela deste banheiro dá para a sala do monitoramento causando constragimento. - Ordem suspensa por falta de material ")</f>
        <v>A janela deste banheiro dá para a sala do monitoramento causando constragimento. - Ordem suspensa por falta de material </v>
      </c>
      <c r="N366" s="26" t="str">
        <f>IFERROR(__xludf.DUMMYFUNCTION("""COMPUTED_VALUE"""),"Contratação externa PREF")</f>
        <v>Contratação externa PREF</v>
      </c>
      <c r="O366" s="11">
        <f>IFERROR(__xludf.DUMMYFUNCTION("""COMPUTED_VALUE"""),45357.0)</f>
        <v>45357</v>
      </c>
      <c r="P366" s="11"/>
    </row>
    <row r="367">
      <c r="A367" s="20" t="str">
        <f>IFERROR(__xludf.DUMMYFUNCTION("""COMPUTED_VALUE"""),"365/2024")</f>
        <v>365/2024</v>
      </c>
      <c r="B367" s="8">
        <f>IFERROR(__xludf.DUMMYFUNCTION("""COMPUTED_VALUE"""),45344.0)</f>
        <v>45344</v>
      </c>
      <c r="C367" s="21" t="str">
        <f>IFERROR(__xludf.DUMMYFUNCTION("""COMPUTED_VALUE"""),"elaine_carbonero@ufcat.edu.br")</f>
        <v>elaine_carbonero@ufcat.edu.br</v>
      </c>
      <c r="D367" s="22" t="str">
        <f>IFERROR(__xludf.DUMMYFUNCTION("""COMPUTED_VALUE"""),"elaine R carbonero")</f>
        <v>elaine R carbonero</v>
      </c>
      <c r="E367" s="22" t="str">
        <f>IFERROR(__xludf.DUMMYFUNCTION("""COMPUTED_VALUE"""),"64 981321757")</f>
        <v>64 981321757</v>
      </c>
      <c r="F367" s="22" t="str">
        <f>IFERROR(__xludf.DUMMYFUNCTION("""COMPUTED_VALUE"""),"IQ")</f>
        <v>IQ</v>
      </c>
      <c r="G367" s="22" t="str">
        <f>IFERROR(__xludf.DUMMYFUNCTION("""COMPUTED_VALUE"""),"Bloco N")</f>
        <v>Bloco N</v>
      </c>
      <c r="H367" s="22" t="str">
        <f>IFERROR(__xludf.DUMMYFUNCTION("""COMPUTED_VALUE"""),"Labs 111 e 115")</f>
        <v>Labs 111 e 115</v>
      </c>
      <c r="I367" s="7" t="str">
        <f>IFERROR(__xludf.DUMMYFUNCTION("""COMPUTED_VALUE"""),"Pequenos serviços de reparos em Marcenaria")</f>
        <v>Pequenos serviços de reparos em Marcenaria</v>
      </c>
      <c r="J367" s="15" t="str">
        <f>IFERROR(__xludf.DUMMYFUNCTION("""COMPUTED_VALUE"""),"03 Marcenaria / 24 - Conserto de Móveis (PRAZO DE ATÉ 60 DIAS PARA ATENDIMENTO)")</f>
        <v>03 Marcenaria / 24 - Conserto de Móveis (PRAZO DE ATÉ 60 DIAS PARA ATENDIMENTO)</v>
      </c>
      <c r="K367" s="15"/>
      <c r="L367" s="15" t="str">
        <f>IFERROR(__xludf.DUMMYFUNCTION("""COMPUTED_VALUE"""),"Adequação das portas abaixo das capelas de exaustao e colocação de uma divisória (prateleira)")</f>
        <v>Adequação das portas abaixo das capelas de exaustao e colocação de uma divisória (prateleira)</v>
      </c>
      <c r="M367" s="25"/>
      <c r="N367" s="26" t="str">
        <f>IFERROR(__xludf.DUMMYFUNCTION("""COMPUTED_VALUE"""),"Realizado")</f>
        <v>Realizado</v>
      </c>
      <c r="O367" s="11">
        <f>IFERROR(__xludf.DUMMYFUNCTION("""COMPUTED_VALUE"""),45348.0)</f>
        <v>45348</v>
      </c>
      <c r="P367" s="11"/>
    </row>
    <row r="368">
      <c r="A368" s="20" t="str">
        <f>IFERROR(__xludf.DUMMYFUNCTION("""COMPUTED_VALUE"""),"366/2024")</f>
        <v>366/2024</v>
      </c>
      <c r="B368" s="8">
        <f>IFERROR(__xludf.DUMMYFUNCTION("""COMPUTED_VALUE"""),45344.0)</f>
        <v>45344</v>
      </c>
      <c r="C368" s="21" t="str">
        <f>IFERROR(__xludf.DUMMYFUNCTION("""COMPUTED_VALUE"""),"elaine_carbonero@ufcat.edu.br")</f>
        <v>elaine_carbonero@ufcat.edu.br</v>
      </c>
      <c r="D368" s="22" t="str">
        <f>IFERROR(__xludf.DUMMYFUNCTION("""COMPUTED_VALUE"""),"elaine R. Carbonero")</f>
        <v>elaine R. Carbonero</v>
      </c>
      <c r="E368" s="22" t="str">
        <f>IFERROR(__xludf.DUMMYFUNCTION("""COMPUTED_VALUE"""),"64 981321757")</f>
        <v>64 981321757</v>
      </c>
      <c r="F368" s="22" t="str">
        <f>IFERROR(__xludf.DUMMYFUNCTION("""COMPUTED_VALUE"""),"IQ")</f>
        <v>IQ</v>
      </c>
      <c r="G368" s="22" t="str">
        <f>IFERROR(__xludf.DUMMYFUNCTION("""COMPUTED_VALUE"""),"Bloco N")</f>
        <v>Bloco N</v>
      </c>
      <c r="H368" s="22" t="str">
        <f>IFERROR(__xludf.DUMMYFUNCTION("""COMPUTED_VALUE"""),"Lab 111 e 115")</f>
        <v>Lab 111 e 115</v>
      </c>
      <c r="I368" s="7" t="str">
        <f>IFERROR(__xludf.DUMMYFUNCTION("""COMPUTED_VALUE"""),"Instalações elétricas")</f>
        <v>Instalações elétricas</v>
      </c>
      <c r="J368" s="15" t="str">
        <f>IFERROR(__xludf.DUMMYFUNCTION("""COMPUTED_VALUE"""),"04 Elétrica / 34 - Tomada Uso Geral (PRAZO DE ATÉ 15 DIAS PARA ATENDIMENTO)")</f>
        <v>04 Elétrica / 34 - Tomada Uso Geral (PRAZO DE ATÉ 15 DIAS PARA ATENDIMENTO)</v>
      </c>
      <c r="K368" s="15"/>
      <c r="L368" s="15" t="str">
        <f>IFERROR(__xludf.DUMMYFUNCTION("""COMPUTED_VALUE"""),"Instalação de tomadas para equipamentos")</f>
        <v>Instalação de tomadas para equipamentos</v>
      </c>
      <c r="M368" s="20" t="str">
        <f>IFERROR(__xludf.DUMMYFUNCTION("""COMPUTED_VALUE"""),"O setor solicitante irá definir onde ficará a porta para realizar a instalação eletrica ")</f>
        <v>O setor solicitante irá definir onde ficará a porta para realizar a instalação eletrica </v>
      </c>
      <c r="N368" s="26" t="str">
        <f>IFERROR(__xludf.DUMMYFUNCTION("""COMPUTED_VALUE"""),"Cancelada pelo solicitante")</f>
        <v>Cancelada pelo solicitante</v>
      </c>
      <c r="O368" s="11">
        <f>IFERROR(__xludf.DUMMYFUNCTION("""COMPUTED_VALUE"""),45373.0)</f>
        <v>45373</v>
      </c>
      <c r="P368" s="11"/>
    </row>
    <row r="369">
      <c r="A369" s="20" t="str">
        <f>IFERROR(__xludf.DUMMYFUNCTION("""COMPUTED_VALUE"""),"367/2024")</f>
        <v>367/2024</v>
      </c>
      <c r="B369" s="8">
        <f>IFERROR(__xludf.DUMMYFUNCTION("""COMPUTED_VALUE"""),45344.0)</f>
        <v>45344</v>
      </c>
      <c r="C369" s="21" t="str">
        <f>IFERROR(__xludf.DUMMYFUNCTION("""COMPUTED_VALUE"""),"proec@ufcat.edubr")</f>
        <v>proec@ufcat.edubr</v>
      </c>
      <c r="D369" s="22" t="str">
        <f>IFERROR(__xludf.DUMMYFUNCTION("""COMPUTED_VALUE"""),"Herick Dias de Almeida")</f>
        <v>Herick Dias de Almeida</v>
      </c>
      <c r="E369" s="31">
        <f>IFERROR(__xludf.DUMMYFUNCTION("""COMPUTED_VALUE"""),5347.0)</f>
        <v>5347</v>
      </c>
      <c r="F369" s="22" t="str">
        <f>IFERROR(__xludf.DUMMYFUNCTION("""COMPUTED_VALUE"""),"PROEC")</f>
        <v>PROEC</v>
      </c>
      <c r="G369" s="22" t="str">
        <f>IFERROR(__xludf.DUMMYFUNCTION("""COMPUTED_VALUE"""),"Campus II")</f>
        <v>Campus II</v>
      </c>
      <c r="H369" s="22" t="str">
        <f>IFERROR(__xludf.DUMMYFUNCTION("""COMPUTED_VALUE"""),"Área externa do Campus II - Próximo a obra")</f>
        <v>Área externa do Campus II - Próximo a obra</v>
      </c>
      <c r="I369" s="7" t="str">
        <f>IFERROR(__xludf.DUMMYFUNCTION("""COMPUTED_VALUE"""),"Instalações elétricas")</f>
        <v>Instalações elétricas</v>
      </c>
      <c r="J369" s="15" t="str">
        <f>IFERROR(__xludf.DUMMYFUNCTION("""COMPUTED_VALUE"""),"04 Elétrica / 37 - Outros (PRAZO DE ACORDO COM A DEMANDA)")</f>
        <v>04 Elétrica / 37 - Outros (PRAZO DE ACORDO COM A DEMANDA)</v>
      </c>
      <c r="K369" s="15"/>
      <c r="L369" s="15" t="str">
        <f>IFERROR(__xludf.DUMMYFUNCTION("""COMPUTED_VALUE"""),"Instalação de extensão elétrica para uso de 2 caixas de som e 1 mesa de som em tendas que estarão na área externa do campus II - ao lado da obra. ")</f>
        <v>Instalação de extensão elétrica para uso de 2 caixas de som e 1 mesa de som em tendas que estarão na área externa do campus II - ao lado da obra. </v>
      </c>
      <c r="M369" s="15" t="str">
        <f>IFERROR(__xludf.DUMMYFUNCTION("""COMPUTED_VALUE"""),"Se trata de uma urgência - Recepção do Senador Vanderlan Cardoso pela Reitoria da UFCAT")</f>
        <v>Se trata de uma urgência - Recepção do Senador Vanderlan Cardoso pela Reitoria da UFCAT</v>
      </c>
      <c r="N369" s="26" t="str">
        <f>IFERROR(__xludf.DUMMYFUNCTION("""COMPUTED_VALUE"""),"Realizado")</f>
        <v>Realizado</v>
      </c>
      <c r="O369" s="11">
        <f>IFERROR(__xludf.DUMMYFUNCTION("""COMPUTED_VALUE"""),45348.0)</f>
        <v>45348</v>
      </c>
      <c r="P369" s="11"/>
    </row>
    <row r="370">
      <c r="A370" s="20" t="str">
        <f>IFERROR(__xludf.DUMMYFUNCTION("""COMPUTED_VALUE"""),"368/2024")</f>
        <v>368/2024</v>
      </c>
      <c r="B370" s="8">
        <f>IFERROR(__xludf.DUMMYFUNCTION("""COMPUTED_VALUE"""),45344.0)</f>
        <v>45344</v>
      </c>
      <c r="C370" s="21" t="str">
        <f>IFERROR(__xludf.DUMMYFUNCTION("""COMPUTED_VALUE"""),"elaine_carbonero@ufcat.edu.br")</f>
        <v>elaine_carbonero@ufcat.edu.br</v>
      </c>
      <c r="D370" s="22" t="str">
        <f>IFERROR(__xludf.DUMMYFUNCTION("""COMPUTED_VALUE"""),"Elaine R. Carbonero")</f>
        <v>Elaine R. Carbonero</v>
      </c>
      <c r="E370" s="31" t="str">
        <f>IFERROR(__xludf.DUMMYFUNCTION("""COMPUTED_VALUE"""),"64 981321757")</f>
        <v>64 981321757</v>
      </c>
      <c r="F370" s="22" t="str">
        <f>IFERROR(__xludf.DUMMYFUNCTION("""COMPUTED_VALUE"""),"IQ")</f>
        <v>IQ</v>
      </c>
      <c r="G370" s="22" t="str">
        <f>IFERROR(__xludf.DUMMYFUNCTION("""COMPUTED_VALUE"""),"Bloco K")</f>
        <v>Bloco K</v>
      </c>
      <c r="H370" s="22" t="str">
        <f>IFERROR(__xludf.DUMMYFUNCTION("""COMPUTED_VALUE"""),"Sala 4")</f>
        <v>Sala 4</v>
      </c>
      <c r="I370" s="20" t="str">
        <f>IFERROR(__xludf.DUMMYFUNCTION("""COMPUTED_VALUE"""),"Ar Condicionado ")</f>
        <v>Ar Condicionado </v>
      </c>
      <c r="J370" s="19" t="str">
        <f>IFERROR(__xludf.DUMMYFUNCTION("""COMPUTED_VALUE"""),"09 Ar Condicionado / 57 - Manutenção por empresa contratada")</f>
        <v>09 Ar Condicionado / 57 - Manutenção por empresa contratada</v>
      </c>
      <c r="K370" s="19"/>
      <c r="L370" s="15" t="str">
        <f>IFERROR(__xludf.DUMMYFUNCTION("""COMPUTED_VALUE"""),"Limpeza e higienização do aparelho de ar condicionado")</f>
        <v>Limpeza e higienização do aparelho de ar condicionado</v>
      </c>
      <c r="M370" s="25"/>
      <c r="N370" s="26" t="str">
        <f>IFERROR(__xludf.DUMMYFUNCTION("""COMPUTED_VALUE"""),"Contratação externa PREF")</f>
        <v>Contratação externa PREF</v>
      </c>
      <c r="O370" s="12"/>
      <c r="P370" s="12"/>
    </row>
    <row r="371">
      <c r="A371" s="20" t="str">
        <f>IFERROR(__xludf.DUMMYFUNCTION("""COMPUTED_VALUE"""),"369/2024")</f>
        <v>369/2024</v>
      </c>
      <c r="B371" s="8">
        <f>IFERROR(__xludf.DUMMYFUNCTION("""COMPUTED_VALUE"""),45344.0)</f>
        <v>45344</v>
      </c>
      <c r="C371" s="37" t="str">
        <f>IFERROR(__xludf.DUMMYFUNCTION("""COMPUTED_VALUE"""),"lais.naves@ufcat.edu.br")</f>
        <v>lais.naves@ufcat.edu.br</v>
      </c>
      <c r="D371" s="38" t="str">
        <f>IFERROR(__xludf.DUMMYFUNCTION("""COMPUTED_VALUE"""),"Laís ")</f>
        <v>Laís </v>
      </c>
      <c r="E371" s="39">
        <f>IFERROR(__xludf.DUMMYFUNCTION("""COMPUTED_VALUE"""),5364.0)</f>
        <v>5364</v>
      </c>
      <c r="F371" s="38" t="str">
        <f>IFERROR(__xludf.DUMMYFUNCTION("""COMPUTED_VALUE"""),"IBIOTEC  - Secretaria Administrativa")</f>
        <v>IBIOTEC  - Secretaria Administrativa</v>
      </c>
      <c r="G371" s="38" t="str">
        <f>IFERROR(__xludf.DUMMYFUNCTION("""COMPUTED_VALUE"""),"Bloco M")</f>
        <v>Bloco M</v>
      </c>
      <c r="H371" s="41">
        <f>IFERROR(__xludf.DUMMYFUNCTION("""COMPUTED_VALUE"""),320.0)</f>
        <v>320</v>
      </c>
      <c r="I371" s="7" t="str">
        <f>IFERROR(__xludf.DUMMYFUNCTION("""COMPUTED_VALUE"""),"Pequenos serviços de reparos em Marcenaria")</f>
        <v>Pequenos serviços de reparos em Marcenaria</v>
      </c>
      <c r="J371" s="29" t="str">
        <f>IFERROR(__xludf.DUMMYFUNCTION("""COMPUTED_VALUE"""),"03 Marcenaria / 29 - Outros (PRAZO DE ACORDO COM A DEMANDA)")</f>
        <v>03 Marcenaria / 29 - Outros (PRAZO DE ACORDO COM A DEMANDA)</v>
      </c>
      <c r="K371" s="29"/>
      <c r="L371" s="29" t="str">
        <f>IFERROR(__xludf.DUMMYFUNCTION("""COMPUTED_VALUE"""),"A chave está presa na porta da sala ")</f>
        <v>A chave está presa na porta da sala </v>
      </c>
      <c r="M371" s="25"/>
      <c r="N371" s="26" t="str">
        <f>IFERROR(__xludf.DUMMYFUNCTION("""COMPUTED_VALUE"""),"Realizado")</f>
        <v>Realizado</v>
      </c>
      <c r="O371" s="8">
        <f>IFERROR(__xludf.DUMMYFUNCTION("""COMPUTED_VALUE"""),45344.0)</f>
        <v>45344</v>
      </c>
      <c r="P371" s="8"/>
    </row>
    <row r="372">
      <c r="A372" s="20" t="str">
        <f>IFERROR(__xludf.DUMMYFUNCTION("""COMPUTED_VALUE"""),"370/2024")</f>
        <v>370/2024</v>
      </c>
      <c r="B372" s="8">
        <f>IFERROR(__xludf.DUMMYFUNCTION("""COMPUTED_VALUE"""),45344.0)</f>
        <v>45344</v>
      </c>
      <c r="C372" s="21" t="str">
        <f>IFERROR(__xludf.DUMMYFUNCTION("""COMPUTED_VALUE"""),"adriana_macedo@ufcat.edu.br")</f>
        <v>adriana_macedo@ufcat.edu.br</v>
      </c>
      <c r="D372" s="27" t="str">
        <f>IFERROR(__xludf.DUMMYFUNCTION("""COMPUTED_VALUE"""),"Adriana")</f>
        <v>Adriana</v>
      </c>
      <c r="E372" s="28">
        <f>IFERROR(__xludf.DUMMYFUNCTION("""COMPUTED_VALUE"""),1.6981761807E10)</f>
        <v>16981761807</v>
      </c>
      <c r="F372" s="27" t="str">
        <f>IFERROR(__xludf.DUMMYFUNCTION("""COMPUTED_VALUE"""),"IQ")</f>
        <v>IQ</v>
      </c>
      <c r="G372" s="22" t="str">
        <f>IFERROR(__xludf.DUMMYFUNCTION("""COMPUTED_VALUE"""),"Bloco K")</f>
        <v>Bloco K</v>
      </c>
      <c r="H372" s="42">
        <f>IFERROR(__xludf.DUMMYFUNCTION("""COMPUTED_VALUE"""),10.0)</f>
        <v>10</v>
      </c>
      <c r="I372" s="20" t="str">
        <f>IFERROR(__xludf.DUMMYFUNCTION("""COMPUTED_VALUE"""),"Ar Condicionado ")</f>
        <v>Ar Condicionado </v>
      </c>
      <c r="J372" s="19" t="str">
        <f>IFERROR(__xludf.DUMMYFUNCTION("""COMPUTED_VALUE"""),"09 Ar Condicionado / 57 - Manutenção por empresa contratada")</f>
        <v>09 Ar Condicionado / 57 - Manutenção por empresa contratada</v>
      </c>
      <c r="K372" s="19"/>
      <c r="L372" s="15" t="str">
        <f>IFERROR(__xludf.DUMMYFUNCTION("""COMPUTED_VALUE"""),"o ar-condicionado não está refrigerando e tem vazamento de água.")</f>
        <v>o ar-condicionado não está refrigerando e tem vazamento de água.</v>
      </c>
      <c r="M372" s="30"/>
      <c r="N372" s="10" t="str">
        <f>IFERROR(__xludf.DUMMYFUNCTION("""COMPUTED_VALUE"""),"Contratação externa PREF")</f>
        <v>Contratação externa PREF</v>
      </c>
      <c r="O372" s="43"/>
      <c r="P372" s="43"/>
    </row>
    <row r="373">
      <c r="A373" s="20" t="str">
        <f>IFERROR(__xludf.DUMMYFUNCTION("""COMPUTED_VALUE"""),"371/2024")</f>
        <v>371/2024</v>
      </c>
      <c r="B373" s="8">
        <f>IFERROR(__xludf.DUMMYFUNCTION("""COMPUTED_VALUE"""),45344.0)</f>
        <v>45344</v>
      </c>
      <c r="C373" s="21" t="str">
        <f>IFERROR(__xludf.DUMMYFUNCTION("""COMPUTED_VALUE"""),"deusmarsilva@ufcat.edu.br")</f>
        <v>deusmarsilva@ufcat.edu.br</v>
      </c>
      <c r="D373" s="22" t="str">
        <f>IFERROR(__xludf.DUMMYFUNCTION("""COMPUTED_VALUE"""),"Deusmar Machado da Silva")</f>
        <v>Deusmar Machado da Silva</v>
      </c>
      <c r="E373" s="31" t="str">
        <f>IFERROR(__xludf.DUMMYFUNCTION("""COMPUTED_VALUE"""),"00")</f>
        <v>00</v>
      </c>
      <c r="F373" s="22" t="str">
        <f>IFERROR(__xludf.DUMMYFUNCTION("""COMPUTED_VALUE"""),"IBIOTEC - Medicina")</f>
        <v>IBIOTEC - Medicina</v>
      </c>
      <c r="G373" s="22" t="str">
        <f>IFERROR(__xludf.DUMMYFUNCTION("""COMPUTED_VALUE"""),"Campus II")</f>
        <v>Campus II</v>
      </c>
      <c r="H373" s="22" t="str">
        <f>IFERROR(__xludf.DUMMYFUNCTION("""COMPUTED_VALUE"""),"Corredor de acesso as salas de cubas")</f>
        <v>Corredor de acesso as salas de cubas</v>
      </c>
      <c r="I373" s="7" t="str">
        <f>IFERROR(__xludf.DUMMYFUNCTION("""COMPUTED_VALUE"""),"Instalações Hidrossanitárias")</f>
        <v>Instalações Hidrossanitárias</v>
      </c>
      <c r="J373" s="15" t="str">
        <f>IFERROR(__xludf.DUMMYFUNCTION("""COMPUTED_VALUE"""),"02 Hidráulica / 20 - Vazamento em bebedouros (PRAZO DE 1 a 5 DIAS PARA ATENDIMENTO)")</f>
        <v>02 Hidráulica / 20 - Vazamento em bebedouros (PRAZO DE 1 a 5 DIAS PARA ATENDIMENTO)</v>
      </c>
      <c r="K373" s="15"/>
      <c r="L373" s="15" t="str">
        <f>IFERROR(__xludf.DUMMYFUNCTION("""COMPUTED_VALUE"""),"Tirar vazamento de água do bebedouro, pois está com risco de acidente para discentes, e servidores.")</f>
        <v>Tirar vazamento de água do bebedouro, pois está com risco de acidente para discentes, e servidores.</v>
      </c>
      <c r="M373" s="25"/>
      <c r="N373" s="26" t="str">
        <f>IFERROR(__xludf.DUMMYFUNCTION("""COMPUTED_VALUE"""),"Realizado")</f>
        <v>Realizado</v>
      </c>
      <c r="O373" s="11">
        <f>IFERROR(__xludf.DUMMYFUNCTION("""COMPUTED_VALUE"""),45348.0)</f>
        <v>45348</v>
      </c>
      <c r="P373" s="11"/>
    </row>
    <row r="374">
      <c r="A374" s="20" t="str">
        <f>IFERROR(__xludf.DUMMYFUNCTION("""COMPUTED_VALUE"""),"372/2024")</f>
        <v>372/2024</v>
      </c>
      <c r="B374" s="8">
        <f>IFERROR(__xludf.DUMMYFUNCTION("""COMPUTED_VALUE"""),45344.0)</f>
        <v>45344</v>
      </c>
      <c r="C374" s="21" t="str">
        <f>IFERROR(__xludf.DUMMYFUNCTION("""COMPUTED_VALUE"""),"muc.prpe@ufcat.edu.br")</f>
        <v>muc.prpe@ufcat.edu.br</v>
      </c>
      <c r="D374" s="22" t="str">
        <f>IFERROR(__xludf.DUMMYFUNCTION("""COMPUTED_VALUE"""),"DANIEL DOS REIS SIMÕES")</f>
        <v>DANIEL DOS REIS SIMÕES</v>
      </c>
      <c r="E374" s="31">
        <f>IFERROR(__xludf.DUMMYFUNCTION("""COMPUTED_VALUE"""),5333.0)</f>
        <v>5333</v>
      </c>
      <c r="F374" s="22" t="str">
        <f>IFERROR(__xludf.DUMMYFUNCTION("""COMPUTED_VALUE"""),"PRPE")</f>
        <v>PRPE</v>
      </c>
      <c r="G374" s="22" t="str">
        <f>IFERROR(__xludf.DUMMYFUNCTION("""COMPUTED_VALUE"""),"MUC")</f>
        <v>MUC</v>
      </c>
      <c r="H374" s="22" t="str">
        <f>IFERROR(__xludf.DUMMYFUNCTION("""COMPUTED_VALUE"""),"Apto 404")</f>
        <v>Apto 404</v>
      </c>
      <c r="I374" s="7" t="str">
        <f>IFERROR(__xludf.DUMMYFUNCTION("""COMPUTED_VALUE"""),"Instalações Hidrossanitárias")</f>
        <v>Instalações Hidrossanitárias</v>
      </c>
      <c r="J374" s="15" t="str">
        <f>IFERROR(__xludf.DUMMYFUNCTION("""COMPUTED_VALUE"""),"02 Hidráulica / 22 - Outros (PRAZO DE 15 a 60 DIAS PARA ATENDIMENTO)")</f>
        <v>02 Hidráulica / 22 - Outros (PRAZO DE 15 a 60 DIAS PARA ATENDIMENTO)</v>
      </c>
      <c r="K374" s="15"/>
      <c r="L374" s="15" t="str">
        <f>IFERROR(__xludf.DUMMYFUNCTION("""COMPUTED_VALUE"""),"O registro da água fria do 404 estragou (arrancou e não quer girar).")</f>
        <v>O registro da água fria do 404 estragou (arrancou e não quer girar).</v>
      </c>
      <c r="M374" s="25"/>
      <c r="N374" s="26" t="str">
        <f>IFERROR(__xludf.DUMMYFUNCTION("""COMPUTED_VALUE"""),"Realizado")</f>
        <v>Realizado</v>
      </c>
      <c r="O374" s="11">
        <f>IFERROR(__xludf.DUMMYFUNCTION("""COMPUTED_VALUE"""),45357.0)</f>
        <v>45357</v>
      </c>
      <c r="P374" s="11"/>
    </row>
    <row r="375">
      <c r="A375" s="20" t="str">
        <f>IFERROR(__xludf.DUMMYFUNCTION("""COMPUTED_VALUE"""),"373/2024")</f>
        <v>373/2024</v>
      </c>
      <c r="B375" s="8">
        <f>IFERROR(__xludf.DUMMYFUNCTION("""COMPUTED_VALUE"""),45344.0)</f>
        <v>45344</v>
      </c>
      <c r="C375" s="44" t="str">
        <f>IFERROR(__xludf.DUMMYFUNCTION("""COMPUTED_VALUE"""),"seguranca@ufcat.edu.br")</f>
        <v>seguranca@ufcat.edu.br</v>
      </c>
      <c r="D375" s="45" t="str">
        <f>IFERROR(__xludf.DUMMYFUNCTION("""COMPUTED_VALUE"""),"Maria Duarte")</f>
        <v>Maria Duarte</v>
      </c>
      <c r="E375" s="46">
        <f>IFERROR(__xludf.DUMMYFUNCTION("""COMPUTED_VALUE"""),5318.0)</f>
        <v>5318</v>
      </c>
      <c r="F375" s="45" t="str">
        <f>IFERROR(__xludf.DUMMYFUNCTION("""COMPUTED_VALUE"""),"CENTRAL DE OPERAÇÕES VIGILÂNCIA")</f>
        <v>CENTRAL DE OPERAÇÕES VIGILÂNCIA</v>
      </c>
      <c r="G375" s="45" t="str">
        <f>IFERROR(__xludf.DUMMYFUNCTION("""COMPUTED_VALUE"""),"Bloco Administrativo")</f>
        <v>Bloco Administrativo</v>
      </c>
      <c r="H375" s="45" t="str">
        <f>IFERROR(__xludf.DUMMYFUNCTION("""COMPUTED_VALUE"""),"DVR Administrativo")</f>
        <v>DVR Administrativo</v>
      </c>
      <c r="I375" s="7" t="str">
        <f>IFERROR(__xludf.DUMMYFUNCTION("""COMPUTED_VALUE"""),"Instalações e/ou Manutenção em Cabeamento de Rede")</f>
        <v>Instalações e/ou Manutenção em Cabeamento de Rede</v>
      </c>
      <c r="J375" s="13" t="str">
        <f>IFERROR(__xludf.DUMMYFUNCTION("""COMPUTED_VALUE"""),"05 Telecomunicações / 39 - CFTV (PRAZO DE ATÉ 15 DIAS PARA ATENDIMENTO)")</f>
        <v>05 Telecomunicações / 39 - CFTV (PRAZO DE ATÉ 15 DIAS PARA ATENDIMENTO)</v>
      </c>
      <c r="K375" s="13"/>
      <c r="L375" s="13" t="str">
        <f>IFERROR(__xludf.DUMMYFUNCTION("""COMPUTED_VALUE"""),"DVR do Bloco Administrativo está com a data incorreta, OBS: somente a data, o horário está correto. ")</f>
        <v>DVR do Bloco Administrativo está com a data incorreta, OBS: somente a data, o horário está correto. </v>
      </c>
      <c r="M375" s="25"/>
      <c r="N375" s="26" t="str">
        <f>IFERROR(__xludf.DUMMYFUNCTION("""COMPUTED_VALUE"""),"Realizado")</f>
        <v>Realizado</v>
      </c>
      <c r="O375" s="11">
        <f>IFERROR(__xludf.DUMMYFUNCTION("""COMPUTED_VALUE"""),45357.0)</f>
        <v>45357</v>
      </c>
      <c r="P375" s="11"/>
    </row>
    <row r="376">
      <c r="A376" s="20" t="str">
        <f>IFERROR(__xludf.DUMMYFUNCTION("""COMPUTED_VALUE"""),"374/2024")</f>
        <v>374/2024</v>
      </c>
      <c r="B376" s="8">
        <f>IFERROR(__xludf.DUMMYFUNCTION("""COMPUTED_VALUE"""),45344.0)</f>
        <v>45344</v>
      </c>
      <c r="C376" s="44" t="str">
        <f>IFERROR(__xludf.DUMMYFUNCTION("""COMPUTED_VALUE"""),"seguranca@ufcat.edu.br")</f>
        <v>seguranca@ufcat.edu.br</v>
      </c>
      <c r="D376" s="45" t="str">
        <f>IFERROR(__xludf.DUMMYFUNCTION("""COMPUTED_VALUE"""),"Maria Duarte")</f>
        <v>Maria Duarte</v>
      </c>
      <c r="E376" s="46">
        <f>IFERROR(__xludf.DUMMYFUNCTION("""COMPUTED_VALUE"""),5318.0)</f>
        <v>5318</v>
      </c>
      <c r="F376" s="45" t="str">
        <f>IFERROR(__xludf.DUMMYFUNCTION("""COMPUTED_VALUE"""),"CENTRAL DE OPERAÇÕES VIGILÂNCIA")</f>
        <v>CENTRAL DE OPERAÇÕES VIGILÂNCIA</v>
      </c>
      <c r="G376" s="45" t="str">
        <f>IFERROR(__xludf.DUMMYFUNCTION("""COMPUTED_VALUE"""),"Bloco Administrativo")</f>
        <v>Bloco Administrativo</v>
      </c>
      <c r="H376" s="45" t="str">
        <f>IFERROR(__xludf.DUMMYFUNCTION("""COMPUTED_VALUE"""),"DVR do Bloco Administrativo")</f>
        <v>DVR do Bloco Administrativo</v>
      </c>
      <c r="I376" s="7" t="str">
        <f>IFERROR(__xludf.DUMMYFUNCTION("""COMPUTED_VALUE"""),"Instalações e/ou Manutenção em Cabeamento de Rede")</f>
        <v>Instalações e/ou Manutenção em Cabeamento de Rede</v>
      </c>
      <c r="J376" s="13" t="str">
        <f>IFERROR(__xludf.DUMMYFUNCTION("""COMPUTED_VALUE"""),"05 Telecomunicações / 39 - CFTV (PRAZO DE ATÉ 15 DIAS PARA ATENDIMENTO)")</f>
        <v>05 Telecomunicações / 39 - CFTV (PRAZO DE ATÉ 15 DIAS PARA ATENDIMENTO)</v>
      </c>
      <c r="K376" s="13"/>
      <c r="L376" s="13" t="str">
        <f>IFERROR(__xludf.DUMMYFUNCTION("""COMPUTED_VALUE"""),"DVR do Bloco Administrativo, se encontra com a câmera identificada como  ''Piso 1 C 1'', com a imagem totalmente escura, sem visualização de imagem. ")</f>
        <v>DVR do Bloco Administrativo, se encontra com a câmera identificada como  ''Piso 1 C 1'', com a imagem totalmente escura, sem visualização de imagem. </v>
      </c>
      <c r="M376" s="25"/>
      <c r="N376" s="26" t="str">
        <f>IFERROR(__xludf.DUMMYFUNCTION("""COMPUTED_VALUE"""),"Realizado")</f>
        <v>Realizado</v>
      </c>
      <c r="O376" s="11">
        <f>IFERROR(__xludf.DUMMYFUNCTION("""COMPUTED_VALUE"""),45357.0)</f>
        <v>45357</v>
      </c>
      <c r="P376" s="11"/>
    </row>
    <row r="377">
      <c r="A377" s="20" t="str">
        <f>IFERROR(__xludf.DUMMYFUNCTION("""COMPUTED_VALUE"""),"375/2024")</f>
        <v>375/2024</v>
      </c>
      <c r="B377" s="8">
        <f>IFERROR(__xludf.DUMMYFUNCTION("""COMPUTED_VALUE"""),45345.0)</f>
        <v>45345</v>
      </c>
      <c r="C377" s="21" t="str">
        <f>IFERROR(__xludf.DUMMYFUNCTION("""COMPUTED_VALUE"""),"mirian.lima@ufcat.edu.br")</f>
        <v>mirian.lima@ufcat.edu.br</v>
      </c>
      <c r="D377" s="22" t="str">
        <f>IFERROR(__xludf.DUMMYFUNCTION("""COMPUTED_VALUE"""),"Mirian de Jesus Lima")</f>
        <v>Mirian de Jesus Lima</v>
      </c>
      <c r="E377" s="31">
        <f>IFERROR(__xludf.DUMMYFUNCTION("""COMPUTED_VALUE"""),5323.0)</f>
        <v>5323</v>
      </c>
      <c r="F377" s="22" t="str">
        <f>IFERROR(__xludf.DUMMYFUNCTION("""COMPUTED_VALUE"""),"IBIOTEC - Ciências da Computação")</f>
        <v>IBIOTEC - Ciências da Computação</v>
      </c>
      <c r="G377" s="22" t="str">
        <f>IFERROR(__xludf.DUMMYFUNCTION("""COMPUTED_VALUE"""),"Bloco J")</f>
        <v>Bloco J</v>
      </c>
      <c r="H377" s="22" t="str">
        <f>IFERROR(__xludf.DUMMYFUNCTION("""COMPUTED_VALUE"""),"Sala 7")</f>
        <v>Sala 7</v>
      </c>
      <c r="I377" s="7" t="str">
        <f>IFERROR(__xludf.DUMMYFUNCTION("""COMPUTED_VALUE"""),"Reparos (alvenaria, piso, forro e telhado)")</f>
        <v>Reparos (alvenaria, piso, forro e telhado)</v>
      </c>
      <c r="J377" s="15" t="str">
        <f>IFERROR(__xludf.DUMMYFUNCTION("""COMPUTED_VALUE"""),"01 Alvenaria / 06 - Outros (PRAZO DE ATÉ 60 DIAS PARA ATENDIMENTO)")</f>
        <v>01 Alvenaria / 06 - Outros (PRAZO DE ATÉ 60 DIAS PARA ATENDIMENTO)</v>
      </c>
      <c r="K377" s="15"/>
      <c r="L377" s="15" t="str">
        <f>IFERROR(__xludf.DUMMYFUNCTION("""COMPUTED_VALUE"""),"Realizar o reparo no teto que está com goteira.")</f>
        <v>Realizar o reparo no teto que está com goteira.</v>
      </c>
      <c r="M377" s="25"/>
      <c r="N377" s="26" t="str">
        <f>IFERROR(__xludf.DUMMYFUNCTION("""COMPUTED_VALUE"""),"Realizado")</f>
        <v>Realizado</v>
      </c>
      <c r="O377" s="11">
        <f>IFERROR(__xludf.DUMMYFUNCTION("""COMPUTED_VALUE"""),45371.0)</f>
        <v>45371</v>
      </c>
      <c r="P377" s="11"/>
    </row>
    <row r="378">
      <c r="A378" s="20" t="str">
        <f>IFERROR(__xludf.DUMMYFUNCTION("""COMPUTED_VALUE"""),"376/2024")</f>
        <v>376/2024</v>
      </c>
      <c r="B378" s="8">
        <f>IFERROR(__xludf.DUMMYFUNCTION("""COMPUTED_VALUE"""),45345.0)</f>
        <v>45345</v>
      </c>
      <c r="C378" s="21" t="str">
        <f>IFERROR(__xludf.DUMMYFUNCTION("""COMPUTED_VALUE"""),"stefany_rezende@ufcat.edu.br")</f>
        <v>stefany_rezende@ufcat.edu.br</v>
      </c>
      <c r="D378" s="22" t="str">
        <f>IFERROR(__xludf.DUMMYFUNCTION("""COMPUTED_VALUE"""),"Stéfany Mayara Ferreira de Rezende")</f>
        <v>Stéfany Mayara Ferreira de Rezende</v>
      </c>
      <c r="E378" s="40">
        <f>IFERROR(__xludf.DUMMYFUNCTION("""COMPUTED_VALUE"""),5336.0)</f>
        <v>5336</v>
      </c>
      <c r="F378" s="22" t="str">
        <f>IFERROR(__xludf.DUMMYFUNCTION("""COMPUTED_VALUE"""),"PROGEP")</f>
        <v>PROGEP</v>
      </c>
      <c r="G378" s="22" t="str">
        <f>IFERROR(__xludf.DUMMYFUNCTION("""COMPUTED_VALUE"""),"Didatico I")</f>
        <v>Didatico I</v>
      </c>
      <c r="H378" s="22" t="str">
        <f>IFERROR(__xludf.DUMMYFUNCTION("""COMPUTED_VALUE"""),"Sala do SIASS")</f>
        <v>Sala do SIASS</v>
      </c>
      <c r="I378" s="7" t="str">
        <f>IFERROR(__xludf.DUMMYFUNCTION("""COMPUTED_VALUE"""),"Instalações elétricas")</f>
        <v>Instalações elétricas</v>
      </c>
      <c r="J378" s="15" t="str">
        <f>IFERROR(__xludf.DUMMYFUNCTION("""COMPUTED_VALUE"""),"04 Elétrica / 37 - Outros (PRAZO DE ACORDO COM A DEMANDA)")</f>
        <v>04 Elétrica / 37 - Outros (PRAZO DE ACORDO COM A DEMANDA)</v>
      </c>
      <c r="K378" s="15"/>
      <c r="L378" s="15" t="str">
        <f>IFERROR(__xludf.DUMMYFUNCTION("""COMPUTED_VALUE"""),"Houve problema na energia da sala e as tomadas estão dando curto e provocando choques.")</f>
        <v>Houve problema na energia da sala e as tomadas estão dando curto e provocando choques.</v>
      </c>
      <c r="M378" s="25"/>
      <c r="N378" s="26" t="str">
        <f>IFERROR(__xludf.DUMMYFUNCTION("""COMPUTED_VALUE"""),"Realizado")</f>
        <v>Realizado</v>
      </c>
      <c r="O378" s="11">
        <f>IFERROR(__xludf.DUMMYFUNCTION("""COMPUTED_VALUE"""),45352.0)</f>
        <v>45352</v>
      </c>
      <c r="P378" s="11"/>
    </row>
    <row r="379">
      <c r="A379" s="20" t="str">
        <f>IFERROR(__xludf.DUMMYFUNCTION("""COMPUTED_VALUE"""),"377/2024")</f>
        <v>377/2024</v>
      </c>
      <c r="B379" s="8">
        <f>IFERROR(__xludf.DUMMYFUNCTION("""COMPUTED_VALUE"""),45345.0)</f>
        <v>45345</v>
      </c>
      <c r="C379" s="21" t="str">
        <f>IFERROR(__xludf.DUMMYFUNCTION("""COMPUTED_VALUE"""),"elaine_carbonero@ufcat.edu.br")</f>
        <v>elaine_carbonero@ufcat.edu.br</v>
      </c>
      <c r="D379" s="22" t="str">
        <f>IFERROR(__xludf.DUMMYFUNCTION("""COMPUTED_VALUE"""),"Elaine Rosechrer Carbonero")</f>
        <v>Elaine Rosechrer Carbonero</v>
      </c>
      <c r="E379" s="22" t="str">
        <f>IFERROR(__xludf.DUMMYFUNCTION("""COMPUTED_VALUE"""),"64 981321757")</f>
        <v>64 981321757</v>
      </c>
      <c r="F379" s="22" t="str">
        <f>IFERROR(__xludf.DUMMYFUNCTION("""COMPUTED_VALUE"""),"IQ")</f>
        <v>IQ</v>
      </c>
      <c r="G379" s="22" t="str">
        <f>IFERROR(__xludf.DUMMYFUNCTION("""COMPUTED_VALUE"""),"Bloco N")</f>
        <v>Bloco N</v>
      </c>
      <c r="H379" s="22" t="str">
        <f>IFERROR(__xludf.DUMMYFUNCTION("""COMPUTED_VALUE"""),"Lab 111 e 115")</f>
        <v>Lab 111 e 115</v>
      </c>
      <c r="I379" s="7" t="str">
        <f>IFERROR(__xludf.DUMMYFUNCTION("""COMPUTED_VALUE"""),"Instalações elétricas")</f>
        <v>Instalações elétricas</v>
      </c>
      <c r="J379" s="15" t="str">
        <f>IFERROR(__xludf.DUMMYFUNCTION("""COMPUTED_VALUE"""),"04 Elétrica / 37 - Outros (PRAZO DE ACORDO COM A DEMANDA)")</f>
        <v>04 Elétrica / 37 - Outros (PRAZO DE ACORDO COM A DEMANDA)</v>
      </c>
      <c r="K379" s="15"/>
      <c r="L379" s="15" t="str">
        <f>IFERROR(__xludf.DUMMYFUNCTION("""COMPUTED_VALUE"""),"Retirada de 02 aparelhos de destilação de água")</f>
        <v>Retirada de 02 aparelhos de destilação de água</v>
      </c>
      <c r="M379" s="25"/>
      <c r="N379" s="26" t="str">
        <f>IFERROR(__xludf.DUMMYFUNCTION("""COMPUTED_VALUE"""),"Realizado")</f>
        <v>Realizado</v>
      </c>
      <c r="O379" s="11">
        <f>IFERROR(__xludf.DUMMYFUNCTION("""COMPUTED_VALUE"""),45352.0)</f>
        <v>45352</v>
      </c>
      <c r="P379" s="11"/>
    </row>
    <row r="380">
      <c r="A380" s="20" t="str">
        <f>IFERROR(__xludf.DUMMYFUNCTION("""COMPUTED_VALUE"""),"378/2024")</f>
        <v>378/2024</v>
      </c>
      <c r="B380" s="8">
        <f>IFERROR(__xludf.DUMMYFUNCTION("""COMPUTED_VALUE"""),45345.0)</f>
        <v>45345</v>
      </c>
      <c r="C380" s="21" t="str">
        <f>IFERROR(__xludf.DUMMYFUNCTION("""COMPUTED_VALUE"""),"iago.ferreira@ufcat.edu.br")</f>
        <v>iago.ferreira@ufcat.edu.br</v>
      </c>
      <c r="D380" s="22" t="str">
        <f>IFERROR(__xludf.DUMMYFUNCTION("""COMPUTED_VALUE"""),"Iago Ferreira Lima")</f>
        <v>Iago Ferreira Lima</v>
      </c>
      <c r="E380" s="40">
        <f>IFERROR(__xludf.DUMMYFUNCTION("""COMPUTED_VALUE"""),7.7999477415E10)</f>
        <v>77999477415</v>
      </c>
      <c r="F380" s="22" t="str">
        <f>IFERROR(__xludf.DUMMYFUNCTION("""COMPUTED_VALUE"""),"FENG  - Engenharia de Produção")</f>
        <v>FENG  - Engenharia de Produção</v>
      </c>
      <c r="G380" s="22" t="str">
        <f>IFERROR(__xludf.DUMMYFUNCTION("""COMPUTED_VALUE"""),"Bloco O")</f>
        <v>Bloco O</v>
      </c>
      <c r="H380" s="22" t="str">
        <f>IFERROR(__xludf.DUMMYFUNCTION("""COMPUTED_VALUE"""),"Teto da sala do Prof. Marco Paulo - Sala 8")</f>
        <v>Teto da sala do Prof. Marco Paulo - Sala 8</v>
      </c>
      <c r="I380" s="7" t="str">
        <f>IFERROR(__xludf.DUMMYFUNCTION("""COMPUTED_VALUE"""),"Reparos (alvenaria, piso, forro e telhado)")</f>
        <v>Reparos (alvenaria, piso, forro e telhado)</v>
      </c>
      <c r="J380" s="15" t="str">
        <f>IFERROR(__xludf.DUMMYFUNCTION("""COMPUTED_VALUE"""),"01 Alvenaria / 06 - Outros (PRAZO DE ATÉ 60 DIAS PARA ATENDIMENTO)")</f>
        <v>01 Alvenaria / 06 - Outros (PRAZO DE ATÉ 60 DIAS PARA ATENDIMENTO)</v>
      </c>
      <c r="K380" s="15"/>
      <c r="L380" s="15" t="str">
        <f>IFERROR(__xludf.DUMMYFUNCTION("""COMPUTED_VALUE"""),"O Prof. Marco Paulo relatou que percebeu uma goteira na sala dele nas ultimas chuvas.")</f>
        <v>O Prof. Marco Paulo relatou que percebeu uma goteira na sala dele nas ultimas chuvas.</v>
      </c>
      <c r="M380" s="25"/>
      <c r="N380" s="26" t="str">
        <f>IFERROR(__xludf.DUMMYFUNCTION("""COMPUTED_VALUE"""),"Realizado")</f>
        <v>Realizado</v>
      </c>
      <c r="O380" s="11">
        <f>IFERROR(__xludf.DUMMYFUNCTION("""COMPUTED_VALUE"""),45394.0)</f>
        <v>45394</v>
      </c>
      <c r="P380" s="12"/>
    </row>
    <row r="381">
      <c r="A381" s="20" t="str">
        <f>IFERROR(__xludf.DUMMYFUNCTION("""COMPUTED_VALUE"""),"379/2024")</f>
        <v>379/2024</v>
      </c>
      <c r="B381" s="8">
        <f>IFERROR(__xludf.DUMMYFUNCTION("""COMPUTED_VALUE"""),45345.0)</f>
        <v>45345</v>
      </c>
      <c r="C381" s="21" t="str">
        <f>IFERROR(__xludf.DUMMYFUNCTION("""COMPUTED_VALUE"""),"amanda.lopes@ufcat.edu.br")</f>
        <v>amanda.lopes@ufcat.edu.br</v>
      </c>
      <c r="D381" s="22" t="str">
        <f>IFERROR(__xludf.DUMMYFUNCTION("""COMPUTED_VALUE"""),"Amanda Matos ")</f>
        <v>Amanda Matos </v>
      </c>
      <c r="E381" s="40">
        <f>IFERROR(__xludf.DUMMYFUNCTION("""COMPUTED_VALUE"""),5340.0)</f>
        <v>5340</v>
      </c>
      <c r="F381" s="22" t="str">
        <f>IFERROR(__xludf.DUMMYFUNCTION("""COMPUTED_VALUE"""),"PREF")</f>
        <v>PREF</v>
      </c>
      <c r="G381" s="22" t="str">
        <f>IFERROR(__xludf.DUMMYFUNCTION("""COMPUTED_VALUE"""),"Didatico I")</f>
        <v>Didatico I</v>
      </c>
      <c r="H381" s="22" t="str">
        <f>IFERROR(__xludf.DUMMYFUNCTION("""COMPUTED_VALUE"""),"Sala do SIASS")</f>
        <v>Sala do SIASS</v>
      </c>
      <c r="I381" s="7" t="str">
        <f>IFERROR(__xludf.DUMMYFUNCTION("""COMPUTED_VALUE"""),"Instalações elétricas")</f>
        <v>Instalações elétricas</v>
      </c>
      <c r="J381" s="15" t="str">
        <f>IFERROR(__xludf.DUMMYFUNCTION("""COMPUTED_VALUE"""),"04 Elétrica / 34 - Tomada Uso Geral (PRAZO DE ATÉ 15 DIAS PARA ATENDIMENTO)")</f>
        <v>04 Elétrica / 34 - Tomada Uso Geral (PRAZO DE ATÉ 15 DIAS PARA ATENDIMENTO)</v>
      </c>
      <c r="K381" s="15"/>
      <c r="L381" s="15" t="str">
        <f>IFERROR(__xludf.DUMMYFUNCTION("""COMPUTED_VALUE"""),"Substituição de tomada ")</f>
        <v>Substituição de tomada </v>
      </c>
      <c r="M381" s="25"/>
      <c r="N381" s="26" t="str">
        <f>IFERROR(__xludf.DUMMYFUNCTION("""COMPUTED_VALUE"""),"Realizado")</f>
        <v>Realizado</v>
      </c>
      <c r="O381" s="11">
        <f>IFERROR(__xludf.DUMMYFUNCTION("""COMPUTED_VALUE"""),45352.0)</f>
        <v>45352</v>
      </c>
      <c r="P381" s="11"/>
    </row>
    <row r="382">
      <c r="A382" s="20" t="str">
        <f>IFERROR(__xludf.DUMMYFUNCTION("""COMPUTED_VALUE"""),"380/2024")</f>
        <v>380/2024</v>
      </c>
      <c r="B382" s="8">
        <f>IFERROR(__xludf.DUMMYFUNCTION("""COMPUTED_VALUE"""),45345.0)</f>
        <v>45345</v>
      </c>
      <c r="C382" s="21" t="str">
        <f>IFERROR(__xludf.DUMMYFUNCTION("""COMPUTED_VALUE"""),"propesq@ufcat.edu.br")</f>
        <v>propesq@ufcat.edu.br</v>
      </c>
      <c r="D382" s="22" t="str">
        <f>IFERROR(__xludf.DUMMYFUNCTION("""COMPUTED_VALUE"""),"Ludimila Oliveira de Campos")</f>
        <v>Ludimila Oliveira de Campos</v>
      </c>
      <c r="E382" s="40">
        <f>IFERROR(__xludf.DUMMYFUNCTION("""COMPUTED_VALUE"""),5302.0)</f>
        <v>5302</v>
      </c>
      <c r="F382" s="22" t="str">
        <f>IFERROR(__xludf.DUMMYFUNCTION("""COMPUTED_VALUE"""),"PROPESQ")</f>
        <v>PROPESQ</v>
      </c>
      <c r="G382" s="22" t="str">
        <f>IFERROR(__xludf.DUMMYFUNCTION("""COMPUTED_VALUE"""),"Bloco L")</f>
        <v>Bloco L</v>
      </c>
      <c r="H382" s="22" t="str">
        <f>IFERROR(__xludf.DUMMYFUNCTION("""COMPUTED_VALUE"""),"Miniauditório Congadas")</f>
        <v>Miniauditório Congadas</v>
      </c>
      <c r="I382" s="7" t="str">
        <f>IFERROR(__xludf.DUMMYFUNCTION("""COMPUTED_VALUE"""),"Reparos (alvenaria, piso, forro e telhado)")</f>
        <v>Reparos (alvenaria, piso, forro e telhado)</v>
      </c>
      <c r="J382" s="15" t="str">
        <f>IFERROR(__xludf.DUMMYFUNCTION("""COMPUTED_VALUE"""),"01 Alvenaria / 06 - Outros (PRAZO DE ATÉ 60 DIAS PARA ATENDIMENTO)")</f>
        <v>01 Alvenaria / 06 - Outros (PRAZO DE ATÉ 60 DIAS PARA ATENDIMENTO)</v>
      </c>
      <c r="K382" s="15"/>
      <c r="L382" s="15" t="str">
        <f>IFERROR(__xludf.DUMMYFUNCTION("""COMPUTED_VALUE"""),"Consertar goteiras do Miniauditório Congadas e verificar condições de risco.")</f>
        <v>Consertar goteiras do Miniauditório Congadas e verificar condições de risco.</v>
      </c>
      <c r="M382" s="25"/>
      <c r="N382" s="26" t="str">
        <f>IFERROR(__xludf.DUMMYFUNCTION("""COMPUTED_VALUE"""),"Realizado")</f>
        <v>Realizado</v>
      </c>
      <c r="O382" s="11">
        <f>IFERROR(__xludf.DUMMYFUNCTION("""COMPUTED_VALUE"""),45345.0)</f>
        <v>45345</v>
      </c>
      <c r="P382" s="11"/>
    </row>
    <row r="383">
      <c r="A383" s="20" t="str">
        <f>IFERROR(__xludf.DUMMYFUNCTION("""COMPUTED_VALUE"""),"381/2024")</f>
        <v>381/2024</v>
      </c>
      <c r="B383" s="8">
        <f>IFERROR(__xludf.DUMMYFUNCTION("""COMPUTED_VALUE"""),45347.0)</f>
        <v>45347</v>
      </c>
      <c r="C383" s="21" t="str">
        <f>IFERROR(__xludf.DUMMYFUNCTION("""COMPUTED_VALUE"""),"seguranca@ufcat.edu.br")</f>
        <v>seguranca@ufcat.edu.br</v>
      </c>
      <c r="D383" s="22" t="str">
        <f>IFERROR(__xludf.DUMMYFUNCTION("""COMPUTED_VALUE"""),"Neide da costa ")</f>
        <v>Neide da costa </v>
      </c>
      <c r="E383" s="40">
        <f>IFERROR(__xludf.DUMMYFUNCTION("""COMPUTED_VALUE"""),5318.0)</f>
        <v>5318</v>
      </c>
      <c r="F383" s="22" t="str">
        <f>IFERROR(__xludf.DUMMYFUNCTION("""COMPUTED_VALUE"""),"CENTRAL DE OPERAÇÕES VIGILÂNCIA")</f>
        <v>CENTRAL DE OPERAÇÕES VIGILÂNCIA</v>
      </c>
      <c r="G383" s="22" t="str">
        <f>IFERROR(__xludf.DUMMYFUNCTION("""COMPUTED_VALUE"""),"Campus II")</f>
        <v>Campus II</v>
      </c>
      <c r="H383" s="22" t="str">
        <f>IFERROR(__xludf.DUMMYFUNCTION("""COMPUTED_VALUE"""),"câmera corredor dos fundos ")</f>
        <v>câmera corredor dos fundos </v>
      </c>
      <c r="I383" s="7" t="str">
        <f>IFERROR(__xludf.DUMMYFUNCTION("""COMPUTED_VALUE"""),"Instalações e/ou Manutenção em Cabeamento de Rede")</f>
        <v>Instalações e/ou Manutenção em Cabeamento de Rede</v>
      </c>
      <c r="J383" s="15" t="str">
        <f>IFERROR(__xludf.DUMMYFUNCTION("""COMPUTED_VALUE"""),"05 Telecomunicações / 39 - CFTV (PRAZO DE ATÉ 15 DIAS PARA ATENDIMENTO)")</f>
        <v>05 Telecomunicações / 39 - CFTV (PRAZO DE ATÉ 15 DIAS PARA ATENDIMENTO)</v>
      </c>
      <c r="K383" s="15"/>
      <c r="L383" s="15" t="str">
        <f>IFERROR(__xludf.DUMMYFUNCTION("""COMPUTED_VALUE""")," A câmera corredor dos fundos no campus 2 esta com a imagem manchada de roxo mas está rodando normal.")</f>
        <v> A câmera corredor dos fundos no campus 2 esta com a imagem manchada de roxo mas está rodando normal.</v>
      </c>
      <c r="M383" s="25"/>
      <c r="N383" s="26" t="str">
        <f>IFERROR(__xludf.DUMMYFUNCTION("""COMPUTED_VALUE"""),"Realizado")</f>
        <v>Realizado</v>
      </c>
      <c r="O383" s="11">
        <f>IFERROR(__xludf.DUMMYFUNCTION("""COMPUTED_VALUE"""),45363.0)</f>
        <v>45363</v>
      </c>
      <c r="P383" s="11"/>
    </row>
    <row r="384">
      <c r="A384" s="20" t="str">
        <f>IFERROR(__xludf.DUMMYFUNCTION("""COMPUTED_VALUE"""),"382/2024")</f>
        <v>382/2024</v>
      </c>
      <c r="B384" s="8">
        <f>IFERROR(__xludf.DUMMYFUNCTION("""COMPUTED_VALUE"""),45348.0)</f>
        <v>45348</v>
      </c>
      <c r="C384" s="21" t="str">
        <f>IFERROR(__xludf.DUMMYFUNCTION("""COMPUTED_VALUE"""),"amanda.lopes@ufcat.edu.br")</f>
        <v>amanda.lopes@ufcat.edu.br</v>
      </c>
      <c r="D384" s="22" t="str">
        <f>IFERROR(__xludf.DUMMYFUNCTION("""COMPUTED_VALUE"""),"Amanda Matos ")</f>
        <v>Amanda Matos </v>
      </c>
      <c r="E384" s="40">
        <f>IFERROR(__xludf.DUMMYFUNCTION("""COMPUTED_VALUE"""),5340.0)</f>
        <v>5340</v>
      </c>
      <c r="F384" s="22" t="str">
        <f>IFERROR(__xludf.DUMMYFUNCTION("""COMPUTED_VALUE"""),"PREF")</f>
        <v>PREF</v>
      </c>
      <c r="G384" s="22" t="str">
        <f>IFERROR(__xludf.DUMMYFUNCTION("""COMPUTED_VALUE"""),"Bloco P")</f>
        <v>Bloco P</v>
      </c>
      <c r="H384" s="22" t="str">
        <f>IFERROR(__xludf.DUMMYFUNCTION("""COMPUTED_VALUE"""),"Prefeitura Universitária ")</f>
        <v>Prefeitura Universitária </v>
      </c>
      <c r="I384" s="7" t="str">
        <f>IFERROR(__xludf.DUMMYFUNCTION("""COMPUTED_VALUE"""),"Serralheria")</f>
        <v>Serralheria</v>
      </c>
      <c r="J384" s="15" t="str">
        <f>IFERROR(__xludf.DUMMYFUNCTION("""COMPUTED_VALUE"""),"08 Serralheria / 56 - Outros (PRAZO DE ACORDO COM A DEMANDA)")</f>
        <v>08 Serralheria / 56 - Outros (PRAZO DE ACORDO COM A DEMANDA)</v>
      </c>
      <c r="K384" s="15"/>
      <c r="L384" s="15" t="str">
        <f>IFERROR(__xludf.DUMMYFUNCTION("""COMPUTED_VALUE"""),"Amolhar facas do roçadeira para jardinagem ")</f>
        <v>Amolhar facas do roçadeira para jardinagem </v>
      </c>
      <c r="M384" s="25"/>
      <c r="N384" s="26" t="str">
        <f>IFERROR(__xludf.DUMMYFUNCTION("""COMPUTED_VALUE"""),"Realizado")</f>
        <v>Realizado</v>
      </c>
      <c r="O384" s="11">
        <f>IFERROR(__xludf.DUMMYFUNCTION("""COMPUTED_VALUE"""),45352.0)</f>
        <v>45352</v>
      </c>
      <c r="P384" s="11"/>
    </row>
    <row r="385">
      <c r="A385" s="20" t="str">
        <f>IFERROR(__xludf.DUMMYFUNCTION("""COMPUTED_VALUE"""),"383/2024")</f>
        <v>383/2024</v>
      </c>
      <c r="B385" s="8">
        <f>IFERROR(__xludf.DUMMYFUNCTION("""COMPUTED_VALUE"""),45348.0)</f>
        <v>45348</v>
      </c>
      <c r="C385" s="44" t="str">
        <f>IFERROR(__xludf.DUMMYFUNCTION("""COMPUTED_VALUE"""),"aninhasantosbio@ufcat.edu.br")</f>
        <v>aninhasantosbio@ufcat.edu.br</v>
      </c>
      <c r="D385" s="45" t="str">
        <f>IFERROR(__xludf.DUMMYFUNCTION("""COMPUTED_VALUE"""),"Ana Lucia Santos ")</f>
        <v>Ana Lucia Santos </v>
      </c>
      <c r="E385" s="45" t="str">
        <f>IFERROR(__xludf.DUMMYFUNCTION("""COMPUTED_VALUE"""),"64-981020638 ")</f>
        <v>64-981020638 </v>
      </c>
      <c r="F385" s="45" t="str">
        <f>IFERROR(__xludf.DUMMYFUNCTION("""COMPUTED_VALUE"""),"IBIOTEC - Ciências Biológicas")</f>
        <v>IBIOTEC - Ciências Biológicas</v>
      </c>
      <c r="G385" s="45" t="str">
        <f>IFERROR(__xludf.DUMMYFUNCTION("""COMPUTED_VALUE"""),"Bloco N")</f>
        <v>Bloco N</v>
      </c>
      <c r="H385" s="47">
        <f>IFERROR(__xludf.DUMMYFUNCTION("""COMPUTED_VALUE"""),109.0)</f>
        <v>109</v>
      </c>
      <c r="I385" s="7" t="str">
        <f>IFERROR(__xludf.DUMMYFUNCTION("""COMPUTED_VALUE"""),"Instalações Hidrossanitárias")</f>
        <v>Instalações Hidrossanitárias</v>
      </c>
      <c r="J385" s="13" t="str">
        <f>IFERROR(__xludf.DUMMYFUNCTION("""COMPUTED_VALUE"""),"02 Hidráulica / 07 - Desentupimento (PRAZO DE 1 ATÉ 5 DIAS PARA ATENDIMENTO)")</f>
        <v>02 Hidráulica / 07 - Desentupimento (PRAZO DE 1 ATÉ 5 DIAS PARA ATENDIMENTO)</v>
      </c>
      <c r="K385" s="13"/>
      <c r="L385" s="13" t="str">
        <f>IFERROR(__xludf.DUMMYFUNCTION("""COMPUTED_VALUE"""),"Desentupir ralo no corredor do piso térreo, do bloco N, entre as salas 109 e 111, onde fica o chuveiro de emergência ")</f>
        <v>Desentupir ralo no corredor do piso térreo, do bloco N, entre as salas 109 e 111, onde fica o chuveiro de emergência </v>
      </c>
      <c r="M385" s="25"/>
      <c r="N385" s="26" t="str">
        <f>IFERROR(__xludf.DUMMYFUNCTION("""COMPUTED_VALUE"""),"Realizado")</f>
        <v>Realizado</v>
      </c>
      <c r="O385" s="11">
        <f>IFERROR(__xludf.DUMMYFUNCTION("""COMPUTED_VALUE"""),45355.0)</f>
        <v>45355</v>
      </c>
      <c r="P385" s="11"/>
    </row>
    <row r="386">
      <c r="A386" s="20" t="str">
        <f>IFERROR(__xludf.DUMMYFUNCTION("""COMPUTED_VALUE"""),"384/2024")</f>
        <v>384/2024</v>
      </c>
      <c r="B386" s="8">
        <f>IFERROR(__xludf.DUMMYFUNCTION("""COMPUTED_VALUE"""),45348.0)</f>
        <v>45348</v>
      </c>
      <c r="C386" s="21" t="str">
        <f>IFERROR(__xludf.DUMMYFUNCTION("""COMPUTED_VALUE"""),"glenda_mesquita@ufcat.edu.br")</f>
        <v>glenda_mesquita@ufcat.edu.br</v>
      </c>
      <c r="D386" s="22" t="str">
        <f>IFERROR(__xludf.DUMMYFUNCTION("""COMPUTED_VALUE"""),"Glenda Maris Mesquita De Filippis")</f>
        <v>Glenda Maris Mesquita De Filippis</v>
      </c>
      <c r="E386" s="40">
        <f>IFERROR(__xludf.DUMMYFUNCTION("""COMPUTED_VALUE"""),6.4996059996E10)</f>
        <v>64996059996</v>
      </c>
      <c r="F386" s="22" t="str">
        <f>IFERROR(__xludf.DUMMYFUNCTION("""COMPUTED_VALUE"""),"IQ")</f>
        <v>IQ</v>
      </c>
      <c r="G386" s="22" t="str">
        <f>IFERROR(__xludf.DUMMYFUNCTION("""COMPUTED_VALUE"""),"Bloco N")</f>
        <v>Bloco N</v>
      </c>
      <c r="H386" s="40">
        <f>IFERROR(__xludf.DUMMYFUNCTION("""COMPUTED_VALUE"""),115.0)</f>
        <v>115</v>
      </c>
      <c r="I386" s="7" t="str">
        <f>IFERROR(__xludf.DUMMYFUNCTION("""COMPUTED_VALUE"""),"Instalações Hidrossanitárias")</f>
        <v>Instalações Hidrossanitárias</v>
      </c>
      <c r="J386" s="15" t="str">
        <f>IFERROR(__xludf.DUMMYFUNCTION("""COMPUTED_VALUE"""),"02 Hidráulica / 07 - Desentupimento (PRAZO DE 1 ATÉ 5 DIAS PARA ATENDIMENTO)")</f>
        <v>02 Hidráulica / 07 - Desentupimento (PRAZO DE 1 ATÉ 5 DIAS PARA ATENDIMENTO)</v>
      </c>
      <c r="K386" s="15"/>
      <c r="L386" s="15" t="str">
        <f>IFERROR(__xludf.DUMMYFUNCTION("""COMPUTED_VALUE"""),"desentupir ralo do chuveiro de emergência em frente a porta da sala 115")</f>
        <v>desentupir ralo do chuveiro de emergência em frente a porta da sala 115</v>
      </c>
      <c r="M386" s="25"/>
      <c r="N386" s="26" t="str">
        <f>IFERROR(__xludf.DUMMYFUNCTION("""COMPUTED_VALUE"""),"Realizado")</f>
        <v>Realizado</v>
      </c>
      <c r="O386" s="11">
        <f>IFERROR(__xludf.DUMMYFUNCTION("""COMPUTED_VALUE"""),45355.0)</f>
        <v>45355</v>
      </c>
      <c r="P386" s="11"/>
    </row>
    <row r="387">
      <c r="A387" s="20" t="str">
        <f>IFERROR(__xludf.DUMMYFUNCTION("""COMPUTED_VALUE"""),"385/2024")</f>
        <v>385/2024</v>
      </c>
      <c r="B387" s="8">
        <f>IFERROR(__xludf.DUMMYFUNCTION("""COMPUTED_VALUE"""),45348.0)</f>
        <v>45348</v>
      </c>
      <c r="C387" s="21" t="str">
        <f>IFERROR(__xludf.DUMMYFUNCTION("""COMPUTED_VALUE"""),"proec@ufcat.edu.br")</f>
        <v>proec@ufcat.edu.br</v>
      </c>
      <c r="D387" s="22" t="str">
        <f>IFERROR(__xludf.DUMMYFUNCTION("""COMPUTED_VALUE"""),"Herick Dias")</f>
        <v>Herick Dias</v>
      </c>
      <c r="E387" s="40">
        <f>IFERROR(__xludf.DUMMYFUNCTION("""COMPUTED_VALUE"""),5347.0)</f>
        <v>5347</v>
      </c>
      <c r="F387" s="22" t="str">
        <f>IFERROR(__xludf.DUMMYFUNCTION("""COMPUTED_VALUE"""),"PROEC")</f>
        <v>PROEC</v>
      </c>
      <c r="G387" s="22" t="str">
        <f>IFERROR(__xludf.DUMMYFUNCTION("""COMPUTED_VALUE"""),"Bloco Administrativo")</f>
        <v>Bloco Administrativo</v>
      </c>
      <c r="H387" s="22" t="str">
        <f>IFERROR(__xludf.DUMMYFUNCTION("""COMPUTED_VALUE"""),"PROEC - SALA 24")</f>
        <v>PROEC - SALA 24</v>
      </c>
      <c r="I387" s="7" t="str">
        <f>IFERROR(__xludf.DUMMYFUNCTION("""COMPUTED_VALUE"""),"Reparos (alvenaria, piso, forro e telhado)")</f>
        <v>Reparos (alvenaria, piso, forro e telhado)</v>
      </c>
      <c r="J387" s="15" t="str">
        <f>IFERROR(__xludf.DUMMYFUNCTION("""COMPUTED_VALUE"""),"01 Alvenaria / 06 - Outros (PRAZO DE ATÉ 60 DIAS PARA ATENDIMENTO)")</f>
        <v>01 Alvenaria / 06 - Outros (PRAZO DE ATÉ 60 DIAS PARA ATENDIMENTO)</v>
      </c>
      <c r="K387" s="15"/>
      <c r="L387" s="15" t="str">
        <f>IFERROR(__xludf.DUMMYFUNCTION("""COMPUTED_VALUE"""),"Instalar 3 pregos na parede - para adição de obras de arte na sala.")</f>
        <v>Instalar 3 pregos na parede - para adição de obras de arte na sala.</v>
      </c>
      <c r="M387" s="25"/>
      <c r="N387" s="26" t="str">
        <f>IFERROR(__xludf.DUMMYFUNCTION("""COMPUTED_VALUE"""),"Realizado")</f>
        <v>Realizado</v>
      </c>
      <c r="O387" s="11">
        <f>IFERROR(__xludf.DUMMYFUNCTION("""COMPUTED_VALUE"""),45371.0)</f>
        <v>45371</v>
      </c>
      <c r="P387" s="11"/>
    </row>
    <row r="388">
      <c r="A388" s="20" t="str">
        <f>IFERROR(__xludf.DUMMYFUNCTION("""COMPUTED_VALUE"""),"386/2024")</f>
        <v>386/2024</v>
      </c>
      <c r="B388" s="8">
        <f>IFERROR(__xludf.DUMMYFUNCTION("""COMPUTED_VALUE"""),45348.0)</f>
        <v>45348</v>
      </c>
      <c r="C388" s="21" t="str">
        <f>IFERROR(__xludf.DUMMYFUNCTION("""COMPUTED_VALUE"""),"marcia.mendes@ufcat.edu.br")</f>
        <v>marcia.mendes@ufcat.edu.br</v>
      </c>
      <c r="D388" s="22" t="str">
        <f>IFERROR(__xludf.DUMMYFUNCTION("""COMPUTED_VALUE"""),"Marcia")</f>
        <v>Marcia</v>
      </c>
      <c r="E388" s="22" t="str">
        <f>IFERROR(__xludf.DUMMYFUNCTION("""COMPUTED_VALUE"""),"64 98412-9238")</f>
        <v>64 98412-9238</v>
      </c>
      <c r="F388" s="22" t="str">
        <f>IFERROR(__xludf.DUMMYFUNCTION("""COMPUTED_VALUE"""),"IQ")</f>
        <v>IQ</v>
      </c>
      <c r="G388" s="22" t="str">
        <f>IFERROR(__xludf.DUMMYFUNCTION("""COMPUTED_VALUE"""),"Bloco K")</f>
        <v>Bloco K</v>
      </c>
      <c r="H388" s="40">
        <f>IFERROR(__xludf.DUMMYFUNCTION("""COMPUTED_VALUE"""),11.0)</f>
        <v>11</v>
      </c>
      <c r="I388" s="7" t="str">
        <f>IFERROR(__xludf.DUMMYFUNCTION("""COMPUTED_VALUE"""),"Instalações Hidrossanitárias")</f>
        <v>Instalações Hidrossanitárias</v>
      </c>
      <c r="J388" s="15" t="str">
        <f>IFERROR(__xludf.DUMMYFUNCTION("""COMPUTED_VALUE"""),"02 Hidráulica / 09 - Vazamento de Pia (PRAZO DE 15 a 60 DIAS PARA ATENDIMENTO)")</f>
        <v>02 Hidráulica / 09 - Vazamento de Pia (PRAZO DE 15 a 60 DIAS PARA ATENDIMENTO)</v>
      </c>
      <c r="K388" s="15"/>
      <c r="L388" s="15" t="str">
        <f>IFERROR(__xludf.DUMMYFUNCTION("""COMPUTED_VALUE"""),"Vazamento no sifão.")</f>
        <v>Vazamento no sifão.</v>
      </c>
      <c r="M388" s="25"/>
      <c r="N388" s="26" t="str">
        <f>IFERROR(__xludf.DUMMYFUNCTION("""COMPUTED_VALUE"""),"Realizado")</f>
        <v>Realizado</v>
      </c>
      <c r="O388" s="11">
        <f>IFERROR(__xludf.DUMMYFUNCTION("""COMPUTED_VALUE"""),45359.0)</f>
        <v>45359</v>
      </c>
      <c r="P388" s="11"/>
    </row>
    <row r="389">
      <c r="A389" s="20" t="str">
        <f>IFERROR(__xludf.DUMMYFUNCTION("""COMPUTED_VALUE"""),"387/2024")</f>
        <v>387/2024</v>
      </c>
      <c r="B389" s="8">
        <f>IFERROR(__xludf.DUMMYFUNCTION("""COMPUTED_VALUE"""),45348.0)</f>
        <v>45348</v>
      </c>
      <c r="C389" s="21" t="str">
        <f>IFERROR(__xludf.DUMMYFUNCTION("""COMPUTED_VALUE"""),"thalyta.sampaio@ufcat.edu.br")</f>
        <v>thalyta.sampaio@ufcat.edu.br</v>
      </c>
      <c r="D389" s="22" t="str">
        <f>IFERROR(__xludf.DUMMYFUNCTION("""COMPUTED_VALUE"""),"Thalyta Sampaio")</f>
        <v>Thalyta Sampaio</v>
      </c>
      <c r="E389" s="40">
        <f>IFERROR(__xludf.DUMMYFUNCTION("""COMPUTED_VALUE"""),5371.0)</f>
        <v>5371</v>
      </c>
      <c r="F389" s="22" t="str">
        <f>IFERROR(__xludf.DUMMYFUNCTION("""COMPUTED_VALUE"""),"PROAF")</f>
        <v>PROAF</v>
      </c>
      <c r="G389" s="22" t="str">
        <f>IFERROR(__xludf.DUMMYFUNCTION("""COMPUTED_VALUE"""),"Bloco Administrativo")</f>
        <v>Bloco Administrativo</v>
      </c>
      <c r="H389" s="22" t="str">
        <f>IFERROR(__xludf.DUMMYFUNCTION("""COMPUTED_VALUE"""),"Sala 003")</f>
        <v>Sala 003</v>
      </c>
      <c r="I389" s="7" t="str">
        <f>IFERROR(__xludf.DUMMYFUNCTION("""COMPUTED_VALUE"""),"Instalações e/ou Manutenção em Cabeamento de Rede")</f>
        <v>Instalações e/ou Manutenção em Cabeamento de Rede</v>
      </c>
      <c r="J389" s="15" t="str">
        <f>IFERROR(__xludf.DUMMYFUNCTION("""COMPUTED_VALUE"""),"05 Telecomunicações / 38 - Cabeamento de Rede (PRAZO DE ATÉ 15 DIAS PARA ATENDIMENTO)")</f>
        <v>05 Telecomunicações / 38 - Cabeamento de Rede (PRAZO DE ATÉ 15 DIAS PARA ATENDIMENTO)</v>
      </c>
      <c r="K389" s="15"/>
      <c r="L389" s="15" t="str">
        <f>IFERROR(__xludf.DUMMYFUNCTION("""COMPUTED_VALUE"""),"modificação de ponto de rede")</f>
        <v>modificação de ponto de rede</v>
      </c>
      <c r="M389" s="25"/>
      <c r="N389" s="26" t="str">
        <f>IFERROR(__xludf.DUMMYFUNCTION("""COMPUTED_VALUE"""),"Realizado")</f>
        <v>Realizado</v>
      </c>
      <c r="O389" s="11">
        <f>IFERROR(__xludf.DUMMYFUNCTION("""COMPUTED_VALUE"""),45356.0)</f>
        <v>45356</v>
      </c>
      <c r="P389" s="11"/>
    </row>
    <row r="390">
      <c r="A390" s="20" t="str">
        <f>IFERROR(__xludf.DUMMYFUNCTION("""COMPUTED_VALUE"""),"388/2024")</f>
        <v>388/2024</v>
      </c>
      <c r="B390" s="8">
        <f>IFERROR(__xludf.DUMMYFUNCTION("""COMPUTED_VALUE"""),45348.0)</f>
        <v>45348</v>
      </c>
      <c r="C390" s="21" t="str">
        <f>IFERROR(__xludf.DUMMYFUNCTION("""COMPUTED_VALUE"""),"proec@ufcat.edu.br")</f>
        <v>proec@ufcat.edu.br</v>
      </c>
      <c r="D390" s="22" t="str">
        <f>IFERROR(__xludf.DUMMYFUNCTION("""COMPUTED_VALUE"""),"Herick DIas")</f>
        <v>Herick DIas</v>
      </c>
      <c r="E390" s="40">
        <f>IFERROR(__xludf.DUMMYFUNCTION("""COMPUTED_VALUE"""),5347.0)</f>
        <v>5347</v>
      </c>
      <c r="F390" s="22" t="str">
        <f>IFERROR(__xludf.DUMMYFUNCTION("""COMPUTED_VALUE"""),"PROEC")</f>
        <v>PROEC</v>
      </c>
      <c r="G390" s="22" t="str">
        <f>IFERROR(__xludf.DUMMYFUNCTION("""COMPUTED_VALUE"""),"Bloco Administrativo")</f>
        <v>Bloco Administrativo</v>
      </c>
      <c r="H390" s="22" t="str">
        <f>IFERROR(__xludf.DUMMYFUNCTION("""COMPUTED_VALUE"""),"sala 24 - PROEC")</f>
        <v>sala 24 - PROEC</v>
      </c>
      <c r="I390" s="7" t="str">
        <f>IFERROR(__xludf.DUMMYFUNCTION("""COMPUTED_VALUE"""),"Pequenos serviços de reparos em Marcenaria")</f>
        <v>Pequenos serviços de reparos em Marcenaria</v>
      </c>
      <c r="J390" s="15" t="str">
        <f>IFERROR(__xludf.DUMMYFUNCTION("""COMPUTED_VALUE"""),"03 Marcenaria / 29 - Outros (PRAZO DE ACORDO COM A DEMANDA)")</f>
        <v>03 Marcenaria / 29 - Outros (PRAZO DE ACORDO COM A DEMANDA)</v>
      </c>
      <c r="K390" s="15"/>
      <c r="L390" s="15" t="str">
        <f>IFERROR(__xludf.DUMMYFUNCTION("""COMPUTED_VALUE"""),"Retirar um gaveteiro de uma mesa de escritório (Ele é parafusado)")</f>
        <v>Retirar um gaveteiro de uma mesa de escritório (Ele é parafusado)</v>
      </c>
      <c r="M390" s="25"/>
      <c r="N390" s="26" t="str">
        <f>IFERROR(__xludf.DUMMYFUNCTION("""COMPUTED_VALUE"""),"Realizado")</f>
        <v>Realizado</v>
      </c>
      <c r="O390" s="11">
        <f>IFERROR(__xludf.DUMMYFUNCTION("""COMPUTED_VALUE"""),45357.0)</f>
        <v>45357</v>
      </c>
      <c r="P390" s="11"/>
    </row>
    <row r="391">
      <c r="A391" s="20" t="str">
        <f>IFERROR(__xludf.DUMMYFUNCTION("""COMPUTED_VALUE"""),"389/2024")</f>
        <v>389/2024</v>
      </c>
      <c r="B391" s="8">
        <f>IFERROR(__xludf.DUMMYFUNCTION("""COMPUTED_VALUE"""),45348.0)</f>
        <v>45348</v>
      </c>
      <c r="C391" s="21" t="str">
        <f>IFERROR(__xludf.DUMMYFUNCTION("""COMPUTED_VALUE"""),"luciene_ferreira@ufcat.edu.br")</f>
        <v>luciene_ferreira@ufcat.edu.br</v>
      </c>
      <c r="D391" s="22" t="str">
        <f>IFERROR(__xludf.DUMMYFUNCTION("""COMPUTED_VALUE"""),"Luciene Candida Ferreira")</f>
        <v>Luciene Candida Ferreira</v>
      </c>
      <c r="E391" s="22" t="str">
        <f>IFERROR(__xludf.DUMMYFUNCTION("""COMPUTED_VALUE"""),"64 3441 5359")</f>
        <v>64 3441 5359</v>
      </c>
      <c r="F391" s="22" t="str">
        <f>IFERROR(__xludf.DUMMYFUNCTION("""COMPUTED_VALUE"""),"PROGRAD")</f>
        <v>PROGRAD</v>
      </c>
      <c r="G391" s="22" t="str">
        <f>IFERROR(__xludf.DUMMYFUNCTION("""COMPUTED_VALUE"""),"Bloco Administrativo")</f>
        <v>Bloco Administrativo</v>
      </c>
      <c r="H391" s="22" t="str">
        <f>IFERROR(__xludf.DUMMYFUNCTION("""COMPUTED_VALUE"""),"Prograd - Prédio Administrativo - Sala 15 ")</f>
        <v>Prograd - Prédio Administrativo - Sala 15 </v>
      </c>
      <c r="I391" s="7" t="str">
        <f>IFERROR(__xludf.DUMMYFUNCTION("""COMPUTED_VALUE"""),"Instalações e/ou Manutenção em Cabeamento de Rede")</f>
        <v>Instalações e/ou Manutenção em Cabeamento de Rede</v>
      </c>
      <c r="J391" s="15" t="str">
        <f>IFERROR(__xludf.DUMMYFUNCTION("""COMPUTED_VALUE"""),"05 Telecomunicações / 39 - CFTV (PRAZO DE ATÉ 15 DIAS PARA ATENDIMENTO)")</f>
        <v>05 Telecomunicações / 39 - CFTV (PRAZO DE ATÉ 15 DIAS PARA ATENDIMENTO)</v>
      </c>
      <c r="K391" s="15"/>
      <c r="L391" s="23" t="str">
        <f>IFERROR(__xludf.DUMMYFUNCTION("""COMPUTED_VALUE"""),"Solicito Cabo de rede de 2,5 m.")</f>
        <v>Solicito Cabo de rede de 2,5 m.</v>
      </c>
      <c r="M391" s="25"/>
      <c r="N391" s="26" t="str">
        <f>IFERROR(__xludf.DUMMYFUNCTION("""COMPUTED_VALUE"""),"Realizado")</f>
        <v>Realizado</v>
      </c>
      <c r="O391" s="11">
        <f>IFERROR(__xludf.DUMMYFUNCTION("""COMPUTED_VALUE"""),45357.0)</f>
        <v>45357</v>
      </c>
      <c r="P391" s="11"/>
    </row>
    <row r="392">
      <c r="A392" s="20" t="str">
        <f>IFERROR(__xludf.DUMMYFUNCTION("""COMPUTED_VALUE"""),"390/2024")</f>
        <v>390/2024</v>
      </c>
      <c r="B392" s="8">
        <f>IFERROR(__xludf.DUMMYFUNCTION("""COMPUTED_VALUE"""),45348.0)</f>
        <v>45348</v>
      </c>
      <c r="C392" s="21" t="str">
        <f>IFERROR(__xludf.DUMMYFUNCTION("""COMPUTED_VALUE"""),"lailton_ribeiro@ufcat.edu.br")</f>
        <v>lailton_ribeiro@ufcat.edu.br</v>
      </c>
      <c r="D392" s="22" t="str">
        <f>IFERROR(__xludf.DUMMYFUNCTION("""COMPUTED_VALUE"""),"Lailton Martins Ribeiro")</f>
        <v>Lailton Martins Ribeiro</v>
      </c>
      <c r="E392" s="40">
        <f>IFERROR(__xludf.DUMMYFUNCTION("""COMPUTED_VALUE"""),5333.0)</f>
        <v>5333</v>
      </c>
      <c r="F392" s="22" t="str">
        <f>IFERROR(__xludf.DUMMYFUNCTION("""COMPUTED_VALUE"""),"PRPE")</f>
        <v>PRPE</v>
      </c>
      <c r="G392" s="22" t="str">
        <f>IFERROR(__xludf.DUMMYFUNCTION("""COMPUTED_VALUE"""),"Bloco Administrativo")</f>
        <v>Bloco Administrativo</v>
      </c>
      <c r="H392" s="22" t="str">
        <f>IFERROR(__xludf.DUMMYFUNCTION("""COMPUTED_VALUE"""),"PRPE")</f>
        <v>PRPE</v>
      </c>
      <c r="I392" s="7" t="str">
        <f>IFERROR(__xludf.DUMMYFUNCTION("""COMPUTED_VALUE"""),"Reparos (alvenaria, piso, forro e telhado)")</f>
        <v>Reparos (alvenaria, piso, forro e telhado)</v>
      </c>
      <c r="J392" s="15" t="str">
        <f>IFERROR(__xludf.DUMMYFUNCTION("""COMPUTED_VALUE"""),"01 Alvenaria / 06 - Outros (PRAZO DE ATÉ 60 DIAS PARA ATENDIMENTO)")</f>
        <v>01 Alvenaria / 06 - Outros (PRAZO DE ATÉ 60 DIAS PARA ATENDIMENTO)</v>
      </c>
      <c r="K392" s="15"/>
      <c r="L392" s="15" t="str">
        <f>IFERROR(__xludf.DUMMYFUNCTION("""COMPUTED_VALUE"""),"Instalação de dois quadros de aviso na PRPE")</f>
        <v>Instalação de dois quadros de aviso na PRPE</v>
      </c>
      <c r="M392" s="25"/>
      <c r="N392" s="26" t="str">
        <f>IFERROR(__xludf.DUMMYFUNCTION("""COMPUTED_VALUE"""),"Realizado")</f>
        <v>Realizado</v>
      </c>
      <c r="O392" s="11">
        <f>IFERROR(__xludf.DUMMYFUNCTION("""COMPUTED_VALUE"""),45371.0)</f>
        <v>45371</v>
      </c>
      <c r="P392" s="11"/>
    </row>
    <row r="393">
      <c r="A393" s="20" t="str">
        <f>IFERROR(__xludf.DUMMYFUNCTION("""COMPUTED_VALUE"""),"391/2024")</f>
        <v>391/2024</v>
      </c>
      <c r="B393" s="8">
        <f>IFERROR(__xludf.DUMMYFUNCTION("""COMPUTED_VALUE"""),45348.0)</f>
        <v>45348</v>
      </c>
      <c r="C393" s="21" t="str">
        <f>IFERROR(__xludf.DUMMYFUNCTION("""COMPUTED_VALUE"""),"berenicedfernandes@gmail.com")</f>
        <v>berenicedfernandes@gmail.com</v>
      </c>
      <c r="D393" s="22" t="str">
        <f>IFERROR(__xludf.DUMMYFUNCTION("""COMPUTED_VALUE"""),"Berenice")</f>
        <v>Berenice</v>
      </c>
      <c r="E393" s="40">
        <f>IFERROR(__xludf.DUMMYFUNCTION("""COMPUTED_VALUE"""),5341.0)</f>
        <v>5341</v>
      </c>
      <c r="F393" s="22" t="str">
        <f>IFERROR(__xludf.DUMMYFUNCTION("""COMPUTED_VALUE"""),"SERVIÇO DE LIMPEZA")</f>
        <v>SERVIÇO DE LIMPEZA</v>
      </c>
      <c r="G393" s="22" t="str">
        <f>IFERROR(__xludf.DUMMYFUNCTION("""COMPUTED_VALUE"""),"Bloco M")</f>
        <v>Bloco M</v>
      </c>
      <c r="H393" s="15" t="str">
        <f>IFERROR(__xludf.DUMMYFUNCTION("""COMPUTED_VALUE"""),"Banheiro na clínica dos psicológos")</f>
        <v>Banheiro na clínica dos psicológos</v>
      </c>
      <c r="I393" s="7" t="str">
        <f>IFERROR(__xludf.DUMMYFUNCTION("""COMPUTED_VALUE"""),"Pintura")</f>
        <v>Pintura</v>
      </c>
      <c r="J393" s="15" t="str">
        <f>IFERROR(__xludf.DUMMYFUNCTION("""COMPUTED_VALUE"""),"06 Pintura / 47 - Outros (PRAZO DE ACORDO COM A DEMANDA)")</f>
        <v>06 Pintura / 47 - Outros (PRAZO DE ACORDO COM A DEMANDA)</v>
      </c>
      <c r="K393" s="15"/>
      <c r="L393" s="15" t="str">
        <f>IFERROR(__xludf.DUMMYFUNCTION("""COMPUTED_VALUE"""),"Pintar 2 dispenseres de papel higiênico")</f>
        <v>Pintar 2 dispenseres de papel higiênico</v>
      </c>
      <c r="M393" s="25"/>
      <c r="N393" s="26" t="str">
        <f>IFERROR(__xludf.DUMMYFUNCTION("""COMPUTED_VALUE"""),"Aguardando análise")</f>
        <v>Aguardando análise</v>
      </c>
      <c r="O393" s="12"/>
      <c r="P393" s="12"/>
    </row>
    <row r="394">
      <c r="A394" s="20" t="str">
        <f>IFERROR(__xludf.DUMMYFUNCTION("""COMPUTED_VALUE"""),"392/2024")</f>
        <v>392/2024</v>
      </c>
      <c r="B394" s="8">
        <f>IFERROR(__xludf.DUMMYFUNCTION("""COMPUTED_VALUE"""),45348.0)</f>
        <v>45348</v>
      </c>
      <c r="C394" s="21" t="str">
        <f>IFERROR(__xludf.DUMMYFUNCTION("""COMPUTED_VALUE"""),"berenicedfernandes@gmail.com")</f>
        <v>berenicedfernandes@gmail.com</v>
      </c>
      <c r="D394" s="22" t="str">
        <f>IFERROR(__xludf.DUMMYFUNCTION("""COMPUTED_VALUE"""),"Berenice")</f>
        <v>Berenice</v>
      </c>
      <c r="E394" s="40">
        <f>IFERROR(__xludf.DUMMYFUNCTION("""COMPUTED_VALUE"""),5341.0)</f>
        <v>5341</v>
      </c>
      <c r="F394" s="22" t="str">
        <f>IFERROR(__xludf.DUMMYFUNCTION("""COMPUTED_VALUE"""),"SERVIÇO DE LIMPEZA")</f>
        <v>SERVIÇO DE LIMPEZA</v>
      </c>
      <c r="G394" s="22" t="str">
        <f>IFERROR(__xludf.DUMMYFUNCTION("""COMPUTED_VALUE"""),"Bloco J")</f>
        <v>Bloco J</v>
      </c>
      <c r="H394" s="22" t="str">
        <f>IFERROR(__xludf.DUMMYFUNCTION("""COMPUTED_VALUE"""),"Banheiro")</f>
        <v>Banheiro</v>
      </c>
      <c r="I394" s="7" t="str">
        <f>IFERROR(__xludf.DUMMYFUNCTION("""COMPUTED_VALUE"""),"Pintura")</f>
        <v>Pintura</v>
      </c>
      <c r="J394" s="15" t="str">
        <f>IFERROR(__xludf.DUMMYFUNCTION("""COMPUTED_VALUE"""),"06 Pintura / 47 - Outros (PRAZO DE ACORDO COM A DEMANDA)")</f>
        <v>06 Pintura / 47 - Outros (PRAZO DE ACORDO COM A DEMANDA)</v>
      </c>
      <c r="K394" s="15"/>
      <c r="L394" s="15" t="str">
        <f>IFERROR(__xludf.DUMMYFUNCTION("""COMPUTED_VALUE"""),"Pintar 5 dispenseres de papel higiênico")</f>
        <v>Pintar 5 dispenseres de papel higiênico</v>
      </c>
      <c r="M394" s="25"/>
      <c r="N394" s="26" t="str">
        <f>IFERROR(__xludf.DUMMYFUNCTION("""COMPUTED_VALUE"""),"Aguardando análise")</f>
        <v>Aguardando análise</v>
      </c>
      <c r="O394" s="12"/>
      <c r="P394" s="12"/>
    </row>
    <row r="395">
      <c r="A395" s="20" t="str">
        <f>IFERROR(__xludf.DUMMYFUNCTION("""COMPUTED_VALUE"""),"393/2024")</f>
        <v>393/2024</v>
      </c>
      <c r="B395" s="8">
        <f>IFERROR(__xludf.DUMMYFUNCTION("""COMPUTED_VALUE"""),45348.0)</f>
        <v>45348</v>
      </c>
      <c r="C395" s="21" t="str">
        <f>IFERROR(__xludf.DUMMYFUNCTION("""COMPUTED_VALUE"""),"berenicedfernandes@gmail.com")</f>
        <v>berenicedfernandes@gmail.com</v>
      </c>
      <c r="D395" s="22" t="str">
        <f>IFERROR(__xludf.DUMMYFUNCTION("""COMPUTED_VALUE"""),"Berenice")</f>
        <v>Berenice</v>
      </c>
      <c r="E395" s="40">
        <f>IFERROR(__xludf.DUMMYFUNCTION("""COMPUTED_VALUE"""),5341.0)</f>
        <v>5341</v>
      </c>
      <c r="F395" s="22" t="str">
        <f>IFERROR(__xludf.DUMMYFUNCTION("""COMPUTED_VALUE"""),"SERVIÇO DE LIMPEZA")</f>
        <v>SERVIÇO DE LIMPEZA</v>
      </c>
      <c r="G395" s="22" t="str">
        <f>IFERROR(__xludf.DUMMYFUNCTION("""COMPUTED_VALUE"""),"Bloco F")</f>
        <v>Bloco F</v>
      </c>
      <c r="H395" s="22" t="str">
        <f>IFERROR(__xludf.DUMMYFUNCTION("""COMPUTED_VALUE"""),"Banheiros")</f>
        <v>Banheiros</v>
      </c>
      <c r="I395" s="7" t="str">
        <f>IFERROR(__xludf.DUMMYFUNCTION("""COMPUTED_VALUE"""),"Pintura")</f>
        <v>Pintura</v>
      </c>
      <c r="J395" s="15" t="str">
        <f>IFERROR(__xludf.DUMMYFUNCTION("""COMPUTED_VALUE"""),"06 Pintura / 47 - Outros (PRAZO DE ACORDO COM A DEMANDA)")</f>
        <v>06 Pintura / 47 - Outros (PRAZO DE ACORDO COM A DEMANDA)</v>
      </c>
      <c r="K395" s="15"/>
      <c r="L395" s="15" t="str">
        <f>IFERROR(__xludf.DUMMYFUNCTION("""COMPUTED_VALUE"""),"Pintar 5 dispenseres de papel higiênico")</f>
        <v>Pintar 5 dispenseres de papel higiênico</v>
      </c>
      <c r="M395" s="25"/>
      <c r="N395" s="26" t="str">
        <f>IFERROR(__xludf.DUMMYFUNCTION("""COMPUTED_VALUE"""),"Aguardando análise")</f>
        <v>Aguardando análise</v>
      </c>
      <c r="O395" s="12"/>
      <c r="P395" s="12"/>
    </row>
    <row r="396">
      <c r="A396" s="20" t="str">
        <f>IFERROR(__xludf.DUMMYFUNCTION("""COMPUTED_VALUE"""),"394/2024")</f>
        <v>394/2024</v>
      </c>
      <c r="B396" s="8">
        <f>IFERROR(__xludf.DUMMYFUNCTION("""COMPUTED_VALUE"""),45348.0)</f>
        <v>45348</v>
      </c>
      <c r="C396" s="21" t="str">
        <f>IFERROR(__xludf.DUMMYFUNCTION("""COMPUTED_VALUE"""),"berenicedfernandes@gmail.com")</f>
        <v>berenicedfernandes@gmail.com</v>
      </c>
      <c r="D396" s="22" t="str">
        <f>IFERROR(__xludf.DUMMYFUNCTION("""COMPUTED_VALUE"""),"Berenice")</f>
        <v>Berenice</v>
      </c>
      <c r="E396" s="40">
        <f>IFERROR(__xludf.DUMMYFUNCTION("""COMPUTED_VALUE"""),5341.0)</f>
        <v>5341</v>
      </c>
      <c r="F396" s="22" t="str">
        <f>IFERROR(__xludf.DUMMYFUNCTION("""COMPUTED_VALUE"""),"SERVIÇO DE LIMPEZA")</f>
        <v>SERVIÇO DE LIMPEZA</v>
      </c>
      <c r="G396" s="22" t="str">
        <f>IFERROR(__xludf.DUMMYFUNCTION("""COMPUTED_VALUE"""),"Bloco G")</f>
        <v>Bloco G</v>
      </c>
      <c r="H396" s="22" t="str">
        <f>IFERROR(__xludf.DUMMYFUNCTION("""COMPUTED_VALUE"""),"Banheiros")</f>
        <v>Banheiros</v>
      </c>
      <c r="I396" s="7" t="str">
        <f>IFERROR(__xludf.DUMMYFUNCTION("""COMPUTED_VALUE"""),"Pintura")</f>
        <v>Pintura</v>
      </c>
      <c r="J396" s="15" t="str">
        <f>IFERROR(__xludf.DUMMYFUNCTION("""COMPUTED_VALUE"""),"06 Pintura / 47 - Outros (PRAZO DE ACORDO COM A DEMANDA)")</f>
        <v>06 Pintura / 47 - Outros (PRAZO DE ACORDO COM A DEMANDA)</v>
      </c>
      <c r="K396" s="15"/>
      <c r="L396" s="15" t="str">
        <f>IFERROR(__xludf.DUMMYFUNCTION("""COMPUTED_VALUE"""),"Pintar 6 dispenseres de papel higiênico")</f>
        <v>Pintar 6 dispenseres de papel higiênico</v>
      </c>
      <c r="M396" s="25"/>
      <c r="N396" s="26" t="str">
        <f>IFERROR(__xludf.DUMMYFUNCTION("""COMPUTED_VALUE"""),"Aguardando análise")</f>
        <v>Aguardando análise</v>
      </c>
      <c r="O396" s="12"/>
      <c r="P396" s="12"/>
    </row>
    <row r="397">
      <c r="A397" s="20" t="str">
        <f>IFERROR(__xludf.DUMMYFUNCTION("""COMPUTED_VALUE"""),"395/2024")</f>
        <v>395/2024</v>
      </c>
      <c r="B397" s="8">
        <f>IFERROR(__xludf.DUMMYFUNCTION("""COMPUTED_VALUE"""),45348.0)</f>
        <v>45348</v>
      </c>
      <c r="C397" s="21" t="str">
        <f>IFERROR(__xludf.DUMMYFUNCTION("""COMPUTED_VALUE"""),"berenicedfernandes@gmil.com")</f>
        <v>berenicedfernandes@gmil.com</v>
      </c>
      <c r="D397" s="22" t="str">
        <f>IFERROR(__xludf.DUMMYFUNCTION("""COMPUTED_VALUE"""),"Berenice")</f>
        <v>Berenice</v>
      </c>
      <c r="E397" s="40">
        <f>IFERROR(__xludf.DUMMYFUNCTION("""COMPUTED_VALUE"""),5341.0)</f>
        <v>5341</v>
      </c>
      <c r="F397" s="22" t="str">
        <f>IFERROR(__xludf.DUMMYFUNCTION("""COMPUTED_VALUE"""),"SERVIÇO DE LIMPEZA")</f>
        <v>SERVIÇO DE LIMPEZA</v>
      </c>
      <c r="G397" s="22" t="str">
        <f>IFERROR(__xludf.DUMMYFUNCTION("""COMPUTED_VALUE"""),"Bloco B")</f>
        <v>Bloco B</v>
      </c>
      <c r="H397" s="22" t="str">
        <f>IFERROR(__xludf.DUMMYFUNCTION("""COMPUTED_VALUE"""),"Banheiro")</f>
        <v>Banheiro</v>
      </c>
      <c r="I397" s="7" t="str">
        <f>IFERROR(__xludf.DUMMYFUNCTION("""COMPUTED_VALUE"""),"Pintura")</f>
        <v>Pintura</v>
      </c>
      <c r="J397" s="15" t="str">
        <f>IFERROR(__xludf.DUMMYFUNCTION("""COMPUTED_VALUE"""),"06 Pintura / 47 - Outros (PRAZO DE ACORDO COM A DEMANDA)")</f>
        <v>06 Pintura / 47 - Outros (PRAZO DE ACORDO COM A DEMANDA)</v>
      </c>
      <c r="K397" s="15"/>
      <c r="L397" s="15" t="str">
        <f>IFERROR(__xludf.DUMMYFUNCTION("""COMPUTED_VALUE"""),"Pintar 3 dispenseres de papel higiênico")</f>
        <v>Pintar 3 dispenseres de papel higiênico</v>
      </c>
      <c r="M397" s="25"/>
      <c r="N397" s="26" t="str">
        <f>IFERROR(__xludf.DUMMYFUNCTION("""COMPUTED_VALUE"""),"Aguardando análise")</f>
        <v>Aguardando análise</v>
      </c>
      <c r="O397" s="12"/>
      <c r="P397" s="12"/>
    </row>
    <row r="398">
      <c r="A398" s="20" t="str">
        <f>IFERROR(__xludf.DUMMYFUNCTION("""COMPUTED_VALUE"""),"396/2024")</f>
        <v>396/2024</v>
      </c>
      <c r="B398" s="8">
        <f>IFERROR(__xludf.DUMMYFUNCTION("""COMPUTED_VALUE"""),45348.0)</f>
        <v>45348</v>
      </c>
      <c r="C398" s="21" t="str">
        <f>IFERROR(__xludf.DUMMYFUNCTION("""COMPUTED_VALUE"""),"berenicedfernandes@gmail.com")</f>
        <v>berenicedfernandes@gmail.com</v>
      </c>
      <c r="D398" s="22" t="str">
        <f>IFERROR(__xludf.DUMMYFUNCTION("""COMPUTED_VALUE"""),"Berenice")</f>
        <v>Berenice</v>
      </c>
      <c r="E398" s="40">
        <f>IFERROR(__xludf.DUMMYFUNCTION("""COMPUTED_VALUE"""),5341.0)</f>
        <v>5341</v>
      </c>
      <c r="F398" s="22" t="str">
        <f>IFERROR(__xludf.DUMMYFUNCTION("""COMPUTED_VALUE"""),"SERVIÇO DE LIMPEZA")</f>
        <v>SERVIÇO DE LIMPEZA</v>
      </c>
      <c r="G398" s="22" t="str">
        <f>IFERROR(__xludf.DUMMYFUNCTION("""COMPUTED_VALUE"""),"Bloco G")</f>
        <v>Bloco G</v>
      </c>
      <c r="H398" s="22" t="str">
        <f>IFERROR(__xludf.DUMMYFUNCTION("""COMPUTED_VALUE"""),"Banheiros")</f>
        <v>Banheiros</v>
      </c>
      <c r="I398" s="7" t="str">
        <f>IFERROR(__xludf.DUMMYFUNCTION("""COMPUTED_VALUE"""),"Pintura")</f>
        <v>Pintura</v>
      </c>
      <c r="J398" s="15" t="str">
        <f>IFERROR(__xludf.DUMMYFUNCTION("""COMPUTED_VALUE"""),"06 Pintura / 47 - Outros (PRAZO DE ACORDO COM A DEMANDA)")</f>
        <v>06 Pintura / 47 - Outros (PRAZO DE ACORDO COM A DEMANDA)</v>
      </c>
      <c r="K398" s="15"/>
      <c r="L398" s="15" t="str">
        <f>IFERROR(__xludf.DUMMYFUNCTION("""COMPUTED_VALUE"""),"Pintar 6 dispenser de papel higiênico")</f>
        <v>Pintar 6 dispenser de papel higiênico</v>
      </c>
      <c r="M398" s="25"/>
      <c r="N398" s="26" t="str">
        <f>IFERROR(__xludf.DUMMYFUNCTION("""COMPUTED_VALUE"""),"Aguardando análise")</f>
        <v>Aguardando análise</v>
      </c>
      <c r="O398" s="12"/>
      <c r="P398" s="12"/>
    </row>
    <row r="399">
      <c r="A399" s="20" t="str">
        <f>IFERROR(__xludf.DUMMYFUNCTION("""COMPUTED_VALUE"""),"397/2024")</f>
        <v>397/2024</v>
      </c>
      <c r="B399" s="8">
        <f>IFERROR(__xludf.DUMMYFUNCTION("""COMPUTED_VALUE"""),45348.78464032407)</f>
        <v>45348.78464</v>
      </c>
      <c r="C399" s="21" t="str">
        <f>IFERROR(__xludf.DUMMYFUNCTION("""COMPUTED_VALUE"""),"geaneliza_pimentel@ufcat.edu.br")</f>
        <v>geaneliza_pimentel@ufcat.edu.br</v>
      </c>
      <c r="D399" s="22" t="str">
        <f>IFERROR(__xludf.DUMMYFUNCTION("""COMPUTED_VALUE"""),"Geaneliza PImentel")</f>
        <v>Geaneliza PImentel</v>
      </c>
      <c r="E399" s="40" t="str">
        <f>IFERROR(__xludf.DUMMYFUNCTION("""COMPUTED_VALUE"""),"(64) 9 9307-45 81 ")</f>
        <v>(64) 9 9307-45 81 </v>
      </c>
      <c r="F399" s="22" t="str">
        <f>IFERROR(__xludf.DUMMYFUNCTION("""COMPUTED_VALUE"""),"INHCS")</f>
        <v>INHCS</v>
      </c>
      <c r="G399" s="22" t="str">
        <f>IFERROR(__xludf.DUMMYFUNCTION("""COMPUTED_VALUE"""),"Bloco C")</f>
        <v>Bloco C</v>
      </c>
      <c r="H399" s="22" t="str">
        <f>IFERROR(__xludf.DUMMYFUNCTION("""COMPUTED_VALUE"""),"Sala 04 Bloco ""C""")</f>
        <v>Sala 04 Bloco "C"</v>
      </c>
      <c r="I399" s="7" t="str">
        <f>IFERROR(__xludf.DUMMYFUNCTION("""COMPUTED_VALUE"""),"Instalações elétricas")</f>
        <v>Instalações elétricas</v>
      </c>
      <c r="J399" s="15" t="str">
        <f>IFERROR(__xludf.DUMMYFUNCTION("""COMPUTED_VALUE"""),"04 Elétrica / 37 - Outros (PRAZO DE ACORDO COM A DEMANDA)")</f>
        <v>04 Elétrica / 37 - Outros (PRAZO DE ACORDO COM A DEMANDA)</v>
      </c>
      <c r="K399" s="15"/>
      <c r="L399" s="15" t="str">
        <f>IFERROR(__xludf.DUMMYFUNCTION("""COMPUTED_VALUE"""),"Manutenção em ventilador de parede na sala 04, Bloco ""C"". Não está funcionando. 
Em caráter de urgência. Sala pequena, sem ventilação. Insustentável trabalhar sem ventilação.  ")</f>
        <v>Manutenção em ventilador de parede na sala 04, Bloco "C". Não está funcionando. 
Em caráter de urgência. Sala pequena, sem ventilação. Insustentável trabalhar sem ventilação.  </v>
      </c>
      <c r="M399" s="25"/>
      <c r="N399" s="26" t="str">
        <f>IFERROR(__xludf.DUMMYFUNCTION("""COMPUTED_VALUE"""),"Realizado")</f>
        <v>Realizado</v>
      </c>
      <c r="O399" s="11">
        <f>IFERROR(__xludf.DUMMYFUNCTION("""COMPUTED_VALUE"""),45352.0)</f>
        <v>45352</v>
      </c>
      <c r="P399" s="11"/>
    </row>
    <row r="400">
      <c r="A400" s="20" t="str">
        <f>IFERROR(__xludf.DUMMYFUNCTION("""COMPUTED_VALUE"""),"398/2024")</f>
        <v>398/2024</v>
      </c>
      <c r="B400" s="8">
        <f>IFERROR(__xludf.DUMMYFUNCTION("""COMPUTED_VALUE"""),45349.0)</f>
        <v>45349</v>
      </c>
      <c r="C400" s="21" t="str">
        <f>IFERROR(__xludf.DUMMYFUNCTION("""COMPUTED_VALUE"""),"seguranca@ufcat.edu.br")</f>
        <v>seguranca@ufcat.edu.br</v>
      </c>
      <c r="D400" s="22" t="str">
        <f>IFERROR(__xludf.DUMMYFUNCTION("""COMPUTED_VALUE"""),"Maria Duarte")</f>
        <v>Maria Duarte</v>
      </c>
      <c r="E400" s="40">
        <f>IFERROR(__xludf.DUMMYFUNCTION("""COMPUTED_VALUE"""),5318.0)</f>
        <v>5318</v>
      </c>
      <c r="F400" s="22" t="str">
        <f>IFERROR(__xludf.DUMMYFUNCTION("""COMPUTED_VALUE"""),"CENTRAL DE OPERAÇÕES VIGILÂNCIA")</f>
        <v>CENTRAL DE OPERAÇÕES VIGILÂNCIA</v>
      </c>
      <c r="G400" s="22" t="str">
        <f>IFERROR(__xludf.DUMMYFUNCTION("""COMPUTED_VALUE"""),"Bloco N")</f>
        <v>Bloco N</v>
      </c>
      <c r="H400" s="22" t="str">
        <f>IFERROR(__xludf.DUMMYFUNCTION("""COMPUTED_VALUE"""),"DVR do Bloco N")</f>
        <v>DVR do Bloco N</v>
      </c>
      <c r="I400" s="7" t="str">
        <f>IFERROR(__xludf.DUMMYFUNCTION("""COMPUTED_VALUE"""),"Instalações e/ou Manutenção em Cabeamento de Rede")</f>
        <v>Instalações e/ou Manutenção em Cabeamento de Rede</v>
      </c>
      <c r="J400" s="15" t="str">
        <f>IFERROR(__xludf.DUMMYFUNCTION("""COMPUTED_VALUE"""),"05 Telecomunicações / 39 - CFTV (PRAZO DE ATÉ 15 DIAS PARA ATENDIMENTO)")</f>
        <v>05 Telecomunicações / 39 - CFTV (PRAZO DE ATÉ 15 DIAS PARA ATENDIMENTO)</v>
      </c>
      <c r="K400" s="15"/>
      <c r="L400" s="15" t="str">
        <f>IFERROR(__xludf.DUMMYFUNCTION("""COMPUTED_VALUE"""),"DVR do Bloco N, a câmera identificada como CORREDOR DE ENTRADA, se encontra com a imagem com interferência.")</f>
        <v>DVR do Bloco N, a câmera identificada como CORREDOR DE ENTRADA, se encontra com a imagem com interferência.</v>
      </c>
      <c r="M400" s="25"/>
      <c r="N400" s="26" t="str">
        <f>IFERROR(__xludf.DUMMYFUNCTION("""COMPUTED_VALUE"""),"Realizado")</f>
        <v>Realizado</v>
      </c>
      <c r="O400" s="11">
        <f>IFERROR(__xludf.DUMMYFUNCTION("""COMPUTED_VALUE"""),45355.0)</f>
        <v>45355</v>
      </c>
      <c r="P400" s="11"/>
    </row>
    <row r="401">
      <c r="A401" s="20" t="str">
        <f>IFERROR(__xludf.DUMMYFUNCTION("""COMPUTED_VALUE"""),"399/2024")</f>
        <v>399/2024</v>
      </c>
      <c r="B401" s="8">
        <f>IFERROR(__xludf.DUMMYFUNCTION("""COMPUTED_VALUE"""),45349.0)</f>
        <v>45349</v>
      </c>
      <c r="C401" s="21" t="str">
        <f>IFERROR(__xludf.DUMMYFUNCTION("""COMPUTED_VALUE"""),"seguranca@ufcat.edu.br")</f>
        <v>seguranca@ufcat.edu.br</v>
      </c>
      <c r="D401" s="22" t="str">
        <f>IFERROR(__xludf.DUMMYFUNCTION("""COMPUTED_VALUE"""),"Maria Duarte")</f>
        <v>Maria Duarte</v>
      </c>
      <c r="E401" s="40">
        <f>IFERROR(__xludf.DUMMYFUNCTION("""COMPUTED_VALUE"""),5318.0)</f>
        <v>5318</v>
      </c>
      <c r="F401" s="22" t="str">
        <f>IFERROR(__xludf.DUMMYFUNCTION("""COMPUTED_VALUE"""),"CENTRAL DE OPERAÇÕES VIGILÂNCIA")</f>
        <v>CENTRAL DE OPERAÇÕES VIGILÂNCIA</v>
      </c>
      <c r="G401" s="22" t="str">
        <f>IFERROR(__xludf.DUMMYFUNCTION("""COMPUTED_VALUE"""),"Biblioteca")</f>
        <v>Biblioteca</v>
      </c>
      <c r="H401" s="22" t="str">
        <f>IFERROR(__xludf.DUMMYFUNCTION("""COMPUTED_VALUE"""),"DVR da Biblioteca")</f>
        <v>DVR da Biblioteca</v>
      </c>
      <c r="I401" s="7" t="str">
        <f>IFERROR(__xludf.DUMMYFUNCTION("""COMPUTED_VALUE"""),"Instalações e/ou Manutenção em Cabeamento de Rede")</f>
        <v>Instalações e/ou Manutenção em Cabeamento de Rede</v>
      </c>
      <c r="J401" s="15" t="str">
        <f>IFERROR(__xludf.DUMMYFUNCTION("""COMPUTED_VALUE"""),"05 Telecomunicações / 39 - CFTV (PRAZO DE ATÉ 15 DIAS PARA ATENDIMENTO)")</f>
        <v>05 Telecomunicações / 39 - CFTV (PRAZO DE ATÉ 15 DIAS PARA ATENDIMENTO)</v>
      </c>
      <c r="K401" s="15"/>
      <c r="L401" s="15" t="str">
        <f>IFERROR(__xludf.DUMMYFUNCTION("""COMPUTED_VALUE"""),"DVR da Biblioteca, a câmera da entrada principal está com interferência na imagem. ")</f>
        <v>DVR da Biblioteca, a câmera da entrada principal está com interferência na imagem. </v>
      </c>
      <c r="M401" s="25"/>
      <c r="N401" s="26" t="str">
        <f>IFERROR(__xludf.DUMMYFUNCTION("""COMPUTED_VALUE"""),"Realizado")</f>
        <v>Realizado</v>
      </c>
      <c r="O401" s="11">
        <f>IFERROR(__xludf.DUMMYFUNCTION("""COMPUTED_VALUE"""),45355.0)</f>
        <v>45355</v>
      </c>
      <c r="P401" s="11"/>
    </row>
    <row r="402">
      <c r="A402" s="20" t="str">
        <f>IFERROR(__xludf.DUMMYFUNCTION("""COMPUTED_VALUE"""),"400/2024")</f>
        <v>400/2024</v>
      </c>
      <c r="B402" s="8">
        <f>IFERROR(__xludf.DUMMYFUNCTION("""COMPUTED_VALUE"""),45349.0)</f>
        <v>45349</v>
      </c>
      <c r="C402" s="21" t="str">
        <f>IFERROR(__xludf.DUMMYFUNCTION("""COMPUTED_VALUE"""),"lais.naves@ufcat.edu.br")</f>
        <v>lais.naves@ufcat.edu.br</v>
      </c>
      <c r="D402" s="22" t="str">
        <f>IFERROR(__xludf.DUMMYFUNCTION("""COMPUTED_VALUE"""),"Laís Clara")</f>
        <v>Laís Clara</v>
      </c>
      <c r="E402" s="40">
        <f>IFERROR(__xludf.DUMMYFUNCTION("""COMPUTED_VALUE"""),5365.0)</f>
        <v>5365</v>
      </c>
      <c r="F402" s="22" t="str">
        <f>IFERROR(__xludf.DUMMYFUNCTION("""COMPUTED_VALUE"""),"IBIOTEC  - Secretaria Administrativa")</f>
        <v>IBIOTEC  - Secretaria Administrativa</v>
      </c>
      <c r="G402" s="22" t="str">
        <f>IFERROR(__xludf.DUMMYFUNCTION("""COMPUTED_VALUE"""),"Bloco M")</f>
        <v>Bloco M</v>
      </c>
      <c r="H402" s="22" t="str">
        <f>IFERROR(__xludf.DUMMYFUNCTION("""COMPUTED_VALUE"""),"319 e 320")</f>
        <v>319 e 320</v>
      </c>
      <c r="I402" s="20" t="str">
        <f>IFERROR(__xludf.DUMMYFUNCTION("""COMPUTED_VALUE"""),"Ar Condicionado ")</f>
        <v>Ar Condicionado </v>
      </c>
      <c r="J402" s="48" t="str">
        <f>IFERROR(__xludf.DUMMYFUNCTION("""COMPUTED_VALUE"""),"09 Ar Condicionado / 57 - Manutenção por empresa contratada")</f>
        <v>09 Ar Condicionado / 57 - Manutenção por empresa contratada</v>
      </c>
      <c r="K402" s="48"/>
      <c r="L402" s="15" t="str">
        <f>IFERROR(__xludf.DUMMYFUNCTION("""COMPUTED_VALUE"""),"Limpeza dos 3 ares condicionados pertencente a Secretária do Ibiotec. ")</f>
        <v>Limpeza dos 3 ares condicionados pertencente a Secretária do Ibiotec. </v>
      </c>
      <c r="M402" s="25"/>
      <c r="N402" s="26" t="str">
        <f>IFERROR(__xludf.DUMMYFUNCTION("""COMPUTED_VALUE"""),"Contratação externa PREF")</f>
        <v>Contratação externa PREF</v>
      </c>
      <c r="O402" s="12"/>
      <c r="P402" s="12"/>
    </row>
    <row r="403">
      <c r="A403" s="20" t="str">
        <f>IFERROR(__xludf.DUMMYFUNCTION("""COMPUTED_VALUE"""),"401/2024")</f>
        <v>401/2024</v>
      </c>
      <c r="B403" s="8">
        <f>IFERROR(__xludf.DUMMYFUNCTION("""COMPUTED_VALUE"""),45349.0)</f>
        <v>45349</v>
      </c>
      <c r="C403" s="21" t="str">
        <f>IFERROR(__xludf.DUMMYFUNCTION("""COMPUTED_VALUE"""),"editoraletrasdocerrado@ufcat.edu.br")</f>
        <v>editoraletrasdocerrado@ufcat.edu.br</v>
      </c>
      <c r="D403" s="22" t="str">
        <f>IFERROR(__xludf.DUMMYFUNCTION("""COMPUTED_VALUE"""),"Leonardo Ferreira")</f>
        <v>Leonardo Ferreira</v>
      </c>
      <c r="E403" s="40">
        <f>IFERROR(__xludf.DUMMYFUNCTION("""COMPUTED_VALUE"""),5351.0)</f>
        <v>5351</v>
      </c>
      <c r="F403" s="22" t="str">
        <f>IFERROR(__xludf.DUMMYFUNCTION("""COMPUTED_VALUE"""),"EDITORA")</f>
        <v>EDITORA</v>
      </c>
      <c r="G403" s="22" t="str">
        <f>IFERROR(__xludf.DUMMYFUNCTION("""COMPUTED_VALUE"""),"Biblioteca")</f>
        <v>Biblioteca</v>
      </c>
      <c r="H403" s="22" t="str">
        <f>IFERROR(__xludf.DUMMYFUNCTION("""COMPUTED_VALUE"""),"Sub solo da biblioteca (Editora)")</f>
        <v>Sub solo da biblioteca (Editora)</v>
      </c>
      <c r="I403" s="7" t="str">
        <f>IFERROR(__xludf.DUMMYFUNCTION("""COMPUTED_VALUE"""),"Ar Condicionado ")</f>
        <v>Ar Condicionado </v>
      </c>
      <c r="J403" s="48" t="str">
        <f>IFERROR(__xludf.DUMMYFUNCTION("""COMPUTED_VALUE"""),"09 Ar Condicionado / 57 - Manutenção por empresa contratada")</f>
        <v>09 Ar Condicionado / 57 - Manutenção por empresa contratada</v>
      </c>
      <c r="K403" s="48"/>
      <c r="L403" s="15" t="str">
        <f>IFERROR(__xludf.DUMMYFUNCTION("""COMPUTED_VALUE"""),"Ar condicionado parou de funcionar.")</f>
        <v>Ar condicionado parou de funcionar.</v>
      </c>
      <c r="M403" s="25"/>
      <c r="N403" s="26" t="str">
        <f>IFERROR(__xludf.DUMMYFUNCTION("""COMPUTED_VALUE"""),"Contratação externa PREF")</f>
        <v>Contratação externa PREF</v>
      </c>
      <c r="O403" s="12"/>
      <c r="P403" s="12"/>
    </row>
    <row r="404">
      <c r="A404" s="20" t="str">
        <f>IFERROR(__xludf.DUMMYFUNCTION("""COMPUTED_VALUE"""),"402/2024")</f>
        <v>402/2024</v>
      </c>
      <c r="B404" s="8">
        <f>IFERROR(__xludf.DUMMYFUNCTION("""COMPUTED_VALUE"""),45349.0)</f>
        <v>45349</v>
      </c>
      <c r="C404" s="21" t="str">
        <f>IFERROR(__xludf.DUMMYFUNCTION("""COMPUTED_VALUE"""),"mariaeduarda.borges@ufcat.edu.br")</f>
        <v>mariaeduarda.borges@ufcat.edu.br</v>
      </c>
      <c r="D404" s="22" t="str">
        <f>IFERROR(__xludf.DUMMYFUNCTION("""COMPUTED_VALUE"""),"Maria Eduarda Silva Borges ")</f>
        <v>Maria Eduarda Silva Borges </v>
      </c>
      <c r="E404" s="40">
        <f>IFERROR(__xludf.DUMMYFUNCTION("""COMPUTED_VALUE"""),5340.0)</f>
        <v>5340</v>
      </c>
      <c r="F404" s="22" t="str">
        <f>IFERROR(__xludf.DUMMYFUNCTION("""COMPUTED_VALUE"""),"PREF")</f>
        <v>PREF</v>
      </c>
      <c r="G404" s="22" t="str">
        <f>IFERROR(__xludf.DUMMYFUNCTION("""COMPUTED_VALUE"""),"Quadra/Campo")</f>
        <v>Quadra/Campo</v>
      </c>
      <c r="H404" s="22" t="str">
        <f>IFERROR(__xludf.DUMMYFUNCTION("""COMPUTED_VALUE"""),"QUADRO DE JOGAR BOLA.")</f>
        <v>QUADRO DE JOGAR BOLA.</v>
      </c>
      <c r="I404" s="7" t="str">
        <f>IFERROR(__xludf.DUMMYFUNCTION("""COMPUTED_VALUE"""),"Serralheria")</f>
        <v>Serralheria</v>
      </c>
      <c r="J404" s="22" t="str">
        <f>IFERROR(__xludf.DUMMYFUNCTION("""COMPUTED_VALUE"""),"08 Serralheria / 56 - Outros (PRAZO DE ACORDO COM A DEMANDA)")</f>
        <v>08 Serralheria / 56 - Outros (PRAZO DE ACORDO COM A DEMANDA)</v>
      </c>
      <c r="K404" s="22"/>
      <c r="L404" s="15" t="str">
        <f>IFERROR(__xludf.DUMMYFUNCTION("""COMPUTED_VALUE"""),"A solda da grade que fica na quadra de jogar bola está soltando e com isso pode acontecer algum acidente e que alguém se machuque .")</f>
        <v>A solda da grade que fica na quadra de jogar bola está soltando e com isso pode acontecer algum acidente e que alguém se machuque .</v>
      </c>
      <c r="M404" s="25"/>
      <c r="N404" s="26" t="str">
        <f>IFERROR(__xludf.DUMMYFUNCTION("""COMPUTED_VALUE"""),"Realizado")</f>
        <v>Realizado</v>
      </c>
      <c r="O404" s="11">
        <f>IFERROR(__xludf.DUMMYFUNCTION("""COMPUTED_VALUE"""),45401.0)</f>
        <v>45401</v>
      </c>
      <c r="P404" s="12"/>
    </row>
    <row r="405">
      <c r="A405" s="20" t="str">
        <f>IFERROR(__xludf.DUMMYFUNCTION("""COMPUTED_VALUE"""),"403/2024")</f>
        <v>403/2024</v>
      </c>
      <c r="B405" s="8">
        <f>IFERROR(__xludf.DUMMYFUNCTION("""COMPUTED_VALUE"""),45349.0)</f>
        <v>45349</v>
      </c>
      <c r="C405" s="21" t="str">
        <f>IFERROR(__xludf.DUMMYFUNCTION("""COMPUTED_VALUE"""),"mariaeduarda.borges@ufcat.edu.br")</f>
        <v>mariaeduarda.borges@ufcat.edu.br</v>
      </c>
      <c r="D405" s="22" t="str">
        <f>IFERROR(__xludf.DUMMYFUNCTION("""COMPUTED_VALUE"""),"Maria Eduarda Silva Borges ")</f>
        <v>Maria Eduarda Silva Borges </v>
      </c>
      <c r="E405" s="40">
        <f>IFERROR(__xludf.DUMMYFUNCTION("""COMPUTED_VALUE"""),5340.0)</f>
        <v>5340</v>
      </c>
      <c r="F405" s="22" t="str">
        <f>IFERROR(__xludf.DUMMYFUNCTION("""COMPUTED_VALUE"""),"PREF")</f>
        <v>PREF</v>
      </c>
      <c r="G405" s="22" t="str">
        <f>IFERROR(__xludf.DUMMYFUNCTION("""COMPUTED_VALUE"""),"Bloco K")</f>
        <v>Bloco K</v>
      </c>
      <c r="H405" s="22" t="str">
        <f>IFERROR(__xludf.DUMMYFUNCTION("""COMPUTED_VALUE"""),"SALA 3")</f>
        <v>SALA 3</v>
      </c>
      <c r="I405" s="7" t="str">
        <f>IFERROR(__xludf.DUMMYFUNCTION("""COMPUTED_VALUE"""),"Serralheria")</f>
        <v>Serralheria</v>
      </c>
      <c r="J405" s="22" t="str">
        <f>IFERROR(__xludf.DUMMYFUNCTION("""COMPUTED_VALUE"""),"08 Serralheria / 56 - Outros (PRAZO DE ACORDO COM A DEMANDA)")</f>
        <v>08 Serralheria / 56 - Outros (PRAZO DE ACORDO COM A DEMANDA)</v>
      </c>
      <c r="K405" s="22"/>
      <c r="L405" s="15" t="str">
        <f>IFERROR(__xludf.DUMMYFUNCTION("""COMPUTED_VALUE"""),"A sala 3 do Bloco k, a dobradiça do puxador que fecha a janela que ficava presa por rebites se soltou, necessitando de reparo.")</f>
        <v>A sala 3 do Bloco k, a dobradiça do puxador que fecha a janela que ficava presa por rebites se soltou, necessitando de reparo.</v>
      </c>
      <c r="M405" s="25"/>
      <c r="N405" s="26" t="str">
        <f>IFERROR(__xludf.DUMMYFUNCTION("""COMPUTED_VALUE"""),"Realizado")</f>
        <v>Realizado</v>
      </c>
      <c r="O405" s="11">
        <f>IFERROR(__xludf.DUMMYFUNCTION("""COMPUTED_VALUE"""),45398.0)</f>
        <v>45398</v>
      </c>
      <c r="P405" s="12"/>
    </row>
    <row r="406">
      <c r="A406" s="20" t="str">
        <f>IFERROR(__xludf.DUMMYFUNCTION("""COMPUTED_VALUE"""),"404/2024")</f>
        <v>404/2024</v>
      </c>
      <c r="B406" s="8">
        <f>IFERROR(__xludf.DUMMYFUNCTION("""COMPUTED_VALUE"""),45349.0)</f>
        <v>45349</v>
      </c>
      <c r="C406" s="21" t="str">
        <f>IFERROR(__xludf.DUMMYFUNCTION("""COMPUTED_VALUE"""),"mariaeduarda.borges@ufcat.edu.br")</f>
        <v>mariaeduarda.borges@ufcat.edu.br</v>
      </c>
      <c r="D406" s="27" t="str">
        <f>IFERROR(__xludf.DUMMYFUNCTION("""COMPUTED_VALUE"""),"Maria Eduarda Silva Borges ")</f>
        <v>Maria Eduarda Silva Borges </v>
      </c>
      <c r="E406" s="42">
        <f>IFERROR(__xludf.DUMMYFUNCTION("""COMPUTED_VALUE"""),5340.0)</f>
        <v>5340</v>
      </c>
      <c r="F406" s="27" t="str">
        <f>IFERROR(__xludf.DUMMYFUNCTION("""COMPUTED_VALUE"""),"PREF")</f>
        <v>PREF</v>
      </c>
      <c r="G406" s="27" t="str">
        <f>IFERROR(__xludf.DUMMYFUNCTION("""COMPUTED_VALUE"""),"Bloco N")</f>
        <v>Bloco N</v>
      </c>
      <c r="H406" s="27" t="str">
        <f>IFERROR(__xludf.DUMMYFUNCTION("""COMPUTED_VALUE"""),"SALA 104 DO TÉRREO DO BLOCO N")</f>
        <v>SALA 104 DO TÉRREO DO BLOCO N</v>
      </c>
      <c r="I406" s="7" t="str">
        <f>IFERROR(__xludf.DUMMYFUNCTION("""COMPUTED_VALUE"""),"Pequenos serviços de reparos em Marcenaria")</f>
        <v>Pequenos serviços de reparos em Marcenaria</v>
      </c>
      <c r="J406" s="15" t="str">
        <f>IFERROR(__xludf.DUMMYFUNCTION("""COMPUTED_VALUE"""),"03 Marcenaria / 29 - Outros (PRAZO DE ACORDO COM A DEMANDA)")</f>
        <v>03 Marcenaria / 29 - Outros (PRAZO DE ACORDO COM A DEMANDA)</v>
      </c>
      <c r="K406" s="15"/>
      <c r="L406" s="15" t="str">
        <f>IFERROR(__xludf.DUMMYFUNCTION("""COMPUTED_VALUE"""),"A fechadura da porta da sala 104 se encontrava com problemas para fechar, pois mesmo trancando a chave, a porta ainda abria.")</f>
        <v>A fechadura da porta da sala 104 se encontrava com problemas para fechar, pois mesmo trancando a chave, a porta ainda abria.</v>
      </c>
      <c r="M406" s="32"/>
      <c r="N406" s="10" t="str">
        <f>IFERROR(__xludf.DUMMYFUNCTION("""COMPUTED_VALUE"""),"Realizado")</f>
        <v>Realizado</v>
      </c>
      <c r="O406" s="11">
        <f>IFERROR(__xludf.DUMMYFUNCTION("""COMPUTED_VALUE"""),45357.0)</f>
        <v>45357</v>
      </c>
      <c r="P406" s="11"/>
    </row>
    <row r="407">
      <c r="A407" s="20" t="str">
        <f>IFERROR(__xludf.DUMMYFUNCTION("""COMPUTED_VALUE"""),"405/2024")</f>
        <v>405/2024</v>
      </c>
      <c r="B407" s="8">
        <f>IFERROR(__xludf.DUMMYFUNCTION("""COMPUTED_VALUE"""),45349.0)</f>
        <v>45349</v>
      </c>
      <c r="C407" s="21" t="str">
        <f>IFERROR(__xludf.DUMMYFUNCTION("""COMPUTED_VALUE"""),"eliane_justino@ufcat.edu.br")</f>
        <v>eliane_justino@ufcat.edu.br</v>
      </c>
      <c r="D407" s="27" t="str">
        <f>IFERROR(__xludf.DUMMYFUNCTION("""COMPUTED_VALUE"""),"Eliane Justino")</f>
        <v>Eliane Justino</v>
      </c>
      <c r="E407" s="42">
        <f>IFERROR(__xludf.DUMMYFUNCTION("""COMPUTED_VALUE"""),6.4984794313E10)</f>
        <v>64984794313</v>
      </c>
      <c r="F407" s="27" t="str">
        <f>IFERROR(__xludf.DUMMYFUNCTION("""COMPUTED_VALUE"""),"FENG - Engenharia Civil")</f>
        <v>FENG - Engenharia Civil</v>
      </c>
      <c r="G407" s="27" t="str">
        <f>IFERROR(__xludf.DUMMYFUNCTION("""COMPUTED_VALUE"""),"Bloco O")</f>
        <v>Bloco O</v>
      </c>
      <c r="H407" s="27" t="str">
        <f>IFERROR(__xludf.DUMMYFUNCTION("""COMPUTED_VALUE"""),"Sala 103 - Professora Eliane - Engenharia Civil")</f>
        <v>Sala 103 - Professora Eliane - Engenharia Civil</v>
      </c>
      <c r="I407" s="7" t="str">
        <f>IFERROR(__xludf.DUMMYFUNCTION("""COMPUTED_VALUE"""),"Instalações elétricas")</f>
        <v>Instalações elétricas</v>
      </c>
      <c r="J407" s="15" t="str">
        <f>IFERROR(__xludf.DUMMYFUNCTION("""COMPUTED_VALUE"""),"04 Elétrica / 35 - Troca de Lâmpadas (PRAZO DE ATÉ 15 DIAS PARA ATENDIMENTO)")</f>
        <v>04 Elétrica / 35 - Troca de Lâmpadas (PRAZO DE ATÉ 15 DIAS PARA ATENDIMENTO)</v>
      </c>
      <c r="K407" s="15"/>
      <c r="L407" s="15" t="str">
        <f>IFERROR(__xludf.DUMMYFUNCTION("""COMPUTED_VALUE"""),"Troca de duas lâmpadas que não estão funcionando na minha sala")</f>
        <v>Troca de duas lâmpadas que não estão funcionando na minha sala</v>
      </c>
      <c r="M407" s="32"/>
      <c r="N407" s="10" t="str">
        <f>IFERROR(__xludf.DUMMYFUNCTION("""COMPUTED_VALUE"""),"Realizado")</f>
        <v>Realizado</v>
      </c>
      <c r="O407" s="11">
        <f>IFERROR(__xludf.DUMMYFUNCTION("""COMPUTED_VALUE"""),45352.0)</f>
        <v>45352</v>
      </c>
      <c r="P407" s="11"/>
    </row>
    <row r="408">
      <c r="A408" s="20" t="str">
        <f>IFERROR(__xludf.DUMMYFUNCTION("""COMPUTED_VALUE"""),"406/2024")</f>
        <v>406/2024</v>
      </c>
      <c r="B408" s="8">
        <f>IFERROR(__xludf.DUMMYFUNCTION("""COMPUTED_VALUE"""),45349.0)</f>
        <v>45349</v>
      </c>
      <c r="C408" s="21" t="str">
        <f>IFERROR(__xludf.DUMMYFUNCTION("""COMPUTED_VALUE"""),"editoraletrasdocerrado@ufcat.edu.br")</f>
        <v>editoraletrasdocerrado@ufcat.edu.br</v>
      </c>
      <c r="D408" s="27" t="str">
        <f>IFERROR(__xludf.DUMMYFUNCTION("""COMPUTED_VALUE"""),"Leonardo Ferreira")</f>
        <v>Leonardo Ferreira</v>
      </c>
      <c r="E408" s="42">
        <f>IFERROR(__xludf.DUMMYFUNCTION("""COMPUTED_VALUE"""),5351.0)</f>
        <v>5351</v>
      </c>
      <c r="F408" s="27" t="str">
        <f>IFERROR(__xludf.DUMMYFUNCTION("""COMPUTED_VALUE"""),"EDITORA")</f>
        <v>EDITORA</v>
      </c>
      <c r="G408" s="27" t="str">
        <f>IFERROR(__xludf.DUMMYFUNCTION("""COMPUTED_VALUE"""),"Biblioteca")</f>
        <v>Biblioteca</v>
      </c>
      <c r="H408" s="27" t="str">
        <f>IFERROR(__xludf.DUMMYFUNCTION("""COMPUTED_VALUE"""),"Sub solo (sala editora)")</f>
        <v>Sub solo (sala editora)</v>
      </c>
      <c r="I408" s="7" t="str">
        <f>IFERROR(__xludf.DUMMYFUNCTION("""COMPUTED_VALUE"""),"Instalações e/ou Manutenção em Cabeamento de Rede")</f>
        <v>Instalações e/ou Manutenção em Cabeamento de Rede</v>
      </c>
      <c r="J408" s="15" t="str">
        <f>IFERROR(__xludf.DUMMYFUNCTION("""COMPUTED_VALUE"""),"05 Telecomunicações / 38 - Cabeamento de Rede (PRAZO DE ATÉ 15 DIAS PARA ATENDIMENTO)")</f>
        <v>05 Telecomunicações / 38 - Cabeamento de Rede (PRAZO DE ATÉ 15 DIAS PARA ATENDIMENTO)</v>
      </c>
      <c r="K408" s="15"/>
      <c r="L408" s="15" t="str">
        <f>IFERROR(__xludf.DUMMYFUNCTION("""COMPUTED_VALUE"""),"Cabo de rede ligar PC ao ponto de rede")</f>
        <v>Cabo de rede ligar PC ao ponto de rede</v>
      </c>
      <c r="M408" s="30"/>
      <c r="N408" s="10" t="str">
        <f>IFERROR(__xludf.DUMMYFUNCTION("""COMPUTED_VALUE"""),"Realizado")</f>
        <v>Realizado</v>
      </c>
      <c r="O408" s="11">
        <f>IFERROR(__xludf.DUMMYFUNCTION("""COMPUTED_VALUE"""),45355.0)</f>
        <v>45355</v>
      </c>
      <c r="P408" s="11"/>
    </row>
    <row r="409">
      <c r="A409" s="20" t="str">
        <f>IFERROR(__xludf.DUMMYFUNCTION("""COMPUTED_VALUE"""),"407/2024")</f>
        <v>407/2024</v>
      </c>
      <c r="B409" s="8">
        <f>IFERROR(__xludf.DUMMYFUNCTION("""COMPUTED_VALUE"""),45349.0)</f>
        <v>45349</v>
      </c>
      <c r="C409" s="21" t="str">
        <f>IFERROR(__xludf.DUMMYFUNCTION("""COMPUTED_VALUE"""),"mariaeduarda.borges@ufcat.edu.br")</f>
        <v>mariaeduarda.borges@ufcat.edu.br</v>
      </c>
      <c r="D409" s="27" t="str">
        <f>IFERROR(__xludf.DUMMYFUNCTION("""COMPUTED_VALUE"""),"Maria Eduarda Silva Borges ")</f>
        <v>Maria Eduarda Silva Borges </v>
      </c>
      <c r="E409" s="42">
        <f>IFERROR(__xludf.DUMMYFUNCTION("""COMPUTED_VALUE"""),5340.0)</f>
        <v>5340</v>
      </c>
      <c r="F409" s="27" t="str">
        <f>IFERROR(__xludf.DUMMYFUNCTION("""COMPUTED_VALUE"""),"PREF")</f>
        <v>PREF</v>
      </c>
      <c r="G409" s="27" t="str">
        <f>IFERROR(__xludf.DUMMYFUNCTION("""COMPUTED_VALUE"""),"Restaurante Universitário")</f>
        <v>Restaurante Universitário</v>
      </c>
      <c r="H409" s="27" t="str">
        <f>IFERROR(__xludf.DUMMYFUNCTION("""COMPUTED_VALUE"""),"AO LADO DO RESTAURANTE UNIVERSITÁRIO")</f>
        <v>AO LADO DO RESTAURANTE UNIVERSITÁRIO</v>
      </c>
      <c r="I409" s="7" t="str">
        <f>IFERROR(__xludf.DUMMYFUNCTION("""COMPUTED_VALUE"""),"Instalações Hidrossanitárias")</f>
        <v>Instalações Hidrossanitárias</v>
      </c>
      <c r="J409" s="15" t="str">
        <f>IFERROR(__xludf.DUMMYFUNCTION("""COMPUTED_VALUE"""),"02 Hidráulica / 07 - Desentupimento (PRAZO DE 1 ATÉ 5 DIAS PARA ATENDIMENTO)")</f>
        <v>02 Hidráulica / 07 - Desentupimento (PRAZO DE 1 ATÉ 5 DIAS PARA ATENDIMENTO)</v>
      </c>
      <c r="K409" s="15"/>
      <c r="L409" s="15" t="str">
        <f>IFERROR(__xludf.DUMMYFUNCTION("""COMPUTED_VALUE"""),"Há um escoamento de água próximo do Restaurante Universitário, que se encontra entupido.")</f>
        <v>Há um escoamento de água próximo do Restaurante Universitário, que se encontra entupido.</v>
      </c>
      <c r="M409" s="10"/>
      <c r="N409" s="10" t="str">
        <f>IFERROR(__xludf.DUMMYFUNCTION("""COMPUTED_VALUE"""),"Realizado")</f>
        <v>Realizado</v>
      </c>
      <c r="O409" s="11">
        <f>IFERROR(__xludf.DUMMYFUNCTION("""COMPUTED_VALUE"""),45355.0)</f>
        <v>45355</v>
      </c>
      <c r="P409" s="11"/>
    </row>
    <row r="410">
      <c r="A410" s="20" t="str">
        <f>IFERROR(__xludf.DUMMYFUNCTION("""COMPUTED_VALUE"""),"408/2024")</f>
        <v>408/2024</v>
      </c>
      <c r="B410" s="8">
        <f>IFERROR(__xludf.DUMMYFUNCTION("""COMPUTED_VALUE"""),45349.0)</f>
        <v>45349</v>
      </c>
      <c r="C410" s="21" t="str">
        <f>IFERROR(__xludf.DUMMYFUNCTION("""COMPUTED_VALUE"""),"mariaeduarda.borges@ufcat.edu.br")</f>
        <v>mariaeduarda.borges@ufcat.edu.br</v>
      </c>
      <c r="D410" s="22" t="str">
        <f>IFERROR(__xludf.DUMMYFUNCTION("""COMPUTED_VALUE"""),"Maria Eduarda Silva Borges ")</f>
        <v>Maria Eduarda Silva Borges </v>
      </c>
      <c r="E410" s="40">
        <f>IFERROR(__xludf.DUMMYFUNCTION("""COMPUTED_VALUE"""),5340.0)</f>
        <v>5340</v>
      </c>
      <c r="F410" s="22" t="str">
        <f>IFERROR(__xludf.DUMMYFUNCTION("""COMPUTED_VALUE"""),"PREF")</f>
        <v>PREF</v>
      </c>
      <c r="G410" s="22" t="str">
        <f>IFERROR(__xludf.DUMMYFUNCTION("""COMPUTED_VALUE"""),"Bloco L")</f>
        <v>Bloco L</v>
      </c>
      <c r="H410" s="22" t="str">
        <f>IFERROR(__xludf.DUMMYFUNCTION("""COMPUTED_VALUE"""),"AUDITÓRIO CONGADAS")</f>
        <v>AUDITÓRIO CONGADAS</v>
      </c>
      <c r="I410" s="7" t="str">
        <f>IFERROR(__xludf.DUMMYFUNCTION("""COMPUTED_VALUE"""),"Reparos (alvenaria, piso, forro e telhado)")</f>
        <v>Reparos (alvenaria, piso, forro e telhado)</v>
      </c>
      <c r="J410" s="15" t="str">
        <f>IFERROR(__xludf.DUMMYFUNCTION("""COMPUTED_VALUE"""),"01 Alvenaria / 06 - Outros (PRAZO DE ATÉ 60 DIAS PARA ATENDIMENTO)")</f>
        <v>01 Alvenaria / 06 - Outros (PRAZO DE ATÉ 60 DIAS PARA ATENDIMENTO)</v>
      </c>
      <c r="K410" s="15"/>
      <c r="L410" s="15" t="str">
        <f>IFERROR(__xludf.DUMMYFUNCTION("""COMPUTED_VALUE""")," Há algumas goteiras no Auditório Congadas, e com isso molhou o auditório.")</f>
        <v> Há algumas goteiras no Auditório Congadas, e com isso molhou o auditório.</v>
      </c>
      <c r="M410" s="25"/>
      <c r="N410" s="26" t="str">
        <f>IFERROR(__xludf.DUMMYFUNCTION("""COMPUTED_VALUE"""),"Realizado")</f>
        <v>Realizado</v>
      </c>
      <c r="O410" s="11">
        <f>IFERROR(__xludf.DUMMYFUNCTION("""COMPUTED_VALUE"""),45349.0)</f>
        <v>45349</v>
      </c>
      <c r="P410" s="11"/>
    </row>
    <row r="411">
      <c r="A411" s="20" t="str">
        <f>IFERROR(__xludf.DUMMYFUNCTION("""COMPUTED_VALUE"""),"409/2024")</f>
        <v>409/2024</v>
      </c>
      <c r="B411" s="8">
        <f>IFERROR(__xludf.DUMMYFUNCTION("""COMPUTED_VALUE"""),45349.0)</f>
        <v>45349</v>
      </c>
      <c r="C411" s="21" t="str">
        <f>IFERROR(__xludf.DUMMYFUNCTION("""COMPUTED_VALUE"""),"mariaeduarda.borges@ufcat.edu.br")</f>
        <v>mariaeduarda.borges@ufcat.edu.br</v>
      </c>
      <c r="D411" s="22" t="str">
        <f>IFERROR(__xludf.DUMMYFUNCTION("""COMPUTED_VALUE"""),"Maria Eduarda Silva Borges ")</f>
        <v>Maria Eduarda Silva Borges </v>
      </c>
      <c r="E411" s="40">
        <f>IFERROR(__xludf.DUMMYFUNCTION("""COMPUTED_VALUE"""),5340.0)</f>
        <v>5340</v>
      </c>
      <c r="F411" s="22" t="str">
        <f>IFERROR(__xludf.DUMMYFUNCTION("""COMPUTED_VALUE"""),"PREF")</f>
        <v>PREF</v>
      </c>
      <c r="G411" s="22" t="str">
        <f>IFERROR(__xludf.DUMMYFUNCTION("""COMPUTED_VALUE"""),"Bloco O")</f>
        <v>Bloco O</v>
      </c>
      <c r="H411" s="22" t="str">
        <f>IFERROR(__xludf.DUMMYFUNCTION("""COMPUTED_VALUE"""),"LATERAL DO BLOCO O")</f>
        <v>LATERAL DO BLOCO O</v>
      </c>
      <c r="I411" s="7" t="str">
        <f>IFERROR(__xludf.DUMMYFUNCTION("""COMPUTED_VALUE"""),"Pequenos serviços de reparos em Marcenaria")</f>
        <v>Pequenos serviços de reparos em Marcenaria</v>
      </c>
      <c r="J411" s="15" t="str">
        <f>IFERROR(__xludf.DUMMYFUNCTION("""COMPUTED_VALUE"""),"03 Marcenaria / 29 - Outros (PRAZO DE ACORDO COM A DEMANDA)")</f>
        <v>03 Marcenaria / 29 - Outros (PRAZO DE ACORDO COM A DEMANDA)</v>
      </c>
      <c r="K411" s="15"/>
      <c r="L411" s="15" t="str">
        <f>IFERROR(__xludf.DUMMYFUNCTION("""COMPUTED_VALUE"""),"O puxador da porta de blindex da lateral do Bloco O, está danificado e se encontrava ao lado da porta.")</f>
        <v>O puxador da porta de blindex da lateral do Bloco O, está danificado e se encontrava ao lado da porta.</v>
      </c>
      <c r="M411" s="25"/>
      <c r="N411" s="26" t="str">
        <f>IFERROR(__xludf.DUMMYFUNCTION("""COMPUTED_VALUE"""),"Realizado")</f>
        <v>Realizado</v>
      </c>
      <c r="O411" s="11">
        <f>IFERROR(__xludf.DUMMYFUNCTION("""COMPUTED_VALUE"""),45355.0)</f>
        <v>45355</v>
      </c>
      <c r="P411" s="11"/>
    </row>
    <row r="412">
      <c r="A412" s="20" t="str">
        <f>IFERROR(__xludf.DUMMYFUNCTION("""COMPUTED_VALUE"""),"410/2024")</f>
        <v>410/2024</v>
      </c>
      <c r="B412" s="8">
        <f>IFERROR(__xludf.DUMMYFUNCTION("""COMPUTED_VALUE"""),45349.0)</f>
        <v>45349</v>
      </c>
      <c r="C412" s="21" t="str">
        <f>IFERROR(__xludf.DUMMYFUNCTION("""COMPUTED_VALUE"""),"mariaeduarda.borges@ufcat.edu.br")</f>
        <v>mariaeduarda.borges@ufcat.edu.br</v>
      </c>
      <c r="D412" s="22" t="str">
        <f>IFERROR(__xludf.DUMMYFUNCTION("""COMPUTED_VALUE"""),"Maria Eduarda Silva Borges ")</f>
        <v>Maria Eduarda Silva Borges </v>
      </c>
      <c r="E412" s="40">
        <f>IFERROR(__xludf.DUMMYFUNCTION("""COMPUTED_VALUE"""),5340.0)</f>
        <v>5340</v>
      </c>
      <c r="F412" s="22" t="str">
        <f>IFERROR(__xludf.DUMMYFUNCTION("""COMPUTED_VALUE"""),"PREF")</f>
        <v>PREF</v>
      </c>
      <c r="G412" s="22" t="str">
        <f>IFERROR(__xludf.DUMMYFUNCTION("""COMPUTED_VALUE"""),"Didatico I")</f>
        <v>Didatico I</v>
      </c>
      <c r="H412" s="22" t="str">
        <f>IFERROR(__xludf.DUMMYFUNCTION("""COMPUTED_VALUE"""),"BANHEIRO MASCULINO ULTIMO PISO.")</f>
        <v>BANHEIRO MASCULINO ULTIMO PISO.</v>
      </c>
      <c r="I412" s="7" t="str">
        <f>IFERROR(__xludf.DUMMYFUNCTION("""COMPUTED_VALUE"""),"Instalações Hidrossanitárias")</f>
        <v>Instalações Hidrossanitárias</v>
      </c>
      <c r="J412" s="15"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412" s="15"/>
      <c r="L412" s="15" t="str">
        <f>IFERROR(__xludf.DUMMYFUNCTION("""COMPUTED_VALUE"""),"Durante a ronda verificou que há um vazamento de água no banheiro masculino do ultimo piso.")</f>
        <v>Durante a ronda verificou que há um vazamento de água no banheiro masculino do ultimo piso.</v>
      </c>
      <c r="M412" s="25"/>
      <c r="N412" s="26" t="str">
        <f>IFERROR(__xludf.DUMMYFUNCTION("""COMPUTED_VALUE"""),"Realizado")</f>
        <v>Realizado</v>
      </c>
      <c r="O412" s="11">
        <f>IFERROR(__xludf.DUMMYFUNCTION("""COMPUTED_VALUE"""),45355.0)</f>
        <v>45355</v>
      </c>
      <c r="P412" s="11"/>
    </row>
    <row r="413">
      <c r="A413" s="20" t="str">
        <f>IFERROR(__xludf.DUMMYFUNCTION("""COMPUTED_VALUE"""),"411/2024")</f>
        <v>411/2024</v>
      </c>
      <c r="B413" s="8">
        <f>IFERROR(__xludf.DUMMYFUNCTION("""COMPUTED_VALUE"""),45349.0)</f>
        <v>45349</v>
      </c>
      <c r="C413" s="21" t="str">
        <f>IFERROR(__xludf.DUMMYFUNCTION("""COMPUTED_VALUE"""),"mariaeduarda.borges@ufcat.edu.br")</f>
        <v>mariaeduarda.borges@ufcat.edu.br</v>
      </c>
      <c r="D413" s="22" t="str">
        <f>IFERROR(__xludf.DUMMYFUNCTION("""COMPUTED_VALUE"""),"Maria Eduarda Silva Borges ")</f>
        <v>Maria Eduarda Silva Borges </v>
      </c>
      <c r="E413" s="40">
        <f>IFERROR(__xludf.DUMMYFUNCTION("""COMPUTED_VALUE"""),5340.0)</f>
        <v>5340</v>
      </c>
      <c r="F413" s="22" t="str">
        <f>IFERROR(__xludf.DUMMYFUNCTION("""COMPUTED_VALUE"""),"PREF")</f>
        <v>PREF</v>
      </c>
      <c r="G413" s="22" t="str">
        <f>IFERROR(__xludf.DUMMYFUNCTION("""COMPUTED_VALUE"""),"Bloco O")</f>
        <v>Bloco O</v>
      </c>
      <c r="H413" s="22" t="str">
        <f>IFERROR(__xludf.DUMMYFUNCTION("""COMPUTED_VALUE"""),"A porta da sala 32 da engenharia civil não está trancando está com problema na fechadura mesmo trancada está abrindo.")</f>
        <v>A porta da sala 32 da engenharia civil não está trancando está com problema na fechadura mesmo trancada está abrindo.</v>
      </c>
      <c r="I413" s="7" t="str">
        <f>IFERROR(__xludf.DUMMYFUNCTION("""COMPUTED_VALUE"""),"Pequenos serviços de reparos em Marcenaria")</f>
        <v>Pequenos serviços de reparos em Marcenaria</v>
      </c>
      <c r="J413" s="15" t="str">
        <f>IFERROR(__xludf.DUMMYFUNCTION("""COMPUTED_VALUE"""),"03 Marcenaria / 29 - Outros (PRAZO DE ACORDO COM A DEMANDA)")</f>
        <v>03 Marcenaria / 29 - Outros (PRAZO DE ACORDO COM A DEMANDA)</v>
      </c>
      <c r="K413" s="15"/>
      <c r="L413" s="15" t="str">
        <f>IFERROR(__xludf.DUMMYFUNCTION("""COMPUTED_VALUE"""),"A porta da sala 32 da engenharia civil não está trancando está com problema na fechadura mesmo trancada está abrindo.")</f>
        <v>A porta da sala 32 da engenharia civil não está trancando está com problema na fechadura mesmo trancada está abrindo.</v>
      </c>
      <c r="M413" s="25"/>
      <c r="N413" s="26" t="str">
        <f>IFERROR(__xludf.DUMMYFUNCTION("""COMPUTED_VALUE"""),"Realizado")</f>
        <v>Realizado</v>
      </c>
      <c r="O413" s="11">
        <f>IFERROR(__xludf.DUMMYFUNCTION("""COMPUTED_VALUE"""),45357.0)</f>
        <v>45357</v>
      </c>
      <c r="P413" s="11"/>
    </row>
    <row r="414">
      <c r="A414" s="20" t="str">
        <f>IFERROR(__xludf.DUMMYFUNCTION("""COMPUTED_VALUE"""),"412/2024")</f>
        <v>412/2024</v>
      </c>
      <c r="B414" s="8">
        <f>IFERROR(__xludf.DUMMYFUNCTION("""COMPUTED_VALUE"""),45349.0)</f>
        <v>45349</v>
      </c>
      <c r="C414" s="44" t="str">
        <f>IFERROR(__xludf.DUMMYFUNCTION("""COMPUTED_VALUE"""),"amanda.lopes@ufcat.edu.br")</f>
        <v>amanda.lopes@ufcat.edu.br</v>
      </c>
      <c r="D414" s="45" t="str">
        <f>IFERROR(__xludf.DUMMYFUNCTION("""COMPUTED_VALUE"""),"Amanda Matos ")</f>
        <v>Amanda Matos </v>
      </c>
      <c r="E414" s="47">
        <f>IFERROR(__xludf.DUMMYFUNCTION("""COMPUTED_VALUE"""),5340.0)</f>
        <v>5340</v>
      </c>
      <c r="F414" s="45" t="str">
        <f>IFERROR(__xludf.DUMMYFUNCTION("""COMPUTED_VALUE"""),"PREF")</f>
        <v>PREF</v>
      </c>
      <c r="G414" s="45" t="str">
        <f>IFERROR(__xludf.DUMMYFUNCTION("""COMPUTED_VALUE"""),"Bloco F")</f>
        <v>Bloco F</v>
      </c>
      <c r="H414" s="45" t="str">
        <f>IFERROR(__xludf.DUMMYFUNCTION("""COMPUTED_VALUE"""),"Caixa de água ")</f>
        <v>Caixa de água </v>
      </c>
      <c r="I414" s="7" t="str">
        <f>IFERROR(__xludf.DUMMYFUNCTION("""COMPUTED_VALUE"""),"Instalações Hidrossanitárias")</f>
        <v>Instalações Hidrossanitárias</v>
      </c>
      <c r="J414" s="13" t="str">
        <f>IFERROR(__xludf.DUMMYFUNCTION("""COMPUTED_VALUE"""),"02 Hidráulica / 22 - Outros (PRAZO DE 15 a 60 DIAS PARA ATENDIMENTO)")</f>
        <v>02 Hidráulica / 22 - Outros (PRAZO DE 15 a 60 DIAS PARA ATENDIMENTO)</v>
      </c>
      <c r="K414" s="13"/>
      <c r="L414" s="13" t="str">
        <f>IFERROR(__xludf.DUMMYFUNCTION("""COMPUTED_VALUE"""),"Instalação de caixa d'água ")</f>
        <v>Instalação de caixa d'água </v>
      </c>
      <c r="M414" s="25"/>
      <c r="N414" s="26" t="str">
        <f>IFERROR(__xludf.DUMMYFUNCTION("""COMPUTED_VALUE"""),"Realizado")</f>
        <v>Realizado</v>
      </c>
      <c r="O414" s="11">
        <f>IFERROR(__xludf.DUMMYFUNCTION("""COMPUTED_VALUE"""),45355.0)</f>
        <v>45355</v>
      </c>
      <c r="P414" s="11"/>
    </row>
    <row r="415">
      <c r="A415" s="20" t="str">
        <f>IFERROR(__xludf.DUMMYFUNCTION("""COMPUTED_VALUE"""),"413/2024")</f>
        <v>413/2024</v>
      </c>
      <c r="B415" s="8">
        <f>IFERROR(__xludf.DUMMYFUNCTION("""COMPUTED_VALUE"""),45349.0)</f>
        <v>45349</v>
      </c>
      <c r="C415" s="21" t="str">
        <f>IFERROR(__xludf.DUMMYFUNCTION("""COMPUTED_VALUE"""),"acessibilidadeatalaoufg@gmail.com")</f>
        <v>acessibilidadeatalaoufg@gmail.com</v>
      </c>
      <c r="D415" s="22" t="str">
        <f>IFERROR(__xludf.DUMMYFUNCTION("""COMPUTED_VALUE"""),"Lucas Eduardo Marques Santos ")</f>
        <v>Lucas Eduardo Marques Santos </v>
      </c>
      <c r="E415" s="40">
        <f>IFERROR(__xludf.DUMMYFUNCTION("""COMPUTED_VALUE"""),5397.0)</f>
        <v>5397</v>
      </c>
      <c r="F415" s="22" t="str">
        <f>IFERROR(__xludf.DUMMYFUNCTION("""COMPUTED_VALUE"""),"NAI")</f>
        <v>NAI</v>
      </c>
      <c r="G415" s="22" t="str">
        <f>IFERROR(__xludf.DUMMYFUNCTION("""COMPUTED_VALUE"""),"Biblioteca")</f>
        <v>Biblioteca</v>
      </c>
      <c r="H415" s="22" t="str">
        <f>IFERROR(__xludf.DUMMYFUNCTION("""COMPUTED_VALUE"""),"Núcleo de Acessibilidade ")</f>
        <v>Núcleo de Acessibilidade </v>
      </c>
      <c r="I415" s="7" t="str">
        <f>IFERROR(__xludf.DUMMYFUNCTION("""COMPUTED_VALUE"""),"Pequenos serviços de reparos em Marcenaria")</f>
        <v>Pequenos serviços de reparos em Marcenaria</v>
      </c>
      <c r="J415" s="15" t="str">
        <f>IFERROR(__xludf.DUMMYFUNCTION("""COMPUTED_VALUE"""),"03 Marcenaria / 24 - Conserto de Móveis (PRAZO DE ATÉ 60 DIAS PARA ATENDIMENTO)")</f>
        <v>03 Marcenaria / 24 - Conserto de Móveis (PRAZO DE ATÉ 60 DIAS PARA ATENDIMENTO)</v>
      </c>
      <c r="K415" s="15"/>
      <c r="L415" s="15" t="str">
        <f>IFERROR(__xludf.DUMMYFUNCTION("""COMPUTED_VALUE"""),"Conserto de 3 cadeiras e um gaveteiro ")</f>
        <v>Conserto de 3 cadeiras e um gaveteiro </v>
      </c>
      <c r="M415" s="25"/>
      <c r="N415" s="26" t="str">
        <f>IFERROR(__xludf.DUMMYFUNCTION("""COMPUTED_VALUE"""),"Realizado")</f>
        <v>Realizado</v>
      </c>
      <c r="O415" s="11">
        <f>IFERROR(__xludf.DUMMYFUNCTION("""COMPUTED_VALUE"""),45357.0)</f>
        <v>45357</v>
      </c>
      <c r="P415" s="11"/>
    </row>
    <row r="416">
      <c r="A416" s="20" t="str">
        <f>IFERROR(__xludf.DUMMYFUNCTION("""COMPUTED_VALUE"""),"414/2024")</f>
        <v>414/2024</v>
      </c>
      <c r="B416" s="8">
        <f>IFERROR(__xludf.DUMMYFUNCTION("""COMPUTED_VALUE"""),45350.0)</f>
        <v>45350</v>
      </c>
      <c r="C416" s="21" t="str">
        <f>IFERROR(__xludf.DUMMYFUNCTION("""COMPUTED_VALUE"""),"dae.prpe@ufcat.edu.br")</f>
        <v>dae.prpe@ufcat.edu.br</v>
      </c>
      <c r="D416" s="22" t="str">
        <f>IFERROR(__xludf.DUMMYFUNCTION("""COMPUTED_VALUE"""),"Leomar Davi")</f>
        <v>Leomar Davi</v>
      </c>
      <c r="E416" s="40">
        <f>IFERROR(__xludf.DUMMYFUNCTION("""COMPUTED_VALUE"""),5321.0)</f>
        <v>5321</v>
      </c>
      <c r="F416" s="22" t="str">
        <f>IFERROR(__xludf.DUMMYFUNCTION("""COMPUTED_VALUE"""),"PRPE")</f>
        <v>PRPE</v>
      </c>
      <c r="G416" s="22" t="str">
        <f>IFERROR(__xludf.DUMMYFUNCTION("""COMPUTED_VALUE"""),"Bloco Administrativo")</f>
        <v>Bloco Administrativo</v>
      </c>
      <c r="H416" s="22" t="str">
        <f>IFERROR(__xludf.DUMMYFUNCTION("""COMPUTED_VALUE"""),"Sala 103")</f>
        <v>Sala 103</v>
      </c>
      <c r="I416" s="7" t="str">
        <f>IFERROR(__xludf.DUMMYFUNCTION("""COMPUTED_VALUE"""),"Instalações elétricas")</f>
        <v>Instalações elétricas</v>
      </c>
      <c r="J416" s="15" t="str">
        <f>IFERROR(__xludf.DUMMYFUNCTION("""COMPUTED_VALUE"""),"04 Elétrica / 37 - Outros (PRAZO DE ACORDO COM A DEMANDA)")</f>
        <v>04 Elétrica / 37 - Outros (PRAZO DE ACORDO COM A DEMANDA)</v>
      </c>
      <c r="K416" s="15"/>
      <c r="L416" s="15" t="str">
        <f>IFERROR(__xludf.DUMMYFUNCTION("""COMPUTED_VALUE"""),"Aparelho de Ar-condicionado vazando água na área interna ao funcionar  ")</f>
        <v>Aparelho de Ar-condicionado vazando água na área interna ao funcionar  </v>
      </c>
      <c r="M416" s="25"/>
      <c r="N416" s="26" t="str">
        <f>IFERROR(__xludf.DUMMYFUNCTION("""COMPUTED_VALUE"""),"Aguardando análise")</f>
        <v>Aguardando análise</v>
      </c>
      <c r="O416" s="12"/>
      <c r="P416" s="12"/>
    </row>
    <row r="417">
      <c r="A417" s="20" t="str">
        <f>IFERROR(__xludf.DUMMYFUNCTION("""COMPUTED_VALUE"""),"415/2024")</f>
        <v>415/2024</v>
      </c>
      <c r="B417" s="8">
        <f>IFERROR(__xludf.DUMMYFUNCTION("""COMPUTED_VALUE"""),45350.0)</f>
        <v>45350</v>
      </c>
      <c r="C417" s="21" t="str">
        <f>IFERROR(__xludf.DUMMYFUNCTION("""COMPUTED_VALUE"""),"muc.prpe@ufcat.edu.br")</f>
        <v>muc.prpe@ufcat.edu.br</v>
      </c>
      <c r="D417" s="22" t="str">
        <f>IFERROR(__xludf.DUMMYFUNCTION("""COMPUTED_VALUE"""),"Ludmila")</f>
        <v>Ludmila</v>
      </c>
      <c r="E417" s="40">
        <f>IFERROR(__xludf.DUMMYFUNCTION("""COMPUTED_VALUE"""),5333.0)</f>
        <v>5333</v>
      </c>
      <c r="F417" s="22" t="str">
        <f>IFERROR(__xludf.DUMMYFUNCTION("""COMPUTED_VALUE"""),"PRPE")</f>
        <v>PRPE</v>
      </c>
      <c r="G417" s="22" t="str">
        <f>IFERROR(__xludf.DUMMYFUNCTION("""COMPUTED_VALUE"""),"MUC")</f>
        <v>MUC</v>
      </c>
      <c r="H417" s="22" t="str">
        <f>IFERROR(__xludf.DUMMYFUNCTION("""COMPUTED_VALUE"""),"apto 405")</f>
        <v>apto 405</v>
      </c>
      <c r="I417" s="7" t="str">
        <f>IFERROR(__xludf.DUMMYFUNCTION("""COMPUTED_VALUE"""),"Instalações Hidrossanitárias")</f>
        <v>Instalações Hidrossanitárias</v>
      </c>
      <c r="J417" s="15" t="str">
        <f>IFERROR(__xludf.DUMMYFUNCTION("""COMPUTED_VALUE"""),"02 Hidráulica / 22 - Outros (PRAZO DE 15 a 60 DIAS PARA ATENDIMENTO)")</f>
        <v>02 Hidráulica / 22 - Outros (PRAZO DE 15 a 60 DIAS PARA ATENDIMENTO)</v>
      </c>
      <c r="K417" s="15"/>
      <c r="L417" s="15" t="str">
        <f>IFERROR(__xludf.DUMMYFUNCTION("""COMPUTED_VALUE"""),"o registro do chuveiro não esta enroscando, causando vazamento de agua - lado frio")</f>
        <v>o registro do chuveiro não esta enroscando, causando vazamento de agua - lado frio</v>
      </c>
      <c r="M417" s="25"/>
      <c r="N417" s="26" t="str">
        <f>IFERROR(__xludf.DUMMYFUNCTION("""COMPUTED_VALUE"""),"Realizado")</f>
        <v>Realizado</v>
      </c>
      <c r="O417" s="11">
        <f>IFERROR(__xludf.DUMMYFUNCTION("""COMPUTED_VALUE"""),45357.0)</f>
        <v>45357</v>
      </c>
      <c r="P417" s="11"/>
    </row>
    <row r="418">
      <c r="A418" s="20" t="str">
        <f>IFERROR(__xludf.DUMMYFUNCTION("""COMPUTED_VALUE"""),"416/2024")</f>
        <v>416/2024</v>
      </c>
      <c r="B418" s="8">
        <f>IFERROR(__xludf.DUMMYFUNCTION("""COMPUTED_VALUE"""),45350.0)</f>
        <v>45350</v>
      </c>
      <c r="C418" s="21" t="str">
        <f>IFERROR(__xludf.DUMMYFUNCTION("""COMPUTED_VALUE"""),"iago.ferreira@ufcat.edu.br")</f>
        <v>iago.ferreira@ufcat.edu.br</v>
      </c>
      <c r="D418" s="22" t="str">
        <f>IFERROR(__xludf.DUMMYFUNCTION("""COMPUTED_VALUE"""),"Iago Ferreira Lima")</f>
        <v>Iago Ferreira Lima</v>
      </c>
      <c r="E418" s="40">
        <f>IFERROR(__xludf.DUMMYFUNCTION("""COMPUTED_VALUE"""),7.7999477415E10)</f>
        <v>77999477415</v>
      </c>
      <c r="F418" s="22" t="str">
        <f>IFERROR(__xludf.DUMMYFUNCTION("""COMPUTED_VALUE"""),"FENG  - Engenharia de Produção")</f>
        <v>FENG  - Engenharia de Produção</v>
      </c>
      <c r="G418" s="22" t="str">
        <f>IFERROR(__xludf.DUMMYFUNCTION("""COMPUTED_VALUE"""),"Bloco O")</f>
        <v>Bloco O</v>
      </c>
      <c r="H418" s="22" t="str">
        <f>IFERROR(__xludf.DUMMYFUNCTION("""COMPUTED_VALUE"""),"Laboratório de Informática - Produção")</f>
        <v>Laboratório de Informática - Produção</v>
      </c>
      <c r="I418" s="7" t="str">
        <f>IFERROR(__xludf.DUMMYFUNCTION("""COMPUTED_VALUE"""),"Instalações elétricas")</f>
        <v>Instalações elétricas</v>
      </c>
      <c r="J418" s="15" t="str">
        <f>IFERROR(__xludf.DUMMYFUNCTION("""COMPUTED_VALUE"""),"04 Elétrica / 37 - Outros (PRAZO DE ACORDO COM A DEMANDA)")</f>
        <v>04 Elétrica / 37 - Outros (PRAZO DE ACORDO COM A DEMANDA)</v>
      </c>
      <c r="K418" s="15"/>
      <c r="L418" s="15" t="str">
        <f>IFERROR(__xludf.DUMMYFUNCTION("""COMPUTED_VALUE"""),"Passagem de cabo VGA pelo forro no laboratório")</f>
        <v>Passagem de cabo VGA pelo forro no laboratório</v>
      </c>
      <c r="M418" s="25"/>
      <c r="N418" s="26" t="str">
        <f>IFERROR(__xludf.DUMMYFUNCTION("""COMPUTED_VALUE"""),"Realizado")</f>
        <v>Realizado</v>
      </c>
      <c r="O418" s="11">
        <f>IFERROR(__xludf.DUMMYFUNCTION("""COMPUTED_VALUE"""),45352.0)</f>
        <v>45352</v>
      </c>
      <c r="P418" s="11"/>
    </row>
    <row r="419">
      <c r="A419" s="20" t="str">
        <f>IFERROR(__xludf.DUMMYFUNCTION("""COMPUTED_VALUE"""),"417/2024")</f>
        <v>417/2024</v>
      </c>
      <c r="B419" s="8">
        <f>IFERROR(__xludf.DUMMYFUNCTION("""COMPUTED_VALUE"""),45350.0)</f>
        <v>45350</v>
      </c>
      <c r="C419" s="21" t="str">
        <f>IFERROR(__xludf.DUMMYFUNCTION("""COMPUTED_VALUE"""),"muc.prpe@ufcat.edu.br")</f>
        <v>muc.prpe@ufcat.edu.br</v>
      </c>
      <c r="D419" s="22" t="str">
        <f>IFERROR(__xludf.DUMMYFUNCTION("""COMPUTED_VALUE"""),"Ludmila")</f>
        <v>Ludmila</v>
      </c>
      <c r="E419" s="40">
        <f>IFERROR(__xludf.DUMMYFUNCTION("""COMPUTED_VALUE"""),5333.0)</f>
        <v>5333</v>
      </c>
      <c r="F419" s="22" t="str">
        <f>IFERROR(__xludf.DUMMYFUNCTION("""COMPUTED_VALUE"""),"PRPE")</f>
        <v>PRPE</v>
      </c>
      <c r="G419" s="22" t="str">
        <f>IFERROR(__xludf.DUMMYFUNCTION("""COMPUTED_VALUE"""),"MUC")</f>
        <v>MUC</v>
      </c>
      <c r="H419" s="22" t="str">
        <f>IFERROR(__xludf.DUMMYFUNCTION("""COMPUTED_VALUE"""),"apto 203")</f>
        <v>apto 203</v>
      </c>
      <c r="I419" s="7" t="str">
        <f>IFERROR(__xludf.DUMMYFUNCTION("""COMPUTED_VALUE"""),"Reparos (alvenaria, piso, forro e telhado)")</f>
        <v>Reparos (alvenaria, piso, forro e telhado)</v>
      </c>
      <c r="J419" s="15" t="str">
        <f>IFERROR(__xludf.DUMMYFUNCTION("""COMPUTED_VALUE"""),"01 Alvenaria / 06 - Outros (PRAZO DE ATÉ 60 DIAS PARA ATENDIMENTO)")</f>
        <v>01 Alvenaria / 06 - Outros (PRAZO DE ATÉ 60 DIAS PARA ATENDIMENTO)</v>
      </c>
      <c r="K419" s="15"/>
      <c r="L419" s="15" t="str">
        <f>IFERROR(__xludf.DUMMYFUNCTION("""COMPUTED_VALUE"""),"A maçaneta da porta do banheiro esta frouxa")</f>
        <v>A maçaneta da porta do banheiro esta frouxa</v>
      </c>
      <c r="M419" s="25"/>
      <c r="N419" s="26" t="str">
        <f>IFERROR(__xludf.DUMMYFUNCTION("""COMPUTED_VALUE"""),"Realizado")</f>
        <v>Realizado</v>
      </c>
      <c r="O419" s="11">
        <f>IFERROR(__xludf.DUMMYFUNCTION("""COMPUTED_VALUE"""),45357.0)</f>
        <v>45357</v>
      </c>
      <c r="P419" s="11"/>
    </row>
    <row r="420">
      <c r="A420" s="20" t="str">
        <f>IFERROR(__xludf.DUMMYFUNCTION("""COMPUTED_VALUE"""),"418/2024")</f>
        <v>418/2024</v>
      </c>
      <c r="B420" s="8">
        <f>IFERROR(__xludf.DUMMYFUNCTION("""COMPUTED_VALUE"""),45350.0)</f>
        <v>45350</v>
      </c>
      <c r="C420" s="21" t="str">
        <f>IFERROR(__xludf.DUMMYFUNCTION("""COMPUTED_VALUE"""),"thallitanazar@ufcat.edu.br")</f>
        <v>thallitanazar@ufcat.edu.br</v>
      </c>
      <c r="D420" s="22" t="str">
        <f>IFERROR(__xludf.DUMMYFUNCTION("""COMPUTED_VALUE"""),"Thallita Isabela Silva Martins Nazar")</f>
        <v>Thallita Isabela Silva Martins Nazar</v>
      </c>
      <c r="E420" s="22" t="str">
        <f>IFERROR(__xludf.DUMMYFUNCTION("""COMPUTED_VALUE"""),"(34)998171513")</f>
        <v>(34)998171513</v>
      </c>
      <c r="F420" s="22" t="str">
        <f>IFERROR(__xludf.DUMMYFUNCTION("""COMPUTED_VALUE"""),"IGEO")</f>
        <v>IGEO</v>
      </c>
      <c r="G420" s="22" t="str">
        <f>IFERROR(__xludf.DUMMYFUNCTION("""COMPUTED_VALUE"""),"Bloco A")</f>
        <v>Bloco A</v>
      </c>
      <c r="H420" s="15" t="str">
        <f>IFERROR(__xludf.DUMMYFUNCTION("""COMPUTED_VALUE"""),"Sala 02 / Sala 27")</f>
        <v>Sala 02 / Sala 27</v>
      </c>
      <c r="I420" s="7" t="str">
        <f>IFERROR(__xludf.DUMMYFUNCTION("""COMPUTED_VALUE"""),"Instalações elétricas")</f>
        <v>Instalações elétricas</v>
      </c>
      <c r="J420" s="15" t="str">
        <f>IFERROR(__xludf.DUMMYFUNCTION("""COMPUTED_VALUE"""),"04 Elétrica / 36 - Instalação de Aparelhos em geral (PRAZO DE ATÉ 15 DIAS PARA ATENDIMENTO)")</f>
        <v>04 Elétrica / 36 - Instalação de Aparelhos em geral (PRAZO DE ATÉ 15 DIAS PARA ATENDIMENTO)</v>
      </c>
      <c r="K420" s="15"/>
      <c r="L420" s="15" t="str">
        <f>IFERROR(__xludf.DUMMYFUNCTION("""COMPUTED_VALUE"""),"Prezados, boa tarde!
Como Coordenadora do Laboratório de Geoprocessamento (LABGEO) do Instituto de Geografia, e com o aval da Diretora Prof.ª Patrícia Matos, gostaria de solicitar o retorno deste laboratório para sua antiga sala (Sala 02 - Bloco A).
O mo"&amp;"tivo da solicitação se dá em função dos riscos aos equipamentos e estrutura danificada da sala 27 (Bloco A). As últimas chuvas resultaram em goteiras e água escorrendo pelas paredes da sala, deixando o chão encharcado. 
Salienta-se a necessidade de transp"&amp;"orte dos equipamentos, mesas e cadeiras, bem como a preparação da fiação elétrica e rede de internet.
Como estamos em final de semestre, e em março teremos recesso acadêmico, o ideal é que a mudança ocorresse nesse período, pois em abril teremos disciplin"&amp;"as que necessitarão da estrutura do laboratório.
Aguardo retorno.Atenciosamente,Prof. Thallita")</f>
        <v>Prezados, boa tarde!
Como Coordenadora do Laboratório de Geoprocessamento (LABGEO) do Instituto de Geografia, e com o aval da Diretora Prof.ª Patrícia Matos, gostaria de solicitar o retorno deste laboratório para sua antiga sala (Sala 02 - Bloco A).
O motivo da solicitação se dá em função dos riscos aos equipamentos e estrutura danificada da sala 27 (Bloco A). As últimas chuvas resultaram em goteiras e água escorrendo pelas paredes da sala, deixando o chão encharcado. 
Salienta-se a necessidade de transporte dos equipamentos, mesas e cadeiras, bem como a preparação da fiação elétrica e rede de internet.
Como estamos em final de semestre, e em março teremos recesso acadêmico, o ideal é que a mudança ocorresse nesse período, pois em abril teremos disciplinas que necessitarão da estrutura do laboratório.
Aguardo retorno.Atenciosamente,Prof. Thallita</v>
      </c>
      <c r="M420" s="25"/>
      <c r="N420" s="26" t="str">
        <f>IFERROR(__xludf.DUMMYFUNCTION("""COMPUTED_VALUE"""),"Realizado")</f>
        <v>Realizado</v>
      </c>
      <c r="O420" s="11">
        <f>IFERROR(__xludf.DUMMYFUNCTION("""COMPUTED_VALUE"""),45355.0)</f>
        <v>45355</v>
      </c>
      <c r="P420" s="11"/>
    </row>
    <row r="421">
      <c r="A421" s="20" t="str">
        <f>IFERROR(__xludf.DUMMYFUNCTION("""COMPUTED_VALUE"""),"419/2024")</f>
        <v>419/2024</v>
      </c>
      <c r="B421" s="8">
        <f>IFERROR(__xludf.DUMMYFUNCTION("""COMPUTED_VALUE"""),45350.0)</f>
        <v>45350</v>
      </c>
      <c r="C421" s="21" t="str">
        <f>IFERROR(__xludf.DUMMYFUNCTION("""COMPUTED_VALUE"""),"muc.prpe@ufcat.edu.br")</f>
        <v>muc.prpe@ufcat.edu.br</v>
      </c>
      <c r="D421" s="22" t="str">
        <f>IFERROR(__xludf.DUMMYFUNCTION("""COMPUTED_VALUE"""),"DANIEL DOS REIS SIMÕES")</f>
        <v>DANIEL DOS REIS SIMÕES</v>
      </c>
      <c r="E421" s="40">
        <f>IFERROR(__xludf.DUMMYFUNCTION("""COMPUTED_VALUE"""),5333.0)</f>
        <v>5333</v>
      </c>
      <c r="F421" s="22" t="str">
        <f>IFERROR(__xludf.DUMMYFUNCTION("""COMPUTED_VALUE"""),"PRPE")</f>
        <v>PRPE</v>
      </c>
      <c r="G421" s="22" t="str">
        <f>IFERROR(__xludf.DUMMYFUNCTION("""COMPUTED_VALUE"""),"MUC")</f>
        <v>MUC</v>
      </c>
      <c r="H421" s="22" t="str">
        <f>IFERROR(__xludf.DUMMYFUNCTION("""COMPUTED_VALUE"""),"Apto 206")</f>
        <v>Apto 206</v>
      </c>
      <c r="I421" s="7" t="str">
        <f>IFERROR(__xludf.DUMMYFUNCTION("""COMPUTED_VALUE"""),"Reparos (alvenaria, piso, forro e telhado)")</f>
        <v>Reparos (alvenaria, piso, forro e telhado)</v>
      </c>
      <c r="J421" s="15" t="str">
        <f>IFERROR(__xludf.DUMMYFUNCTION("""COMPUTED_VALUE"""),"01 Alvenaria / 06 - Outros (PRAZO DE ATÉ 60 DIAS PARA ATENDIMENTO)")</f>
        <v>01 Alvenaria / 06 - Outros (PRAZO DE ATÉ 60 DIAS PARA ATENDIMENTO)</v>
      </c>
      <c r="K421" s="15"/>
      <c r="L421" s="15" t="str">
        <f>IFERROR(__xludf.DUMMYFUNCTION("""COMPUTED_VALUE"""),"A maçaneta da porta do quarto A, apto 206, está soltando.")</f>
        <v>A maçaneta da porta do quarto A, apto 206, está soltando.</v>
      </c>
      <c r="M421" s="25"/>
      <c r="N421" s="26" t="str">
        <f>IFERROR(__xludf.DUMMYFUNCTION("""COMPUTED_VALUE"""),"Realizado")</f>
        <v>Realizado</v>
      </c>
      <c r="O421" s="11">
        <f>IFERROR(__xludf.DUMMYFUNCTION("""COMPUTED_VALUE"""),45357.0)</f>
        <v>45357</v>
      </c>
      <c r="P421" s="11"/>
    </row>
    <row r="422">
      <c r="A422" s="20" t="str">
        <f>IFERROR(__xludf.DUMMYFUNCTION("""COMPUTED_VALUE"""),"420/2024")</f>
        <v>420/2024</v>
      </c>
      <c r="B422" s="8">
        <f>IFERROR(__xludf.DUMMYFUNCTION("""COMPUTED_VALUE"""),45351.0)</f>
        <v>45351</v>
      </c>
      <c r="C422" s="21" t="str">
        <f>IFERROR(__xludf.DUMMYFUNCTION("""COMPUTED_VALUE"""),"muc.prpe@ufcat.edu.br")</f>
        <v>muc.prpe@ufcat.edu.br</v>
      </c>
      <c r="D422" s="22" t="str">
        <f>IFERROR(__xludf.DUMMYFUNCTION("""COMPUTED_VALUE"""),"Ludmila")</f>
        <v>Ludmila</v>
      </c>
      <c r="E422" s="40">
        <f>IFERROR(__xludf.DUMMYFUNCTION("""COMPUTED_VALUE"""),5333.0)</f>
        <v>5333</v>
      </c>
      <c r="F422" s="22" t="str">
        <f>IFERROR(__xludf.DUMMYFUNCTION("""COMPUTED_VALUE"""),"PRPE")</f>
        <v>PRPE</v>
      </c>
      <c r="G422" s="22" t="str">
        <f>IFERROR(__xludf.DUMMYFUNCTION("""COMPUTED_VALUE"""),"MUC")</f>
        <v>MUC</v>
      </c>
      <c r="H422" s="22" t="str">
        <f>IFERROR(__xludf.DUMMYFUNCTION("""COMPUTED_VALUE"""),"apto 105")</f>
        <v>apto 105</v>
      </c>
      <c r="I422" s="7" t="str">
        <f>IFERROR(__xludf.DUMMYFUNCTION("""COMPUTED_VALUE"""),"Instalações elétricas")</f>
        <v>Instalações elétricas</v>
      </c>
      <c r="J422" s="15" t="str">
        <f>IFERROR(__xludf.DUMMYFUNCTION("""COMPUTED_VALUE"""),"04 Elétrica / 36 - Instalação de Aparelhos em geral (PRAZO DE ATÉ 15 DIAS PARA ATENDIMENTO)")</f>
        <v>04 Elétrica / 36 - Instalação de Aparelhos em geral (PRAZO DE ATÉ 15 DIAS PARA ATENDIMENTO)</v>
      </c>
      <c r="K422" s="15"/>
      <c r="L422" s="15" t="str">
        <f>IFERROR(__xludf.DUMMYFUNCTION("""COMPUTED_VALUE"""),"O ventilador de teto do quarto A deu curto e parou de funcionar ")</f>
        <v>O ventilador de teto do quarto A deu curto e parou de funcionar </v>
      </c>
      <c r="M422" s="25"/>
      <c r="N422" s="26" t="str">
        <f>IFERROR(__xludf.DUMMYFUNCTION("""COMPUTED_VALUE"""),"Realizado")</f>
        <v>Realizado</v>
      </c>
      <c r="O422" s="11">
        <f>IFERROR(__xludf.DUMMYFUNCTION("""COMPUTED_VALUE"""),45357.0)</f>
        <v>45357</v>
      </c>
      <c r="P422" s="11"/>
    </row>
    <row r="423">
      <c r="A423" s="20" t="str">
        <f>IFERROR(__xludf.DUMMYFUNCTION("""COMPUTED_VALUE"""),"421/2024")</f>
        <v>421/2024</v>
      </c>
      <c r="B423" s="8">
        <f>IFERROR(__xludf.DUMMYFUNCTION("""COMPUTED_VALUE"""),45351.0)</f>
        <v>45351</v>
      </c>
      <c r="C423" s="21" t="str">
        <f>IFERROR(__xludf.DUMMYFUNCTION("""COMPUTED_VALUE"""),"amanda.lopes@ufcat.edu.br")</f>
        <v>amanda.lopes@ufcat.edu.br</v>
      </c>
      <c r="D423" s="22" t="str">
        <f>IFERROR(__xludf.DUMMYFUNCTION("""COMPUTED_VALUE"""),"Amanda Matos ")</f>
        <v>Amanda Matos </v>
      </c>
      <c r="E423" s="40">
        <f>IFERROR(__xludf.DUMMYFUNCTION("""COMPUTED_VALUE"""),5340.0)</f>
        <v>5340</v>
      </c>
      <c r="F423" s="22" t="str">
        <f>IFERROR(__xludf.DUMMYFUNCTION("""COMPUTED_VALUE"""),"PREF")</f>
        <v>PREF</v>
      </c>
      <c r="G423" s="22" t="str">
        <f>IFERROR(__xludf.DUMMYFUNCTION("""COMPUTED_VALUE"""),"Bloco N")</f>
        <v>Bloco N</v>
      </c>
      <c r="H423" s="22" t="str">
        <f>IFERROR(__xludf.DUMMYFUNCTION("""COMPUTED_VALUE"""),"Caixa de água ")</f>
        <v>Caixa de água </v>
      </c>
      <c r="I423" s="7" t="str">
        <f>IFERROR(__xludf.DUMMYFUNCTION("""COMPUTED_VALUE"""),"Instalações Hidrossanitárias")</f>
        <v>Instalações Hidrossanitárias</v>
      </c>
      <c r="J423" s="15" t="str">
        <f>IFERROR(__xludf.DUMMYFUNCTION("""COMPUTED_VALUE"""),"02 Hidráulica / 22 - Outros (PRAZO DE 15 a 60 DIAS PARA ATENDIMENTO)")</f>
        <v>02 Hidráulica / 22 - Outros (PRAZO DE 15 a 60 DIAS PARA ATENDIMENTO)</v>
      </c>
      <c r="K423" s="15"/>
      <c r="L423" s="15" t="str">
        <f>IFERROR(__xludf.DUMMYFUNCTION("""COMPUTED_VALUE"""),"Troca de bomba de água ")</f>
        <v>Troca de bomba de água </v>
      </c>
      <c r="M423" s="25"/>
      <c r="N423" s="26" t="str">
        <f>IFERROR(__xludf.DUMMYFUNCTION("""COMPUTED_VALUE"""),"Realizado")</f>
        <v>Realizado</v>
      </c>
      <c r="O423" s="12"/>
      <c r="P423" s="12"/>
    </row>
    <row r="424">
      <c r="A424" s="20" t="str">
        <f>IFERROR(__xludf.DUMMYFUNCTION("""COMPUTED_VALUE"""),"422/2024")</f>
        <v>422/2024</v>
      </c>
      <c r="B424" s="8">
        <f>IFERROR(__xludf.DUMMYFUNCTION("""COMPUTED_VALUE"""),45351.0)</f>
        <v>45351</v>
      </c>
      <c r="C424" s="21" t="str">
        <f>IFERROR(__xludf.DUMMYFUNCTION("""COMPUTED_VALUE"""),"amanda.lopes@ufcat.edu.br")</f>
        <v>amanda.lopes@ufcat.edu.br</v>
      </c>
      <c r="D424" s="22" t="str">
        <f>IFERROR(__xludf.DUMMYFUNCTION("""COMPUTED_VALUE"""),"Amanda Matos ")</f>
        <v>Amanda Matos </v>
      </c>
      <c r="E424" s="40">
        <f>IFERROR(__xludf.DUMMYFUNCTION("""COMPUTED_VALUE"""),5340.0)</f>
        <v>5340</v>
      </c>
      <c r="F424" s="22" t="str">
        <f>IFERROR(__xludf.DUMMYFUNCTION("""COMPUTED_VALUE"""),"PREF")</f>
        <v>PREF</v>
      </c>
      <c r="G424" s="22" t="str">
        <f>IFERROR(__xludf.DUMMYFUNCTION("""COMPUTED_VALUE"""),"Bloco Administrativo")</f>
        <v>Bloco Administrativo</v>
      </c>
      <c r="H424" s="22" t="str">
        <f>IFERROR(__xludf.DUMMYFUNCTION("""COMPUTED_VALUE"""),"caixa de água ")</f>
        <v>caixa de água </v>
      </c>
      <c r="I424" s="7" t="str">
        <f>IFERROR(__xludf.DUMMYFUNCTION("""COMPUTED_VALUE"""),"Instalações Hidrossanitárias")</f>
        <v>Instalações Hidrossanitárias</v>
      </c>
      <c r="J424" s="15" t="str">
        <f>IFERROR(__xludf.DUMMYFUNCTION("""COMPUTED_VALUE"""),"02 Hidráulica / 22 - Outros (PRAZO DE 15 a 60 DIAS PARA ATENDIMENTO)")</f>
        <v>02 Hidráulica / 22 - Outros (PRAZO DE 15 a 60 DIAS PARA ATENDIMENTO)</v>
      </c>
      <c r="K424" s="15"/>
      <c r="L424" s="15" t="str">
        <f>IFERROR(__xludf.DUMMYFUNCTION("""COMPUTED_VALUE"""),"Instalação de caixa de água ")</f>
        <v>Instalação de caixa de água </v>
      </c>
      <c r="M424" s="25"/>
      <c r="N424" s="26" t="str">
        <f>IFERROR(__xludf.DUMMYFUNCTION("""COMPUTED_VALUE"""),"Realizado")</f>
        <v>Realizado</v>
      </c>
      <c r="O424" s="12"/>
      <c r="P424" s="12"/>
    </row>
    <row r="425">
      <c r="A425" s="20" t="str">
        <f>IFERROR(__xludf.DUMMYFUNCTION("""COMPUTED_VALUE"""),"423/2024")</f>
        <v>423/2024</v>
      </c>
      <c r="B425" s="8">
        <f>IFERROR(__xludf.DUMMYFUNCTION("""COMPUTED_VALUE"""),45351.0)</f>
        <v>45351</v>
      </c>
      <c r="C425" s="21" t="str">
        <f>IFERROR(__xludf.DUMMYFUNCTION("""COMPUTED_VALUE"""),"secretariafae@ufcat.edu.br")</f>
        <v>secretariafae@ufcat.edu.br</v>
      </c>
      <c r="D425" s="22" t="str">
        <f>IFERROR(__xludf.DUMMYFUNCTION("""COMPUTED_VALUE"""),"Bárbara")</f>
        <v>Bárbara</v>
      </c>
      <c r="E425" s="40">
        <f>IFERROR(__xludf.DUMMYFUNCTION("""COMPUTED_VALUE"""),5308.0)</f>
        <v>5308</v>
      </c>
      <c r="F425" s="22" t="str">
        <f>IFERROR(__xludf.DUMMYFUNCTION("""COMPUTED_VALUE"""),"FAE")</f>
        <v>FAE</v>
      </c>
      <c r="G425" s="22" t="str">
        <f>IFERROR(__xludf.DUMMYFUNCTION("""COMPUTED_VALUE"""),"Bloco I")</f>
        <v>Bloco I</v>
      </c>
      <c r="H425" s="22" t="str">
        <f>IFERROR(__xludf.DUMMYFUNCTION("""COMPUTED_VALUE"""),"Brinquedoteca")</f>
        <v>Brinquedoteca</v>
      </c>
      <c r="I425" s="7" t="str">
        <f>IFERROR(__xludf.DUMMYFUNCTION("""COMPUTED_VALUE"""),"Instalações e/ou Manutenção em Cabeamento de Rede")</f>
        <v>Instalações e/ou Manutenção em Cabeamento de Rede</v>
      </c>
      <c r="J425" s="15" t="str">
        <f>IFERROR(__xludf.DUMMYFUNCTION("""COMPUTED_VALUE"""),"05 Telecomunicações / 38 - Cabeamento de Rede (PRAZO DE ATÉ 15 DIAS PARA ATENDIMENTO)")</f>
        <v>05 Telecomunicações / 38 - Cabeamento de Rede (PRAZO DE ATÉ 15 DIAS PARA ATENDIMENTO)</v>
      </c>
      <c r="K425" s="15"/>
      <c r="L425" s="15" t="str">
        <f>IFERROR(__xludf.DUMMYFUNCTION("""COMPUTED_VALUE"""),"Precisamos localizar um cabo de internet que está na Brinquedoteca. 
O TI veio ontem, mas não conseguiu localizar o cabo na sala de equipamento da internet do bloco H. 
E verificar se existe cabeamento de dois pontos que também estão na brinquedoteca, já "&amp;"estão habilitados, mas não estão funcionando.")</f>
        <v>Precisamos localizar um cabo de internet que está na Brinquedoteca. 
O TI veio ontem, mas não conseguiu localizar o cabo na sala de equipamento da internet do bloco H. 
E verificar se existe cabeamento de dois pontos que também estão na brinquedoteca, já estão habilitados, mas não estão funcionando.</v>
      </c>
      <c r="M425" s="25"/>
      <c r="N425" s="26" t="str">
        <f>IFERROR(__xludf.DUMMYFUNCTION("""COMPUTED_VALUE"""),"Realizado")</f>
        <v>Realizado</v>
      </c>
      <c r="O425" s="11">
        <f>IFERROR(__xludf.DUMMYFUNCTION("""COMPUTED_VALUE"""),45352.0)</f>
        <v>45352</v>
      </c>
      <c r="P425" s="11"/>
    </row>
    <row r="426">
      <c r="A426" s="20" t="str">
        <f>IFERROR(__xludf.DUMMYFUNCTION("""COMPUTED_VALUE"""),"424/2024")</f>
        <v>424/2024</v>
      </c>
      <c r="B426" s="8">
        <f>IFERROR(__xludf.DUMMYFUNCTION("""COMPUTED_VALUE"""),45351.0)</f>
        <v>45351</v>
      </c>
      <c r="C426" s="21" t="str">
        <f>IFERROR(__xludf.DUMMYFUNCTION("""COMPUTED_VALUE"""),"ceapsi.ufcat@gmail.com")</f>
        <v>ceapsi.ufcat@gmail.com</v>
      </c>
      <c r="D426" s="22" t="str">
        <f>IFERROR(__xludf.DUMMYFUNCTION("""COMPUTED_VALUE"""),"Jacqueline")</f>
        <v>Jacqueline</v>
      </c>
      <c r="E426" s="40">
        <f>IFERROR(__xludf.DUMMYFUNCTION("""COMPUTED_VALUE"""),5349.0)</f>
        <v>5349</v>
      </c>
      <c r="F426" s="22" t="str">
        <f>IFERROR(__xludf.DUMMYFUNCTION("""COMPUTED_VALUE"""),"IBIOTEC  - Psicologia")</f>
        <v>IBIOTEC  - Psicologia</v>
      </c>
      <c r="G426" s="22" t="str">
        <f>IFERROR(__xludf.DUMMYFUNCTION("""COMPUTED_VALUE"""),"Bloco M")</f>
        <v>Bloco M</v>
      </c>
      <c r="H426" s="22" t="str">
        <f>IFERROR(__xludf.DUMMYFUNCTION("""COMPUTED_VALUE"""),"Sala 107, corredor de acesso ao CEAPSI")</f>
        <v>Sala 107, corredor de acesso ao CEAPSI</v>
      </c>
      <c r="I426" s="7" t="str">
        <f>IFERROR(__xludf.DUMMYFUNCTION("""COMPUTED_VALUE"""),"Pequenos serviços de reparos em Marcenaria")</f>
        <v>Pequenos serviços de reparos em Marcenaria</v>
      </c>
      <c r="J426" s="15" t="str">
        <f>IFERROR(__xludf.DUMMYFUNCTION("""COMPUTED_VALUE"""),"03 Marcenaria / 28 -Troca de Fechaduras (PRAZO DE ATÉ 15 DIAS PARA ATENDIMENTO)")</f>
        <v>03 Marcenaria / 28 -Troca de Fechaduras (PRAZO DE ATÉ 15 DIAS PARA ATENDIMENTO)</v>
      </c>
      <c r="K426" s="15"/>
      <c r="L426" s="15" t="str">
        <f>IFERROR(__xludf.DUMMYFUNCTION("""COMPUTED_VALUE"""),"Fechadura não abre e não fecha")</f>
        <v>Fechadura não abre e não fecha</v>
      </c>
      <c r="M426" s="25"/>
      <c r="N426" s="26" t="str">
        <f>IFERROR(__xludf.DUMMYFUNCTION("""COMPUTED_VALUE"""),"Realizado")</f>
        <v>Realizado</v>
      </c>
      <c r="O426" s="11">
        <f>IFERROR(__xludf.DUMMYFUNCTION("""COMPUTED_VALUE"""),45357.0)</f>
        <v>45357</v>
      </c>
      <c r="P426" s="11"/>
    </row>
    <row r="427">
      <c r="A427" s="20" t="str">
        <f>IFERROR(__xludf.DUMMYFUNCTION("""COMPUTED_VALUE"""),"425/2024")</f>
        <v>425/2024</v>
      </c>
      <c r="B427" s="8">
        <f>IFERROR(__xludf.DUMMYFUNCTION("""COMPUTED_VALUE"""),45351.0)</f>
        <v>45351</v>
      </c>
      <c r="C427" s="21" t="str">
        <f>IFERROR(__xludf.DUMMYFUNCTION("""COMPUTED_VALUE"""),"mayani@ufcat.edu.br")</f>
        <v>mayani@ufcat.edu.br</v>
      </c>
      <c r="D427" s="22" t="str">
        <f>IFERROR(__xludf.DUMMYFUNCTION("""COMPUTED_VALUE"""),"mayani thais lopes")</f>
        <v>mayani thais lopes</v>
      </c>
      <c r="E427" s="40">
        <f>IFERROR(__xludf.DUMMYFUNCTION("""COMPUTED_VALUE"""),3.4999071369E10)</f>
        <v>34999071369</v>
      </c>
      <c r="F427" s="22" t="str">
        <f>IFERROR(__xludf.DUMMYFUNCTION("""COMPUTED_VALUE"""),"IBIOTEC - Enfermagem")</f>
        <v>IBIOTEC - Enfermagem</v>
      </c>
      <c r="G427" s="22" t="str">
        <f>IFERROR(__xludf.DUMMYFUNCTION("""COMPUTED_VALUE"""),"Bloco M")</f>
        <v>Bloco M</v>
      </c>
      <c r="H427" s="40">
        <f>IFERROR(__xludf.DUMMYFUNCTION("""COMPUTED_VALUE"""),164.0)</f>
        <v>164</v>
      </c>
      <c r="I427" s="7" t="str">
        <f>IFERROR(__xludf.DUMMYFUNCTION("""COMPUTED_VALUE"""),"Instalações Hidrossanitárias")</f>
        <v>Instalações Hidrossanitárias</v>
      </c>
      <c r="J427" s="15" t="str">
        <f>IFERROR(__xludf.DUMMYFUNCTION("""COMPUTED_VALUE"""),"02 Hidráulica / 13 - Instalação de dispenser Papel Toalha (PRAZO DE 15 a 60 DIAS PARA ATENDIMENTO)")</f>
        <v>02 Hidráulica / 13 - Instalação de dispenser Papel Toalha (PRAZO DE 15 a 60 DIAS PARA ATENDIMENTO)</v>
      </c>
      <c r="K427" s="15"/>
      <c r="L427" s="15" t="str">
        <f>IFERROR(__xludf.DUMMYFUNCTION("""COMPUTED_VALUE"""),"Instalar Dispenser de papel toalha e suporte para caixa de pérfuro cortante (o suporte já está na sala)")</f>
        <v>Instalar Dispenser de papel toalha e suporte para caixa de pérfuro cortante (o suporte já está na sala)</v>
      </c>
      <c r="M427" s="25"/>
      <c r="N427" s="26" t="str">
        <f>IFERROR(__xludf.DUMMYFUNCTION("""COMPUTED_VALUE"""),"Realizado")</f>
        <v>Realizado</v>
      </c>
      <c r="O427" s="11">
        <f>IFERROR(__xludf.DUMMYFUNCTION("""COMPUTED_VALUE"""),45371.0)</f>
        <v>45371</v>
      </c>
      <c r="P427" s="11"/>
    </row>
    <row r="428">
      <c r="A428" s="20" t="str">
        <f>IFERROR(__xludf.DUMMYFUNCTION("""COMPUTED_VALUE"""),"426/2024")</f>
        <v>426/2024</v>
      </c>
      <c r="B428" s="8">
        <f>IFERROR(__xludf.DUMMYFUNCTION("""COMPUTED_VALUE"""),45351.0)</f>
        <v>45351</v>
      </c>
      <c r="C428" s="21" t="str">
        <f>IFERROR(__xludf.DUMMYFUNCTION("""COMPUTED_VALUE"""),"mayani@ufcat.edu.br")</f>
        <v>mayani@ufcat.edu.br</v>
      </c>
      <c r="D428" s="22" t="str">
        <f>IFERROR(__xludf.DUMMYFUNCTION("""COMPUTED_VALUE"""),"mayani thais lopes")</f>
        <v>mayani thais lopes</v>
      </c>
      <c r="E428" s="40">
        <f>IFERROR(__xludf.DUMMYFUNCTION("""COMPUTED_VALUE"""),3.4999071369E10)</f>
        <v>34999071369</v>
      </c>
      <c r="F428" s="22" t="str">
        <f>IFERROR(__xludf.DUMMYFUNCTION("""COMPUTED_VALUE"""),"IBIOTEC - Enfermagem")</f>
        <v>IBIOTEC - Enfermagem</v>
      </c>
      <c r="G428" s="22" t="str">
        <f>IFERROR(__xludf.DUMMYFUNCTION("""COMPUTED_VALUE"""),"Bloco M")</f>
        <v>Bloco M</v>
      </c>
      <c r="H428" s="40">
        <f>IFERROR(__xludf.DUMMYFUNCTION("""COMPUTED_VALUE"""),153.0)</f>
        <v>153</v>
      </c>
      <c r="I428" s="7" t="str">
        <f>IFERROR(__xludf.DUMMYFUNCTION("""COMPUTED_VALUE"""),"Pequenos serviços de reparos em Marcenaria")</f>
        <v>Pequenos serviços de reparos em Marcenaria</v>
      </c>
      <c r="J428" s="15" t="str">
        <f>IFERROR(__xludf.DUMMYFUNCTION("""COMPUTED_VALUE"""),"03 Marcenaria / 29 - Outros (PRAZO DE ACORDO COM A DEMANDA)")</f>
        <v>03 Marcenaria / 29 - Outros (PRAZO DE ACORDO COM A DEMANDA)</v>
      </c>
      <c r="K428" s="15"/>
      <c r="L428" s="15" t="str">
        <f>IFERROR(__xludf.DUMMYFUNCTION("""COMPUTED_VALUE"""),"Instalar um trava portas - Pois o que estava instalado quebrou.")</f>
        <v>Instalar um trava portas - Pois o que estava instalado quebrou.</v>
      </c>
      <c r="M428" s="25"/>
      <c r="N428" s="26" t="str">
        <f>IFERROR(__xludf.DUMMYFUNCTION("""COMPUTED_VALUE"""),"Realizado")</f>
        <v>Realizado</v>
      </c>
      <c r="O428" s="11">
        <f>IFERROR(__xludf.DUMMYFUNCTION("""COMPUTED_VALUE"""),45357.0)</f>
        <v>45357</v>
      </c>
      <c r="P428" s="11"/>
    </row>
    <row r="429">
      <c r="A429" s="20" t="str">
        <f>IFERROR(__xludf.DUMMYFUNCTION("""COMPUTED_VALUE"""),"427/2024")</f>
        <v>427/2024</v>
      </c>
      <c r="B429" s="8">
        <f>IFERROR(__xludf.DUMMYFUNCTION("""COMPUTED_VALUE"""),45351.0)</f>
        <v>45351</v>
      </c>
      <c r="C429" s="21" t="str">
        <f>IFERROR(__xludf.DUMMYFUNCTION("""COMPUTED_VALUE"""),"amanda.lopes@ufcat.edu.br")</f>
        <v>amanda.lopes@ufcat.edu.br</v>
      </c>
      <c r="D429" s="22" t="str">
        <f>IFERROR(__xludf.DUMMYFUNCTION("""COMPUTED_VALUE"""),"Amanda Matos ")</f>
        <v>Amanda Matos </v>
      </c>
      <c r="E429" s="40">
        <f>IFERROR(__xludf.DUMMYFUNCTION("""COMPUTED_VALUE"""),5340.0)</f>
        <v>5340</v>
      </c>
      <c r="F429" s="22" t="str">
        <f>IFERROR(__xludf.DUMMYFUNCTION("""COMPUTED_VALUE"""),"PREF")</f>
        <v>PREF</v>
      </c>
      <c r="G429" s="22" t="str">
        <f>IFERROR(__xludf.DUMMYFUNCTION("""COMPUTED_VALUE"""),"Campus II")</f>
        <v>Campus II</v>
      </c>
      <c r="H429" s="22" t="str">
        <f>IFERROR(__xludf.DUMMYFUNCTION("""COMPUTED_VALUE"""),"Medicina")</f>
        <v>Medicina</v>
      </c>
      <c r="I429" s="7" t="str">
        <f>IFERROR(__xludf.DUMMYFUNCTION("""COMPUTED_VALUE"""),"Instalações Hidrossanitárias")</f>
        <v>Instalações Hidrossanitárias</v>
      </c>
      <c r="J429" s="15" t="str">
        <f>IFERROR(__xludf.DUMMYFUNCTION("""COMPUTED_VALUE"""),"02 Hidráulica / 22 - Outros (PRAZO DE 15 a 60 DIAS PARA ATENDIMENTO)")</f>
        <v>02 Hidráulica / 22 - Outros (PRAZO DE 15 a 60 DIAS PARA ATENDIMENTO)</v>
      </c>
      <c r="K429" s="15"/>
      <c r="L429" s="15" t="str">
        <f>IFERROR(__xludf.DUMMYFUNCTION("""COMPUTED_VALUE"""),"Verificação bomba de água ")</f>
        <v>Verificação bomba de água </v>
      </c>
      <c r="M429" s="25"/>
      <c r="N429" s="26" t="str">
        <f>IFERROR(__xludf.DUMMYFUNCTION("""COMPUTED_VALUE"""),"Realizado")</f>
        <v>Realizado</v>
      </c>
      <c r="O429" s="11">
        <f>IFERROR(__xludf.DUMMYFUNCTION("""COMPUTED_VALUE"""),45351.0)</f>
        <v>45351</v>
      </c>
      <c r="P429" s="12"/>
    </row>
    <row r="430">
      <c r="A430" s="20" t="str">
        <f>IFERROR(__xludf.DUMMYFUNCTION("""COMPUTED_VALUE"""),"428/2024")</f>
        <v>428/2024</v>
      </c>
      <c r="B430" s="8">
        <f>IFERROR(__xludf.DUMMYFUNCTION("""COMPUTED_VALUE"""),45351.0)</f>
        <v>45351</v>
      </c>
      <c r="C430" s="21" t="str">
        <f>IFERROR(__xludf.DUMMYFUNCTION("""COMPUTED_VALUE"""),"proec@ufcat.edu.br")</f>
        <v>proec@ufcat.edu.br</v>
      </c>
      <c r="D430" s="22" t="str">
        <f>IFERROR(__xludf.DUMMYFUNCTION("""COMPUTED_VALUE"""),"Edvaldo Capingote Serafim da Silva")</f>
        <v>Edvaldo Capingote Serafim da Silva</v>
      </c>
      <c r="E430" s="40">
        <f>IFERROR(__xludf.DUMMYFUNCTION("""COMPUTED_VALUE"""),5347.0)</f>
        <v>5347</v>
      </c>
      <c r="F430" s="22" t="str">
        <f>IFERROR(__xludf.DUMMYFUNCTION("""COMPUTED_VALUE"""),"PROEC")</f>
        <v>PROEC</v>
      </c>
      <c r="G430" s="22" t="str">
        <f>IFERROR(__xludf.DUMMYFUNCTION("""COMPUTED_VALUE"""),"Bloco Administrativo")</f>
        <v>Bloco Administrativo</v>
      </c>
      <c r="H430" s="40">
        <f>IFERROR(__xludf.DUMMYFUNCTION("""COMPUTED_VALUE"""),24.0)</f>
        <v>24</v>
      </c>
      <c r="I430" s="7" t="str">
        <f>IFERROR(__xludf.DUMMYFUNCTION("""COMPUTED_VALUE"""),"Ar Condicionado ")</f>
        <v>Ar Condicionado </v>
      </c>
      <c r="J430" s="15" t="str">
        <f>IFERROR(__xludf.DUMMYFUNCTION("""COMPUTED_VALUE"""),"08 Serralheria / 53 - Suporte Ar Condicionado (PRAZO DE ATÉ 60 DIAS PARA ATENDIMENTO)")</f>
        <v>08 Serralheria / 53 - Suporte Ar Condicionado (PRAZO DE ATÉ 60 DIAS PARA ATENDIMENTO)</v>
      </c>
      <c r="K430" s="15"/>
      <c r="L430" s="15" t="str">
        <f>IFERROR(__xludf.DUMMYFUNCTION("""COMPUTED_VALUE"""),"O ar condicionado não liga e apresenta o erro no visor ""EC"".")</f>
        <v>O ar condicionado não liga e apresenta o erro no visor "EC".</v>
      </c>
      <c r="M430" s="25"/>
      <c r="N430" s="26" t="str">
        <f>IFERROR(__xludf.DUMMYFUNCTION("""COMPUTED_VALUE"""),"Aguardando análise")</f>
        <v>Aguardando análise</v>
      </c>
      <c r="O430" s="11">
        <f>IFERROR(__xludf.DUMMYFUNCTION("""COMPUTED_VALUE"""),45393.0)</f>
        <v>45393</v>
      </c>
      <c r="P430" s="12"/>
    </row>
    <row r="431">
      <c r="A431" s="20" t="str">
        <f>IFERROR(__xludf.DUMMYFUNCTION("""COMPUTED_VALUE"""),"429/2024")</f>
        <v>429/2024</v>
      </c>
      <c r="B431" s="8">
        <f>IFERROR(__xludf.DUMMYFUNCTION("""COMPUTED_VALUE"""),45351.0)</f>
        <v>45351</v>
      </c>
      <c r="C431" s="44" t="str">
        <f>IFERROR(__xludf.DUMMYFUNCTION("""COMPUTED_VALUE"""),"ceapsi.ufcat@gmail.com")</f>
        <v>ceapsi.ufcat@gmail.com</v>
      </c>
      <c r="D431" s="45" t="str">
        <f>IFERROR(__xludf.DUMMYFUNCTION("""COMPUTED_VALUE"""),"Jacqueline")</f>
        <v>Jacqueline</v>
      </c>
      <c r="E431" s="47">
        <f>IFERROR(__xludf.DUMMYFUNCTION("""COMPUTED_VALUE"""),5349.0)</f>
        <v>5349</v>
      </c>
      <c r="F431" s="45" t="str">
        <f>IFERROR(__xludf.DUMMYFUNCTION("""COMPUTED_VALUE"""),"IBIOTEC  - Psicologia")</f>
        <v>IBIOTEC  - Psicologia</v>
      </c>
      <c r="G431" s="45" t="str">
        <f>IFERROR(__xludf.DUMMYFUNCTION("""COMPUTED_VALUE"""),"Bloco M")</f>
        <v>Bloco M</v>
      </c>
      <c r="H431" s="45" t="str">
        <f>IFERROR(__xludf.DUMMYFUNCTION("""COMPUTED_VALUE"""),"Corredor de acesso ao CEAPSI")</f>
        <v>Corredor de acesso ao CEAPSI</v>
      </c>
      <c r="I431" s="7" t="str">
        <f>IFERROR(__xludf.DUMMYFUNCTION("""COMPUTED_VALUE"""),"Pequenos serviços de reparos em Marcenaria")</f>
        <v>Pequenos serviços de reparos em Marcenaria</v>
      </c>
      <c r="J431" s="13" t="str">
        <f>IFERROR(__xludf.DUMMYFUNCTION("""COMPUTED_VALUE"""),"03 Marcenaria / 28 -Troca de Fechaduras (PRAZO DE ATÉ 15 DIAS PARA ATENDIMENTO)")</f>
        <v>03 Marcenaria / 28 -Troca de Fechaduras (PRAZO DE ATÉ 15 DIAS PARA ATENDIMENTO)</v>
      </c>
      <c r="K431" s="13"/>
      <c r="L431" s="13" t="str">
        <f>IFERROR(__xludf.DUMMYFUNCTION("""COMPUTED_VALUE"""),"Trocar fechadura do escaninho 01 e 04")</f>
        <v>Trocar fechadura do escaninho 01 e 04</v>
      </c>
      <c r="M431" s="25"/>
      <c r="N431" s="26" t="str">
        <f>IFERROR(__xludf.DUMMYFUNCTION("""COMPUTED_VALUE"""),"Realizado")</f>
        <v>Realizado</v>
      </c>
      <c r="O431" s="11">
        <f>IFERROR(__xludf.DUMMYFUNCTION("""COMPUTED_VALUE"""),45357.0)</f>
        <v>45357</v>
      </c>
      <c r="P431" s="11"/>
    </row>
    <row r="432">
      <c r="A432" s="20" t="str">
        <f>IFERROR(__xludf.DUMMYFUNCTION("""COMPUTED_VALUE"""),"430/2024")</f>
        <v>430/2024</v>
      </c>
      <c r="B432" s="8">
        <f>IFERROR(__xludf.DUMMYFUNCTION("""COMPUTED_VALUE"""),45351.0)</f>
        <v>45351</v>
      </c>
      <c r="C432" s="21" t="str">
        <f>IFERROR(__xludf.DUMMYFUNCTION("""COMPUTED_VALUE"""),"seguranca@ufcat.edu.br")</f>
        <v>seguranca@ufcat.edu.br</v>
      </c>
      <c r="D432" s="22" t="str">
        <f>IFERROR(__xludf.DUMMYFUNCTION("""COMPUTED_VALUE"""),"Pedro")</f>
        <v>Pedro</v>
      </c>
      <c r="E432" s="40">
        <f>IFERROR(__xludf.DUMMYFUNCTION("""COMPUTED_VALUE"""),5318.0)</f>
        <v>5318</v>
      </c>
      <c r="F432" s="22" t="str">
        <f>IFERROR(__xludf.DUMMYFUNCTION("""COMPUTED_VALUE"""),"CENTRAL DE OPERAÇÕES VIGILÂNCIA")</f>
        <v>CENTRAL DE OPERAÇÕES VIGILÂNCIA</v>
      </c>
      <c r="G432" s="22" t="str">
        <f>IFERROR(__xludf.DUMMYFUNCTION("""COMPUTED_VALUE"""),"Bloco C")</f>
        <v>Bloco C</v>
      </c>
      <c r="H432" s="22" t="str">
        <f>IFERROR(__xludf.DUMMYFUNCTION("""COMPUTED_VALUE"""),"Poste de iluninação ")</f>
        <v>Poste de iluninação </v>
      </c>
      <c r="I432" s="7" t="str">
        <f>IFERROR(__xludf.DUMMYFUNCTION("""COMPUTED_VALUE"""),"Instalações elétricas")</f>
        <v>Instalações elétricas</v>
      </c>
      <c r="J432" s="15" t="str">
        <f>IFERROR(__xludf.DUMMYFUNCTION("""COMPUTED_VALUE"""),"04 Elétrica / 31 - Iluminação Externa (PRAZO DE ATÉ 15 DIAS PARA ATENDIMENTO)")</f>
        <v>04 Elétrica / 31 - Iluminação Externa (PRAZO DE ATÉ 15 DIAS PARA ATENDIMENTO)</v>
      </c>
      <c r="K432" s="15"/>
      <c r="L432" s="15" t="str">
        <f>IFERROR(__xludf.DUMMYFUNCTION("""COMPUTED_VALUE"""),"Lâmpada do poste de iluminação que fica na lateral do Bloco C em frente a A.V Lamartine está queimada.")</f>
        <v>Lâmpada do poste de iluminação que fica na lateral do Bloco C em frente a A.V Lamartine está queimada.</v>
      </c>
      <c r="M432" s="25"/>
      <c r="N432" s="26" t="str">
        <f>IFERROR(__xludf.DUMMYFUNCTION("""COMPUTED_VALUE"""),"Realizado")</f>
        <v>Realizado</v>
      </c>
      <c r="O432" s="11">
        <f>IFERROR(__xludf.DUMMYFUNCTION("""COMPUTED_VALUE"""),45356.0)</f>
        <v>45356</v>
      </c>
      <c r="P432" s="11"/>
    </row>
    <row r="433">
      <c r="A433" s="20" t="str">
        <f>IFERROR(__xludf.DUMMYFUNCTION("""COMPUTED_VALUE"""),"431/2024")</f>
        <v>431/2024</v>
      </c>
      <c r="B433" s="8">
        <f>IFERROR(__xludf.DUMMYFUNCTION("""COMPUTED_VALUE"""),45352.0)</f>
        <v>45352</v>
      </c>
      <c r="C433" s="21" t="str">
        <f>IFERROR(__xludf.DUMMYFUNCTION("""COMPUTED_VALUE"""),"seguranca@ufcat.edu.br")</f>
        <v>seguranca@ufcat.edu.br</v>
      </c>
      <c r="D433" s="22" t="str">
        <f>IFERROR(__xludf.DUMMYFUNCTION("""COMPUTED_VALUE"""),"Pedro")</f>
        <v>Pedro</v>
      </c>
      <c r="E433" s="40">
        <f>IFERROR(__xludf.DUMMYFUNCTION("""COMPUTED_VALUE"""),5318.0)</f>
        <v>5318</v>
      </c>
      <c r="F433" s="22" t="str">
        <f>IFERROR(__xludf.DUMMYFUNCTION("""COMPUTED_VALUE"""),"CENTRAL DE OPERAÇÕES VIGILÂNCIA")</f>
        <v>CENTRAL DE OPERAÇÕES VIGILÂNCIA</v>
      </c>
      <c r="G433" s="22" t="str">
        <f>IFERROR(__xludf.DUMMYFUNCTION("""COMPUTED_VALUE"""),"Monitoramento")</f>
        <v>Monitoramento</v>
      </c>
      <c r="H433" s="22" t="str">
        <f>IFERROR(__xludf.DUMMYFUNCTION("""COMPUTED_VALUE"""),"Interio da sala ")</f>
        <v>Interio da sala </v>
      </c>
      <c r="I433" s="7" t="str">
        <f>IFERROR(__xludf.DUMMYFUNCTION("""COMPUTED_VALUE"""),"Reparos (alvenaria, piso, forro e telhado)")</f>
        <v>Reparos (alvenaria, piso, forro e telhado)</v>
      </c>
      <c r="J433" s="15" t="str">
        <f>IFERROR(__xludf.DUMMYFUNCTION("""COMPUTED_VALUE"""),"01 Alvenaria / 06 - Outros (PRAZO DE ATÉ 60 DIAS PARA ATENDIMENTO)")</f>
        <v>01 Alvenaria / 06 - Outros (PRAZO DE ATÉ 60 DIAS PARA ATENDIMENTO)</v>
      </c>
      <c r="K433" s="15"/>
      <c r="L433" s="15" t="str">
        <f>IFERROR(__xludf.DUMMYFUNCTION("""COMPUTED_VALUE"""),"Infiltração da água da chuva no canto próximo a porta ")</f>
        <v>Infiltração da água da chuva no canto próximo a porta </v>
      </c>
      <c r="M433" s="25"/>
      <c r="N433" s="26" t="str">
        <f>IFERROR(__xludf.DUMMYFUNCTION("""COMPUTED_VALUE"""),"Realizado")</f>
        <v>Realizado</v>
      </c>
      <c r="O433" s="11">
        <f>IFERROR(__xludf.DUMMYFUNCTION("""COMPUTED_VALUE"""),45364.0)</f>
        <v>45364</v>
      </c>
      <c r="P433" s="11"/>
    </row>
    <row r="434">
      <c r="A434" s="20" t="str">
        <f>IFERROR(__xludf.DUMMYFUNCTION("""COMPUTED_VALUE"""),"432/2024")</f>
        <v>432/2024</v>
      </c>
      <c r="B434" s="8">
        <f>IFERROR(__xludf.DUMMYFUNCTION("""COMPUTED_VALUE"""),45352.0)</f>
        <v>45352</v>
      </c>
      <c r="C434" s="21" t="str">
        <f>IFERROR(__xludf.DUMMYFUNCTION("""COMPUTED_VALUE"""),"amanda.lopes@ufcat.edu.br")</f>
        <v>amanda.lopes@ufcat.edu.br</v>
      </c>
      <c r="D434" s="22" t="str">
        <f>IFERROR(__xludf.DUMMYFUNCTION("""COMPUTED_VALUE"""),"Amanda Matos ")</f>
        <v>Amanda Matos </v>
      </c>
      <c r="E434" s="40">
        <f>IFERROR(__xludf.DUMMYFUNCTION("""COMPUTED_VALUE"""),5340.0)</f>
        <v>5340</v>
      </c>
      <c r="F434" s="22" t="str">
        <f>IFERROR(__xludf.DUMMYFUNCTION("""COMPUTED_VALUE"""),"PREF")</f>
        <v>PREF</v>
      </c>
      <c r="G434" s="22" t="str">
        <f>IFERROR(__xludf.DUMMYFUNCTION("""COMPUTED_VALUE"""),"Didático II")</f>
        <v>Didático II</v>
      </c>
      <c r="H434" s="22" t="str">
        <f>IFERROR(__xludf.DUMMYFUNCTION("""COMPUTED_VALUE"""),"Banheiro masculino ")</f>
        <v>Banheiro masculino </v>
      </c>
      <c r="I434" s="7" t="str">
        <f>IFERROR(__xludf.DUMMYFUNCTION("""COMPUTED_VALUE"""),"Instalações Hidrossanitárias")</f>
        <v>Instalações Hidrossanitárias</v>
      </c>
      <c r="J434" s="15" t="str">
        <f>IFERROR(__xludf.DUMMYFUNCTION("""COMPUTED_VALUE"""),"02 Hidráulica / 11 - Vazamento em Tubulação interna (PRAZO DE 15 a 60 DIAS PARA ATENDIMENTO)")</f>
        <v>02 Hidráulica / 11 - Vazamento em Tubulação interna (PRAZO DE 15 a 60 DIAS PARA ATENDIMENTO)</v>
      </c>
      <c r="K434" s="15"/>
      <c r="L434" s="15" t="str">
        <f>IFERROR(__xludf.DUMMYFUNCTION("""COMPUTED_VALUE"""),"Troca da valvula de descarga ")</f>
        <v>Troca da valvula de descarga </v>
      </c>
      <c r="M434" s="25"/>
      <c r="N434" s="26" t="str">
        <f>IFERROR(__xludf.DUMMYFUNCTION("""COMPUTED_VALUE"""),"Realizado")</f>
        <v>Realizado</v>
      </c>
      <c r="O434" s="11">
        <f>IFERROR(__xludf.DUMMYFUNCTION("""COMPUTED_VALUE"""),45352.0)</f>
        <v>45352</v>
      </c>
      <c r="P434" s="11"/>
    </row>
    <row r="435">
      <c r="A435" s="20" t="str">
        <f>IFERROR(__xludf.DUMMYFUNCTION("""COMPUTED_VALUE"""),"433/2024")</f>
        <v>433/2024</v>
      </c>
      <c r="B435" s="8">
        <f>IFERROR(__xludf.DUMMYFUNCTION("""COMPUTED_VALUE"""),45352.0)</f>
        <v>45352</v>
      </c>
      <c r="C435" s="21" t="str">
        <f>IFERROR(__xludf.DUMMYFUNCTION("""COMPUTED_VALUE"""),"guilherme_melo@ufcat.edu.br")</f>
        <v>guilherme_melo@ufcat.edu.br</v>
      </c>
      <c r="D435" s="22" t="str">
        <f>IFERROR(__xludf.DUMMYFUNCTION("""COMPUTED_VALUE"""),"Guilherme ")</f>
        <v>Guilherme </v>
      </c>
      <c r="E435" s="40">
        <f>IFERROR(__xludf.DUMMYFUNCTION("""COMPUTED_VALUE"""),5337.0)</f>
        <v>5337</v>
      </c>
      <c r="F435" s="22" t="str">
        <f>IFERROR(__xludf.DUMMYFUNCTION("""COMPUTED_VALUE"""),"SETI")</f>
        <v>SETI</v>
      </c>
      <c r="G435" s="22" t="str">
        <f>IFERROR(__xludf.DUMMYFUNCTION("""COMPUTED_VALUE"""),"SETI")</f>
        <v>SETI</v>
      </c>
      <c r="H435" s="22" t="str">
        <f>IFERROR(__xludf.DUMMYFUNCTION("""COMPUTED_VALUE"""),"sala de manutenção")</f>
        <v>sala de manutenção</v>
      </c>
      <c r="I435" s="7" t="str">
        <f>IFERROR(__xludf.DUMMYFUNCTION("""COMPUTED_VALUE"""),"Reparos (alvenaria, piso, forro e telhado)")</f>
        <v>Reparos (alvenaria, piso, forro e telhado)</v>
      </c>
      <c r="J435" s="22" t="str">
        <f>IFERROR(__xludf.DUMMYFUNCTION("""COMPUTED_VALUE"""),"01 Alvenaria / 06 - Outros (PRAZO DE ATÉ 60 DIAS PARA ATENDIMENTO)")</f>
        <v>01 Alvenaria / 06 - Outros (PRAZO DE ATÉ 60 DIAS PARA ATENDIMENTO)</v>
      </c>
      <c r="K435" s="22"/>
      <c r="L435" s="15" t="str">
        <f>IFERROR(__xludf.DUMMYFUNCTION("""COMPUTED_VALUE"""),"colocar espuma expansiva ao redor do ar condicionado da sala, pois com as fortes chuvas está entrando bastante água na sala.")</f>
        <v>colocar espuma expansiva ao redor do ar condicionado da sala, pois com as fortes chuvas está entrando bastante água na sala.</v>
      </c>
      <c r="M435" s="25"/>
      <c r="N435" s="26" t="str">
        <f>IFERROR(__xludf.DUMMYFUNCTION("""COMPUTED_VALUE"""),"Realizado")</f>
        <v>Realizado</v>
      </c>
      <c r="O435" s="11">
        <f>IFERROR(__xludf.DUMMYFUNCTION("""COMPUTED_VALUE"""),45355.0)</f>
        <v>45355</v>
      </c>
      <c r="P435" s="11"/>
    </row>
    <row r="436">
      <c r="A436" s="20" t="str">
        <f>IFERROR(__xludf.DUMMYFUNCTION("""COMPUTED_VALUE"""),"434/2024")</f>
        <v>434/2024</v>
      </c>
      <c r="B436" s="8">
        <f>IFERROR(__xludf.DUMMYFUNCTION("""COMPUTED_VALUE"""),45352.0)</f>
        <v>45352</v>
      </c>
      <c r="C436" s="21" t="str">
        <f>IFERROR(__xludf.DUMMYFUNCTION("""COMPUTED_VALUE"""),"mariaeduarda.borges@ufcat.edu.br")</f>
        <v>mariaeduarda.borges@ufcat.edu.br</v>
      </c>
      <c r="D436" s="22" t="str">
        <f>IFERROR(__xludf.DUMMYFUNCTION("""COMPUTED_VALUE"""),"Maria Eduarda Silva Borges ")</f>
        <v>Maria Eduarda Silva Borges </v>
      </c>
      <c r="E436" s="40">
        <f>IFERROR(__xludf.DUMMYFUNCTION("""COMPUTED_VALUE"""),5340.0)</f>
        <v>5340</v>
      </c>
      <c r="F436" s="22" t="str">
        <f>IFERROR(__xludf.DUMMYFUNCTION("""COMPUTED_VALUE"""),"PREF")</f>
        <v>PREF</v>
      </c>
      <c r="G436" s="22" t="str">
        <f>IFERROR(__xludf.DUMMYFUNCTION("""COMPUTED_VALUE"""),"Monitoramento")</f>
        <v>Monitoramento</v>
      </c>
      <c r="H436" s="22" t="str">
        <f>IFERROR(__xludf.DUMMYFUNCTION("""COMPUTED_VALUE"""),"INTERIOR DA SALA")</f>
        <v>INTERIOR DA SALA</v>
      </c>
      <c r="I436" s="7" t="str">
        <f>IFERROR(__xludf.DUMMYFUNCTION("""COMPUTED_VALUE"""),"Reparos (alvenaria, piso, forro e telhado)")</f>
        <v>Reparos (alvenaria, piso, forro e telhado)</v>
      </c>
      <c r="J436" s="15" t="str">
        <f>IFERROR(__xludf.DUMMYFUNCTION("""COMPUTED_VALUE"""),"01 Alvenaria / 06 - Outros (PRAZO DE ATÉ 60 DIAS PARA ATENDIMENTO)")</f>
        <v>01 Alvenaria / 06 - Outros (PRAZO DE ATÉ 60 DIAS PARA ATENDIMENTO)</v>
      </c>
      <c r="K436" s="15"/>
      <c r="L436" s="15" t="str">
        <f>IFERROR(__xludf.DUMMYFUNCTION("""COMPUTED_VALUE"""),"Devido a forte chuva que caiu durante a noite apareceu no canto da sala próximo a porta uma infiltração, ocasionado acumulo de água.")</f>
        <v>Devido a forte chuva que caiu durante a noite apareceu no canto da sala próximo a porta uma infiltração, ocasionado acumulo de água.</v>
      </c>
      <c r="M436" s="25"/>
      <c r="N436" s="26" t="str">
        <f>IFERROR(__xludf.DUMMYFUNCTION("""COMPUTED_VALUE"""),"Realizado")</f>
        <v>Realizado</v>
      </c>
      <c r="O436" s="11">
        <f>IFERROR(__xludf.DUMMYFUNCTION("""COMPUTED_VALUE"""),45364.0)</f>
        <v>45364</v>
      </c>
      <c r="P436" s="11"/>
    </row>
    <row r="437">
      <c r="A437" s="20" t="str">
        <f>IFERROR(__xludf.DUMMYFUNCTION("""COMPUTED_VALUE"""),"435/2024")</f>
        <v>435/2024</v>
      </c>
      <c r="B437" s="8">
        <f>IFERROR(__xludf.DUMMYFUNCTION("""COMPUTED_VALUE"""),45352.0)</f>
        <v>45352</v>
      </c>
      <c r="C437" s="21" t="str">
        <f>IFERROR(__xludf.DUMMYFUNCTION("""COMPUTED_VALUE"""),"welliton_alves@ufcat.edu.br")</f>
        <v>welliton_alves@ufcat.edu.br</v>
      </c>
      <c r="D437" s="27" t="str">
        <f>IFERROR(__xludf.DUMMYFUNCTION("""COMPUTED_VALUE"""),"Welliton Alves")</f>
        <v>Welliton Alves</v>
      </c>
      <c r="E437" s="42">
        <f>IFERROR(__xludf.DUMMYFUNCTION("""COMPUTED_VALUE"""),5345.0)</f>
        <v>5345</v>
      </c>
      <c r="F437" s="27" t="str">
        <f>IFERROR(__xludf.DUMMYFUNCTION("""COMPUTED_VALUE"""),"CCS")</f>
        <v>CCS</v>
      </c>
      <c r="G437" s="27" t="str">
        <f>IFERROR(__xludf.DUMMYFUNCTION("""COMPUTED_VALUE"""),"Bloco Administrativo")</f>
        <v>Bloco Administrativo</v>
      </c>
      <c r="H437" s="27" t="str">
        <f>IFERROR(__xludf.DUMMYFUNCTION("""COMPUTED_VALUE"""),"Sala 111")</f>
        <v>Sala 111</v>
      </c>
      <c r="I437" s="7" t="str">
        <f>IFERROR(__xludf.DUMMYFUNCTION("""COMPUTED_VALUE"""),"Pequenos serviços de reparos em Marcenaria")</f>
        <v>Pequenos serviços de reparos em Marcenaria</v>
      </c>
      <c r="J437" s="15" t="str">
        <f>IFERROR(__xludf.DUMMYFUNCTION("""COMPUTED_VALUE"""),"03 Marcenaria / 29 - Outros (PRAZO DE ACORDO COM A DEMANDA)")</f>
        <v>03 Marcenaria / 29 - Outros (PRAZO DE ACORDO COM A DEMANDA)</v>
      </c>
      <c r="K437" s="15"/>
      <c r="L437" s="15" t="str">
        <f>IFERROR(__xludf.DUMMYFUNCTION("""COMPUTED_VALUE"""),"Verificar solução para o trinco da fechadura, que está ficando preso e assim não permite o fechamento da porta, a não ser trancando-a.")</f>
        <v>Verificar solução para o trinco da fechadura, que está ficando preso e assim não permite o fechamento da porta, a não ser trancando-a.</v>
      </c>
      <c r="M437" s="30"/>
      <c r="N437" s="10" t="str">
        <f>IFERROR(__xludf.DUMMYFUNCTION("""COMPUTED_VALUE"""),"Realizado")</f>
        <v>Realizado</v>
      </c>
      <c r="O437" s="11">
        <f>IFERROR(__xludf.DUMMYFUNCTION("""COMPUTED_VALUE"""),45357.0)</f>
        <v>45357</v>
      </c>
      <c r="P437" s="11"/>
    </row>
    <row r="438">
      <c r="A438" s="20" t="str">
        <f>IFERROR(__xludf.DUMMYFUNCTION("""COMPUTED_VALUE"""),"436/2024")</f>
        <v>436/2024</v>
      </c>
      <c r="B438" s="8">
        <f>IFERROR(__xludf.DUMMYFUNCTION("""COMPUTED_VALUE"""),45352.0)</f>
        <v>45352</v>
      </c>
      <c r="C438" s="21" t="str">
        <f>IFERROR(__xludf.DUMMYFUNCTION("""COMPUTED_VALUE"""),"welliton_alves@ufcat.edu.br")</f>
        <v>welliton_alves@ufcat.edu.br</v>
      </c>
      <c r="D438" s="27" t="str">
        <f>IFERROR(__xludf.DUMMYFUNCTION("""COMPUTED_VALUE"""),"Welliton Alves")</f>
        <v>Welliton Alves</v>
      </c>
      <c r="E438" s="42">
        <f>IFERROR(__xludf.DUMMYFUNCTION("""COMPUTED_VALUE"""),5345.0)</f>
        <v>5345</v>
      </c>
      <c r="F438" s="27" t="str">
        <f>IFERROR(__xludf.DUMMYFUNCTION("""COMPUTED_VALUE"""),"CCS")</f>
        <v>CCS</v>
      </c>
      <c r="G438" s="27" t="str">
        <f>IFERROR(__xludf.DUMMYFUNCTION("""COMPUTED_VALUE"""),"Bloco Administrativo")</f>
        <v>Bloco Administrativo</v>
      </c>
      <c r="H438" s="27" t="str">
        <f>IFERROR(__xludf.DUMMYFUNCTION("""COMPUTED_VALUE"""),"Sala 111")</f>
        <v>Sala 111</v>
      </c>
      <c r="I438" s="7" t="str">
        <f>IFERROR(__xludf.DUMMYFUNCTION("""COMPUTED_VALUE"""),"Instalações elétricas")</f>
        <v>Instalações elétricas</v>
      </c>
      <c r="J438" s="15" t="str">
        <f>IFERROR(__xludf.DUMMYFUNCTION("""COMPUTED_VALUE"""),"04 Elétrica / 35 - Troca de Lâmpadas (PRAZO DE ATÉ 15 DIAS PARA ATENDIMENTO)")</f>
        <v>04 Elétrica / 35 - Troca de Lâmpadas (PRAZO DE ATÉ 15 DIAS PARA ATENDIMENTO)</v>
      </c>
      <c r="K438" s="15"/>
      <c r="L438" s="15" t="str">
        <f>IFERROR(__xludf.DUMMYFUNCTION("""COMPUTED_VALUE"""),"Troca de lâmpada tubular queimada")</f>
        <v>Troca de lâmpada tubular queimada</v>
      </c>
      <c r="M438" s="30"/>
      <c r="N438" s="10" t="str">
        <f>IFERROR(__xludf.DUMMYFUNCTION("""COMPUTED_VALUE"""),"Realizado")</f>
        <v>Realizado</v>
      </c>
      <c r="O438" s="11">
        <f>IFERROR(__xludf.DUMMYFUNCTION("""COMPUTED_VALUE"""),45357.0)</f>
        <v>45357</v>
      </c>
      <c r="P438" s="11"/>
    </row>
    <row r="439">
      <c r="A439" s="20" t="str">
        <f>IFERROR(__xludf.DUMMYFUNCTION("""COMPUTED_VALUE"""),"437/2024")</f>
        <v>437/2024</v>
      </c>
      <c r="B439" s="8">
        <f>IFERROR(__xludf.DUMMYFUNCTION("""COMPUTED_VALUE"""),45352.0)</f>
        <v>45352</v>
      </c>
      <c r="C439" s="21" t="str">
        <f>IFERROR(__xludf.DUMMYFUNCTION("""COMPUTED_VALUE"""),"divinosilva@ufcat.edu.br")</f>
        <v>divinosilva@ufcat.edu.br</v>
      </c>
      <c r="D439" s="22" t="str">
        <f>IFERROR(__xludf.DUMMYFUNCTION("""COMPUTED_VALUE"""),"Divino")</f>
        <v>Divino</v>
      </c>
      <c r="E439" s="40">
        <f>IFERROR(__xludf.DUMMYFUNCTION("""COMPUTED_VALUE"""),5320.0)</f>
        <v>5320</v>
      </c>
      <c r="F439" s="22" t="str">
        <f>IFERROR(__xludf.DUMMYFUNCTION("""COMPUTED_VALUE"""),"IMTec")</f>
        <v>IMTec</v>
      </c>
      <c r="G439" s="22" t="str">
        <f>IFERROR(__xludf.DUMMYFUNCTION("""COMPUTED_VALUE"""),"Bloco J")</f>
        <v>Bloco J</v>
      </c>
      <c r="H439" s="22" t="str">
        <f>IFERROR(__xludf.DUMMYFUNCTION("""COMPUTED_VALUE"""),"Laboratório MATEMATECA (J-15)")</f>
        <v>Laboratório MATEMATECA (J-15)</v>
      </c>
      <c r="I439" s="20"/>
      <c r="J439" s="15"/>
      <c r="K439" s="15"/>
      <c r="L439" s="15" t="str">
        <f>IFERROR(__xludf.DUMMYFUNCTION("""COMPUTED_VALUE"""),"vazamento de água")</f>
        <v>vazamento de água</v>
      </c>
      <c r="M439" s="15" t="str">
        <f>IFERROR(__xludf.DUMMYFUNCTION("""COMPUTED_VALUE"""),"Procurar por Divino ou Porfirio no IMTec, para abertura da sala")</f>
        <v>Procurar por Divino ou Porfirio no IMTec, para abertura da sala</v>
      </c>
      <c r="N439" s="26" t="str">
        <f>IFERROR(__xludf.DUMMYFUNCTION("""COMPUTED_VALUE"""),"Cancelada pelo solicitante")</f>
        <v>Cancelada pelo solicitante</v>
      </c>
      <c r="O439" s="11">
        <f>IFERROR(__xludf.DUMMYFUNCTION("""COMPUTED_VALUE"""),45390.0)</f>
        <v>45390</v>
      </c>
      <c r="P439" s="12"/>
    </row>
    <row r="440">
      <c r="A440" s="20" t="str">
        <f>IFERROR(__xludf.DUMMYFUNCTION("""COMPUTED_VALUE"""),"438/2024")</f>
        <v>438/2024</v>
      </c>
      <c r="B440" s="8">
        <f>IFERROR(__xludf.DUMMYFUNCTION("""COMPUTED_VALUE"""),45352.0)</f>
        <v>45352</v>
      </c>
      <c r="C440" s="21" t="str">
        <f>IFERROR(__xludf.DUMMYFUNCTION("""COMPUTED_VALUE"""),"ceapsi.ufcat@gmail.com")</f>
        <v>ceapsi.ufcat@gmail.com</v>
      </c>
      <c r="D440" s="22" t="str">
        <f>IFERROR(__xludf.DUMMYFUNCTION("""COMPUTED_VALUE"""),"Jacqueline")</f>
        <v>Jacqueline</v>
      </c>
      <c r="E440" s="40">
        <f>IFERROR(__xludf.DUMMYFUNCTION("""COMPUTED_VALUE"""),5349.0)</f>
        <v>5349</v>
      </c>
      <c r="F440" s="22" t="str">
        <f>IFERROR(__xludf.DUMMYFUNCTION("""COMPUTED_VALUE"""),"IBIOTEC  - Psicologia")</f>
        <v>IBIOTEC  - Psicologia</v>
      </c>
      <c r="G440" s="22" t="str">
        <f>IFERROR(__xludf.DUMMYFUNCTION("""COMPUTED_VALUE"""),"Bloco M")</f>
        <v>Bloco M</v>
      </c>
      <c r="H440" s="22" t="str">
        <f>IFERROR(__xludf.DUMMYFUNCTION("""COMPUTED_VALUE"""),"Sala 5 (consultório infantil) - CEAPSI")</f>
        <v>Sala 5 (consultório infantil) - CEAPSI</v>
      </c>
      <c r="I440" s="7" t="str">
        <f>IFERROR(__xludf.DUMMYFUNCTION("""COMPUTED_VALUE"""),"Instalações Hidrossanitárias")</f>
        <v>Instalações Hidrossanitárias</v>
      </c>
      <c r="J440" s="15" t="str">
        <f>IFERROR(__xludf.DUMMYFUNCTION("""COMPUTED_VALUE"""),"02 Hidráulica / 22 - Outros (PRAZO DE 15 a 60 DIAS PARA ATENDIMENTO)")</f>
        <v>02 Hidráulica / 22 - Outros (PRAZO DE 15 a 60 DIAS PARA ATENDIMENTO)</v>
      </c>
      <c r="K440" s="15"/>
      <c r="L440" s="15" t="str">
        <f>IFERROR(__xludf.DUMMYFUNCTION("""COMPUTED_VALUE"""),"Reposição de silicone em volta da janela")</f>
        <v>Reposição de silicone em volta da janela</v>
      </c>
      <c r="M440" s="25"/>
      <c r="N440" s="26" t="str">
        <f>IFERROR(__xludf.DUMMYFUNCTION("""COMPUTED_VALUE"""),"Realizado")</f>
        <v>Realizado</v>
      </c>
      <c r="O440" s="11">
        <f>IFERROR(__xludf.DUMMYFUNCTION("""COMPUTED_VALUE"""),45371.0)</f>
        <v>45371</v>
      </c>
      <c r="P440" s="11"/>
    </row>
    <row r="441">
      <c r="A441" s="20" t="str">
        <f>IFERROR(__xludf.DUMMYFUNCTION("""COMPUTED_VALUE"""),"439/2024")</f>
        <v>439/2024</v>
      </c>
      <c r="B441" s="8">
        <f>IFERROR(__xludf.DUMMYFUNCTION("""COMPUTED_VALUE"""),45352.0)</f>
        <v>45352</v>
      </c>
      <c r="C441" s="21" t="str">
        <f>IFERROR(__xludf.DUMMYFUNCTION("""COMPUTED_VALUE"""),"marcia.mendes@ufcat.edu.br")</f>
        <v>marcia.mendes@ufcat.edu.br</v>
      </c>
      <c r="D441" s="22" t="str">
        <f>IFERROR(__xludf.DUMMYFUNCTION("""COMPUTED_VALUE"""),"Marcia")</f>
        <v>Marcia</v>
      </c>
      <c r="E441" s="22" t="str">
        <f>IFERROR(__xludf.DUMMYFUNCTION("""COMPUTED_VALUE"""),"64 98412-9238")</f>
        <v>64 98412-9238</v>
      </c>
      <c r="F441" s="22" t="str">
        <f>IFERROR(__xludf.DUMMYFUNCTION("""COMPUTED_VALUE"""),"IQ")</f>
        <v>IQ</v>
      </c>
      <c r="G441" s="22" t="str">
        <f>IFERROR(__xludf.DUMMYFUNCTION("""COMPUTED_VALUE"""),"Bloco N")</f>
        <v>Bloco N</v>
      </c>
      <c r="H441" s="40">
        <f>IFERROR(__xludf.DUMMYFUNCTION("""COMPUTED_VALUE"""),115.0)</f>
        <v>115</v>
      </c>
      <c r="I441" s="7" t="str">
        <f>IFERROR(__xludf.DUMMYFUNCTION("""COMPUTED_VALUE"""),"Instalações elétricas")</f>
        <v>Instalações elétricas</v>
      </c>
      <c r="J441" s="15" t="str">
        <f>IFERROR(__xludf.DUMMYFUNCTION("""COMPUTED_VALUE"""),"04 Elétrica / 37 - Outros (PRAZO DE ACORDO COM A DEMANDA)")</f>
        <v>04 Elétrica / 37 - Outros (PRAZO DE ACORDO COM A DEMANDA)</v>
      </c>
      <c r="K441" s="15"/>
      <c r="L441" s="15" t="str">
        <f>IFERROR(__xludf.DUMMYFUNCTION("""COMPUTED_VALUE"""),"Trocar baterias do nobreak.")</f>
        <v>Trocar baterias do nobreak.</v>
      </c>
      <c r="M441" s="25"/>
      <c r="N441" s="26" t="str">
        <f>IFERROR(__xludf.DUMMYFUNCTION("""COMPUTED_VALUE"""),"Realizado")</f>
        <v>Realizado</v>
      </c>
      <c r="O441" s="11">
        <f>IFERROR(__xludf.DUMMYFUNCTION("""COMPUTED_VALUE"""),45363.0)</f>
        <v>45363</v>
      </c>
      <c r="P441" s="11"/>
    </row>
    <row r="442">
      <c r="A442" s="20" t="str">
        <f>IFERROR(__xludf.DUMMYFUNCTION("""COMPUTED_VALUE"""),"440/2024")</f>
        <v>440/2024</v>
      </c>
      <c r="B442" s="8">
        <f>IFERROR(__xludf.DUMMYFUNCTION("""COMPUTED_VALUE"""),45354.0)</f>
        <v>45354</v>
      </c>
      <c r="C442" s="21" t="str">
        <f>IFERROR(__xludf.DUMMYFUNCTION("""COMPUTED_VALUE"""),"seguranca@ufcat.edu.br")</f>
        <v>seguranca@ufcat.edu.br</v>
      </c>
      <c r="D442" s="22" t="str">
        <f>IFERROR(__xludf.DUMMYFUNCTION("""COMPUTED_VALUE"""),"Carla Braz")</f>
        <v>Carla Braz</v>
      </c>
      <c r="E442" s="40">
        <f>IFERROR(__xludf.DUMMYFUNCTION("""COMPUTED_VALUE"""),5318.0)</f>
        <v>5318</v>
      </c>
      <c r="F442" s="22" t="str">
        <f>IFERROR(__xludf.DUMMYFUNCTION("""COMPUTED_VALUE"""),"CENTRAL DE OPERAÇÕES VIGILÂNCIA")</f>
        <v>CENTRAL DE OPERAÇÕES VIGILÂNCIA</v>
      </c>
      <c r="G442" s="22" t="str">
        <f>IFERROR(__xludf.DUMMYFUNCTION("""COMPUTED_VALUE"""),"Campus II")</f>
        <v>Campus II</v>
      </c>
      <c r="H442" s="22" t="str">
        <f>IFERROR(__xludf.DUMMYFUNCTION("""COMPUTED_VALUE"""),"Corredor fundos ")</f>
        <v>Corredor fundos </v>
      </c>
      <c r="I442" s="7" t="str">
        <f>IFERROR(__xludf.DUMMYFUNCTION("""COMPUTED_VALUE"""),"Instalações e/ou Manutenção em Cabeamento de Rede")</f>
        <v>Instalações e/ou Manutenção em Cabeamento de Rede</v>
      </c>
      <c r="J442" s="15" t="str">
        <f>IFERROR(__xludf.DUMMYFUNCTION("""COMPUTED_VALUE"""),"05 Telecomunicações / 39 - CFTV (PRAZO DE ATÉ 15 DIAS PARA ATENDIMENTO)")</f>
        <v>05 Telecomunicações / 39 - CFTV (PRAZO DE ATÉ 15 DIAS PARA ATENDIMENTO)</v>
      </c>
      <c r="K442" s="15"/>
      <c r="L442" s="15" t="str">
        <f>IFERROR(__xludf.DUMMYFUNCTION("""COMPUTED_VALUE"""),"Câmera com interferência. ")</f>
        <v>Câmera com interferência. </v>
      </c>
      <c r="M442" s="25"/>
      <c r="N442" s="26" t="str">
        <f>IFERROR(__xludf.DUMMYFUNCTION("""COMPUTED_VALUE"""),"Realizado")</f>
        <v>Realizado</v>
      </c>
      <c r="O442" s="11">
        <f>IFERROR(__xludf.DUMMYFUNCTION("""COMPUTED_VALUE"""),45363.0)</f>
        <v>45363</v>
      </c>
      <c r="P442" s="11"/>
    </row>
    <row r="443">
      <c r="A443" s="20" t="str">
        <f>IFERROR(__xludf.DUMMYFUNCTION("""COMPUTED_VALUE"""),"441/2024")</f>
        <v>441/2024</v>
      </c>
      <c r="B443" s="8">
        <f>IFERROR(__xludf.DUMMYFUNCTION("""COMPUTED_VALUE"""),45355.0)</f>
        <v>45355</v>
      </c>
      <c r="C443" s="21" t="str">
        <f>IFERROR(__xludf.DUMMYFUNCTION("""COMPUTED_VALUE"""),"seguranca@ufcat.edu.br")</f>
        <v>seguranca@ufcat.edu.br</v>
      </c>
      <c r="D443" s="22" t="str">
        <f>IFERROR(__xludf.DUMMYFUNCTION("""COMPUTED_VALUE"""),"Neide da costa ")</f>
        <v>Neide da costa </v>
      </c>
      <c r="E443" s="40">
        <f>IFERROR(__xludf.DUMMYFUNCTION("""COMPUTED_VALUE"""),5318.0)</f>
        <v>5318</v>
      </c>
      <c r="F443" s="22" t="str">
        <f>IFERROR(__xludf.DUMMYFUNCTION("""COMPUTED_VALUE"""),"CENTRAL DE OPERAÇÕES VIGILÂNCIA")</f>
        <v>CENTRAL DE OPERAÇÕES VIGILÂNCIA</v>
      </c>
      <c r="G443" s="22" t="str">
        <f>IFERROR(__xludf.DUMMYFUNCTION("""COMPUTED_VALUE"""),"Monitoramento")</f>
        <v>Monitoramento</v>
      </c>
      <c r="H443" s="22" t="str">
        <f>IFERROR(__xludf.DUMMYFUNCTION("""COMPUTED_VALUE"""),"Sala de monitoramento ")</f>
        <v>Sala de monitoramento </v>
      </c>
      <c r="I443" s="7" t="str">
        <f>IFERROR(__xludf.DUMMYFUNCTION("""COMPUTED_VALUE"""),"Instalações elétricas")</f>
        <v>Instalações elétricas</v>
      </c>
      <c r="J443" s="48" t="str">
        <f>IFERROR(__xludf.DUMMYFUNCTION("""COMPUTED_VALUE"""),"04 Elétrica / 37 - Outros (PRAZO DE ACORDO COM A DEMANDA)")</f>
        <v>04 Elétrica / 37 - Outros (PRAZO DE ACORDO COM A DEMANDA)</v>
      </c>
      <c r="K443" s="48"/>
      <c r="L443" s="15" t="str">
        <f>IFERROR(__xludf.DUMMYFUNCTION("""COMPUTED_VALUE"""),"O ar da sala de monitoaramento não está esfriando direito está tendo que ligar o ventilador pra amenizar o calor mesmo com o ar ligado.")</f>
        <v>O ar da sala de monitoaramento não está esfriando direito está tendo que ligar o ventilador pra amenizar o calor mesmo com o ar ligado.</v>
      </c>
      <c r="M443" s="25"/>
      <c r="N443" s="26" t="str">
        <f>IFERROR(__xludf.DUMMYFUNCTION("""COMPUTED_VALUE"""),"Aguardando análise")</f>
        <v>Aguardando análise</v>
      </c>
      <c r="O443" s="12"/>
      <c r="P443" s="12"/>
    </row>
    <row r="444">
      <c r="A444" s="20" t="str">
        <f>IFERROR(__xludf.DUMMYFUNCTION("""COMPUTED_VALUE"""),"442/2024")</f>
        <v>442/2024</v>
      </c>
      <c r="B444" s="8">
        <f>IFERROR(__xludf.DUMMYFUNCTION("""COMPUTED_VALUE"""),45355.0)</f>
        <v>45355</v>
      </c>
      <c r="C444" s="21" t="str">
        <f>IFERROR(__xludf.DUMMYFUNCTION("""COMPUTED_VALUE"""),"muc.prpe@ufcat.edu.br")</f>
        <v>muc.prpe@ufcat.edu.br</v>
      </c>
      <c r="D444" s="22" t="str">
        <f>IFERROR(__xludf.DUMMYFUNCTION("""COMPUTED_VALUE"""),"Ludmila")</f>
        <v>Ludmila</v>
      </c>
      <c r="E444" s="40">
        <f>IFERROR(__xludf.DUMMYFUNCTION("""COMPUTED_VALUE"""),5333.0)</f>
        <v>5333</v>
      </c>
      <c r="F444" s="22" t="str">
        <f>IFERROR(__xludf.DUMMYFUNCTION("""COMPUTED_VALUE"""),"PRPE")</f>
        <v>PRPE</v>
      </c>
      <c r="G444" s="22" t="str">
        <f>IFERROR(__xludf.DUMMYFUNCTION("""COMPUTED_VALUE"""),"MUC")</f>
        <v>MUC</v>
      </c>
      <c r="H444" s="22" t="str">
        <f>IFERROR(__xludf.DUMMYFUNCTION("""COMPUTED_VALUE"""),"apto 204")</f>
        <v>apto 204</v>
      </c>
      <c r="I444" s="7" t="str">
        <f>IFERROR(__xludf.DUMMYFUNCTION("""COMPUTED_VALUE"""),"Instalações Hidrossanitárias")</f>
        <v>Instalações Hidrossanitárias</v>
      </c>
      <c r="J444" s="15" t="str">
        <f>IFERROR(__xludf.DUMMYFUNCTION("""COMPUTED_VALUE"""),"02 Hidráulica / 12 - Vazamento em tubulações externas (PRAZO DE 15 a 60 DIAS PARA ATENDIMENTO)")</f>
        <v>02 Hidráulica / 12 - Vazamento em tubulações externas (PRAZO DE 15 a 60 DIAS PARA ATENDIMENTO)</v>
      </c>
      <c r="K444" s="15"/>
      <c r="L444" s="15" t="str">
        <f>IFERROR(__xludf.DUMMYFUNCTION("""COMPUTED_VALUE"""),"Vazamento de agua pelo registro do chuveiro")</f>
        <v>Vazamento de agua pelo registro do chuveiro</v>
      </c>
      <c r="M444" s="25"/>
      <c r="N444" s="26" t="str">
        <f>IFERROR(__xludf.DUMMYFUNCTION("""COMPUTED_VALUE"""),"Realizado")</f>
        <v>Realizado</v>
      </c>
      <c r="O444" s="11">
        <f>IFERROR(__xludf.DUMMYFUNCTION("""COMPUTED_VALUE"""),45357.0)</f>
        <v>45357</v>
      </c>
      <c r="P444" s="11"/>
    </row>
    <row r="445">
      <c r="A445" s="20" t="str">
        <f>IFERROR(__xludf.DUMMYFUNCTION("""COMPUTED_VALUE"""),"443/2024")</f>
        <v>443/2024</v>
      </c>
      <c r="B445" s="8">
        <f>IFERROR(__xludf.DUMMYFUNCTION("""COMPUTED_VALUE"""),45355.0)</f>
        <v>45355</v>
      </c>
      <c r="C445" s="21" t="str">
        <f>IFERROR(__xludf.DUMMYFUNCTION("""COMPUTED_VALUE"""),"iolanda.aguiar@ufcat.edu.br")</f>
        <v>iolanda.aguiar@ufcat.edu.br</v>
      </c>
      <c r="D445" s="22" t="str">
        <f>IFERROR(__xludf.DUMMYFUNCTION("""COMPUTED_VALUE"""),"Iolanda Maria Aguiar")</f>
        <v>Iolanda Maria Aguiar</v>
      </c>
      <c r="E445" s="40">
        <f>IFERROR(__xludf.DUMMYFUNCTION("""COMPUTED_VALUE"""),6.2982410124E10)</f>
        <v>62982410124</v>
      </c>
      <c r="F445" s="22" t="str">
        <f>IFERROR(__xludf.DUMMYFUNCTION("""COMPUTED_VALUE"""),"FENG - Engenharia de Minas")</f>
        <v>FENG - Engenharia de Minas</v>
      </c>
      <c r="G445" s="22" t="str">
        <f>IFERROR(__xludf.DUMMYFUNCTION("""COMPUTED_VALUE"""),"Bloco O")</f>
        <v>Bloco O</v>
      </c>
      <c r="H445" s="22" t="str">
        <f>IFERROR(__xludf.DUMMYFUNCTION("""COMPUTED_VALUE"""),"Externo - base Ar Condicionados")</f>
        <v>Externo - base Ar Condicionados</v>
      </c>
      <c r="I445" s="7" t="str">
        <f>IFERROR(__xludf.DUMMYFUNCTION("""COMPUTED_VALUE"""),"Serralheria")</f>
        <v>Serralheria</v>
      </c>
      <c r="J445" s="15" t="str">
        <f>IFERROR(__xludf.DUMMYFUNCTION("""COMPUTED_VALUE"""),"08 Serralheria / 56 - Outros (PRAZO DE ACORDO COM A DEMANDA)")</f>
        <v>08 Serralheria / 56 - Outros (PRAZO DE ACORDO COM A DEMANDA)</v>
      </c>
      <c r="K445" s="15"/>
      <c r="L445" s="15" t="str">
        <f>IFERROR(__xludf.DUMMYFUNCTION("""COMPUTED_VALUE"""),"Colocar chumbadores no suporte de ar condicionado")</f>
        <v>Colocar chumbadores no suporte de ar condicionado</v>
      </c>
      <c r="M445" s="25"/>
      <c r="N445" s="26" t="str">
        <f>IFERROR(__xludf.DUMMYFUNCTION("""COMPUTED_VALUE"""),"Aguardando análise")</f>
        <v>Aguardando análise</v>
      </c>
      <c r="O445" s="12"/>
      <c r="P445" s="12"/>
    </row>
    <row r="446">
      <c r="A446" s="20" t="str">
        <f>IFERROR(__xludf.DUMMYFUNCTION("""COMPUTED_VALUE"""),"444/2024")</f>
        <v>444/2024</v>
      </c>
      <c r="B446" s="8">
        <f>IFERROR(__xludf.DUMMYFUNCTION("""COMPUTED_VALUE"""),45355.0)</f>
        <v>45355</v>
      </c>
      <c r="C446" s="21" t="str">
        <f>IFERROR(__xludf.DUMMYFUNCTION("""COMPUTED_VALUE"""),"mirian.lima@ufcat.edu.br")</f>
        <v>mirian.lima@ufcat.edu.br</v>
      </c>
      <c r="D446" s="22" t="str">
        <f>IFERROR(__xludf.DUMMYFUNCTION("""COMPUTED_VALUE"""),"Mirian de Jesus Lima")</f>
        <v>Mirian de Jesus Lima</v>
      </c>
      <c r="E446" s="40">
        <f>IFERROR(__xludf.DUMMYFUNCTION("""COMPUTED_VALUE"""),5323.0)</f>
        <v>5323</v>
      </c>
      <c r="F446" s="22" t="str">
        <f>IFERROR(__xludf.DUMMYFUNCTION("""COMPUTED_VALUE"""),"IBIOTEC  - Psicologia")</f>
        <v>IBIOTEC  - Psicologia</v>
      </c>
      <c r="G446" s="22" t="str">
        <f>IFERROR(__xludf.DUMMYFUNCTION("""COMPUTED_VALUE"""),"Bloco M")</f>
        <v>Bloco M</v>
      </c>
      <c r="H446" s="22" t="str">
        <f>IFERROR(__xludf.DUMMYFUNCTION("""COMPUTED_VALUE"""),"Clínica CEAPSI (Consultório 7; Sala Estagiários; Sala 102; Sala 104)")</f>
        <v>Clínica CEAPSI (Consultório 7; Sala Estagiários; Sala 102; Sala 104)</v>
      </c>
      <c r="I446" s="7" t="str">
        <f>IFERROR(__xludf.DUMMYFUNCTION("""COMPUTED_VALUE"""),"Pequenos serviços de reparos em Marcenaria")</f>
        <v>Pequenos serviços de reparos em Marcenaria</v>
      </c>
      <c r="J446" s="15" t="str">
        <f>IFERROR(__xludf.DUMMYFUNCTION("""COMPUTED_VALUE"""),"03 Marcenaria / 24 - Conserto de Móveis (PRAZO DE ATÉ 60 DIAS PARA ATENDIMENTO)")</f>
        <v>03 Marcenaria / 24 - Conserto de Móveis (PRAZO DE ATÉ 60 DIAS PARA ATENDIMENTO)</v>
      </c>
      <c r="K446" s="15"/>
      <c r="L446" s="15" t="str">
        <f>IFERROR(__xludf.DUMMYFUNCTION("""COMPUTED_VALUE"""),"Realizar o reparo em 4 cadeiras giratórias, apresentando problemas na regulagem do assento e ainda, o encosto está solto (Patrimônios: 327195; 339507; 327197; 327191).")</f>
        <v>Realizar o reparo em 4 cadeiras giratórias, apresentando problemas na regulagem do assento e ainda, o encosto está solto (Patrimônios: 327195; 339507; 327197; 327191).</v>
      </c>
      <c r="M446" s="25"/>
      <c r="N446" s="26" t="str">
        <f>IFERROR(__xludf.DUMMYFUNCTION("""COMPUTED_VALUE"""),"Realizado")</f>
        <v>Realizado</v>
      </c>
      <c r="O446" s="11">
        <f>IFERROR(__xludf.DUMMYFUNCTION("""COMPUTED_VALUE"""),45399.0)</f>
        <v>45399</v>
      </c>
      <c r="P446" s="12"/>
    </row>
    <row r="447">
      <c r="A447" s="20" t="str">
        <f>IFERROR(__xludf.DUMMYFUNCTION("""COMPUTED_VALUE"""),"445/2024")</f>
        <v>445/2024</v>
      </c>
      <c r="B447" s="8">
        <f>IFERROR(__xludf.DUMMYFUNCTION("""COMPUTED_VALUE"""),45355.0)</f>
        <v>45355</v>
      </c>
      <c r="C447" s="21" t="str">
        <f>IFERROR(__xludf.DUMMYFUNCTION("""COMPUTED_VALUE"""),"welington_silva@ufcat.edu.br")</f>
        <v>welington_silva@ufcat.edu.br</v>
      </c>
      <c r="D447" s="22" t="str">
        <f>IFERROR(__xludf.DUMMYFUNCTION("""COMPUTED_VALUE"""),"Welington Cesar Silva")</f>
        <v>Welington Cesar Silva</v>
      </c>
      <c r="E447" s="40">
        <f>IFERROR(__xludf.DUMMYFUNCTION("""COMPUTED_VALUE"""),5311.0)</f>
        <v>5311</v>
      </c>
      <c r="F447" s="22" t="str">
        <f>IFERROR(__xludf.DUMMYFUNCTION("""COMPUTED_VALUE"""),"IBIOTEC  - Educação Física")</f>
        <v>IBIOTEC  - Educação Física</v>
      </c>
      <c r="G447" s="22" t="str">
        <f>IFERROR(__xludf.DUMMYFUNCTION("""COMPUTED_VALUE"""),"Bloco C")</f>
        <v>Bloco C</v>
      </c>
      <c r="H447" s="40">
        <f>IFERROR(__xludf.DUMMYFUNCTION("""COMPUTED_VALUE"""),15.0)</f>
        <v>15</v>
      </c>
      <c r="I447" s="7" t="str">
        <f>IFERROR(__xludf.DUMMYFUNCTION("""COMPUTED_VALUE"""),"Reparos (alvenaria, piso, forro e telhado)")</f>
        <v>Reparos (alvenaria, piso, forro e telhado)</v>
      </c>
      <c r="J447" s="15" t="str">
        <f>IFERROR(__xludf.DUMMYFUNCTION("""COMPUTED_VALUE"""),"01 Alvenaria / 05 - Piso (PRAZO DE ATÉ 60 DIAS PARA ATENDIMENTO)")</f>
        <v>01 Alvenaria / 05 - Piso (PRAZO DE ATÉ 60 DIAS PARA ATENDIMENTO)</v>
      </c>
      <c r="K447" s="15"/>
      <c r="L447" s="15" t="str">
        <f>IFERROR(__xludf.DUMMYFUNCTION("""COMPUTED_VALUE"""),"Colar a faixa de piso que estar descolada do chão.")</f>
        <v>Colar a faixa de piso que estar descolada do chão.</v>
      </c>
      <c r="M447" s="25"/>
      <c r="N447" s="26" t="str">
        <f>IFERROR(__xludf.DUMMYFUNCTION("""COMPUTED_VALUE"""),"Realizado")</f>
        <v>Realizado</v>
      </c>
      <c r="O447" s="11">
        <f>IFERROR(__xludf.DUMMYFUNCTION("""COMPUTED_VALUE"""),45378.0)</f>
        <v>45378</v>
      </c>
      <c r="P447" s="11"/>
    </row>
    <row r="448">
      <c r="A448" s="20" t="str">
        <f>IFERROR(__xludf.DUMMYFUNCTION("""COMPUTED_VALUE"""),"446/2024")</f>
        <v>446/2024</v>
      </c>
      <c r="B448" s="8">
        <f>IFERROR(__xludf.DUMMYFUNCTION("""COMPUTED_VALUE"""),45355.0)</f>
        <v>45355</v>
      </c>
      <c r="C448" s="21" t="str">
        <f>IFERROR(__xludf.DUMMYFUNCTION("""COMPUTED_VALUE"""),"welington_silva@ufcat.edu.br")</f>
        <v>welington_silva@ufcat.edu.br</v>
      </c>
      <c r="D448" s="22" t="str">
        <f>IFERROR(__xludf.DUMMYFUNCTION("""COMPUTED_VALUE"""),"Welington Cesar Silva")</f>
        <v>Welington Cesar Silva</v>
      </c>
      <c r="E448" s="40">
        <f>IFERROR(__xludf.DUMMYFUNCTION("""COMPUTED_VALUE"""),5311.0)</f>
        <v>5311</v>
      </c>
      <c r="F448" s="22" t="str">
        <f>IFERROR(__xludf.DUMMYFUNCTION("""COMPUTED_VALUE"""),"IBIOTEC  - Educação Física")</f>
        <v>IBIOTEC  - Educação Física</v>
      </c>
      <c r="G448" s="22" t="str">
        <f>IFERROR(__xludf.DUMMYFUNCTION("""COMPUTED_VALUE"""),"Bloco C")</f>
        <v>Bloco C</v>
      </c>
      <c r="H448" s="40">
        <f>IFERROR(__xludf.DUMMYFUNCTION("""COMPUTED_VALUE"""),15.0)</f>
        <v>15</v>
      </c>
      <c r="I448" s="7" t="str">
        <f>IFERROR(__xludf.DUMMYFUNCTION("""COMPUTED_VALUE"""),"Instalações elétricas")</f>
        <v>Instalações elétricas</v>
      </c>
      <c r="J448" s="15" t="str">
        <f>IFERROR(__xludf.DUMMYFUNCTION("""COMPUTED_VALUE"""),"04 Elétrica / 37 - Outros (PRAZO DE ACORDO COM A DEMANDA)")</f>
        <v>04 Elétrica / 37 - Outros (PRAZO DE ACORDO COM A DEMANDA)</v>
      </c>
      <c r="K448" s="15"/>
      <c r="L448" s="15" t="str">
        <f>IFERROR(__xludf.DUMMYFUNCTION("""COMPUTED_VALUE"""),"Parafusar a caixa de tomada perto de espelho. ")</f>
        <v>Parafusar a caixa de tomada perto de espelho. </v>
      </c>
      <c r="M448" s="25"/>
      <c r="N448" s="26" t="str">
        <f>IFERROR(__xludf.DUMMYFUNCTION("""COMPUTED_VALUE"""),"Realizado")</f>
        <v>Realizado</v>
      </c>
      <c r="O448" s="11">
        <f>IFERROR(__xludf.DUMMYFUNCTION("""COMPUTED_VALUE"""),45358.0)</f>
        <v>45358</v>
      </c>
      <c r="P448" s="11"/>
    </row>
    <row r="449">
      <c r="A449" s="20" t="str">
        <f>IFERROR(__xludf.DUMMYFUNCTION("""COMPUTED_VALUE"""),"447/2024")</f>
        <v>447/2024</v>
      </c>
      <c r="B449" s="8">
        <f>IFERROR(__xludf.DUMMYFUNCTION("""COMPUTED_VALUE"""),45355.0)</f>
        <v>45355</v>
      </c>
      <c r="C449" s="21" t="str">
        <f>IFERROR(__xludf.DUMMYFUNCTION("""COMPUTED_VALUE"""),"maria.pires@ufcat.edu.br")</f>
        <v>maria.pires@ufcat.edu.br</v>
      </c>
      <c r="D449" s="22" t="str">
        <f>IFERROR(__xludf.DUMMYFUNCTION("""COMPUTED_VALUE"""),"Maria Abadia Pires")</f>
        <v>Maria Abadia Pires</v>
      </c>
      <c r="E449" s="40">
        <f>IFERROR(__xludf.DUMMYFUNCTION("""COMPUTED_VALUE"""),5323.0)</f>
        <v>5323</v>
      </c>
      <c r="F449" s="22" t="str">
        <f>IFERROR(__xludf.DUMMYFUNCTION("""COMPUTED_VALUE"""),"IBIOTEC  - Educação Física")</f>
        <v>IBIOTEC  - Educação Física</v>
      </c>
      <c r="G449" s="22" t="str">
        <f>IFERROR(__xludf.DUMMYFUNCTION("""COMPUTED_VALUE"""),"Bloco C")</f>
        <v>Bloco C</v>
      </c>
      <c r="H449" s="22" t="str">
        <f>IFERROR(__xludf.DUMMYFUNCTION("""COMPUTED_VALUE"""),"Sala 15")</f>
        <v>Sala 15</v>
      </c>
      <c r="I449" s="7" t="str">
        <f>IFERROR(__xludf.DUMMYFUNCTION("""COMPUTED_VALUE"""),"Reparos (alvenaria, piso, forro e telhado)")</f>
        <v>Reparos (alvenaria, piso, forro e telhado)</v>
      </c>
      <c r="J449" s="15" t="str">
        <f>IFERROR(__xludf.DUMMYFUNCTION("""COMPUTED_VALUE"""),"01 Alvenaria / 03 - Rachadura em Parede (PRAZO DE ATÉ 60 DIAS PARA ATENDIMENTO)")</f>
        <v>01 Alvenaria / 03 - Rachadura em Parede (PRAZO DE ATÉ 60 DIAS PARA ATENDIMENTO)</v>
      </c>
      <c r="K449" s="15"/>
      <c r="L449" s="15" t="str">
        <f>IFERROR(__xludf.DUMMYFUNCTION("""COMPUTED_VALUE"""),"A parede onde está fixada a barra de alongamento das atividades de ginástica está com duas rachaduras nas extremidades.")</f>
        <v>A parede onde está fixada a barra de alongamento das atividades de ginástica está com duas rachaduras nas extremidades.</v>
      </c>
      <c r="M449" s="25"/>
      <c r="N449" s="26" t="str">
        <f>IFERROR(__xludf.DUMMYFUNCTION("""COMPUTED_VALUE"""),"Realizado")</f>
        <v>Realizado</v>
      </c>
      <c r="O449" s="11">
        <f>IFERROR(__xludf.DUMMYFUNCTION("""COMPUTED_VALUE"""),45365.0)</f>
        <v>45365</v>
      </c>
      <c r="P449" s="11"/>
    </row>
    <row r="450">
      <c r="A450" s="20" t="str">
        <f>IFERROR(__xludf.DUMMYFUNCTION("""COMPUTED_VALUE"""),"448/2024")</f>
        <v>448/2024</v>
      </c>
      <c r="B450" s="8">
        <f>IFERROR(__xludf.DUMMYFUNCTION("""COMPUTED_VALUE"""),45355.0)</f>
        <v>45355</v>
      </c>
      <c r="C450" s="21" t="str">
        <f>IFERROR(__xludf.DUMMYFUNCTION("""COMPUTED_VALUE"""),"maria.pires@ufcat.edu.br")</f>
        <v>maria.pires@ufcat.edu.br</v>
      </c>
      <c r="D450" s="22" t="str">
        <f>IFERROR(__xludf.DUMMYFUNCTION("""COMPUTED_VALUE"""),"Maria Abadia Pires")</f>
        <v>Maria Abadia Pires</v>
      </c>
      <c r="E450" s="40">
        <f>IFERROR(__xludf.DUMMYFUNCTION("""COMPUTED_VALUE"""),5323.0)</f>
        <v>5323</v>
      </c>
      <c r="F450" s="22" t="str">
        <f>IFERROR(__xludf.DUMMYFUNCTION("""COMPUTED_VALUE"""),"IBIOTEC  - Educação Física")</f>
        <v>IBIOTEC  - Educação Física</v>
      </c>
      <c r="G450" s="22" t="str">
        <f>IFERROR(__xludf.DUMMYFUNCTION("""COMPUTED_VALUE"""),"Bloco C")</f>
        <v>Bloco C</v>
      </c>
      <c r="H450" s="22" t="str">
        <f>IFERROR(__xludf.DUMMYFUNCTION("""COMPUTED_VALUE"""),"Sala 15")</f>
        <v>Sala 15</v>
      </c>
      <c r="I450" s="7" t="str">
        <f>IFERROR(__xludf.DUMMYFUNCTION("""COMPUTED_VALUE"""),"Pequenos serviços de reparos em Marcenaria")</f>
        <v>Pequenos serviços de reparos em Marcenaria</v>
      </c>
      <c r="J450" s="15" t="str">
        <f>IFERROR(__xludf.DUMMYFUNCTION("""COMPUTED_VALUE"""),"03 Marcenaria / 24 - Conserto de Móveis (PRAZO DE ATÉ 60 DIAS PARA ATENDIMENTO)")</f>
        <v>03 Marcenaria / 24 - Conserto de Móveis (PRAZO DE ATÉ 60 DIAS PARA ATENDIMENTO)</v>
      </c>
      <c r="K450" s="15"/>
      <c r="L450" s="15" t="str">
        <f>IFERROR(__xludf.DUMMYFUNCTION("""COMPUTED_VALUE"""),"Conserto da primeira gaveta da mesa de madeira.")</f>
        <v>Conserto da primeira gaveta da mesa de madeira.</v>
      </c>
      <c r="M450" s="25"/>
      <c r="N450" s="26" t="str">
        <f>IFERROR(__xludf.DUMMYFUNCTION("""COMPUTED_VALUE"""),"Realizado")</f>
        <v>Realizado</v>
      </c>
      <c r="O450" s="11">
        <f>IFERROR(__xludf.DUMMYFUNCTION("""COMPUTED_VALUE"""),45372.0)</f>
        <v>45372</v>
      </c>
      <c r="P450" s="11"/>
    </row>
    <row r="451">
      <c r="A451" s="20" t="str">
        <f>IFERROR(__xludf.DUMMYFUNCTION("""COMPUTED_VALUE"""),"449/2024")</f>
        <v>449/2024</v>
      </c>
      <c r="B451" s="8">
        <f>IFERROR(__xludf.DUMMYFUNCTION("""COMPUTED_VALUE"""),45355.0)</f>
        <v>45355</v>
      </c>
      <c r="C451" s="21" t="str">
        <f>IFERROR(__xludf.DUMMYFUNCTION("""COMPUTED_VALUE"""),"elaine_carbonero@ufcat.edu.br")</f>
        <v>elaine_carbonero@ufcat.edu.br</v>
      </c>
      <c r="D451" s="22" t="str">
        <f>IFERROR(__xludf.DUMMYFUNCTION("""COMPUTED_VALUE"""),"Elaine R. Carbonero")</f>
        <v>Elaine R. Carbonero</v>
      </c>
      <c r="E451" s="22" t="str">
        <f>IFERROR(__xludf.DUMMYFUNCTION("""COMPUTED_VALUE"""),"64 981321757")</f>
        <v>64 981321757</v>
      </c>
      <c r="F451" s="22" t="str">
        <f>IFERROR(__xludf.DUMMYFUNCTION("""COMPUTED_VALUE"""),"IQ")</f>
        <v>IQ</v>
      </c>
      <c r="G451" s="22" t="str">
        <f>IFERROR(__xludf.DUMMYFUNCTION("""COMPUTED_VALUE"""),"Bloco N")</f>
        <v>Bloco N</v>
      </c>
      <c r="H451" s="22" t="str">
        <f>IFERROR(__xludf.DUMMYFUNCTION("""COMPUTED_VALUE"""),"Lab 111, 115 e corredor bloco N")</f>
        <v>Lab 111, 115 e corredor bloco N</v>
      </c>
      <c r="I451" s="7" t="str">
        <f>IFERROR(__xludf.DUMMYFUNCTION("""COMPUTED_VALUE"""),"Reparos (alvenaria, piso, forro e telhado)")</f>
        <v>Reparos (alvenaria, piso, forro e telhado)</v>
      </c>
      <c r="J451" s="15" t="str">
        <f>IFERROR(__xludf.DUMMYFUNCTION("""COMPUTED_VALUE"""),"01 Alvenaria / 06 - Outros (PRAZO DE ATÉ 60 DIAS PARA ATENDIMENTO)")</f>
        <v>01 Alvenaria / 06 - Outros (PRAZO DE ATÉ 60 DIAS PARA ATENDIMENTO)</v>
      </c>
      <c r="K451" s="15"/>
      <c r="L451" s="15" t="str">
        <f>IFERROR(__xludf.DUMMYFUNCTION("""COMPUTED_VALUE"""),"Instalação de portas de emergência Sala 111, 115 e corredor do bloco N")</f>
        <v>Instalação de portas de emergência Sala 111, 115 e corredor do bloco N</v>
      </c>
      <c r="M451" s="25"/>
      <c r="N451" s="26" t="str">
        <f>IFERROR(__xludf.DUMMYFUNCTION("""COMPUTED_VALUE"""),"Aguardando análise")</f>
        <v>Aguardando análise</v>
      </c>
      <c r="O451" s="12"/>
      <c r="P451" s="12"/>
    </row>
    <row r="452">
      <c r="A452" s="20" t="str">
        <f>IFERROR(__xludf.DUMMYFUNCTION("""COMPUTED_VALUE"""),"450/2024")</f>
        <v>450/2024</v>
      </c>
      <c r="B452" s="8">
        <f>IFERROR(__xludf.DUMMYFUNCTION("""COMPUTED_VALUE"""),45355.0)</f>
        <v>45355</v>
      </c>
      <c r="C452" s="21" t="str">
        <f>IFERROR(__xludf.DUMMYFUNCTION("""COMPUTED_VALUE"""),"mariaeduarda.borges@ufcat.edu.br")</f>
        <v>mariaeduarda.borges@ufcat.edu.br</v>
      </c>
      <c r="D452" s="22" t="str">
        <f>IFERROR(__xludf.DUMMYFUNCTION("""COMPUTED_VALUE"""),"Maria Eduarda Silva Borges ")</f>
        <v>Maria Eduarda Silva Borges </v>
      </c>
      <c r="E452" s="40">
        <f>IFERROR(__xludf.DUMMYFUNCTION("""COMPUTED_VALUE"""),5340.0)</f>
        <v>5340</v>
      </c>
      <c r="F452" s="22" t="str">
        <f>IFERROR(__xludf.DUMMYFUNCTION("""COMPUTED_VALUE"""),"PREF")</f>
        <v>PREF</v>
      </c>
      <c r="G452" s="22" t="str">
        <f>IFERROR(__xludf.DUMMYFUNCTION("""COMPUTED_VALUE"""),"Monitoramento")</f>
        <v>Monitoramento</v>
      </c>
      <c r="H452" s="22" t="str">
        <f>IFERROR(__xludf.DUMMYFUNCTION("""COMPUTED_VALUE"""),"BANHEIRO DA SALA DA CENTRAL DE OPERAÇÕES")</f>
        <v>BANHEIRO DA SALA DA CENTRAL DE OPERAÇÕES</v>
      </c>
      <c r="I452" s="7" t="str">
        <f>IFERROR(__xludf.DUMMYFUNCTION("""COMPUTED_VALUE"""),"Instalações Hidrossanitárias")</f>
        <v>Instalações Hidrossanitárias</v>
      </c>
      <c r="J452" s="15" t="str">
        <f>IFERROR(__xludf.DUMMYFUNCTION("""COMPUTED_VALUE"""),"02 Hidráulica / 22 - Outros (PRAZO DE 15 a 60 DIAS PARA ATENDIMENTO)")</f>
        <v>02 Hidráulica / 22 - Outros (PRAZO DE 15 a 60 DIAS PARA ATENDIMENTO)</v>
      </c>
      <c r="K452" s="15"/>
      <c r="L452" s="15" t="str">
        <f>IFERROR(__xludf.DUMMYFUNCTION("""COMPUTED_VALUE"""),"Ao utilizar o banheiro da Sala da Central de Operações, percebi que o assento do vazo sanitário se encontrava danificado.")</f>
        <v>Ao utilizar o banheiro da Sala da Central de Operações, percebi que o assento do vazo sanitário se encontrava danificado.</v>
      </c>
      <c r="M452" s="25"/>
      <c r="N452" s="26" t="str">
        <f>IFERROR(__xludf.DUMMYFUNCTION("""COMPUTED_VALUE"""),"Realizado")</f>
        <v>Realizado</v>
      </c>
      <c r="O452" s="11">
        <f>IFERROR(__xludf.DUMMYFUNCTION("""COMPUTED_VALUE"""),45371.0)</f>
        <v>45371</v>
      </c>
      <c r="P452" s="11"/>
    </row>
    <row r="453">
      <c r="A453" s="20" t="str">
        <f>IFERROR(__xludf.DUMMYFUNCTION("""COMPUTED_VALUE"""),"451/2024")</f>
        <v>451/2024</v>
      </c>
      <c r="B453" s="8">
        <f>IFERROR(__xludf.DUMMYFUNCTION("""COMPUTED_VALUE"""),45355.0)</f>
        <v>45355</v>
      </c>
      <c r="C453" s="21" t="str">
        <f>IFERROR(__xludf.DUMMYFUNCTION("""COMPUTED_VALUE"""),"muc.prpe@ufcat.edu.br")</f>
        <v>muc.prpe@ufcat.edu.br</v>
      </c>
      <c r="D453" s="22" t="str">
        <f>IFERROR(__xludf.DUMMYFUNCTION("""COMPUTED_VALUE"""),"DANIEL DOS REIS SIMÕES")</f>
        <v>DANIEL DOS REIS SIMÕES</v>
      </c>
      <c r="E453" s="40">
        <f>IFERROR(__xludf.DUMMYFUNCTION("""COMPUTED_VALUE"""),5333.0)</f>
        <v>5333</v>
      </c>
      <c r="F453" s="22" t="str">
        <f>IFERROR(__xludf.DUMMYFUNCTION("""COMPUTED_VALUE"""),"PRPE")</f>
        <v>PRPE</v>
      </c>
      <c r="G453" s="22" t="str">
        <f>IFERROR(__xludf.DUMMYFUNCTION("""COMPUTED_VALUE"""),"MUC")</f>
        <v>MUC</v>
      </c>
      <c r="H453" s="22" t="str">
        <f>IFERROR(__xludf.DUMMYFUNCTION("""COMPUTED_VALUE"""),"Apto 304")</f>
        <v>Apto 304</v>
      </c>
      <c r="I453" s="7" t="str">
        <f>IFERROR(__xludf.DUMMYFUNCTION("""COMPUTED_VALUE"""),"Reparos (alvenaria, piso, forro e telhado)")</f>
        <v>Reparos (alvenaria, piso, forro e telhado)</v>
      </c>
      <c r="J453" s="15" t="str">
        <f>IFERROR(__xludf.DUMMYFUNCTION("""COMPUTED_VALUE"""),"01 Alvenaria / 06 - Outros (PRAZO DE ATÉ 60 DIAS PARA ATENDIMENTO)")</f>
        <v>01 Alvenaria / 06 - Outros (PRAZO DE ATÉ 60 DIAS PARA ATENDIMENTO)</v>
      </c>
      <c r="K453" s="15"/>
      <c r="L453" s="15" t="str">
        <f>IFERROR(__xludf.DUMMYFUNCTION("""COMPUTED_VALUE"""),"Residente informa que está entrando água pela janela do quarto A, apto 304.")</f>
        <v>Residente informa que está entrando água pela janela do quarto A, apto 304.</v>
      </c>
      <c r="M453" s="25"/>
      <c r="N453" s="26" t="str">
        <f>IFERROR(__xludf.DUMMYFUNCTION("""COMPUTED_VALUE"""),"Realizado")</f>
        <v>Realizado</v>
      </c>
      <c r="O453" s="11">
        <f>IFERROR(__xludf.DUMMYFUNCTION("""COMPUTED_VALUE"""),45357.0)</f>
        <v>45357</v>
      </c>
      <c r="P453" s="11"/>
    </row>
    <row r="454">
      <c r="A454" s="20" t="str">
        <f>IFERROR(__xludf.DUMMYFUNCTION("""COMPUTED_VALUE"""),"452/2024")</f>
        <v>452/2024</v>
      </c>
      <c r="B454" s="8">
        <f>IFERROR(__xludf.DUMMYFUNCTION("""COMPUTED_VALUE"""),45356.0)</f>
        <v>45356</v>
      </c>
      <c r="C454" s="21" t="str">
        <f>IFERROR(__xludf.DUMMYFUNCTION("""COMPUTED_VALUE"""),"seguranca@ufcat.edu.br")</f>
        <v>seguranca@ufcat.edu.br</v>
      </c>
      <c r="D454" s="22" t="str">
        <f>IFERROR(__xludf.DUMMYFUNCTION("""COMPUTED_VALUE"""),"Pedro ")</f>
        <v>Pedro </v>
      </c>
      <c r="E454" s="40">
        <f>IFERROR(__xludf.DUMMYFUNCTION("""COMPUTED_VALUE"""),5318.0)</f>
        <v>5318</v>
      </c>
      <c r="F454" s="22" t="str">
        <f>IFERROR(__xludf.DUMMYFUNCTION("""COMPUTED_VALUE"""),"CENTRAL DE OPERAÇÕES VIGILÂNCIA")</f>
        <v>CENTRAL DE OPERAÇÕES VIGILÂNCIA</v>
      </c>
      <c r="G454" s="22" t="str">
        <f>IFERROR(__xludf.DUMMYFUNCTION("""COMPUTED_VALUE"""),"Bloco O")</f>
        <v>Bloco O</v>
      </c>
      <c r="H454" s="22" t="str">
        <f>IFERROR(__xludf.DUMMYFUNCTION("""COMPUTED_VALUE"""),"Porta da Sala 32 Laboratório de hidráulica")</f>
        <v>Porta da Sala 32 Laboratório de hidráulica</v>
      </c>
      <c r="I454" s="7" t="str">
        <f>IFERROR(__xludf.DUMMYFUNCTION("""COMPUTED_VALUE"""),"Pequenos serviços de reparos em Marcenaria")</f>
        <v>Pequenos serviços de reparos em Marcenaria</v>
      </c>
      <c r="J454" s="15" t="str">
        <f>IFERROR(__xludf.DUMMYFUNCTION("""COMPUTED_VALUE"""),"03 Marcenaria / 28 -Troca de Fechaduras (PRAZO DE ATÉ 15 DIAS PARA ATENDIMENTO)")</f>
        <v>03 Marcenaria / 28 -Troca de Fechaduras (PRAZO DE ATÉ 15 DIAS PARA ATENDIMENTO)</v>
      </c>
      <c r="K454" s="15"/>
      <c r="L454" s="15" t="str">
        <f>IFERROR(__xludf.DUMMYFUNCTION("""COMPUTED_VALUE"""),"A porta não está trancando")</f>
        <v>A porta não está trancando</v>
      </c>
      <c r="M454" s="25"/>
      <c r="N454" s="26" t="str">
        <f>IFERROR(__xludf.DUMMYFUNCTION("""COMPUTED_VALUE"""),"Realizado")</f>
        <v>Realizado</v>
      </c>
      <c r="O454" s="11">
        <f>IFERROR(__xludf.DUMMYFUNCTION("""COMPUTED_VALUE"""),45359.0)</f>
        <v>45359</v>
      </c>
      <c r="P454" s="11"/>
    </row>
    <row r="455">
      <c r="A455" s="20" t="str">
        <f>IFERROR(__xludf.DUMMYFUNCTION("""COMPUTED_VALUE"""),"453/2024")</f>
        <v>453/2024</v>
      </c>
      <c r="B455" s="8">
        <f>IFERROR(__xludf.DUMMYFUNCTION("""COMPUTED_VALUE"""),45356.0)</f>
        <v>45356</v>
      </c>
      <c r="C455" s="21" t="str">
        <f>IFERROR(__xludf.DUMMYFUNCTION("""COMPUTED_VALUE"""),"cpatri.proaf@ufcat.edu.br")</f>
        <v>cpatri.proaf@ufcat.edu.br</v>
      </c>
      <c r="D455" s="22" t="str">
        <f>IFERROR(__xludf.DUMMYFUNCTION("""COMPUTED_VALUE"""),"Fábio Gonçalves")</f>
        <v>Fábio Gonçalves</v>
      </c>
      <c r="E455" s="40">
        <f>IFERROR(__xludf.DUMMYFUNCTION("""COMPUTED_VALUE"""),5343.0)</f>
        <v>5343</v>
      </c>
      <c r="F455" s="22" t="str">
        <f>IFERROR(__xludf.DUMMYFUNCTION("""COMPUTED_VALUE"""),"CPATRI")</f>
        <v>CPATRI</v>
      </c>
      <c r="G455" s="22" t="str">
        <f>IFERROR(__xludf.DUMMYFUNCTION("""COMPUTED_VALUE"""),"Bloco Administrativo")</f>
        <v>Bloco Administrativo</v>
      </c>
      <c r="H455" s="22" t="str">
        <f>IFERROR(__xludf.DUMMYFUNCTION("""COMPUTED_VALUE"""),"copa subsolo")</f>
        <v>copa subsolo</v>
      </c>
      <c r="I455" s="7" t="str">
        <f>IFERROR(__xludf.DUMMYFUNCTION("""COMPUTED_VALUE"""),"Instalações Hidrossanitárias")</f>
        <v>Instalações Hidrossanitárias</v>
      </c>
      <c r="J455" s="15" t="str">
        <f>IFERROR(__xludf.DUMMYFUNCTION("""COMPUTED_VALUE"""),"02 Hidráulica / 20 - Vazamento em bebedouros (PRAZO DE 1 a 5 DIAS PARA ATENDIMENTO)")</f>
        <v>02 Hidráulica / 20 - Vazamento em bebedouros (PRAZO DE 1 a 5 DIAS PARA ATENDIMENTO)</v>
      </c>
      <c r="K455" s="15"/>
      <c r="L455" s="15" t="str">
        <f>IFERROR(__xludf.DUMMYFUNCTION("""COMPUTED_VALUE"""),"bebedouro está entupido e vazando muita agua")</f>
        <v>bebedouro está entupido e vazando muita agua</v>
      </c>
      <c r="M455" s="25"/>
      <c r="N455" s="26" t="str">
        <f>IFERROR(__xludf.DUMMYFUNCTION("""COMPUTED_VALUE"""),"Realizado")</f>
        <v>Realizado</v>
      </c>
      <c r="O455" s="11">
        <f>IFERROR(__xludf.DUMMYFUNCTION("""COMPUTED_VALUE"""),45356.0)</f>
        <v>45356</v>
      </c>
      <c r="P455" s="11"/>
    </row>
    <row r="456">
      <c r="A456" s="20" t="str">
        <f>IFERROR(__xludf.DUMMYFUNCTION("""COMPUTED_VALUE"""),"454/2024")</f>
        <v>454/2024</v>
      </c>
      <c r="B456" s="8">
        <f>IFERROR(__xludf.DUMMYFUNCTION("""COMPUTED_VALUE"""),45356.0)</f>
        <v>45356</v>
      </c>
      <c r="C456" s="21" t="str">
        <f>IFERROR(__xludf.DUMMYFUNCTION("""COMPUTED_VALUE"""),"lais.naves@ufcat.edu.br")</f>
        <v>lais.naves@ufcat.edu.br</v>
      </c>
      <c r="D456" s="22" t="str">
        <f>IFERROR(__xludf.DUMMYFUNCTION("""COMPUTED_VALUE"""),"Laís Clara")</f>
        <v>Laís Clara</v>
      </c>
      <c r="E456" s="40">
        <f>IFERROR(__xludf.DUMMYFUNCTION("""COMPUTED_VALUE"""),5365.0)</f>
        <v>5365</v>
      </c>
      <c r="F456" s="22" t="str">
        <f>IFERROR(__xludf.DUMMYFUNCTION("""COMPUTED_VALUE"""),"IBIOTEC  - Secretaria Administrativa")</f>
        <v>IBIOTEC  - Secretaria Administrativa</v>
      </c>
      <c r="G456" s="22" t="str">
        <f>IFERROR(__xludf.DUMMYFUNCTION("""COMPUTED_VALUE"""),"Bloco M")</f>
        <v>Bloco M</v>
      </c>
      <c r="H456" s="22" t="str">
        <f>IFERROR(__xludf.DUMMYFUNCTION("""COMPUTED_VALUE"""),"Copa do 3º andar do bloco M")</f>
        <v>Copa do 3º andar do bloco M</v>
      </c>
      <c r="I456" s="7" t="str">
        <f>IFERROR(__xludf.DUMMYFUNCTION("""COMPUTED_VALUE"""),"Instalações elétricas")</f>
        <v>Instalações elétricas</v>
      </c>
      <c r="J456" s="15" t="str">
        <f>IFERROR(__xludf.DUMMYFUNCTION("""COMPUTED_VALUE"""),"04 Elétrica / 34 - Tomada Uso Geral (PRAZO DE ATÉ 15 DIAS PARA ATENDIMENTO)")</f>
        <v>04 Elétrica / 34 - Tomada Uso Geral (PRAZO DE ATÉ 15 DIAS PARA ATENDIMENTO)</v>
      </c>
      <c r="K456" s="15"/>
      <c r="L456" s="15" t="str">
        <f>IFERROR(__xludf.DUMMYFUNCTION("""COMPUTED_VALUE"""),"Nenhuma das tomadas da copa do 3º andar do bloco M estão funcionando. ")</f>
        <v>Nenhuma das tomadas da copa do 3º andar do bloco M estão funcionando. </v>
      </c>
      <c r="M456" s="25"/>
      <c r="N456" s="26" t="str">
        <f>IFERROR(__xludf.DUMMYFUNCTION("""COMPUTED_VALUE"""),"Realizado")</f>
        <v>Realizado</v>
      </c>
      <c r="O456" s="11">
        <f>IFERROR(__xludf.DUMMYFUNCTION("""COMPUTED_VALUE"""),45357.0)</f>
        <v>45357</v>
      </c>
      <c r="P456" s="11"/>
    </row>
    <row r="457">
      <c r="A457" s="20" t="str">
        <f>IFERROR(__xludf.DUMMYFUNCTION("""COMPUTED_VALUE"""),"455/2024")</f>
        <v>455/2024</v>
      </c>
      <c r="B457" s="8">
        <f>IFERROR(__xludf.DUMMYFUNCTION("""COMPUTED_VALUE"""),45356.0)</f>
        <v>45356</v>
      </c>
      <c r="C457" s="21" t="str">
        <f>IFERROR(__xludf.DUMMYFUNCTION("""COMPUTED_VALUE"""),"fabricio_pacheco@ufcat.edu.br")</f>
        <v>fabricio_pacheco@ufcat.edu.br</v>
      </c>
      <c r="D457" s="22" t="str">
        <f>IFERROR(__xludf.DUMMYFUNCTION("""COMPUTED_VALUE"""),"Fabrício")</f>
        <v>Fabrício</v>
      </c>
      <c r="E457" s="40">
        <f>IFERROR(__xludf.DUMMYFUNCTION("""COMPUTED_VALUE"""),5360.0)</f>
        <v>5360</v>
      </c>
      <c r="F457" s="22" t="str">
        <f>IFERROR(__xludf.DUMMYFUNCTION("""COMPUTED_VALUE"""),"BIBLIOTECA")</f>
        <v>BIBLIOTECA</v>
      </c>
      <c r="G457" s="22" t="str">
        <f>IFERROR(__xludf.DUMMYFUNCTION("""COMPUTED_VALUE"""),"Biblioteca")</f>
        <v>Biblioteca</v>
      </c>
      <c r="H457" s="22" t="str">
        <f>IFERROR(__xludf.DUMMYFUNCTION("""COMPUTED_VALUE"""),"Janelas no piso inferior junto as cabines de estudo individual, laboratório de informática e na Coordenação de Desenvolvimento de Coleções (piso superior)")</f>
        <v>Janelas no piso inferior junto as cabines de estudo individual, laboratório de informática e na Coordenação de Desenvolvimento de Coleções (piso superior)</v>
      </c>
      <c r="I457" s="7" t="str">
        <f>IFERROR(__xludf.DUMMYFUNCTION("""COMPUTED_VALUE"""),"Reparos (alvenaria, piso, forro e telhado)")</f>
        <v>Reparos (alvenaria, piso, forro e telhado)</v>
      </c>
      <c r="J457" s="15" t="str">
        <f>IFERROR(__xludf.DUMMYFUNCTION("""COMPUTED_VALUE"""),"01 Alvenaria / 06 - Outros (PRAZO DE ATÉ 60 DIAS PARA ATENDIMENTO)")</f>
        <v>01 Alvenaria / 06 - Outros (PRAZO DE ATÉ 60 DIAS PARA ATENDIMENTO)</v>
      </c>
      <c r="K457" s="15"/>
      <c r="L457" s="15" t="str">
        <f>IFERROR(__xludf.DUMMYFUNCTION("""COMPUTED_VALUE"""),"Infiltração junto as janelas no piso inferior junto as cabines de estudo individual, laboratório de informática e na Coordenação de Desenvolvimento de Coleções (piso superior)")</f>
        <v>Infiltração junto as janelas no piso inferior junto as cabines de estudo individual, laboratório de informática e na Coordenação de Desenvolvimento de Coleções (piso superior)</v>
      </c>
      <c r="M457" s="25"/>
      <c r="N457" s="26" t="str">
        <f>IFERROR(__xludf.DUMMYFUNCTION("""COMPUTED_VALUE"""),"Realizado")</f>
        <v>Realizado</v>
      </c>
      <c r="O457" s="11">
        <f>IFERROR(__xludf.DUMMYFUNCTION("""COMPUTED_VALUE"""),45386.0)</f>
        <v>45386</v>
      </c>
      <c r="P457" s="12"/>
    </row>
    <row r="458">
      <c r="A458" s="20" t="str">
        <f>IFERROR(__xludf.DUMMYFUNCTION("""COMPUTED_VALUE"""),"456/2024")</f>
        <v>456/2024</v>
      </c>
      <c r="B458" s="8">
        <f>IFERROR(__xludf.DUMMYFUNCTION("""COMPUTED_VALUE"""),45356.0)</f>
        <v>45356</v>
      </c>
      <c r="C458" s="21" t="str">
        <f>IFERROR(__xludf.DUMMYFUNCTION("""COMPUTED_VALUE"""),"cristiano.ferreira@ufcat.edu.br")</f>
        <v>cristiano.ferreira@ufcat.edu.br</v>
      </c>
      <c r="D458" s="22" t="str">
        <f>IFERROR(__xludf.DUMMYFUNCTION("""COMPUTED_VALUE"""),"Cristiano dos Santos Ferreira")</f>
        <v>Cristiano dos Santos Ferreira</v>
      </c>
      <c r="E458" s="40">
        <f>IFERROR(__xludf.DUMMYFUNCTION("""COMPUTED_VALUE"""),5315.0)</f>
        <v>5315</v>
      </c>
      <c r="F458" s="22" t="str">
        <f>IFERROR(__xludf.DUMMYFUNCTION("""COMPUTED_VALUE"""),"PROAF")</f>
        <v>PROAF</v>
      </c>
      <c r="G458" s="22" t="str">
        <f>IFERROR(__xludf.DUMMYFUNCTION("""COMPUTED_VALUE"""),"Bloco Administrativo")</f>
        <v>Bloco Administrativo</v>
      </c>
      <c r="H458" s="22" t="str">
        <f>IFERROR(__xludf.DUMMYFUNCTION("""COMPUTED_VALUE"""),"Copa - PROAF")</f>
        <v>Copa - PROAF</v>
      </c>
      <c r="I458" s="7" t="str">
        <f>IFERROR(__xludf.DUMMYFUNCTION("""COMPUTED_VALUE"""),"Instalações Hidrossanitárias")</f>
        <v>Instalações Hidrossanitárias</v>
      </c>
      <c r="J458" s="15" t="str">
        <f>IFERROR(__xludf.DUMMYFUNCTION("""COMPUTED_VALUE"""),"02 Hidráulica / 20 - Vazamento em bebedouros (PRAZO DE 1 a 5 DIAS PARA ATENDIMENTO)")</f>
        <v>02 Hidráulica / 20 - Vazamento em bebedouros (PRAZO DE 1 a 5 DIAS PARA ATENDIMENTO)</v>
      </c>
      <c r="K458" s="15"/>
      <c r="L458" s="15" t="str">
        <f>IFERROR(__xludf.DUMMYFUNCTION("""COMPUTED_VALUE"""),"Vazamento bebedouro da copa PROAF.")</f>
        <v>Vazamento bebedouro da copa PROAF.</v>
      </c>
      <c r="M458" s="25"/>
      <c r="N458" s="26" t="str">
        <f>IFERROR(__xludf.DUMMYFUNCTION("""COMPUTED_VALUE"""),"Realizado")</f>
        <v>Realizado</v>
      </c>
      <c r="O458" s="11">
        <f>IFERROR(__xludf.DUMMYFUNCTION("""COMPUTED_VALUE"""),45356.0)</f>
        <v>45356</v>
      </c>
      <c r="P458" s="11"/>
    </row>
    <row r="459">
      <c r="A459" s="20" t="str">
        <f>IFERROR(__xludf.DUMMYFUNCTION("""COMPUTED_VALUE"""),"457/2024")</f>
        <v>457/2024</v>
      </c>
      <c r="B459" s="8">
        <f>IFERROR(__xludf.DUMMYFUNCTION("""COMPUTED_VALUE"""),45356.0)</f>
        <v>45356</v>
      </c>
      <c r="C459" s="21" t="str">
        <f>IFERROR(__xludf.DUMMYFUNCTION("""COMPUTED_VALUE"""),"diretoria.iel@ufcat.edu.br")</f>
        <v>diretoria.iel@ufcat.edu.br</v>
      </c>
      <c r="D459" s="22" t="str">
        <f>IFERROR(__xludf.DUMMYFUNCTION("""COMPUTED_VALUE"""),"Thiago Fernandes Borges")</f>
        <v>Thiago Fernandes Borges</v>
      </c>
      <c r="E459" s="40">
        <f>IFERROR(__xludf.DUMMYFUNCTION("""COMPUTED_VALUE"""),5304.0)</f>
        <v>5304</v>
      </c>
      <c r="F459" s="22" t="str">
        <f>IFERROR(__xludf.DUMMYFUNCTION("""COMPUTED_VALUE"""),"IEL")</f>
        <v>IEL</v>
      </c>
      <c r="G459" s="22" t="str">
        <f>IFERROR(__xludf.DUMMYFUNCTION("""COMPUTED_VALUE"""),"Bloco G")</f>
        <v>Bloco G</v>
      </c>
      <c r="H459" s="22" t="str">
        <f>IFERROR(__xludf.DUMMYFUNCTION("""COMPUTED_VALUE"""),"Sala 4.")</f>
        <v>Sala 4.</v>
      </c>
      <c r="I459" s="7" t="str">
        <f>IFERROR(__xludf.DUMMYFUNCTION("""COMPUTED_VALUE"""),"Reparos (alvenaria, piso, forro e telhado)")</f>
        <v>Reparos (alvenaria, piso, forro e telhado)</v>
      </c>
      <c r="J459" s="15" t="str">
        <f>IFERROR(__xludf.DUMMYFUNCTION("""COMPUTED_VALUE"""),"01 Alvenaria / 06 - Outros (PRAZO DE ATÉ 60 DIAS PARA ATENDIMENTO)")</f>
        <v>01 Alvenaria / 06 - Outros (PRAZO DE ATÉ 60 DIAS PARA ATENDIMENTO)</v>
      </c>
      <c r="K459" s="15"/>
      <c r="L459" s="15" t="str">
        <f>IFERROR(__xludf.DUMMYFUNCTION("""COMPUTED_VALUE"""),"Apresentaram goteiras no bloco G sala 4.")</f>
        <v>Apresentaram goteiras no bloco G sala 4.</v>
      </c>
      <c r="M459" s="25"/>
      <c r="N459" s="26" t="str">
        <f>IFERROR(__xludf.DUMMYFUNCTION("""COMPUTED_VALUE"""),"Aguardando análise")</f>
        <v>Aguardando análise</v>
      </c>
      <c r="O459" s="12"/>
      <c r="P459" s="12"/>
    </row>
    <row r="460">
      <c r="A460" s="20" t="str">
        <f>IFERROR(__xludf.DUMMYFUNCTION("""COMPUTED_VALUE"""),"458/2024")</f>
        <v>458/2024</v>
      </c>
      <c r="B460" s="8">
        <f>IFERROR(__xludf.DUMMYFUNCTION("""COMPUTED_VALUE"""),45356.0)</f>
        <v>45356</v>
      </c>
      <c r="C460" s="21" t="str">
        <f>IFERROR(__xludf.DUMMYFUNCTION("""COMPUTED_VALUE"""),"diretoria.iel@ufcat.edu.br")</f>
        <v>diretoria.iel@ufcat.edu.br</v>
      </c>
      <c r="D460" s="22" t="str">
        <f>IFERROR(__xludf.DUMMYFUNCTION("""COMPUTED_VALUE"""),"Thiago Fernandes Borges")</f>
        <v>Thiago Fernandes Borges</v>
      </c>
      <c r="E460" s="40">
        <f>IFERROR(__xludf.DUMMYFUNCTION("""COMPUTED_VALUE"""),5304.0)</f>
        <v>5304</v>
      </c>
      <c r="F460" s="22" t="str">
        <f>IFERROR(__xludf.DUMMYFUNCTION("""COMPUTED_VALUE"""),"IEL")</f>
        <v>IEL</v>
      </c>
      <c r="G460" s="22" t="str">
        <f>IFERROR(__xludf.DUMMYFUNCTION("""COMPUTED_VALUE"""),"Bloco E")</f>
        <v>Bloco E</v>
      </c>
      <c r="H460" s="22" t="str">
        <f>IFERROR(__xludf.DUMMYFUNCTION("""COMPUTED_VALUE"""),"Salas 1, 3, 5, 7.")</f>
        <v>Salas 1, 3, 5, 7.</v>
      </c>
      <c r="I460" s="7" t="str">
        <f>IFERROR(__xludf.DUMMYFUNCTION("""COMPUTED_VALUE"""),"Reparos (alvenaria, piso, forro e telhado)")</f>
        <v>Reparos (alvenaria, piso, forro e telhado)</v>
      </c>
      <c r="J460" s="15" t="str">
        <f>IFERROR(__xludf.DUMMYFUNCTION("""COMPUTED_VALUE"""),"01 Alvenaria / 06 - Outros (PRAZO DE ATÉ 60 DIAS PARA ATENDIMENTO)")</f>
        <v>01 Alvenaria / 06 - Outros (PRAZO DE ATÉ 60 DIAS PARA ATENDIMENTO)</v>
      </c>
      <c r="K460" s="15"/>
      <c r="L460" s="15" t="str">
        <f>IFERROR(__xludf.DUMMYFUNCTION("""COMPUTED_VALUE"""),"Apresentação de goteiras nas salas mencionadas. ")</f>
        <v>Apresentação de goteiras nas salas mencionadas. </v>
      </c>
      <c r="M460" s="25"/>
      <c r="N460" s="26" t="str">
        <f>IFERROR(__xludf.DUMMYFUNCTION("""COMPUTED_VALUE"""),"Aguardando análise")</f>
        <v>Aguardando análise</v>
      </c>
      <c r="O460" s="12"/>
      <c r="P460" s="12"/>
    </row>
    <row r="461">
      <c r="A461" s="20" t="str">
        <f>IFERROR(__xludf.DUMMYFUNCTION("""COMPUTED_VALUE"""),"459/2024")</f>
        <v>459/2024</v>
      </c>
      <c r="B461" s="8">
        <f>IFERROR(__xludf.DUMMYFUNCTION("""COMPUTED_VALUE"""),45356.0)</f>
        <v>45356</v>
      </c>
      <c r="C461" s="21" t="str">
        <f>IFERROR(__xludf.DUMMYFUNCTION("""COMPUTED_VALUE"""),"elaine_carbonero@ufcat.edu.br")</f>
        <v>elaine_carbonero@ufcat.edu.br</v>
      </c>
      <c r="D461" s="22" t="str">
        <f>IFERROR(__xludf.DUMMYFUNCTION("""COMPUTED_VALUE"""),"elaine R carbonero")</f>
        <v>elaine R carbonero</v>
      </c>
      <c r="E461" s="40">
        <f>IFERROR(__xludf.DUMMYFUNCTION("""COMPUTED_VALUE"""),6.4981321757E10)</f>
        <v>64981321757</v>
      </c>
      <c r="F461" s="22" t="str">
        <f>IFERROR(__xludf.DUMMYFUNCTION("""COMPUTED_VALUE"""),"IQ")</f>
        <v>IQ</v>
      </c>
      <c r="G461" s="22" t="str">
        <f>IFERROR(__xludf.DUMMYFUNCTION("""COMPUTED_VALUE"""),"Bloco N")</f>
        <v>Bloco N</v>
      </c>
      <c r="H461" s="40">
        <f>IFERROR(__xludf.DUMMYFUNCTION("""COMPUTED_VALUE"""),115.0)</f>
        <v>115</v>
      </c>
      <c r="I461" s="7" t="str">
        <f>IFERROR(__xludf.DUMMYFUNCTION("""COMPUTED_VALUE"""),"Instalações Hidrossanitárias")</f>
        <v>Instalações Hidrossanitárias</v>
      </c>
      <c r="J461" s="15" t="str">
        <f>IFERROR(__xludf.DUMMYFUNCTION("""COMPUTED_VALUE"""),"02 Hidráulica / 22 - Outros (PRAZO DE 15 a 60 DIAS PARA ATENDIMENTO)")</f>
        <v>02 Hidráulica / 22 - Outros (PRAZO DE 15 a 60 DIAS PARA ATENDIMENTO)</v>
      </c>
      <c r="K461" s="15"/>
      <c r="L461" s="15" t="str">
        <f>IFERROR(__xludf.DUMMYFUNCTION("""COMPUTED_VALUE"""),"Instalação de 01 aparelho de osmose reversa")</f>
        <v>Instalação de 01 aparelho de osmose reversa</v>
      </c>
      <c r="M461" s="25"/>
      <c r="N461" s="26" t="str">
        <f>IFERROR(__xludf.DUMMYFUNCTION("""COMPUTED_VALUE"""),"Realizado")</f>
        <v>Realizado</v>
      </c>
      <c r="O461" s="11">
        <f>IFERROR(__xludf.DUMMYFUNCTION("""COMPUTED_VALUE"""),45371.0)</f>
        <v>45371</v>
      </c>
      <c r="P461" s="11"/>
    </row>
    <row r="462">
      <c r="A462" s="20" t="str">
        <f>IFERROR(__xludf.DUMMYFUNCTION("""COMPUTED_VALUE"""),"460/2024")</f>
        <v>460/2024</v>
      </c>
      <c r="B462" s="8">
        <f>IFERROR(__xludf.DUMMYFUNCTION("""COMPUTED_VALUE"""),45356.0)</f>
        <v>45356</v>
      </c>
      <c r="C462" s="21" t="str">
        <f>IFERROR(__xludf.DUMMYFUNCTION("""COMPUTED_VALUE"""),"elaine_carbonero@ufcat.edu.br")</f>
        <v>elaine_carbonero@ufcat.edu.br</v>
      </c>
      <c r="D462" s="22" t="str">
        <f>IFERROR(__xludf.DUMMYFUNCTION("""COMPUTED_VALUE"""),"elaine R carbonero")</f>
        <v>elaine R carbonero</v>
      </c>
      <c r="E462" s="40">
        <f>IFERROR(__xludf.DUMMYFUNCTION("""COMPUTED_VALUE"""),6.40981321757E11)</f>
        <v>640981321757</v>
      </c>
      <c r="F462" s="22" t="str">
        <f>IFERROR(__xludf.DUMMYFUNCTION("""COMPUTED_VALUE"""),"IQ")</f>
        <v>IQ</v>
      </c>
      <c r="G462" s="22" t="str">
        <f>IFERROR(__xludf.DUMMYFUNCTION("""COMPUTED_VALUE"""),"Bloco K")</f>
        <v>Bloco K</v>
      </c>
      <c r="H462" s="22" t="str">
        <f>IFERROR(__xludf.DUMMYFUNCTION("""COMPUTED_VALUE"""),"04")</f>
        <v>04</v>
      </c>
      <c r="I462" s="20" t="str">
        <f>IFERROR(__xludf.DUMMYFUNCTION("""COMPUTED_VALUE"""),"Ar Condicionado ")</f>
        <v>Ar Condicionado </v>
      </c>
      <c r="J462" s="19"/>
      <c r="K462" s="19"/>
      <c r="L462" s="15" t="str">
        <f>IFERROR(__xludf.DUMMYFUNCTION("""COMPUTED_VALUE"""),"Limpeza e higienização do aparelho de ar condicionado")</f>
        <v>Limpeza e higienização do aparelho de ar condicionado</v>
      </c>
      <c r="M462" s="25"/>
      <c r="N462" s="26" t="str">
        <f>IFERROR(__xludf.DUMMYFUNCTION("""COMPUTED_VALUE"""),"Aguardando análise")</f>
        <v>Aguardando análise</v>
      </c>
      <c r="O462" s="12"/>
      <c r="P462" s="12"/>
    </row>
    <row r="463">
      <c r="A463" s="20" t="str">
        <f>IFERROR(__xludf.DUMMYFUNCTION("""COMPUTED_VALUE"""),"461/2024")</f>
        <v>461/2024</v>
      </c>
      <c r="B463" s="8">
        <f>IFERROR(__xludf.DUMMYFUNCTION("""COMPUTED_VALUE"""),45356.0)</f>
        <v>45356</v>
      </c>
      <c r="C463" s="21" t="str">
        <f>IFERROR(__xludf.DUMMYFUNCTION("""COMPUTED_VALUE"""),"elisiario_junior@ufcat.edu.br")</f>
        <v>elisiario_junior@ufcat.edu.br</v>
      </c>
      <c r="D463" s="22" t="str">
        <f>IFERROR(__xludf.DUMMYFUNCTION("""COMPUTED_VALUE"""),"Elisiário Borges Júnior")</f>
        <v>Elisiário Borges Júnior</v>
      </c>
      <c r="E463" s="40">
        <f>IFERROR(__xludf.DUMMYFUNCTION("""COMPUTED_VALUE"""),6.4984038005E10)</f>
        <v>64984038005</v>
      </c>
      <c r="F463" s="22" t="str">
        <f>IFERROR(__xludf.DUMMYFUNCTION("""COMPUTED_VALUE"""),"SETI")</f>
        <v>SETI</v>
      </c>
      <c r="G463" s="22" t="str">
        <f>IFERROR(__xludf.DUMMYFUNCTION("""COMPUTED_VALUE"""),"SETI")</f>
        <v>SETI</v>
      </c>
      <c r="H463" s="22" t="str">
        <f>IFERROR(__xludf.DUMMYFUNCTION("""COMPUTED_VALUE"""),"Prédio da SETI")</f>
        <v>Prédio da SETI</v>
      </c>
      <c r="I463" s="20"/>
      <c r="J463" s="25" t="str">
        <f>IFERROR(__xludf.DUMMYFUNCTION("""COMPUTED_VALUE"""),"01 Alvenaria / 06 - Outros (PRAZO DE ATÉ 60 DIAS PARA ATENDIMENTO)")</f>
        <v>01 Alvenaria / 06 - Outros (PRAZO DE ATÉ 60 DIAS PARA ATENDIMENTO)</v>
      </c>
      <c r="K463" s="25"/>
      <c r="L463" s="15" t="str">
        <f>IFERROR(__xludf.DUMMYFUNCTION("""COMPUTED_VALUE"""),"Em relação ao telhado: Notamos vazamento de água após a chuva desta madrugada(05/03/2024). Em relação ao ar condicionado: Notamos marcas de possível vazamento em um de nossos ar condicionado, solicitamos uma avaliação técnica.")</f>
        <v>Em relação ao telhado: Notamos vazamento de água após a chuva desta madrugada(05/03/2024). Em relação ao ar condicionado: Notamos marcas de possível vazamento em um de nossos ar condicionado, solicitamos uma avaliação técnica.</v>
      </c>
      <c r="M463" s="15"/>
      <c r="N463" s="26" t="str">
        <f>IFERROR(__xludf.DUMMYFUNCTION("""COMPUTED_VALUE"""),"Realizado")</f>
        <v>Realizado</v>
      </c>
      <c r="O463" s="12">
        <f>IFERROR(__xludf.DUMMYFUNCTION("""COMPUTED_VALUE"""),45358.0)</f>
        <v>45358</v>
      </c>
      <c r="P463" s="12"/>
    </row>
    <row r="464">
      <c r="A464" s="20" t="str">
        <f>IFERROR(__xludf.DUMMYFUNCTION("""COMPUTED_VALUE"""),"462/2024")</f>
        <v>462/2024</v>
      </c>
      <c r="B464" s="8">
        <f>IFERROR(__xludf.DUMMYFUNCTION("""COMPUTED_VALUE"""),45357.0)</f>
        <v>45357</v>
      </c>
      <c r="C464" s="21" t="str">
        <f>IFERROR(__xludf.DUMMYFUNCTION("""COMPUTED_VALUE"""),"seguranca@ufcat.edu.br")</f>
        <v>seguranca@ufcat.edu.br</v>
      </c>
      <c r="D464" s="22" t="str">
        <f>IFERROR(__xludf.DUMMYFUNCTION("""COMPUTED_VALUE"""),"Maria Duarte")</f>
        <v>Maria Duarte</v>
      </c>
      <c r="E464" s="40">
        <f>IFERROR(__xludf.DUMMYFUNCTION("""COMPUTED_VALUE"""),5318.0)</f>
        <v>5318</v>
      </c>
      <c r="F464" s="22" t="str">
        <f>IFERROR(__xludf.DUMMYFUNCTION("""COMPUTED_VALUE"""),"CENTRAL DE OPERAÇÕES VIGILÂNCIA")</f>
        <v>CENTRAL DE OPERAÇÕES VIGILÂNCIA</v>
      </c>
      <c r="G464" s="22" t="str">
        <f>IFERROR(__xludf.DUMMYFUNCTION("""COMPUTED_VALUE"""),"Bloco O")</f>
        <v>Bloco O</v>
      </c>
      <c r="H464" s="22" t="str">
        <f>IFERROR(__xludf.DUMMYFUNCTION("""COMPUTED_VALUE"""),"DVR do Bloco O")</f>
        <v>DVR do Bloco O</v>
      </c>
      <c r="I464" s="7" t="str">
        <f>IFERROR(__xludf.DUMMYFUNCTION("""COMPUTED_VALUE"""),"Instalações e/ou Manutenção em Cabeamento de Rede")</f>
        <v>Instalações e/ou Manutenção em Cabeamento de Rede</v>
      </c>
      <c r="J464" s="15" t="str">
        <f>IFERROR(__xludf.DUMMYFUNCTION("""COMPUTED_VALUE"""),"05 Telecomunicações / 39 - CFTV (PRAZO DE ATÉ 15 DIAS PARA ATENDIMENTO)")</f>
        <v>05 Telecomunicações / 39 - CFTV (PRAZO DE ATÉ 15 DIAS PARA ATENDIMENTO)</v>
      </c>
      <c r="K464" s="15"/>
      <c r="L464" s="15" t="str">
        <f>IFERROR(__xludf.DUMMYFUNCTION("""COMPUTED_VALUE"""),"DVR do Bloco O se encontra off-line")</f>
        <v>DVR do Bloco O se encontra off-line</v>
      </c>
      <c r="M464" s="25"/>
      <c r="N464" s="26" t="str">
        <f>IFERROR(__xludf.DUMMYFUNCTION("""COMPUTED_VALUE"""),"Realizado")</f>
        <v>Realizado</v>
      </c>
      <c r="O464" s="11">
        <f>IFERROR(__xludf.DUMMYFUNCTION("""COMPUTED_VALUE"""),45357.0)</f>
        <v>45357</v>
      </c>
      <c r="P464" s="11"/>
    </row>
    <row r="465">
      <c r="A465" s="20" t="str">
        <f>IFERROR(__xludf.DUMMYFUNCTION("""COMPUTED_VALUE"""),"463/2024")</f>
        <v>463/2024</v>
      </c>
      <c r="B465" s="8">
        <f>IFERROR(__xludf.DUMMYFUNCTION("""COMPUTED_VALUE"""),45357.0)</f>
        <v>45357</v>
      </c>
      <c r="C465" s="21" t="str">
        <f>IFERROR(__xludf.DUMMYFUNCTION("""COMPUTED_VALUE"""),"amanda.lopes@ufcat.edu.br")</f>
        <v>amanda.lopes@ufcat.edu.br</v>
      </c>
      <c r="D465" s="22" t="str">
        <f>IFERROR(__xludf.DUMMYFUNCTION("""COMPUTED_VALUE"""),"Amanda Matos ")</f>
        <v>Amanda Matos </v>
      </c>
      <c r="E465" s="40">
        <f>IFERROR(__xludf.DUMMYFUNCTION("""COMPUTED_VALUE"""),5363.0)</f>
        <v>5363</v>
      </c>
      <c r="F465" s="22" t="str">
        <f>IFERROR(__xludf.DUMMYFUNCTION("""COMPUTED_VALUE"""),"PREF")</f>
        <v>PREF</v>
      </c>
      <c r="G465" s="22" t="str">
        <f>IFERROR(__xludf.DUMMYFUNCTION("""COMPUTED_VALUE"""),"Monitoramento")</f>
        <v>Monitoramento</v>
      </c>
      <c r="H465" s="22" t="str">
        <f>IFERROR(__xludf.DUMMYFUNCTION("""COMPUTED_VALUE"""),"Monitoramento")</f>
        <v>Monitoramento</v>
      </c>
      <c r="I465" s="7" t="str">
        <f>IFERROR(__xludf.DUMMYFUNCTION("""COMPUTED_VALUE"""),"Instalações e/ou Manutenção em Cabeamento de Rede")</f>
        <v>Instalações e/ou Manutenção em Cabeamento de Rede</v>
      </c>
      <c r="J465" s="15" t="str">
        <f>IFERROR(__xludf.DUMMYFUNCTION("""COMPUTED_VALUE"""),"05 Telecomunicações / 38 - Cabeamento de Rede (PRAZO DE ATÉ 15 DIAS PARA ATENDIMENTO)")</f>
        <v>05 Telecomunicações / 38 - Cabeamento de Rede (PRAZO DE ATÉ 15 DIAS PARA ATENDIMENTO)</v>
      </c>
      <c r="K465" s="15"/>
      <c r="L465" s="15" t="str">
        <f>IFERROR(__xludf.DUMMYFUNCTION("""COMPUTED_VALUE"""),"Embutir cabo radio na parede ")</f>
        <v>Embutir cabo radio na parede </v>
      </c>
      <c r="M465" s="25"/>
      <c r="N465" s="26" t="str">
        <f>IFERROR(__xludf.DUMMYFUNCTION("""COMPUTED_VALUE"""),"Realizado")</f>
        <v>Realizado</v>
      </c>
      <c r="O465" s="11">
        <f>IFERROR(__xludf.DUMMYFUNCTION("""COMPUTED_VALUE"""),45357.0)</f>
        <v>45357</v>
      </c>
      <c r="P465" s="11"/>
    </row>
    <row r="466">
      <c r="A466" s="20" t="str">
        <f>IFERROR(__xludf.DUMMYFUNCTION("""COMPUTED_VALUE"""),"464/2024")</f>
        <v>464/2024</v>
      </c>
      <c r="B466" s="8">
        <f>IFERROR(__xludf.DUMMYFUNCTION("""COMPUTED_VALUE"""),45357.0)</f>
        <v>45357</v>
      </c>
      <c r="C466" s="21" t="str">
        <f>IFERROR(__xludf.DUMMYFUNCTION("""COMPUTED_VALUE"""),"deusmarsilva@ufcat.edu.br")</f>
        <v>deusmarsilva@ufcat.edu.br</v>
      </c>
      <c r="D466" s="22" t="str">
        <f>IFERROR(__xludf.DUMMYFUNCTION("""COMPUTED_VALUE"""),"Deusmar Machado da Silva")</f>
        <v>Deusmar Machado da Silva</v>
      </c>
      <c r="E466" s="22" t="str">
        <f>IFERROR(__xludf.DUMMYFUNCTION("""COMPUTED_VALUE"""),"00")</f>
        <v>00</v>
      </c>
      <c r="F466" s="22" t="str">
        <f>IFERROR(__xludf.DUMMYFUNCTION("""COMPUTED_VALUE"""),"IBIOTEC - Medicina")</f>
        <v>IBIOTEC - Medicina</v>
      </c>
      <c r="G466" s="22" t="str">
        <f>IFERROR(__xludf.DUMMYFUNCTION("""COMPUTED_VALUE"""),"Campus II")</f>
        <v>Campus II</v>
      </c>
      <c r="H466" s="22" t="str">
        <f>IFERROR(__xludf.DUMMYFUNCTION("""COMPUTED_VALUE"""),"Sala 10 e 11")</f>
        <v>Sala 10 e 11</v>
      </c>
      <c r="I466" s="20" t="str">
        <f>IFERROR(__xludf.DUMMYFUNCTION("""COMPUTED_VALUE"""),"Ar Condicionado ")</f>
        <v>Ar Condicionado </v>
      </c>
      <c r="J466" s="19"/>
      <c r="K466" s="19"/>
      <c r="L466" s="15" t="str">
        <f>IFERROR(__xludf.DUMMYFUNCTION("""COMPUTED_VALUE"""),"Ar condicionado das duas salas (10 e 11) não está refrigerando o ambiente")</f>
        <v>Ar condicionado das duas salas (10 e 11) não está refrigerando o ambiente</v>
      </c>
      <c r="M466" s="25"/>
      <c r="N466" s="26" t="str">
        <f>IFERROR(__xludf.DUMMYFUNCTION("""COMPUTED_VALUE"""),"Aguardando análise")</f>
        <v>Aguardando análise</v>
      </c>
      <c r="O466" s="12"/>
      <c r="P466" s="12"/>
    </row>
    <row r="467">
      <c r="A467" s="20" t="str">
        <f>IFERROR(__xludf.DUMMYFUNCTION("""COMPUTED_VALUE"""),"465/2024")</f>
        <v>465/2024</v>
      </c>
      <c r="B467" s="8">
        <f>IFERROR(__xludf.DUMMYFUNCTION("""COMPUTED_VALUE"""),45357.0)</f>
        <v>45357</v>
      </c>
      <c r="C467" s="21" t="str">
        <f>IFERROR(__xludf.DUMMYFUNCTION("""COMPUTED_VALUE"""),"iago.ferreira@ufcat.edu.br")</f>
        <v>iago.ferreira@ufcat.edu.br</v>
      </c>
      <c r="D467" s="22" t="str">
        <f>IFERROR(__xludf.DUMMYFUNCTION("""COMPUTED_VALUE"""),"Iago Ferreira Lima")</f>
        <v>Iago Ferreira Lima</v>
      </c>
      <c r="E467" s="40">
        <f>IFERROR(__xludf.DUMMYFUNCTION("""COMPUTED_VALUE"""),7.7999477415E10)</f>
        <v>77999477415</v>
      </c>
      <c r="F467" s="22" t="str">
        <f>IFERROR(__xludf.DUMMYFUNCTION("""COMPUTED_VALUE"""),"FENG - Engenharia de Minas")</f>
        <v>FENG - Engenharia de Minas</v>
      </c>
      <c r="G467" s="22" t="str">
        <f>IFERROR(__xludf.DUMMYFUNCTION("""COMPUTED_VALUE"""),"Bloco O")</f>
        <v>Bloco O</v>
      </c>
      <c r="H467" s="22" t="str">
        <f>IFERROR(__xludf.DUMMYFUNCTION("""COMPUTED_VALUE"""),"Sala dos Técnicos (Sala do Iago)")</f>
        <v>Sala dos Técnicos (Sala do Iago)</v>
      </c>
      <c r="I467" s="7" t="str">
        <f>IFERROR(__xludf.DUMMYFUNCTION("""COMPUTED_VALUE"""),"Instalações elétricas")</f>
        <v>Instalações elétricas</v>
      </c>
      <c r="J467" s="15" t="str">
        <f>IFERROR(__xludf.DUMMYFUNCTION("""COMPUTED_VALUE"""),"04 Elétrica / 34 - Tomada Uso Geral (PRAZO DE ATÉ 15 DIAS PARA ATENDIMENTO)")</f>
        <v>04 Elétrica / 34 - Tomada Uso Geral (PRAZO DE ATÉ 15 DIAS PARA ATENDIMENTO)</v>
      </c>
      <c r="K467" s="15"/>
      <c r="L467" s="15" t="str">
        <f>IFERROR(__xludf.DUMMYFUNCTION("""COMPUTED_VALUE"""),"Troca de duas tomadas de 20A por tomada de 10A")</f>
        <v>Troca de duas tomadas de 20A por tomada de 10A</v>
      </c>
      <c r="M467" s="25"/>
      <c r="N467" s="26" t="str">
        <f>IFERROR(__xludf.DUMMYFUNCTION("""COMPUTED_VALUE"""),"Realizado")</f>
        <v>Realizado</v>
      </c>
      <c r="O467" s="11">
        <f>IFERROR(__xludf.DUMMYFUNCTION("""COMPUTED_VALUE"""),45358.0)</f>
        <v>45358</v>
      </c>
      <c r="P467" s="11"/>
    </row>
    <row r="468">
      <c r="A468" s="20" t="str">
        <f>IFERROR(__xludf.DUMMYFUNCTION("""COMPUTED_VALUE"""),"466/2024")</f>
        <v>466/2024</v>
      </c>
      <c r="B468" s="8">
        <f>IFERROR(__xludf.DUMMYFUNCTION("""COMPUTED_VALUE"""),45357.0)</f>
        <v>45357</v>
      </c>
      <c r="C468" s="21" t="str">
        <f>IFERROR(__xludf.DUMMYFUNCTION("""COMPUTED_VALUE"""),"welington_silva@ufcat.edu.br")</f>
        <v>welington_silva@ufcat.edu.br</v>
      </c>
      <c r="D468" s="22" t="str">
        <f>IFERROR(__xludf.DUMMYFUNCTION("""COMPUTED_VALUE"""),"Welington Cesar Silva")</f>
        <v>Welington Cesar Silva</v>
      </c>
      <c r="E468" s="40">
        <f>IFERROR(__xludf.DUMMYFUNCTION("""COMPUTED_VALUE"""),5311.0)</f>
        <v>5311</v>
      </c>
      <c r="F468" s="22" t="str">
        <f>IFERROR(__xludf.DUMMYFUNCTION("""COMPUTED_VALUE"""),"IBIOTEC  - Educação Física")</f>
        <v>IBIOTEC  - Educação Física</v>
      </c>
      <c r="G468" s="22" t="str">
        <f>IFERROR(__xludf.DUMMYFUNCTION("""COMPUTED_VALUE"""),"Bloco D")</f>
        <v>Bloco D</v>
      </c>
      <c r="H468" s="22" t="str">
        <f>IFERROR(__xludf.DUMMYFUNCTION("""COMPUTED_VALUE"""),"Campo de Futebol ")</f>
        <v>Campo de Futebol </v>
      </c>
      <c r="I468" s="20" t="str">
        <f>IFERROR(__xludf.DUMMYFUNCTION("""COMPUTED_VALUE"""),"Jardinagem")</f>
        <v>Jardinagem</v>
      </c>
      <c r="J468" s="15" t="str">
        <f>IFERROR(__xludf.DUMMYFUNCTION("""COMPUTED_VALUE"""),"Outros (PRAZO ATÉ 15 DIAS PARA ATENDIMENTO)")</f>
        <v>Outros (PRAZO ATÉ 15 DIAS PARA ATENDIMENTO)</v>
      </c>
      <c r="K468" s="15"/>
      <c r="L468" s="15" t="str">
        <f>IFERROR(__xludf.DUMMYFUNCTION("""COMPUTED_VALUE"""),"Adubar o gramado")</f>
        <v>Adubar o gramado</v>
      </c>
      <c r="M468" s="25"/>
      <c r="N468" s="26" t="str">
        <f>IFERROR(__xludf.DUMMYFUNCTION("""COMPUTED_VALUE"""),"Aguardando análise")</f>
        <v>Aguardando análise</v>
      </c>
      <c r="O468" s="12"/>
      <c r="P468" s="12"/>
    </row>
    <row r="469">
      <c r="A469" s="20" t="str">
        <f>IFERROR(__xludf.DUMMYFUNCTION("""COMPUTED_VALUE"""),"467/2024")</f>
        <v>467/2024</v>
      </c>
      <c r="B469" s="8">
        <f>IFERROR(__xludf.DUMMYFUNCTION("""COMPUTED_VALUE"""),45357.0)</f>
        <v>45357</v>
      </c>
      <c r="C469" s="21" t="str">
        <f>IFERROR(__xludf.DUMMYFUNCTION("""COMPUTED_VALUE"""),"welington_silva@ufcat.edu.br")</f>
        <v>welington_silva@ufcat.edu.br</v>
      </c>
      <c r="D469" s="22" t="str">
        <f>IFERROR(__xludf.DUMMYFUNCTION("""COMPUTED_VALUE"""),"Welington Cesar Silva")</f>
        <v>Welington Cesar Silva</v>
      </c>
      <c r="E469" s="40">
        <f>IFERROR(__xludf.DUMMYFUNCTION("""COMPUTED_VALUE"""),5311.0)</f>
        <v>5311</v>
      </c>
      <c r="F469" s="22" t="str">
        <f>IFERROR(__xludf.DUMMYFUNCTION("""COMPUTED_VALUE"""),"IBIOTEC  - Educação Física")</f>
        <v>IBIOTEC  - Educação Física</v>
      </c>
      <c r="G469" s="22" t="str">
        <f>IFERROR(__xludf.DUMMYFUNCTION("""COMPUTED_VALUE"""),"Bloco D")</f>
        <v>Bloco D</v>
      </c>
      <c r="H469" s="22" t="str">
        <f>IFERROR(__xludf.DUMMYFUNCTION("""COMPUTED_VALUE"""),"Campo de Futebol")</f>
        <v>Campo de Futebol</v>
      </c>
      <c r="I469" s="20" t="str">
        <f>IFERROR(__xludf.DUMMYFUNCTION("""COMPUTED_VALUE"""),"Jardinagem")</f>
        <v>Jardinagem</v>
      </c>
      <c r="J469" s="15" t="str">
        <f>IFERROR(__xludf.DUMMYFUNCTION("""COMPUTED_VALUE"""),"Outros (PRAZO ATÉ 15 DIAS PARA ATENDIMENTO)")</f>
        <v>Outros (PRAZO ATÉ 15 DIAS PARA ATENDIMENTO)</v>
      </c>
      <c r="K469" s="15"/>
      <c r="L469" s="15" t="str">
        <f>IFERROR(__xludf.DUMMYFUNCTION("""COMPUTED_VALUE"""),"Jogar veneno nas pragas do gramado ")</f>
        <v>Jogar veneno nas pragas do gramado </v>
      </c>
      <c r="M469" s="25"/>
      <c r="N469" s="26" t="str">
        <f>IFERROR(__xludf.DUMMYFUNCTION("""COMPUTED_VALUE"""),"Aguardando análise")</f>
        <v>Aguardando análise</v>
      </c>
      <c r="O469" s="12"/>
      <c r="P469" s="12"/>
    </row>
    <row r="470">
      <c r="A470" s="20" t="str">
        <f>IFERROR(__xludf.DUMMYFUNCTION("""COMPUTED_VALUE"""),"468/2024")</f>
        <v>468/2024</v>
      </c>
      <c r="B470" s="8">
        <f>IFERROR(__xludf.DUMMYFUNCTION("""COMPUTED_VALUE"""),45357.0)</f>
        <v>45357</v>
      </c>
      <c r="C470" s="21" t="str">
        <f>IFERROR(__xludf.DUMMYFUNCTION("""COMPUTED_VALUE"""),"welington_silva@ufcat.edu.br")</f>
        <v>welington_silva@ufcat.edu.br</v>
      </c>
      <c r="D470" s="22" t="str">
        <f>IFERROR(__xludf.DUMMYFUNCTION("""COMPUTED_VALUE"""),"Welington Cesar Silva")</f>
        <v>Welington Cesar Silva</v>
      </c>
      <c r="E470" s="40">
        <f>IFERROR(__xludf.DUMMYFUNCTION("""COMPUTED_VALUE"""),5311.0)</f>
        <v>5311</v>
      </c>
      <c r="F470" s="22" t="str">
        <f>IFERROR(__xludf.DUMMYFUNCTION("""COMPUTED_VALUE"""),"IBIOTEC  - Educação Física")</f>
        <v>IBIOTEC  - Educação Física</v>
      </c>
      <c r="G470" s="22" t="str">
        <f>IFERROR(__xludf.DUMMYFUNCTION("""COMPUTED_VALUE"""),"Bloco D")</f>
        <v>Bloco D</v>
      </c>
      <c r="H470" s="22" t="str">
        <f>IFERROR(__xludf.DUMMYFUNCTION("""COMPUTED_VALUE"""),"Campo de Futebol")</f>
        <v>Campo de Futebol</v>
      </c>
      <c r="I470" s="20"/>
      <c r="J470" s="13"/>
      <c r="K470" s="13"/>
      <c r="L470" s="15" t="str">
        <f>IFERROR(__xludf.DUMMYFUNCTION("""COMPUTED_VALUE"""),"Colocar as redes nos gols do campo de futebol")</f>
        <v>Colocar as redes nos gols do campo de futebol</v>
      </c>
      <c r="M470" s="25"/>
      <c r="N470" s="26" t="str">
        <f>IFERROR(__xludf.DUMMYFUNCTION("""COMPUTED_VALUE"""),"Não é atribuição da PREF")</f>
        <v>Não é atribuição da PREF</v>
      </c>
      <c r="O470" s="11">
        <f>IFERROR(__xludf.DUMMYFUNCTION("""COMPUTED_VALUE"""),45359.0)</f>
        <v>45359</v>
      </c>
      <c r="P470" s="11"/>
    </row>
    <row r="471">
      <c r="A471" s="20" t="str">
        <f>IFERROR(__xludf.DUMMYFUNCTION("""COMPUTED_VALUE"""),"469/2024")</f>
        <v>469/2024</v>
      </c>
      <c r="B471" s="8">
        <f>IFERROR(__xludf.DUMMYFUNCTION("""COMPUTED_VALUE"""),45357.0)</f>
        <v>45357</v>
      </c>
      <c r="C471" s="21" t="str">
        <f>IFERROR(__xludf.DUMMYFUNCTION("""COMPUTED_VALUE"""),"welington_silva@ufcat.edu.br")</f>
        <v>welington_silva@ufcat.edu.br</v>
      </c>
      <c r="D471" s="22" t="str">
        <f>IFERROR(__xludf.DUMMYFUNCTION("""COMPUTED_VALUE"""),"Welington Cesar Silva")</f>
        <v>Welington Cesar Silva</v>
      </c>
      <c r="E471" s="40">
        <f>IFERROR(__xludf.DUMMYFUNCTION("""COMPUTED_VALUE"""),5311.0)</f>
        <v>5311</v>
      </c>
      <c r="F471" s="22" t="str">
        <f>IFERROR(__xludf.DUMMYFUNCTION("""COMPUTED_VALUE"""),"IBIOTEC  - Educação Física")</f>
        <v>IBIOTEC  - Educação Física</v>
      </c>
      <c r="G471" s="22" t="str">
        <f>IFERROR(__xludf.DUMMYFUNCTION("""COMPUTED_VALUE"""),"Bloco D")</f>
        <v>Bloco D</v>
      </c>
      <c r="H471" s="22" t="str">
        <f>IFERROR(__xludf.DUMMYFUNCTION("""COMPUTED_VALUE"""),"Quadra coberta ")</f>
        <v>Quadra coberta </v>
      </c>
      <c r="I471" s="20"/>
      <c r="J471" s="13"/>
      <c r="K471" s="13"/>
      <c r="L471" s="15" t="str">
        <f>IFERROR(__xludf.DUMMYFUNCTION("""COMPUTED_VALUE"""),"Colocar as redes nos gols da quadra coberta ")</f>
        <v>Colocar as redes nos gols da quadra coberta </v>
      </c>
      <c r="M471" s="25"/>
      <c r="N471" s="26" t="str">
        <f>IFERROR(__xludf.DUMMYFUNCTION("""COMPUTED_VALUE"""),"Não é atribuição da PREF")</f>
        <v>Não é atribuição da PREF</v>
      </c>
      <c r="O471" s="11">
        <f>IFERROR(__xludf.DUMMYFUNCTION("""COMPUTED_VALUE"""),45359.0)</f>
        <v>45359</v>
      </c>
      <c r="P471" s="11"/>
    </row>
    <row r="472">
      <c r="A472" s="20" t="str">
        <f>IFERROR(__xludf.DUMMYFUNCTION("""COMPUTED_VALUE"""),"470/2024")</f>
        <v>470/2024</v>
      </c>
      <c r="B472" s="8">
        <f>IFERROR(__xludf.DUMMYFUNCTION("""COMPUTED_VALUE"""),45357.0)</f>
        <v>45357</v>
      </c>
      <c r="C472" s="21" t="str">
        <f>IFERROR(__xludf.DUMMYFUNCTION("""COMPUTED_VALUE"""),"ccs@ufcat.edu.br")</f>
        <v>ccs@ufcat.edu.br</v>
      </c>
      <c r="D472" s="22" t="str">
        <f>IFERROR(__xludf.DUMMYFUNCTION("""COMPUTED_VALUE"""),"Welliton Alves")</f>
        <v>Welliton Alves</v>
      </c>
      <c r="E472" s="40">
        <f>IFERROR(__xludf.DUMMYFUNCTION("""COMPUTED_VALUE"""),5345.0)</f>
        <v>5345</v>
      </c>
      <c r="F472" s="22" t="str">
        <f>IFERROR(__xludf.DUMMYFUNCTION("""COMPUTED_VALUE"""),"CCS")</f>
        <v>CCS</v>
      </c>
      <c r="G472" s="22" t="str">
        <f>IFERROR(__xludf.DUMMYFUNCTION("""COMPUTED_VALUE"""),"Bloco Administrativo")</f>
        <v>Bloco Administrativo</v>
      </c>
      <c r="H472" s="22" t="str">
        <f>IFERROR(__xludf.DUMMYFUNCTION("""COMPUTED_VALUE"""),"Sala 111")</f>
        <v>Sala 111</v>
      </c>
      <c r="I472" s="7" t="str">
        <f>IFERROR(__xludf.DUMMYFUNCTION("""COMPUTED_VALUE"""),"Reparos (alvenaria, piso, forro e telhado)")</f>
        <v>Reparos (alvenaria, piso, forro e telhado)</v>
      </c>
      <c r="J472" s="15" t="str">
        <f>IFERROR(__xludf.DUMMYFUNCTION("""COMPUTED_VALUE"""),"01 Alvenaria / 06 - Outros (PRAZO DE ATÉ 60 DIAS PARA ATENDIMENTO)")</f>
        <v>01 Alvenaria / 06 - Outros (PRAZO DE ATÉ 60 DIAS PARA ATENDIMENTO)</v>
      </c>
      <c r="K472" s="15"/>
      <c r="L472" s="15" t="str">
        <f>IFERROR(__xludf.DUMMYFUNCTION("""COMPUTED_VALUE"""),"Reinstalação da persiana da sala")</f>
        <v>Reinstalação da persiana da sala</v>
      </c>
      <c r="M472" s="25"/>
      <c r="N472" s="26" t="str">
        <f>IFERROR(__xludf.DUMMYFUNCTION("""COMPUTED_VALUE"""),"Realizado")</f>
        <v>Realizado</v>
      </c>
      <c r="O472" s="11">
        <f>IFERROR(__xludf.DUMMYFUNCTION("""COMPUTED_VALUE"""),45363.0)</f>
        <v>45363</v>
      </c>
      <c r="P472" s="11"/>
    </row>
    <row r="473">
      <c r="A473" s="20" t="str">
        <f>IFERROR(__xludf.DUMMYFUNCTION("""COMPUTED_VALUE"""),"471/2024")</f>
        <v>471/2024</v>
      </c>
      <c r="B473" s="8">
        <f>IFERROR(__xludf.DUMMYFUNCTION("""COMPUTED_VALUE"""),45357.0)</f>
        <v>45357</v>
      </c>
      <c r="C473" s="44" t="str">
        <f>IFERROR(__xludf.DUMMYFUNCTION("""COMPUTED_VALUE"""),"patricia_torres@ufcat.edu.br")</f>
        <v>patricia_torres@ufcat.edu.br</v>
      </c>
      <c r="D473" s="45" t="str">
        <f>IFERROR(__xludf.DUMMYFUNCTION("""COMPUTED_VALUE"""),"Patricia")</f>
        <v>Patricia</v>
      </c>
      <c r="E473" s="47">
        <f>IFERROR(__xludf.DUMMYFUNCTION("""COMPUTED_VALUE"""),3.4415308E7)</f>
        <v>34415308</v>
      </c>
      <c r="F473" s="45" t="str">
        <f>IFERROR(__xludf.DUMMYFUNCTION("""COMPUTED_VALUE"""),"FAE")</f>
        <v>FAE</v>
      </c>
      <c r="G473" s="45" t="str">
        <f>IFERROR(__xludf.DUMMYFUNCTION("""COMPUTED_VALUE"""),"Bloco H")</f>
        <v>Bloco H</v>
      </c>
      <c r="H473" s="45" t="str">
        <f>IFERROR(__xludf.DUMMYFUNCTION("""COMPUTED_VALUE"""),"Laboratório de Ensino")</f>
        <v>Laboratório de Ensino</v>
      </c>
      <c r="I473" s="20" t="str">
        <f>IFERROR(__xludf.DUMMYFUNCTION("""COMPUTED_VALUE"""),"Pintura")</f>
        <v>Pintura</v>
      </c>
      <c r="J473" s="13" t="str">
        <f>IFERROR(__xludf.DUMMYFUNCTION("""COMPUTED_VALUE"""),"06 Pintura / 44 - Pintura de Teto (PRAZO DE ATÉ 60 DIAS PARA ATENDIMENTO)")</f>
        <v>06 Pintura / 44 - Pintura de Teto (PRAZO DE ATÉ 60 DIAS PARA ATENDIMENTO)</v>
      </c>
      <c r="K473" s="13"/>
      <c r="L473" s="13" t="str">
        <f>IFERROR(__xludf.DUMMYFUNCTION("""COMPUTED_VALUE"""),"Pintar o teto do Laboratório de Ensino no Bloco H")</f>
        <v>Pintar o teto do Laboratório de Ensino no Bloco H</v>
      </c>
      <c r="M473" s="25"/>
      <c r="N473" s="26" t="str">
        <f>IFERROR(__xludf.DUMMYFUNCTION("""COMPUTED_VALUE"""),"Realizado")</f>
        <v>Realizado</v>
      </c>
      <c r="O473" s="11">
        <f>IFERROR(__xludf.DUMMYFUNCTION("""COMPUTED_VALUE"""),45378.0)</f>
        <v>45378</v>
      </c>
      <c r="P473" s="12"/>
    </row>
    <row r="474">
      <c r="A474" s="20" t="str">
        <f>IFERROR(__xludf.DUMMYFUNCTION("""COMPUTED_VALUE"""),"472/2024")</f>
        <v>472/2024</v>
      </c>
      <c r="B474" s="8">
        <f>IFERROR(__xludf.DUMMYFUNCTION("""COMPUTED_VALUE"""),45358.0)</f>
        <v>45358</v>
      </c>
      <c r="C474" s="21" t="str">
        <f>IFERROR(__xludf.DUMMYFUNCTION("""COMPUTED_VALUE"""),"seguranca@ufcat.edu.br")</f>
        <v>seguranca@ufcat.edu.br</v>
      </c>
      <c r="D474" s="22" t="str">
        <f>IFERROR(__xludf.DUMMYFUNCTION("""COMPUTED_VALUE"""),"Neide da costa ")</f>
        <v>Neide da costa </v>
      </c>
      <c r="E474" s="40">
        <f>IFERROR(__xludf.DUMMYFUNCTION("""COMPUTED_VALUE"""),5318.0)</f>
        <v>5318</v>
      </c>
      <c r="F474" s="22" t="str">
        <f>IFERROR(__xludf.DUMMYFUNCTION("""COMPUTED_VALUE"""),"CENTRAL DE OPERAÇÕES VIGILÂNCIA")</f>
        <v>CENTRAL DE OPERAÇÕES VIGILÂNCIA</v>
      </c>
      <c r="G474" s="22" t="str">
        <f>IFERROR(__xludf.DUMMYFUNCTION("""COMPUTED_VALUE"""),"Bloco L")</f>
        <v>Bloco L</v>
      </c>
      <c r="H474" s="22" t="str">
        <f>IFERROR(__xludf.DUMMYFUNCTION("""COMPUTED_VALUE"""),"Camêra do bloco L interno hall 02 piso ")</f>
        <v>Camêra do bloco L interno hall 02 piso </v>
      </c>
      <c r="I474" s="7" t="str">
        <f>IFERROR(__xludf.DUMMYFUNCTION("""COMPUTED_VALUE"""),"Instalações e/ou Manutenção em Cabeamento de Rede")</f>
        <v>Instalações e/ou Manutenção em Cabeamento de Rede</v>
      </c>
      <c r="J474" s="15" t="str">
        <f>IFERROR(__xludf.DUMMYFUNCTION("""COMPUTED_VALUE"""),"05 Telecomunicações / 39 - CFTV (PRAZO DE ATÉ 15 DIAS PARA ATENDIMENTO)")</f>
        <v>05 Telecomunicações / 39 - CFTV (PRAZO DE ATÉ 15 DIAS PARA ATENDIMENTO)</v>
      </c>
      <c r="K474" s="15"/>
      <c r="L474" s="15" t="str">
        <f>IFERROR(__xludf.DUMMYFUNCTION("""COMPUTED_VALUE"""),"A câmera do hall 02 piso esta com interferência mas está rodando normal ")</f>
        <v>A câmera do hall 02 piso esta com interferência mas está rodando normal </v>
      </c>
      <c r="M474" s="25"/>
      <c r="N474" s="26" t="str">
        <f>IFERROR(__xludf.DUMMYFUNCTION("""COMPUTED_VALUE"""),"Realizado")</f>
        <v>Realizado</v>
      </c>
      <c r="O474" s="11">
        <f>IFERROR(__xludf.DUMMYFUNCTION("""COMPUTED_VALUE"""),45359.0)</f>
        <v>45359</v>
      </c>
      <c r="P474" s="11"/>
    </row>
    <row r="475">
      <c r="A475" s="20" t="str">
        <f>IFERROR(__xludf.DUMMYFUNCTION("""COMPUTED_VALUE"""),"473/2024")</f>
        <v>473/2024</v>
      </c>
      <c r="B475" s="8">
        <f>IFERROR(__xludf.DUMMYFUNCTION("""COMPUTED_VALUE"""),45358.0)</f>
        <v>45358</v>
      </c>
      <c r="C475" s="21" t="str">
        <f>IFERROR(__xludf.DUMMYFUNCTION("""COMPUTED_VALUE"""),"seguranca@ufcat.edu.br")</f>
        <v>seguranca@ufcat.edu.br</v>
      </c>
      <c r="D475" s="22" t="str">
        <f>IFERROR(__xludf.DUMMYFUNCTION("""COMPUTED_VALUE"""),"Neide da costa")</f>
        <v>Neide da costa</v>
      </c>
      <c r="E475" s="40">
        <f>IFERROR(__xludf.DUMMYFUNCTION("""COMPUTED_VALUE"""),5318.0)</f>
        <v>5318</v>
      </c>
      <c r="F475" s="22" t="str">
        <f>IFERROR(__xludf.DUMMYFUNCTION("""COMPUTED_VALUE"""),"CENTRAL DE OPERAÇÕES VIGILÂNCIA")</f>
        <v>CENTRAL DE OPERAÇÕES VIGILÂNCIA</v>
      </c>
      <c r="G475" s="22" t="str">
        <f>IFERROR(__xludf.DUMMYFUNCTION("""COMPUTED_VALUE"""),"Bloco N")</f>
        <v>Bloco N</v>
      </c>
      <c r="H475" s="22" t="str">
        <f>IFERROR(__xludf.DUMMYFUNCTION("""COMPUTED_VALUE"""),"Câmera do bloco N hall entrada terreo ")</f>
        <v>Câmera do bloco N hall entrada terreo </v>
      </c>
      <c r="I475" s="7" t="str">
        <f>IFERROR(__xludf.DUMMYFUNCTION("""COMPUTED_VALUE"""),"Instalações e/ou Manutenção em Cabeamento de Rede")</f>
        <v>Instalações e/ou Manutenção em Cabeamento de Rede</v>
      </c>
      <c r="J475" s="15" t="str">
        <f>IFERROR(__xludf.DUMMYFUNCTION("""COMPUTED_VALUE"""),"05 Telecomunicações / 39 - CFTV (PRAZO DE ATÉ 15 DIAS PARA ATENDIMENTO)")</f>
        <v>05 Telecomunicações / 39 - CFTV (PRAZO DE ATÉ 15 DIAS PARA ATENDIMENTO)</v>
      </c>
      <c r="K475" s="15"/>
      <c r="L475" s="15" t="str">
        <f>IFERROR(__xludf.DUMMYFUNCTION("""COMPUTED_VALUE"""),"A câmera está com uma pequena teia de aranha dificultando a visão .")</f>
        <v>A câmera está com uma pequena teia de aranha dificultando a visão .</v>
      </c>
      <c r="M475" s="25"/>
      <c r="N475" s="26" t="str">
        <f>IFERROR(__xludf.DUMMYFUNCTION("""COMPUTED_VALUE"""),"Realizado")</f>
        <v>Realizado</v>
      </c>
      <c r="O475" s="11">
        <f>IFERROR(__xludf.DUMMYFUNCTION("""COMPUTED_VALUE"""),45359.0)</f>
        <v>45359</v>
      </c>
      <c r="P475" s="11"/>
    </row>
    <row r="476">
      <c r="A476" s="20" t="str">
        <f>IFERROR(__xludf.DUMMYFUNCTION("""COMPUTED_VALUE"""),"474/2024")</f>
        <v>474/2024</v>
      </c>
      <c r="B476" s="8">
        <f>IFERROR(__xludf.DUMMYFUNCTION("""COMPUTED_VALUE"""),45358.0)</f>
        <v>45358</v>
      </c>
      <c r="C476" s="49" t="str">
        <f>IFERROR(__xludf.DUMMYFUNCTION("""COMPUTED_VALUE"""),"cristiano.ferreira@ufcat.edu.br")</f>
        <v>cristiano.ferreira@ufcat.edu.br</v>
      </c>
      <c r="D476" s="50" t="str">
        <f>IFERROR(__xludf.DUMMYFUNCTION("""COMPUTED_VALUE"""),"Cristiano dos Santos Ferreira")</f>
        <v>Cristiano dos Santos Ferreira</v>
      </c>
      <c r="E476" s="51">
        <f>IFERROR(__xludf.DUMMYFUNCTION("""COMPUTED_VALUE"""),5315.0)</f>
        <v>5315</v>
      </c>
      <c r="F476" s="50" t="str">
        <f>IFERROR(__xludf.DUMMYFUNCTION("""COMPUTED_VALUE"""),"PROAF")</f>
        <v>PROAF</v>
      </c>
      <c r="G476" s="50" t="str">
        <f>IFERROR(__xludf.DUMMYFUNCTION("""COMPUTED_VALUE"""),"Bloco Administrativo")</f>
        <v>Bloco Administrativo</v>
      </c>
      <c r="H476" s="51">
        <f>IFERROR(__xludf.DUMMYFUNCTION("""COMPUTED_VALUE"""),12.0)</f>
        <v>12</v>
      </c>
      <c r="I476" s="7" t="str">
        <f>IFERROR(__xludf.DUMMYFUNCTION("""COMPUTED_VALUE"""),"Pequenos serviços de reparos em Marcenaria")</f>
        <v>Pequenos serviços de reparos em Marcenaria</v>
      </c>
      <c r="J476" s="15" t="str">
        <f>IFERROR(__xludf.DUMMYFUNCTION("""COMPUTED_VALUE"""),"03 Marcenaria / 29 - Outros (PRAZO DE ACORDO COM A DEMANDA)")</f>
        <v>03 Marcenaria / 29 - Outros (PRAZO DE ACORDO COM A DEMANDA)</v>
      </c>
      <c r="K476" s="15"/>
      <c r="L476" s="15" t="str">
        <f>IFERROR(__xludf.DUMMYFUNCTION("""COMPUTED_VALUE"""),"	
Instalação de Batente De Porta Anti-Colisão")</f>
        <v>	
Instalação de Batente De Porta Anti-Colisão</v>
      </c>
      <c r="M476" s="25"/>
      <c r="N476" s="26" t="str">
        <f>IFERROR(__xludf.DUMMYFUNCTION("""COMPUTED_VALUE"""),"Realizado")</f>
        <v>Realizado</v>
      </c>
      <c r="O476" s="11">
        <f>IFERROR(__xludf.DUMMYFUNCTION("""COMPUTED_VALUE"""),45371.0)</f>
        <v>45371</v>
      </c>
      <c r="P476" s="11"/>
    </row>
    <row r="477">
      <c r="A477" s="20" t="str">
        <f>IFERROR(__xludf.DUMMYFUNCTION("""COMPUTED_VALUE"""),"475/2024")</f>
        <v>475/2024</v>
      </c>
      <c r="B477" s="8">
        <f>IFERROR(__xludf.DUMMYFUNCTION("""COMPUTED_VALUE"""),45358.0)</f>
        <v>45358</v>
      </c>
      <c r="C477" s="44" t="str">
        <f>IFERROR(__xludf.DUMMYFUNCTION("""COMPUTED_VALUE"""),"mariaeduarda.borges@ufcat.edu.br")</f>
        <v>mariaeduarda.borges@ufcat.edu.br</v>
      </c>
      <c r="D477" s="45" t="str">
        <f>IFERROR(__xludf.DUMMYFUNCTION("""COMPUTED_VALUE"""),"Maria Eduarda Silva Borges ")</f>
        <v>Maria Eduarda Silva Borges </v>
      </c>
      <c r="E477" s="47">
        <f>IFERROR(__xludf.DUMMYFUNCTION("""COMPUTED_VALUE"""),5340.0)</f>
        <v>5340</v>
      </c>
      <c r="F477" s="45" t="str">
        <f>IFERROR(__xludf.DUMMYFUNCTION("""COMPUTED_VALUE"""),"PREF")</f>
        <v>PREF</v>
      </c>
      <c r="G477" s="45" t="str">
        <f>IFERROR(__xludf.DUMMYFUNCTION("""COMPUTED_VALUE"""),"Bloco E")</f>
        <v>Bloco E</v>
      </c>
      <c r="H477" s="45" t="str">
        <f>IFERROR(__xludf.DUMMYFUNCTION("""COMPUTED_VALUE"""),"ESTACIONAMENTO DE MOTOS")</f>
        <v>ESTACIONAMENTO DE MOTOS</v>
      </c>
      <c r="I477" s="7" t="str">
        <f>IFERROR(__xludf.DUMMYFUNCTION("""COMPUTED_VALUE"""),"Instalações elétricas")</f>
        <v>Instalações elétricas</v>
      </c>
      <c r="J477" s="13" t="str">
        <f>IFERROR(__xludf.DUMMYFUNCTION("""COMPUTED_VALUE"""),"04 Elétrica / 31 - Iluminação Externa (PRAZO DE ATÉ 15 DIAS PARA ATENDIMENTO)")</f>
        <v>04 Elétrica / 31 - Iluminação Externa (PRAZO DE ATÉ 15 DIAS PARA ATENDIMENTO)</v>
      </c>
      <c r="K477" s="13"/>
      <c r="L477" s="13" t="str">
        <f>IFERROR(__xludf.DUMMYFUNCTION("""COMPUTED_VALUE"""),"A luminária que fica no estacionamento de motos do Bloco E, está queimada.")</f>
        <v>A luminária que fica no estacionamento de motos do Bloco E, está queimada.</v>
      </c>
      <c r="M477" s="25"/>
      <c r="N477" s="26" t="str">
        <f>IFERROR(__xludf.DUMMYFUNCTION("""COMPUTED_VALUE"""),"Realizado")</f>
        <v>Realizado</v>
      </c>
      <c r="O477" s="11">
        <f>IFERROR(__xludf.DUMMYFUNCTION("""COMPUTED_VALUE"""),45359.0)</f>
        <v>45359</v>
      </c>
      <c r="P477" s="11"/>
    </row>
    <row r="478">
      <c r="A478" s="20" t="str">
        <f>IFERROR(__xludf.DUMMYFUNCTION("""COMPUTED_VALUE"""),"476/2024")</f>
        <v>476/2024</v>
      </c>
      <c r="B478" s="8">
        <f>IFERROR(__xludf.DUMMYFUNCTION("""COMPUTED_VALUE"""),45358.0)</f>
        <v>45358</v>
      </c>
      <c r="C478" s="44" t="str">
        <f>IFERROR(__xludf.DUMMYFUNCTION("""COMPUTED_VALUE"""),"mariaeduarda.borges@ufcat.edu.br")</f>
        <v>mariaeduarda.borges@ufcat.edu.br</v>
      </c>
      <c r="D478" s="45" t="str">
        <f>IFERROR(__xludf.DUMMYFUNCTION("""COMPUTED_VALUE"""),"Maria Eduarda Silva Borges ")</f>
        <v>Maria Eduarda Silva Borges </v>
      </c>
      <c r="E478" s="47">
        <f>IFERROR(__xludf.DUMMYFUNCTION("""COMPUTED_VALUE"""),5340.0)</f>
        <v>5340</v>
      </c>
      <c r="F478" s="45" t="str">
        <f>IFERROR(__xludf.DUMMYFUNCTION("""COMPUTED_VALUE"""),"PREF")</f>
        <v>PREF</v>
      </c>
      <c r="G478" s="45" t="str">
        <f>IFERROR(__xludf.DUMMYFUNCTION("""COMPUTED_VALUE"""),"Didático II")</f>
        <v>Didático II</v>
      </c>
      <c r="H478" s="45" t="str">
        <f>IFERROR(__xludf.DUMMYFUNCTION("""COMPUTED_VALUE"""),"HALL")</f>
        <v>HALL</v>
      </c>
      <c r="I478" s="7" t="str">
        <f>IFERROR(__xludf.DUMMYFUNCTION("""COMPUTED_VALUE"""),"Reparos (alvenaria, piso, forro e telhado)")</f>
        <v>Reparos (alvenaria, piso, forro e telhado)</v>
      </c>
      <c r="J478" s="13" t="str">
        <f>IFERROR(__xludf.DUMMYFUNCTION("""COMPUTED_VALUE"""),"01 Alvenaria / 06 - Outros (PRAZO DE ATÉ 60 DIAS PARA ATENDIMENTO)")</f>
        <v>01 Alvenaria / 06 - Outros (PRAZO DE ATÉ 60 DIAS PARA ATENDIMENTO)</v>
      </c>
      <c r="K478" s="13"/>
      <c r="L478" s="13" t="str">
        <f>IFERROR(__xludf.DUMMYFUNCTION("""COMPUTED_VALUE"""),"Hall de entrada do Bloco Didático 2 estava com poças de água, ao que parece a água estava vindo do final do corredor do térreo.")</f>
        <v>Hall de entrada do Bloco Didático 2 estava com poças de água, ao que parece a água estava vindo do final do corredor do térreo.</v>
      </c>
      <c r="M478" s="25"/>
      <c r="N478" s="26" t="str">
        <f>IFERROR(__xludf.DUMMYFUNCTION("""COMPUTED_VALUE"""),"Realizado")</f>
        <v>Realizado</v>
      </c>
      <c r="O478" s="11">
        <f>IFERROR(__xludf.DUMMYFUNCTION("""COMPUTED_VALUE"""),45358.0)</f>
        <v>45358</v>
      </c>
      <c r="P478" s="11"/>
    </row>
    <row r="479">
      <c r="A479" s="20" t="str">
        <f>IFERROR(__xludf.DUMMYFUNCTION("""COMPUTED_VALUE"""),"477/2024")</f>
        <v>477/2024</v>
      </c>
      <c r="B479" s="8">
        <f>IFERROR(__xludf.DUMMYFUNCTION("""COMPUTED_VALUE"""),45358.0)</f>
        <v>45358</v>
      </c>
      <c r="C479" s="44" t="str">
        <f>IFERROR(__xludf.DUMMYFUNCTION("""COMPUTED_VALUE"""),"mariaeduarda.borges@ufcat.edu.br")</f>
        <v>mariaeduarda.borges@ufcat.edu.br</v>
      </c>
      <c r="D479" s="45" t="str">
        <f>IFERROR(__xludf.DUMMYFUNCTION("""COMPUTED_VALUE"""),"Maria Eduarda Silva Borges ")</f>
        <v>Maria Eduarda Silva Borges </v>
      </c>
      <c r="E479" s="47">
        <f>IFERROR(__xludf.DUMMYFUNCTION("""COMPUTED_VALUE"""),5340.0)</f>
        <v>5340</v>
      </c>
      <c r="F479" s="45" t="str">
        <f>IFERROR(__xludf.DUMMYFUNCTION("""COMPUTED_VALUE"""),"PREF")</f>
        <v>PREF</v>
      </c>
      <c r="G479" s="45" t="str">
        <f>IFERROR(__xludf.DUMMYFUNCTION("""COMPUTED_VALUE"""),"Didatico I")</f>
        <v>Didatico I</v>
      </c>
      <c r="H479" s="45" t="str">
        <f>IFERROR(__xludf.DUMMYFUNCTION("""COMPUTED_VALUE"""),"TÉRREO DO BLOCO DIDÁTICO I")</f>
        <v>TÉRREO DO BLOCO DIDÁTICO I</v>
      </c>
      <c r="I479" s="7" t="str">
        <f>IFERROR(__xludf.DUMMYFUNCTION("""COMPUTED_VALUE"""),"Instalações Hidrossanitárias")</f>
        <v>Instalações Hidrossanitárias</v>
      </c>
      <c r="J479" s="13" t="str">
        <f>IFERROR(__xludf.DUMMYFUNCTION("""COMPUTED_VALUE"""),"02 Hidráulica / 22 - Outros (PRAZO DE 15 a 60 DIAS PARA ATENDIMENTO)")</f>
        <v>02 Hidráulica / 22 - Outros (PRAZO DE 15 a 60 DIAS PARA ATENDIMENTO)</v>
      </c>
      <c r="K479" s="13"/>
      <c r="L479" s="13" t="str">
        <f>IFERROR(__xludf.DUMMYFUNCTION("""COMPUTED_VALUE"""),"O bebedouro do Térreo do Bloco Didático I, não está funcionando.")</f>
        <v>O bebedouro do Térreo do Bloco Didático I, não está funcionando.</v>
      </c>
      <c r="M479" s="25"/>
      <c r="N479" s="26" t="str">
        <f>IFERROR(__xludf.DUMMYFUNCTION("""COMPUTED_VALUE"""),"Realizado")</f>
        <v>Realizado</v>
      </c>
      <c r="O479" s="11">
        <f>IFERROR(__xludf.DUMMYFUNCTION("""COMPUTED_VALUE"""),45371.0)</f>
        <v>45371</v>
      </c>
      <c r="P479" s="11"/>
    </row>
    <row r="480">
      <c r="A480" s="20" t="str">
        <f>IFERROR(__xludf.DUMMYFUNCTION("""COMPUTED_VALUE"""),"478/2024")</f>
        <v>478/2024</v>
      </c>
      <c r="B480" s="8">
        <f>IFERROR(__xludf.DUMMYFUNCTION("""COMPUTED_VALUE"""),45358.0)</f>
        <v>45358</v>
      </c>
      <c r="C480" s="44" t="str">
        <f>IFERROR(__xludf.DUMMYFUNCTION("""COMPUTED_VALUE"""),"mariaeduarda.borges@ufcat.edu.br")</f>
        <v>mariaeduarda.borges@ufcat.edu.br</v>
      </c>
      <c r="D480" s="45" t="str">
        <f>IFERROR(__xludf.DUMMYFUNCTION("""COMPUTED_VALUE"""),"Maria Eduarda Silva Borges ")</f>
        <v>Maria Eduarda Silva Borges </v>
      </c>
      <c r="E480" s="47">
        <f>IFERROR(__xludf.DUMMYFUNCTION("""COMPUTED_VALUE"""),5340.0)</f>
        <v>5340</v>
      </c>
      <c r="F480" s="45" t="str">
        <f>IFERROR(__xludf.DUMMYFUNCTION("""COMPUTED_VALUE"""),"PREF")</f>
        <v>PREF</v>
      </c>
      <c r="G480" s="45" t="str">
        <f>IFERROR(__xludf.DUMMYFUNCTION("""COMPUTED_VALUE"""),"Bloco F")</f>
        <v>Bloco F</v>
      </c>
      <c r="H480" s="45" t="str">
        <f>IFERROR(__xludf.DUMMYFUNCTION("""COMPUTED_VALUE"""),"BEBEDOURO DO BLOCO F")</f>
        <v>BEBEDOURO DO BLOCO F</v>
      </c>
      <c r="I480" s="7" t="str">
        <f>IFERROR(__xludf.DUMMYFUNCTION("""COMPUTED_VALUE"""),"Instalações Hidrossanitárias")</f>
        <v>Instalações Hidrossanitárias</v>
      </c>
      <c r="J480" s="13" t="str">
        <f>IFERROR(__xludf.DUMMYFUNCTION("""COMPUTED_VALUE"""),"02 Hidráulica / 22 - Outros (PRAZO DE 15 a 60 DIAS PARA ATENDIMENTO)")</f>
        <v>02 Hidráulica / 22 - Outros (PRAZO DE 15 a 60 DIAS PARA ATENDIMENTO)</v>
      </c>
      <c r="K480" s="13"/>
      <c r="L480" s="13" t="str">
        <f>IFERROR(__xludf.DUMMYFUNCTION("""COMPUTED_VALUE"""),"O bebedouro do Bloco F se encontra vazando água.")</f>
        <v>O bebedouro do Bloco F se encontra vazando água.</v>
      </c>
      <c r="M480" s="25"/>
      <c r="N480" s="26" t="str">
        <f>IFERROR(__xludf.DUMMYFUNCTION("""COMPUTED_VALUE"""),"Realizado")</f>
        <v>Realizado</v>
      </c>
      <c r="O480" s="11">
        <f>IFERROR(__xludf.DUMMYFUNCTION("""COMPUTED_VALUE"""),45364.0)</f>
        <v>45364</v>
      </c>
      <c r="P480" s="11"/>
    </row>
    <row r="481">
      <c r="A481" s="20" t="str">
        <f>IFERROR(__xludf.DUMMYFUNCTION("""COMPUTED_VALUE"""),"479/2024")</f>
        <v>479/2024</v>
      </c>
      <c r="B481" s="8">
        <f>IFERROR(__xludf.DUMMYFUNCTION("""COMPUTED_VALUE"""),45358.0)</f>
        <v>45358</v>
      </c>
      <c r="C481" s="44" t="str">
        <f>IFERROR(__xludf.DUMMYFUNCTION("""COMPUTED_VALUE"""),"marcia.mendes@ufcat.edu.br")</f>
        <v>marcia.mendes@ufcat.edu.br</v>
      </c>
      <c r="D481" s="45" t="str">
        <f>IFERROR(__xludf.DUMMYFUNCTION("""COMPUTED_VALUE"""),"Marcia")</f>
        <v>Marcia</v>
      </c>
      <c r="E481" s="45" t="str">
        <f>IFERROR(__xludf.DUMMYFUNCTION("""COMPUTED_VALUE"""),"64 98412-9238")</f>
        <v>64 98412-9238</v>
      </c>
      <c r="F481" s="45" t="str">
        <f>IFERROR(__xludf.DUMMYFUNCTION("""COMPUTED_VALUE"""),"IQ")</f>
        <v>IQ</v>
      </c>
      <c r="G481" s="45" t="str">
        <f>IFERROR(__xludf.DUMMYFUNCTION("""COMPUTED_VALUE"""),"Bloco N")</f>
        <v>Bloco N</v>
      </c>
      <c r="H481" s="45" t="str">
        <f>IFERROR(__xludf.DUMMYFUNCTION("""COMPUTED_VALUE"""),"Corredor")</f>
        <v>Corredor</v>
      </c>
      <c r="I481" s="7" t="str">
        <f>IFERROR(__xludf.DUMMYFUNCTION("""COMPUTED_VALUE"""),"Instalações elétricas")</f>
        <v>Instalações elétricas</v>
      </c>
      <c r="J481" s="13" t="str">
        <f>IFERROR(__xludf.DUMMYFUNCTION("""COMPUTED_VALUE"""),"04 Elétrica / 35 - Troca de Lâmpadas (PRAZO DE ATÉ 15 DIAS PARA ATENDIMENTO)")</f>
        <v>04 Elétrica / 35 - Troca de Lâmpadas (PRAZO DE ATÉ 15 DIAS PARA ATENDIMENTO)</v>
      </c>
      <c r="K481" s="13"/>
      <c r="L481" s="13" t="str">
        <f>IFERROR(__xludf.DUMMYFUNCTION("""COMPUTED_VALUE"""),"Trocar lâmpadas queimadas do corredor.")</f>
        <v>Trocar lâmpadas queimadas do corredor.</v>
      </c>
      <c r="M481" s="25"/>
      <c r="N481" s="26" t="str">
        <f>IFERROR(__xludf.DUMMYFUNCTION("""COMPUTED_VALUE"""),"Realizado")</f>
        <v>Realizado</v>
      </c>
      <c r="O481" s="11">
        <f>IFERROR(__xludf.DUMMYFUNCTION("""COMPUTED_VALUE"""),45358.0)</f>
        <v>45358</v>
      </c>
      <c r="P481" s="11"/>
    </row>
    <row r="482">
      <c r="A482" s="20" t="str">
        <f>IFERROR(__xludf.DUMMYFUNCTION("""COMPUTED_VALUE"""),"480/2024")</f>
        <v>480/2024</v>
      </c>
      <c r="B482" s="8">
        <f>IFERROR(__xludf.DUMMYFUNCTION("""COMPUTED_VALUE"""),45358.0)</f>
        <v>45358</v>
      </c>
      <c r="C482" s="21" t="str">
        <f>IFERROR(__xludf.DUMMYFUNCTION("""COMPUTED_VALUE"""),"prograd@ufcat.edu.br")</f>
        <v>prograd@ufcat.edu.br</v>
      </c>
      <c r="D482" s="22" t="str">
        <f>IFERROR(__xludf.DUMMYFUNCTION("""COMPUTED_VALUE"""),"Luiz Carlos do Carmo")</f>
        <v>Luiz Carlos do Carmo</v>
      </c>
      <c r="E482" s="40">
        <f>IFERROR(__xludf.DUMMYFUNCTION("""COMPUTED_VALUE"""),5346.0)</f>
        <v>5346</v>
      </c>
      <c r="F482" s="22" t="str">
        <f>IFERROR(__xludf.DUMMYFUNCTION("""COMPUTED_VALUE"""),"PROGRAD")</f>
        <v>PROGRAD</v>
      </c>
      <c r="G482" s="22" t="str">
        <f>IFERROR(__xludf.DUMMYFUNCTION("""COMPUTED_VALUE"""),"Bloco Administrativo")</f>
        <v>Bloco Administrativo</v>
      </c>
      <c r="H482" s="22" t="str">
        <f>IFERROR(__xludf.DUMMYFUNCTION("""COMPUTED_VALUE"""),"16 e 18")</f>
        <v>16 e 18</v>
      </c>
      <c r="I482" s="7" t="str">
        <f>IFERROR(__xludf.DUMMYFUNCTION("""COMPUTED_VALUE"""),"Instalações e/ou Manutenção em Cabeamento de Rede")</f>
        <v>Instalações e/ou Manutenção em Cabeamento de Rede</v>
      </c>
      <c r="J482" s="15" t="str">
        <f>IFERROR(__xludf.DUMMYFUNCTION("""COMPUTED_VALUE"""),"05 Telecomunicações / 38 - Cabeamento de Rede (PRAZO DE ATÉ 15 DIAS PARA ATENDIMENTO)")</f>
        <v>05 Telecomunicações / 38 - Cabeamento de Rede (PRAZO DE ATÉ 15 DIAS PARA ATENDIMENTO)</v>
      </c>
      <c r="K482" s="15"/>
      <c r="L482" s="15" t="str">
        <f>IFERROR(__xludf.DUMMYFUNCTION("""COMPUTED_VALUE"""),"Solicito com urgência ponto de acesso a rede de internet ")</f>
        <v>Solicito com urgência ponto de acesso a rede de internet </v>
      </c>
      <c r="M482" s="25"/>
      <c r="N482" s="26" t="str">
        <f>IFERROR(__xludf.DUMMYFUNCTION("""COMPUTED_VALUE"""),"Realizado")</f>
        <v>Realizado</v>
      </c>
      <c r="O482" s="11">
        <f>IFERROR(__xludf.DUMMYFUNCTION("""COMPUTED_VALUE"""),45359.0)</f>
        <v>45359</v>
      </c>
      <c r="P482" s="11"/>
    </row>
    <row r="483">
      <c r="A483" s="20" t="str">
        <f>IFERROR(__xludf.DUMMYFUNCTION("""COMPUTED_VALUE"""),"481/2024")</f>
        <v>481/2024</v>
      </c>
      <c r="B483" s="8">
        <f>IFERROR(__xludf.DUMMYFUNCTION("""COMPUTED_VALUE"""),45358.0)</f>
        <v>45358</v>
      </c>
      <c r="C483" s="21" t="str">
        <f>IFERROR(__xludf.DUMMYFUNCTION("""COMPUTED_VALUE"""),"juan.martins@ufcat.edu.br")</f>
        <v>juan.martins@ufcat.edu.br</v>
      </c>
      <c r="D483" s="22" t="str">
        <f>IFERROR(__xludf.DUMMYFUNCTION("""COMPUTED_VALUE"""),"Juan Fabio Soares Martins")</f>
        <v>Juan Fabio Soares Martins</v>
      </c>
      <c r="E483" s="40">
        <f>IFERROR(__xludf.DUMMYFUNCTION("""COMPUTED_VALUE"""),6.2996203123E10)</f>
        <v>62996203123</v>
      </c>
      <c r="F483" s="22" t="str">
        <f>IFERROR(__xludf.DUMMYFUNCTION("""COMPUTED_VALUE"""),"PREF")</f>
        <v>PREF</v>
      </c>
      <c r="G483" s="22" t="str">
        <f>IFERROR(__xludf.DUMMYFUNCTION("""COMPUTED_VALUE"""),"Bloco O")</f>
        <v>Bloco O</v>
      </c>
      <c r="H483" s="22" t="str">
        <f>IFERROR(__xludf.DUMMYFUNCTION("""COMPUTED_VALUE"""),"Sala técnica do Quadro Geral de Força 2")</f>
        <v>Sala técnica do Quadro Geral de Força 2</v>
      </c>
      <c r="I483" s="7" t="str">
        <f>IFERROR(__xludf.DUMMYFUNCTION("""COMPUTED_VALUE"""),"Instalações elétricas")</f>
        <v>Instalações elétricas</v>
      </c>
      <c r="J483" s="15" t="str">
        <f>IFERROR(__xludf.DUMMYFUNCTION("""COMPUTED_VALUE"""),"04 Elétrica / 37 - Outros (PRAZO DE ACORDO COM A DEMANDA)")</f>
        <v>04 Elétrica / 37 - Outros (PRAZO DE ACORDO COM A DEMANDA)</v>
      </c>
      <c r="K483" s="15"/>
      <c r="L483" s="15" t="str">
        <f>IFERROR(__xludf.DUMMYFUNCTION("""COMPUTED_VALUE"""),"DPS do Quadro QGF.02(A) fora de operação (vermelho), necessário substituir o dispositivo.")</f>
        <v>DPS do Quadro QGF.02(A) fora de operação (vermelho), necessário substituir o dispositivo.</v>
      </c>
      <c r="M483" s="25"/>
      <c r="N483" s="26" t="str">
        <f>IFERROR(__xludf.DUMMYFUNCTION("""COMPUTED_VALUE"""),"Realizado")</f>
        <v>Realizado</v>
      </c>
      <c r="O483" s="11">
        <f>IFERROR(__xludf.DUMMYFUNCTION("""COMPUTED_VALUE"""),45359.0)</f>
        <v>45359</v>
      </c>
      <c r="P483" s="11"/>
    </row>
    <row r="484">
      <c r="A484" s="20" t="str">
        <f>IFERROR(__xludf.DUMMYFUNCTION("""COMPUTED_VALUE"""),"482/2024")</f>
        <v>482/2024</v>
      </c>
      <c r="B484" s="8">
        <f>IFERROR(__xludf.DUMMYFUNCTION("""COMPUTED_VALUE"""),45358.0)</f>
        <v>45358</v>
      </c>
      <c r="C484" s="21" t="str">
        <f>IFERROR(__xludf.DUMMYFUNCTION("""COMPUTED_VALUE"""),"iolanda.aguiar@ufcat.edu.br")</f>
        <v>iolanda.aguiar@ufcat.edu.br</v>
      </c>
      <c r="D484" s="22" t="str">
        <f>IFERROR(__xludf.DUMMYFUNCTION("""COMPUTED_VALUE"""),"Iolanda Maria Aguiar")</f>
        <v>Iolanda Maria Aguiar</v>
      </c>
      <c r="E484" s="40">
        <f>IFERROR(__xludf.DUMMYFUNCTION("""COMPUTED_VALUE"""),6.2982410124E10)</f>
        <v>62982410124</v>
      </c>
      <c r="F484" s="22" t="str">
        <f>IFERROR(__xludf.DUMMYFUNCTION("""COMPUTED_VALUE"""),"FENG - Engenharia de Minas")</f>
        <v>FENG - Engenharia de Minas</v>
      </c>
      <c r="G484" s="22" t="str">
        <f>IFERROR(__xludf.DUMMYFUNCTION("""COMPUTED_VALUE"""),"Bloco O")</f>
        <v>Bloco O</v>
      </c>
      <c r="H484" s="22" t="str">
        <f>IFERROR(__xludf.DUMMYFUNCTION("""COMPUTED_VALUE"""),"Sala dos técnicos (16)")</f>
        <v>Sala dos técnicos (16)</v>
      </c>
      <c r="I484" s="7" t="str">
        <f>IFERROR(__xludf.DUMMYFUNCTION("""COMPUTED_VALUE"""),"Instalações e/ou Manutenção em Cabeamento de Rede")</f>
        <v>Instalações e/ou Manutenção em Cabeamento de Rede</v>
      </c>
      <c r="J484" s="15" t="str">
        <f>IFERROR(__xludf.DUMMYFUNCTION("""COMPUTED_VALUE"""),"05 Telecomunicações / 38 - Cabeamento de Rede (PRAZO DE ATÉ 15 DIAS PARA ATENDIMENTO)")</f>
        <v>05 Telecomunicações / 38 - Cabeamento de Rede (PRAZO DE ATÉ 15 DIAS PARA ATENDIMENTO)</v>
      </c>
      <c r="K484" s="15"/>
      <c r="L484" s="15" t="str">
        <f>IFERROR(__xludf.DUMMYFUNCTION("""COMPUTED_VALUE"""),"Inclusão de 4 pontos de rede na sala dos técnicos. Há portas disponíveis no switch da sala ao lado (recepção)")</f>
        <v>Inclusão de 4 pontos de rede na sala dos técnicos. Há portas disponíveis no switch da sala ao lado (recepção)</v>
      </c>
      <c r="M484" s="20" t="str">
        <f>IFERROR(__xludf.DUMMYFUNCTION("""COMPUTED_VALUE"""),"Cabo de rede, Condulete e curva para eletroduto ")</f>
        <v>Cabo de rede, Condulete e curva para eletroduto </v>
      </c>
      <c r="N484" s="26" t="str">
        <f>IFERROR(__xludf.DUMMYFUNCTION("""COMPUTED_VALUE"""),"Aguardando Mat./Equipam.")</f>
        <v>Aguardando Mat./Equipam.</v>
      </c>
      <c r="O484" s="12"/>
      <c r="P484" s="12"/>
    </row>
    <row r="485">
      <c r="A485" s="20" t="str">
        <f>IFERROR(__xludf.DUMMYFUNCTION("""COMPUTED_VALUE"""),"483/2024")</f>
        <v>483/2024</v>
      </c>
      <c r="B485" s="8">
        <f>IFERROR(__xludf.DUMMYFUNCTION("""COMPUTED_VALUE"""),45358.0)</f>
        <v>45358</v>
      </c>
      <c r="C485" s="21" t="str">
        <f>IFERROR(__xludf.DUMMYFUNCTION("""COMPUTED_VALUE"""),"muc.prpe@ufcat.edu.br")</f>
        <v>muc.prpe@ufcat.edu.br</v>
      </c>
      <c r="D485" s="22" t="str">
        <f>IFERROR(__xludf.DUMMYFUNCTION("""COMPUTED_VALUE"""),"DANIEL DOS REIS SIMÕES")</f>
        <v>DANIEL DOS REIS SIMÕES</v>
      </c>
      <c r="E485" s="40">
        <f>IFERROR(__xludf.DUMMYFUNCTION("""COMPUTED_VALUE"""),5333.0)</f>
        <v>5333</v>
      </c>
      <c r="F485" s="22" t="str">
        <f>IFERROR(__xludf.DUMMYFUNCTION("""COMPUTED_VALUE"""),"PRPE")</f>
        <v>PRPE</v>
      </c>
      <c r="G485" s="22" t="str">
        <f>IFERROR(__xludf.DUMMYFUNCTION("""COMPUTED_VALUE"""),"MUC")</f>
        <v>MUC</v>
      </c>
      <c r="H485" s="22" t="str">
        <f>IFERROR(__xludf.DUMMYFUNCTION("""COMPUTED_VALUE"""),"Apto 406")</f>
        <v>Apto 406</v>
      </c>
      <c r="I485" s="7" t="str">
        <f>IFERROR(__xludf.DUMMYFUNCTION("""COMPUTED_VALUE"""),"Instalações elétricas")</f>
        <v>Instalações elétricas</v>
      </c>
      <c r="J485" s="15" t="str">
        <f>IFERROR(__xludf.DUMMYFUNCTION("""COMPUTED_VALUE"""),"04 Elétrica / 37 - Outros (PRAZO DE ACORDO COM A DEMANDA)")</f>
        <v>04 Elétrica / 37 - Outros (PRAZO DE ACORDO COM A DEMANDA)</v>
      </c>
      <c r="K485" s="15"/>
      <c r="L485" s="15" t="str">
        <f>IFERROR(__xludf.DUMMYFUNCTION("""COMPUTED_VALUE"""),"O ventilador do quarto B, apto 406, não está funcionando.")</f>
        <v>O ventilador do quarto B, apto 406, não está funcionando.</v>
      </c>
      <c r="M485" s="25"/>
      <c r="N485" s="26" t="str">
        <f>IFERROR(__xludf.DUMMYFUNCTION("""COMPUTED_VALUE"""),"Realizado")</f>
        <v>Realizado</v>
      </c>
      <c r="O485" s="11">
        <f>IFERROR(__xludf.DUMMYFUNCTION("""COMPUTED_VALUE"""),45369.0)</f>
        <v>45369</v>
      </c>
      <c r="P485" s="11"/>
    </row>
    <row r="486">
      <c r="A486" s="20" t="str">
        <f>IFERROR(__xludf.DUMMYFUNCTION("""COMPUTED_VALUE"""),"484/2024")</f>
        <v>484/2024</v>
      </c>
      <c r="B486" s="8">
        <f>IFERROR(__xludf.DUMMYFUNCTION("""COMPUTED_VALUE"""),45358.0)</f>
        <v>45358</v>
      </c>
      <c r="C486" s="21" t="str">
        <f>IFERROR(__xludf.DUMMYFUNCTION("""COMPUTED_VALUE"""),"seguranca@ufcat.edu.br")</f>
        <v>seguranca@ufcat.edu.br</v>
      </c>
      <c r="D486" s="22" t="str">
        <f>IFERROR(__xludf.DUMMYFUNCTION("""COMPUTED_VALUE"""),"Aparecida Oliveira ")</f>
        <v>Aparecida Oliveira </v>
      </c>
      <c r="E486" s="40">
        <f>IFERROR(__xludf.DUMMYFUNCTION("""COMPUTED_VALUE"""),5318.0)</f>
        <v>5318</v>
      </c>
      <c r="F486" s="22" t="str">
        <f>IFERROR(__xludf.DUMMYFUNCTION("""COMPUTED_VALUE"""),"CENTRAL DE OPERAÇÕES VIGILÂNCIA")</f>
        <v>CENTRAL DE OPERAÇÕES VIGILÂNCIA</v>
      </c>
      <c r="G486" s="22" t="str">
        <f>IFERROR(__xludf.DUMMYFUNCTION("""COMPUTED_VALUE"""),"Bloco O")</f>
        <v>Bloco O</v>
      </c>
      <c r="H486" s="22" t="str">
        <f>IFERROR(__xludf.DUMMYFUNCTION("""COMPUTED_VALUE"""),"sala rack")</f>
        <v>sala rack</v>
      </c>
      <c r="I486" s="7" t="str">
        <f>IFERROR(__xludf.DUMMYFUNCTION("""COMPUTED_VALUE"""),"Instalações e/ou Manutenção em Cabeamento de Rede")</f>
        <v>Instalações e/ou Manutenção em Cabeamento de Rede</v>
      </c>
      <c r="J486" s="15" t="str">
        <f>IFERROR(__xludf.DUMMYFUNCTION("""COMPUTED_VALUE"""),"05 Telecomunicações / 39 - CFTV (PRAZO DE ATÉ 15 DIAS PARA ATENDIMENTO)")</f>
        <v>05 Telecomunicações / 39 - CFTV (PRAZO DE ATÉ 15 DIAS PARA ATENDIMENTO)</v>
      </c>
      <c r="K486" s="15"/>
      <c r="L486" s="15" t="str">
        <f>IFERROR(__xludf.DUMMYFUNCTION("""COMPUTED_VALUE""")," DVR desconectado")</f>
        <v> DVR desconectado</v>
      </c>
      <c r="M486" s="25"/>
      <c r="N486" s="26" t="str">
        <f>IFERROR(__xludf.DUMMYFUNCTION("""COMPUTED_VALUE"""),"Realizado")</f>
        <v>Realizado</v>
      </c>
      <c r="O486" s="11">
        <f>IFERROR(__xludf.DUMMYFUNCTION("""COMPUTED_VALUE"""),45359.0)</f>
        <v>45359</v>
      </c>
      <c r="P486" s="11"/>
    </row>
    <row r="487">
      <c r="A487" s="20" t="str">
        <f>IFERROR(__xludf.DUMMYFUNCTION("""COMPUTED_VALUE"""),"485/2024")</f>
        <v>485/2024</v>
      </c>
      <c r="B487" s="8">
        <f>IFERROR(__xludf.DUMMYFUNCTION("""COMPUTED_VALUE"""),45358.0)</f>
        <v>45358</v>
      </c>
      <c r="C487" s="21" t="str">
        <f>IFERROR(__xludf.DUMMYFUNCTION("""COMPUTED_VALUE"""),"seguranca@ufcat.edu.br")</f>
        <v>seguranca@ufcat.edu.br</v>
      </c>
      <c r="D487" s="22" t="str">
        <f>IFERROR(__xludf.DUMMYFUNCTION("""COMPUTED_VALUE"""),"Aparecida Oliveira")</f>
        <v>Aparecida Oliveira</v>
      </c>
      <c r="E487" s="40">
        <f>IFERROR(__xludf.DUMMYFUNCTION("""COMPUTED_VALUE"""),5318.0)</f>
        <v>5318</v>
      </c>
      <c r="F487" s="22" t="str">
        <f>IFERROR(__xludf.DUMMYFUNCTION("""COMPUTED_VALUE"""),"CENTRAL DE OPERAÇÕES VIGILÂNCIA")</f>
        <v>CENTRAL DE OPERAÇÕES VIGILÂNCIA</v>
      </c>
      <c r="G487" s="22" t="str">
        <f>IFERROR(__xludf.DUMMYFUNCTION("""COMPUTED_VALUE"""),"Bloco L")</f>
        <v>Bloco L</v>
      </c>
      <c r="H487" s="22" t="str">
        <f>IFERROR(__xludf.DUMMYFUNCTION("""COMPUTED_VALUE"""),"hall 2 piso")</f>
        <v>hall 2 piso</v>
      </c>
      <c r="I487" s="7" t="str">
        <f>IFERROR(__xludf.DUMMYFUNCTION("""COMPUTED_VALUE"""),"Instalações e/ou Manutenção em Cabeamento de Rede")</f>
        <v>Instalações e/ou Manutenção em Cabeamento de Rede</v>
      </c>
      <c r="J487" s="15" t="str">
        <f>IFERROR(__xludf.DUMMYFUNCTION("""COMPUTED_VALUE"""),"05 Telecomunicações / 39 - CFTV (PRAZO DE ATÉ 15 DIAS PARA ATENDIMENTO)")</f>
        <v>05 Telecomunicações / 39 - CFTV (PRAZO DE ATÉ 15 DIAS PARA ATENDIMENTO)</v>
      </c>
      <c r="K487" s="15"/>
      <c r="L487" s="15" t="str">
        <f>IFERROR(__xludf.DUMMYFUNCTION("""COMPUTED_VALUE"""),"câmera com interferência")</f>
        <v>câmera com interferência</v>
      </c>
      <c r="M487" s="25"/>
      <c r="N487" s="26" t="str">
        <f>IFERROR(__xludf.DUMMYFUNCTION("""COMPUTED_VALUE"""),"Realizado")</f>
        <v>Realizado</v>
      </c>
      <c r="O487" s="11">
        <f>IFERROR(__xludf.DUMMYFUNCTION("""COMPUTED_VALUE"""),45363.0)</f>
        <v>45363</v>
      </c>
      <c r="P487" s="11"/>
    </row>
    <row r="488">
      <c r="A488" s="20" t="str">
        <f>IFERROR(__xludf.DUMMYFUNCTION("""COMPUTED_VALUE"""),"486/2024")</f>
        <v>486/2024</v>
      </c>
      <c r="B488" s="8">
        <f>IFERROR(__xludf.DUMMYFUNCTION("""COMPUTED_VALUE"""),45359.0)</f>
        <v>45359</v>
      </c>
      <c r="C488" s="44" t="str">
        <f>IFERROR(__xludf.DUMMYFUNCTION("""COMPUTED_VALUE"""),"welington_silva@ufcat.edu.br")</f>
        <v>welington_silva@ufcat.edu.br</v>
      </c>
      <c r="D488" s="45" t="str">
        <f>IFERROR(__xludf.DUMMYFUNCTION("""COMPUTED_VALUE"""),"Welington Cesar Silva")</f>
        <v>Welington Cesar Silva</v>
      </c>
      <c r="E488" s="47">
        <f>IFERROR(__xludf.DUMMYFUNCTION("""COMPUTED_VALUE"""),5311.0)</f>
        <v>5311</v>
      </c>
      <c r="F488" s="45" t="str">
        <f>IFERROR(__xludf.DUMMYFUNCTION("""COMPUTED_VALUE"""),"IBIOTEC  - Educação Física")</f>
        <v>IBIOTEC  - Educação Física</v>
      </c>
      <c r="G488" s="45" t="str">
        <f>IFERROR(__xludf.DUMMYFUNCTION("""COMPUTED_VALUE"""),"Bloco D")</f>
        <v>Bloco D</v>
      </c>
      <c r="H488" s="45" t="str">
        <f>IFERROR(__xludf.DUMMYFUNCTION("""COMPUTED_VALUE"""),"Quadra coberta")</f>
        <v>Quadra coberta</v>
      </c>
      <c r="I488" s="20" t="str">
        <f>IFERROR(__xludf.DUMMYFUNCTION("""COMPUTED_VALUE"""),"Jardinagem")</f>
        <v>Jardinagem</v>
      </c>
      <c r="J488" s="13" t="str">
        <f>IFERROR(__xludf.DUMMYFUNCTION("""COMPUTED_VALUE"""),"Outros (PRAZO ATÉ 15 DIAS PARA ATENDIMENTO)")</f>
        <v>Outros (PRAZO ATÉ 15 DIAS PARA ATENDIMENTO)</v>
      </c>
      <c r="K488" s="13"/>
      <c r="L488" s="13" t="str">
        <f>IFERROR(__xludf.DUMMYFUNCTION("""COMPUTED_VALUE"""),"Cortar a árvore morta que fica subindo os degraus a esquerda da quadra coberta, a mesma árvore está seca, morta, com as galhas podres, com risco das galhas caírem em alguém.")</f>
        <v>Cortar a árvore morta que fica subindo os degraus a esquerda da quadra coberta, a mesma árvore está seca, morta, com as galhas podres, com risco das galhas caírem em alguém.</v>
      </c>
      <c r="M488" s="25"/>
      <c r="N488" s="26" t="str">
        <f>IFERROR(__xludf.DUMMYFUNCTION("""COMPUTED_VALUE"""),"Aguardando análise")</f>
        <v>Aguardando análise</v>
      </c>
      <c r="O488" s="12"/>
      <c r="P488" s="12"/>
    </row>
    <row r="489">
      <c r="A489" s="20" t="str">
        <f>IFERROR(__xludf.DUMMYFUNCTION("""COMPUTED_VALUE"""),"487/2024")</f>
        <v>487/2024</v>
      </c>
      <c r="B489" s="8">
        <f>IFERROR(__xludf.DUMMYFUNCTION("""COMPUTED_VALUE"""),45359.0)</f>
        <v>45359</v>
      </c>
      <c r="C489" s="44" t="str">
        <f>IFERROR(__xludf.DUMMYFUNCTION("""COMPUTED_VALUE"""),"welington_silva@ufcat.edu.br")</f>
        <v>welington_silva@ufcat.edu.br</v>
      </c>
      <c r="D489" s="45" t="str">
        <f>IFERROR(__xludf.DUMMYFUNCTION("""COMPUTED_VALUE"""),"Welington Cesar Silva")</f>
        <v>Welington Cesar Silva</v>
      </c>
      <c r="E489" s="47">
        <f>IFERROR(__xludf.DUMMYFUNCTION("""COMPUTED_VALUE"""),5311.0)</f>
        <v>5311</v>
      </c>
      <c r="F489" s="45" t="str">
        <f>IFERROR(__xludf.DUMMYFUNCTION("""COMPUTED_VALUE"""),"IBIOTEC  - Educação Física")</f>
        <v>IBIOTEC  - Educação Física</v>
      </c>
      <c r="G489" s="45" t="str">
        <f>IFERROR(__xludf.DUMMYFUNCTION("""COMPUTED_VALUE"""),"Bloco D")</f>
        <v>Bloco D</v>
      </c>
      <c r="H489" s="45" t="str">
        <f>IFERROR(__xludf.DUMMYFUNCTION("""COMPUTED_VALUE"""),"Quadra coberta.")</f>
        <v>Quadra coberta.</v>
      </c>
      <c r="I489" s="7" t="str">
        <f>IFERROR(__xludf.DUMMYFUNCTION("""COMPUTED_VALUE"""),"Serralheria")</f>
        <v>Serralheria</v>
      </c>
      <c r="J489" s="13" t="str">
        <f>IFERROR(__xludf.DUMMYFUNCTION("""COMPUTED_VALUE"""),"08 Serralheria / 55 - Tela de Alambrado (PRAZO DE ATÉ 30 DIAS PARA ATENDIMENTO)")</f>
        <v>08 Serralheria / 55 - Tela de Alambrado (PRAZO DE ATÉ 30 DIAS PARA ATENDIMENTO)</v>
      </c>
      <c r="K489" s="13"/>
      <c r="L489" s="13" t="str">
        <f>IFERROR(__xludf.DUMMYFUNCTION("""COMPUTED_VALUE"""),"Tela do alambrado na parte superior da quadra coberta está solta, do lado esquerdo da quadra, próximo aos degraus do lado esquerdo. ")</f>
        <v>Tela do alambrado na parte superior da quadra coberta está solta, do lado esquerdo da quadra, próximo aos degraus do lado esquerdo. </v>
      </c>
      <c r="M489" s="25"/>
      <c r="N489" s="26" t="str">
        <f>IFERROR(__xludf.DUMMYFUNCTION("""COMPUTED_VALUE"""),"Realizado")</f>
        <v>Realizado</v>
      </c>
      <c r="O489" s="11">
        <f>IFERROR(__xludf.DUMMYFUNCTION("""COMPUTED_VALUE"""),45401.0)</f>
        <v>45401</v>
      </c>
      <c r="P489" s="12"/>
    </row>
    <row r="490">
      <c r="A490" s="20" t="str">
        <f>IFERROR(__xludf.DUMMYFUNCTION("""COMPUTED_VALUE"""),"488/2024")</f>
        <v>488/2024</v>
      </c>
      <c r="B490" s="8">
        <f>IFERROR(__xludf.DUMMYFUNCTION("""COMPUTED_VALUE"""),45359.0)</f>
        <v>45359</v>
      </c>
      <c r="C490" s="44" t="str">
        <f>IFERROR(__xludf.DUMMYFUNCTION("""COMPUTED_VALUE"""),"mayani@ufcat.edu.br")</f>
        <v>mayani@ufcat.edu.br</v>
      </c>
      <c r="D490" s="45" t="str">
        <f>IFERROR(__xludf.DUMMYFUNCTION("""COMPUTED_VALUE"""),"Mayani thais lopes")</f>
        <v>Mayani thais lopes</v>
      </c>
      <c r="E490" s="47">
        <f>IFERROR(__xludf.DUMMYFUNCTION("""COMPUTED_VALUE"""),3.4999071369E10)</f>
        <v>34999071369</v>
      </c>
      <c r="F490" s="45" t="str">
        <f>IFERROR(__xludf.DUMMYFUNCTION("""COMPUTED_VALUE"""),"IBIOTEC - Enfermagem")</f>
        <v>IBIOTEC - Enfermagem</v>
      </c>
      <c r="G490" s="45" t="str">
        <f>IFERROR(__xludf.DUMMYFUNCTION("""COMPUTED_VALUE"""),"Bloco M")</f>
        <v>Bloco M</v>
      </c>
      <c r="H490" s="47">
        <f>IFERROR(__xludf.DUMMYFUNCTION("""COMPUTED_VALUE"""),164.0)</f>
        <v>164</v>
      </c>
      <c r="I490" s="7" t="str">
        <f>IFERROR(__xludf.DUMMYFUNCTION("""COMPUTED_VALUE"""),"Pequenos serviços de reparos em Marcenaria")</f>
        <v>Pequenos serviços de reparos em Marcenaria</v>
      </c>
      <c r="J490" s="13" t="str">
        <f>IFERROR(__xludf.DUMMYFUNCTION("""COMPUTED_VALUE"""),"03 Marcenaria / 24 - Conserto de Móveis (PRAZO DE ATÉ 60 DIAS PARA ATENDIMENTO)")</f>
        <v>03 Marcenaria / 24 - Conserto de Móveis (PRAZO DE ATÉ 60 DIAS PARA ATENDIMENTO)</v>
      </c>
      <c r="K490" s="13"/>
      <c r="L490" s="13" t="str">
        <f>IFERROR(__xludf.DUMMYFUNCTION("""COMPUTED_VALUE"""),"Trocar o tampo da mesinha de MDF por uma mais resistente. E pintar o móvel de branco ")</f>
        <v>Trocar o tampo da mesinha de MDF por uma mais resistente. E pintar o móvel de branco </v>
      </c>
      <c r="M490" s="25"/>
      <c r="N490" s="26" t="str">
        <f>IFERROR(__xludf.DUMMYFUNCTION("""COMPUTED_VALUE"""),"Realizado")</f>
        <v>Realizado</v>
      </c>
      <c r="O490" s="11">
        <f>IFERROR(__xludf.DUMMYFUNCTION("""COMPUTED_VALUE"""),45373.0)</f>
        <v>45373</v>
      </c>
      <c r="P490" s="11"/>
    </row>
    <row r="491">
      <c r="A491" s="20" t="str">
        <f>IFERROR(__xludf.DUMMYFUNCTION("""COMPUTED_VALUE"""),"489/2024")</f>
        <v>489/2024</v>
      </c>
      <c r="B491" s="8">
        <f>IFERROR(__xludf.DUMMYFUNCTION("""COMPUTED_VALUE"""),45359.0)</f>
        <v>45359</v>
      </c>
      <c r="C491" s="44" t="str">
        <f>IFERROR(__xludf.DUMMYFUNCTION("""COMPUTED_VALUE"""),"mayani@ufcat.edu.br")</f>
        <v>mayani@ufcat.edu.br</v>
      </c>
      <c r="D491" s="45" t="str">
        <f>IFERROR(__xludf.DUMMYFUNCTION("""COMPUTED_VALUE"""),"Mayani thais lopes")</f>
        <v>Mayani thais lopes</v>
      </c>
      <c r="E491" s="47">
        <f>IFERROR(__xludf.DUMMYFUNCTION("""COMPUTED_VALUE"""),3.4999071369E10)</f>
        <v>34999071369</v>
      </c>
      <c r="F491" s="45" t="str">
        <f>IFERROR(__xludf.DUMMYFUNCTION("""COMPUTED_VALUE"""),"IBIOTEC - Enfermagem")</f>
        <v>IBIOTEC - Enfermagem</v>
      </c>
      <c r="G491" s="45" t="str">
        <f>IFERROR(__xludf.DUMMYFUNCTION("""COMPUTED_VALUE"""),"Bloco M")</f>
        <v>Bloco M</v>
      </c>
      <c r="H491" s="47">
        <f>IFERROR(__xludf.DUMMYFUNCTION("""COMPUTED_VALUE"""),164.0)</f>
        <v>164</v>
      </c>
      <c r="I491" s="7" t="str">
        <f>IFERROR(__xludf.DUMMYFUNCTION("""COMPUTED_VALUE"""),"Pequenos serviços de reparos em Marcenaria")</f>
        <v>Pequenos serviços de reparos em Marcenaria</v>
      </c>
      <c r="J491" s="13" t="str">
        <f>IFERROR(__xludf.DUMMYFUNCTION("""COMPUTED_VALUE"""),"03 Marcenaria / 23 - Confecção de Armários  (PRAZO DE ATÉ 120 DIAS PARA ATENDIMENTO)")</f>
        <v>03 Marcenaria / 23 - Confecção de Armários  (PRAZO DE ATÉ 120 DIAS PARA ATENDIMENTO)</v>
      </c>
      <c r="K491" s="13"/>
      <c r="L491" s="13" t="str">
        <f>IFERROR(__xludf.DUMMYFUNCTION("""COMPUTED_VALUE"""),"Confeccionar uma base de madeira para esta maca que fica no chão.")</f>
        <v>Confeccionar uma base de madeira para esta maca que fica no chão.</v>
      </c>
      <c r="M491" s="25"/>
      <c r="N491" s="26" t="str">
        <f>IFERROR(__xludf.DUMMYFUNCTION("""COMPUTED_VALUE"""),"Realizado")</f>
        <v>Realizado</v>
      </c>
      <c r="O491" s="11">
        <f>IFERROR(__xludf.DUMMYFUNCTION("""COMPUTED_VALUE"""),45365.0)</f>
        <v>45365</v>
      </c>
      <c r="P491" s="11"/>
    </row>
    <row r="492">
      <c r="A492" s="20" t="str">
        <f>IFERROR(__xludf.DUMMYFUNCTION("""COMPUTED_VALUE"""),"490/2024")</f>
        <v>490/2024</v>
      </c>
      <c r="B492" s="8">
        <f>IFERROR(__xludf.DUMMYFUNCTION("""COMPUTED_VALUE"""),45359.0)</f>
        <v>45359</v>
      </c>
      <c r="C492" s="44" t="str">
        <f>IFERROR(__xludf.DUMMYFUNCTION("""COMPUTED_VALUE"""),"muc.prpe@ufcat.edu.br")</f>
        <v>muc.prpe@ufcat.edu.br</v>
      </c>
      <c r="D492" s="45" t="str">
        <f>IFERROR(__xludf.DUMMYFUNCTION("""COMPUTED_VALUE"""),"DANIEL DOS REIS SIMÕES")</f>
        <v>DANIEL DOS REIS SIMÕES</v>
      </c>
      <c r="E492" s="47">
        <f>IFERROR(__xludf.DUMMYFUNCTION("""COMPUTED_VALUE"""),5333.0)</f>
        <v>5333</v>
      </c>
      <c r="F492" s="45" t="str">
        <f>IFERROR(__xludf.DUMMYFUNCTION("""COMPUTED_VALUE"""),"PRPE")</f>
        <v>PRPE</v>
      </c>
      <c r="G492" s="45" t="str">
        <f>IFERROR(__xludf.DUMMYFUNCTION("""COMPUTED_VALUE"""),"MUC")</f>
        <v>MUC</v>
      </c>
      <c r="H492" s="45" t="str">
        <f>IFERROR(__xludf.DUMMYFUNCTION("""COMPUTED_VALUE"""),"Apto 406")</f>
        <v>Apto 406</v>
      </c>
      <c r="I492" s="7" t="str">
        <f>IFERROR(__xludf.DUMMYFUNCTION("""COMPUTED_VALUE"""),"Reparos (alvenaria, piso, forro e telhado)")</f>
        <v>Reparos (alvenaria, piso, forro e telhado)</v>
      </c>
      <c r="J492" s="13" t="str">
        <f>IFERROR(__xludf.DUMMYFUNCTION("""COMPUTED_VALUE"""),"01 Alvenaria / 06 - Outros (PRAZO DE ATÉ 60 DIAS PARA ATENDIMENTO)")</f>
        <v>01 Alvenaria / 06 - Outros (PRAZO DE ATÉ 60 DIAS PARA ATENDIMENTO)</v>
      </c>
      <c r="K492" s="13"/>
      <c r="L492" s="13" t="str">
        <f>IFERROR(__xludf.DUMMYFUNCTION("""COMPUTED_VALUE"""),"Verificar janela do quarto A, apto 406, pois está entrando muita água quando chove.")</f>
        <v>Verificar janela do quarto A, apto 406, pois está entrando muita água quando chove.</v>
      </c>
      <c r="M492" s="25"/>
      <c r="N492" s="26" t="str">
        <f>IFERROR(__xludf.DUMMYFUNCTION("""COMPUTED_VALUE"""),"Realizado")</f>
        <v>Realizado</v>
      </c>
      <c r="O492" s="11">
        <f>IFERROR(__xludf.DUMMYFUNCTION("""COMPUTED_VALUE"""),45369.0)</f>
        <v>45369</v>
      </c>
      <c r="P492" s="11"/>
    </row>
    <row r="493">
      <c r="A493" s="20" t="str">
        <f>IFERROR(__xludf.DUMMYFUNCTION("""COMPUTED_VALUE"""),"491/2024")</f>
        <v>491/2024</v>
      </c>
      <c r="B493" s="8">
        <f>IFERROR(__xludf.DUMMYFUNCTION("""COMPUTED_VALUE"""),45359.0)</f>
        <v>45359</v>
      </c>
      <c r="C493" s="44" t="str">
        <f>IFERROR(__xludf.DUMMYFUNCTION("""COMPUTED_VALUE"""),"dae.prpe@ufcat.edu.br")</f>
        <v>dae.prpe@ufcat.edu.br</v>
      </c>
      <c r="D493" s="45" t="str">
        <f>IFERROR(__xludf.DUMMYFUNCTION("""COMPUTED_VALUE"""),"Leomar Davi")</f>
        <v>Leomar Davi</v>
      </c>
      <c r="E493" s="47">
        <f>IFERROR(__xludf.DUMMYFUNCTION("""COMPUTED_VALUE"""),5331.0)</f>
        <v>5331</v>
      </c>
      <c r="F493" s="45" t="str">
        <f>IFERROR(__xludf.DUMMYFUNCTION("""COMPUTED_VALUE"""),"PRPE")</f>
        <v>PRPE</v>
      </c>
      <c r="G493" s="45" t="str">
        <f>IFERROR(__xludf.DUMMYFUNCTION("""COMPUTED_VALUE"""),"Bloco Administrativo")</f>
        <v>Bloco Administrativo</v>
      </c>
      <c r="H493" s="45" t="str">
        <f>IFERROR(__xludf.DUMMYFUNCTION("""COMPUTED_VALUE"""),"Sala 102")</f>
        <v>Sala 102</v>
      </c>
      <c r="I493" s="7" t="str">
        <f>IFERROR(__xludf.DUMMYFUNCTION("""COMPUTED_VALUE"""),"Instalações e/ou Manutenção em Cabeamento de Rede")</f>
        <v>Instalações e/ou Manutenção em Cabeamento de Rede</v>
      </c>
      <c r="J493" s="45" t="str">
        <f>IFERROR(__xludf.DUMMYFUNCTION("""COMPUTED_VALUE"""),"05 Telecomunicações / 38 - Cabeamento de Rede (PRAZO DE ATÉ 15 DIAS PARA ATENDIMENTO)")</f>
        <v>05 Telecomunicações / 38 - Cabeamento de Rede (PRAZO DE ATÉ 15 DIAS PARA ATENDIMENTO)</v>
      </c>
      <c r="K493" s="45"/>
      <c r="L493" s="13" t="str">
        <f>IFERROR(__xludf.DUMMYFUNCTION("""COMPUTED_VALUE"""),"Solicitamos a realocação de cabo de rede de internet ")</f>
        <v>Solicitamos a realocação de cabo de rede de internet </v>
      </c>
      <c r="M493" s="25"/>
      <c r="N493" s="26" t="str">
        <f>IFERROR(__xludf.DUMMYFUNCTION("""COMPUTED_VALUE"""),"Realizado")</f>
        <v>Realizado</v>
      </c>
      <c r="O493" s="11">
        <f>IFERROR(__xludf.DUMMYFUNCTION("""COMPUTED_VALUE"""),45363.0)</f>
        <v>45363</v>
      </c>
      <c r="P493" s="11"/>
    </row>
    <row r="494">
      <c r="A494" s="20" t="str">
        <f>IFERROR(__xludf.DUMMYFUNCTION("""COMPUTED_VALUE"""),"492/2024")</f>
        <v>492/2024</v>
      </c>
      <c r="B494" s="8">
        <f>IFERROR(__xludf.DUMMYFUNCTION("""COMPUTED_VALUE"""),45359.0)</f>
        <v>45359</v>
      </c>
      <c r="C494" s="37" t="str">
        <f>IFERROR(__xludf.DUMMYFUNCTION("""COMPUTED_VALUE"""),"secretaria.cep.ufcat@gmail.com")</f>
        <v>secretaria.cep.ufcat@gmail.com</v>
      </c>
      <c r="D494" s="38" t="str">
        <f>IFERROR(__xludf.DUMMYFUNCTION("""COMPUTED_VALUE"""),"Jeane Rabello")</f>
        <v>Jeane Rabello</v>
      </c>
      <c r="E494" s="41">
        <f>IFERROR(__xludf.DUMMYFUNCTION("""COMPUTED_VALUE"""),7609.0)</f>
        <v>7609</v>
      </c>
      <c r="F494" s="38" t="str">
        <f>IFERROR(__xludf.DUMMYFUNCTION("""COMPUTED_VALUE"""),"CEP")</f>
        <v>CEP</v>
      </c>
      <c r="G494" s="38" t="str">
        <f>IFERROR(__xludf.DUMMYFUNCTION("""COMPUTED_VALUE"""),"Didatico I")</f>
        <v>Didatico I</v>
      </c>
      <c r="H494" s="38" t="str">
        <f>IFERROR(__xludf.DUMMYFUNCTION("""COMPUTED_VALUE"""),"Primeiro andar, sala 211")</f>
        <v>Primeiro andar, sala 211</v>
      </c>
      <c r="I494" s="7" t="str">
        <f>IFERROR(__xludf.DUMMYFUNCTION("""COMPUTED_VALUE"""),"Instalações Hidrossanitárias")</f>
        <v>Instalações Hidrossanitárias</v>
      </c>
      <c r="J494" s="38" t="str">
        <f>IFERROR(__xludf.DUMMYFUNCTION("""COMPUTED_VALUE"""),"02 Hidráulica / 22 - Outros (PRAZO DE 15 a 60 DIAS PARA ATENDIMENTO)")</f>
        <v>02 Hidráulica / 22 - Outros (PRAZO DE 15 a 60 DIAS PARA ATENDIMENTO)</v>
      </c>
      <c r="K494" s="38"/>
      <c r="L494" s="29" t="str">
        <f>IFERROR(__xludf.DUMMYFUNCTION("""COMPUTED_VALUE"""),"Instalação do Purificador de água na Copa compartilhada (sala dentro do SIASS)")</f>
        <v>Instalação do Purificador de água na Copa compartilhada (sala dentro do SIASS)</v>
      </c>
      <c r="M494" s="25"/>
      <c r="N494" s="26" t="str">
        <f>IFERROR(__xludf.DUMMYFUNCTION("""COMPUTED_VALUE"""),"Realizado")</f>
        <v>Realizado</v>
      </c>
      <c r="O494" s="11">
        <f>IFERROR(__xludf.DUMMYFUNCTION("""COMPUTED_VALUE"""),45371.0)</f>
        <v>45371</v>
      </c>
      <c r="P494" s="11"/>
    </row>
    <row r="495">
      <c r="A495" s="20" t="str">
        <f>IFERROR(__xludf.DUMMYFUNCTION("""COMPUTED_VALUE"""),"493/2024")</f>
        <v>493/2024</v>
      </c>
      <c r="B495" s="8">
        <f>IFERROR(__xludf.DUMMYFUNCTION("""COMPUTED_VALUE"""),45361.0)</f>
        <v>45361</v>
      </c>
      <c r="C495" s="44" t="str">
        <f>IFERROR(__xludf.DUMMYFUNCTION("""COMPUTED_VALUE"""),"seguranca@ufcat.edu.br")</f>
        <v>seguranca@ufcat.edu.br</v>
      </c>
      <c r="D495" s="45" t="str">
        <f>IFERROR(__xludf.DUMMYFUNCTION("""COMPUTED_VALUE"""),"Carla Braz")</f>
        <v>Carla Braz</v>
      </c>
      <c r="E495" s="47">
        <f>IFERROR(__xludf.DUMMYFUNCTION("""COMPUTED_VALUE"""),5318.0)</f>
        <v>5318</v>
      </c>
      <c r="F495" s="45" t="str">
        <f>IFERROR(__xludf.DUMMYFUNCTION("""COMPUTED_VALUE"""),"CENTRAL DE OPERAÇÕES VIGILÂNCIA")</f>
        <v>CENTRAL DE OPERAÇÕES VIGILÂNCIA</v>
      </c>
      <c r="G495" s="45" t="str">
        <f>IFERROR(__xludf.DUMMYFUNCTION("""COMPUTED_VALUE"""),"Didatico I")</f>
        <v>Didatico I</v>
      </c>
      <c r="H495" s="45" t="str">
        <f>IFERROR(__xludf.DUMMYFUNCTION("""COMPUTED_VALUE"""),"SALA RACK")</f>
        <v>SALA RACK</v>
      </c>
      <c r="I495" s="7" t="str">
        <f>IFERROR(__xludf.DUMMYFUNCTION("""COMPUTED_VALUE"""),"Instalações e/ou Manutenção em Cabeamento de Rede")</f>
        <v>Instalações e/ou Manutenção em Cabeamento de Rede</v>
      </c>
      <c r="J495" s="13" t="str">
        <f>IFERROR(__xludf.DUMMYFUNCTION("""COMPUTED_VALUE"""),"05 Telecomunicações / 39 - CFTV (PRAZO DE ATÉ 15 DIAS PARA ATENDIMENTO)")</f>
        <v>05 Telecomunicações / 39 - CFTV (PRAZO DE ATÉ 15 DIAS PARA ATENDIMENTO)</v>
      </c>
      <c r="K495" s="13"/>
      <c r="L495" s="13" t="str">
        <f>IFERROR(__xludf.DUMMYFUNCTION("""COMPUTED_VALUE"""),"Câmera ""Bicicletário"", desconectada. ")</f>
        <v>Câmera "Bicicletário", desconectada. </v>
      </c>
      <c r="M495" s="25"/>
      <c r="N495" s="26" t="str">
        <f>IFERROR(__xludf.DUMMYFUNCTION("""COMPUTED_VALUE"""),"Realizado")</f>
        <v>Realizado</v>
      </c>
      <c r="O495" s="11">
        <f>IFERROR(__xludf.DUMMYFUNCTION("""COMPUTED_VALUE"""),45363.0)</f>
        <v>45363</v>
      </c>
      <c r="P495" s="11"/>
    </row>
    <row r="496">
      <c r="A496" s="20" t="str">
        <f>IFERROR(__xludf.DUMMYFUNCTION("""COMPUTED_VALUE"""),"494/2024")</f>
        <v>494/2024</v>
      </c>
      <c r="B496" s="8">
        <f>IFERROR(__xludf.DUMMYFUNCTION("""COMPUTED_VALUE"""),45361.0)</f>
        <v>45361</v>
      </c>
      <c r="C496" s="44" t="str">
        <f>IFERROR(__xludf.DUMMYFUNCTION("""COMPUTED_VALUE"""),"seguranca@ufcat.edu.br")</f>
        <v>seguranca@ufcat.edu.br</v>
      </c>
      <c r="D496" s="45" t="str">
        <f>IFERROR(__xludf.DUMMYFUNCTION("""COMPUTED_VALUE"""),"Maria Duarte")</f>
        <v>Maria Duarte</v>
      </c>
      <c r="E496" s="47">
        <f>IFERROR(__xludf.DUMMYFUNCTION("""COMPUTED_VALUE"""),5318.0)</f>
        <v>5318</v>
      </c>
      <c r="F496" s="45" t="str">
        <f>IFERROR(__xludf.DUMMYFUNCTION("""COMPUTED_VALUE"""),"CENTRAL DE OPERAÇÕES VIGILÂNCIA")</f>
        <v>CENTRAL DE OPERAÇÕES VIGILÂNCIA</v>
      </c>
      <c r="G496" s="45" t="str">
        <f>IFERROR(__xludf.DUMMYFUNCTION("""COMPUTED_VALUE"""),"Bloco L")</f>
        <v>Bloco L</v>
      </c>
      <c r="H496" s="45" t="str">
        <f>IFERROR(__xludf.DUMMYFUNCTION("""COMPUTED_VALUE"""),"DVR do Bloco L externo")</f>
        <v>DVR do Bloco L externo</v>
      </c>
      <c r="I496" s="7" t="str">
        <f>IFERROR(__xludf.DUMMYFUNCTION("""COMPUTED_VALUE"""),"Instalações e/ou Manutenção em Cabeamento de Rede")</f>
        <v>Instalações e/ou Manutenção em Cabeamento de Rede</v>
      </c>
      <c r="J496" s="13" t="str">
        <f>IFERROR(__xludf.DUMMYFUNCTION("""COMPUTED_VALUE"""),"05 Telecomunicações / 39 - CFTV (PRAZO DE ATÉ 15 DIAS PARA ATENDIMENTO)")</f>
        <v>05 Telecomunicações / 39 - CFTV (PRAZO DE ATÉ 15 DIAS PARA ATENDIMENTO)</v>
      </c>
      <c r="K496" s="13"/>
      <c r="L496" s="13" t="str">
        <f>IFERROR(__xludf.DUMMYFUNCTION("""COMPUTED_VALUE"""),"DVR do Bloco L Externo continua off-line")</f>
        <v>DVR do Bloco L Externo continua off-line</v>
      </c>
      <c r="M496" s="25"/>
      <c r="N496" s="26" t="str">
        <f>IFERROR(__xludf.DUMMYFUNCTION("""COMPUTED_VALUE"""),"Realizado")</f>
        <v>Realizado</v>
      </c>
      <c r="O496" s="11">
        <f>IFERROR(__xludf.DUMMYFUNCTION("""COMPUTED_VALUE"""),45363.0)</f>
        <v>45363</v>
      </c>
      <c r="P496" s="11"/>
    </row>
    <row r="497">
      <c r="A497" s="20" t="str">
        <f>IFERROR(__xludf.DUMMYFUNCTION("""COMPUTED_VALUE"""),"495/2024")</f>
        <v>495/2024</v>
      </c>
      <c r="B497" s="8">
        <f>IFERROR(__xludf.DUMMYFUNCTION("""COMPUTED_VALUE"""),45361.0)</f>
        <v>45361</v>
      </c>
      <c r="C497" s="44" t="str">
        <f>IFERROR(__xludf.DUMMYFUNCTION("""COMPUTED_VALUE"""),"seguranca@ufcat.edu.br")</f>
        <v>seguranca@ufcat.edu.br</v>
      </c>
      <c r="D497" s="45" t="str">
        <f>IFERROR(__xludf.DUMMYFUNCTION("""COMPUTED_VALUE"""),"Maria Duarte")</f>
        <v>Maria Duarte</v>
      </c>
      <c r="E497" s="47">
        <f>IFERROR(__xludf.DUMMYFUNCTION("""COMPUTED_VALUE"""),5318.0)</f>
        <v>5318</v>
      </c>
      <c r="F497" s="45" t="str">
        <f>IFERROR(__xludf.DUMMYFUNCTION("""COMPUTED_VALUE"""),"CENTRAL DE OPERAÇÕES VIGILÂNCIA")</f>
        <v>CENTRAL DE OPERAÇÕES VIGILÂNCIA</v>
      </c>
      <c r="G497" s="45" t="str">
        <f>IFERROR(__xludf.DUMMYFUNCTION("""COMPUTED_VALUE"""),"Bloco L")</f>
        <v>Bloco L</v>
      </c>
      <c r="H497" s="45" t="str">
        <f>IFERROR(__xludf.DUMMYFUNCTION("""COMPUTED_VALUE"""),"DVR do Bloco L ")</f>
        <v>DVR do Bloco L </v>
      </c>
      <c r="I497" s="7" t="str">
        <f>IFERROR(__xludf.DUMMYFUNCTION("""COMPUTED_VALUE"""),"Instalações e/ou Manutenção em Cabeamento de Rede")</f>
        <v>Instalações e/ou Manutenção em Cabeamento de Rede</v>
      </c>
      <c r="J497" s="13" t="str">
        <f>IFERROR(__xludf.DUMMYFUNCTION("""COMPUTED_VALUE"""),"05 Telecomunicações / 39 - CFTV (PRAZO DE ATÉ 15 DIAS PARA ATENDIMENTO)")</f>
        <v>05 Telecomunicações / 39 - CFTV (PRAZO DE ATÉ 15 DIAS PARA ATENDIMENTO)</v>
      </c>
      <c r="K497" s="13"/>
      <c r="L497" s="13" t="str">
        <f>IFERROR(__xludf.DUMMYFUNCTION("""COMPUTED_VALUE"""),"DVR do Bloco L, se encontra com a data e o horário incorreto após uma queda de energia. ")</f>
        <v>DVR do Bloco L, se encontra com a data e o horário incorreto após uma queda de energia. </v>
      </c>
      <c r="M497" s="25"/>
      <c r="N497" s="26" t="str">
        <f>IFERROR(__xludf.DUMMYFUNCTION("""COMPUTED_VALUE"""),"Realizado")</f>
        <v>Realizado</v>
      </c>
      <c r="O497" s="11">
        <f>IFERROR(__xludf.DUMMYFUNCTION("""COMPUTED_VALUE"""),45363.0)</f>
        <v>45363</v>
      </c>
      <c r="P497" s="11"/>
    </row>
    <row r="498">
      <c r="A498" s="20" t="str">
        <f>IFERROR(__xludf.DUMMYFUNCTION("""COMPUTED_VALUE"""),"496/2024")</f>
        <v>496/2024</v>
      </c>
      <c r="B498" s="8">
        <f>IFERROR(__xludf.DUMMYFUNCTION("""COMPUTED_VALUE"""),45361.0)</f>
        <v>45361</v>
      </c>
      <c r="C498" s="44" t="str">
        <f>IFERROR(__xludf.DUMMYFUNCTION("""COMPUTED_VALUE"""),"seguranca@ufcat.edu.br")</f>
        <v>seguranca@ufcat.edu.br</v>
      </c>
      <c r="D498" s="45" t="str">
        <f>IFERROR(__xludf.DUMMYFUNCTION("""COMPUTED_VALUE"""),"Maria Duarte")</f>
        <v>Maria Duarte</v>
      </c>
      <c r="E498" s="47">
        <f>IFERROR(__xludf.DUMMYFUNCTION("""COMPUTED_VALUE"""),5318.0)</f>
        <v>5318</v>
      </c>
      <c r="F498" s="45" t="str">
        <f>IFERROR(__xludf.DUMMYFUNCTION("""COMPUTED_VALUE"""),"CENTRAL DE OPERAÇÕES VIGILÂNCIA")</f>
        <v>CENTRAL DE OPERAÇÕES VIGILÂNCIA</v>
      </c>
      <c r="G498" s="45" t="str">
        <f>IFERROR(__xludf.DUMMYFUNCTION("""COMPUTED_VALUE"""),"Bloco Administrativo")</f>
        <v>Bloco Administrativo</v>
      </c>
      <c r="H498" s="45" t="str">
        <f>IFERROR(__xludf.DUMMYFUNCTION("""COMPUTED_VALUE"""),"DVR do Bloco Administrativo ")</f>
        <v>DVR do Bloco Administrativo </v>
      </c>
      <c r="I498" s="7" t="str">
        <f>IFERROR(__xludf.DUMMYFUNCTION("""COMPUTED_VALUE"""),"Instalações e/ou Manutenção em Cabeamento de Rede")</f>
        <v>Instalações e/ou Manutenção em Cabeamento de Rede</v>
      </c>
      <c r="J498" s="13" t="str">
        <f>IFERROR(__xludf.DUMMYFUNCTION("""COMPUTED_VALUE"""),"05 Telecomunicações / 39 - CFTV (PRAZO DE ATÉ 15 DIAS PARA ATENDIMENTO)")</f>
        <v>05 Telecomunicações / 39 - CFTV (PRAZO DE ATÉ 15 DIAS PARA ATENDIMENTO)</v>
      </c>
      <c r="K498" s="13"/>
      <c r="L498" s="13" t="str">
        <f>IFERROR(__xludf.DUMMYFUNCTION("""COMPUTED_VALUE"""),"DVR do Bloco Administrativo, se encontra com a data e o horário incorreto após uma queda de energia. ")</f>
        <v>DVR do Bloco Administrativo, se encontra com a data e o horário incorreto após uma queda de energia. </v>
      </c>
      <c r="M498" s="25"/>
      <c r="N498" s="26" t="str">
        <f>IFERROR(__xludf.DUMMYFUNCTION("""COMPUTED_VALUE"""),"Realizado")</f>
        <v>Realizado</v>
      </c>
      <c r="O498" s="11">
        <f>IFERROR(__xludf.DUMMYFUNCTION("""COMPUTED_VALUE"""),45363.0)</f>
        <v>45363</v>
      </c>
      <c r="P498" s="11"/>
    </row>
    <row r="499">
      <c r="A499" s="20" t="str">
        <f>IFERROR(__xludf.DUMMYFUNCTION("""COMPUTED_VALUE"""),"497/2024")</f>
        <v>497/2024</v>
      </c>
      <c r="B499" s="8">
        <f>IFERROR(__xludf.DUMMYFUNCTION("""COMPUTED_VALUE"""),45361.0)</f>
        <v>45361</v>
      </c>
      <c r="C499" s="44" t="str">
        <f>IFERROR(__xludf.DUMMYFUNCTION("""COMPUTED_VALUE"""),"seguranca@ufcat.edu.br")</f>
        <v>seguranca@ufcat.edu.br</v>
      </c>
      <c r="D499" s="45" t="str">
        <f>IFERROR(__xludf.DUMMYFUNCTION("""COMPUTED_VALUE"""),"Maria Duarte")</f>
        <v>Maria Duarte</v>
      </c>
      <c r="E499" s="47">
        <f>IFERROR(__xludf.DUMMYFUNCTION("""COMPUTED_VALUE"""),5318.0)</f>
        <v>5318</v>
      </c>
      <c r="F499" s="45" t="str">
        <f>IFERROR(__xludf.DUMMYFUNCTION("""COMPUTED_VALUE"""),"CENTRAL DE OPERAÇÕES VIGILÂNCIA")</f>
        <v>CENTRAL DE OPERAÇÕES VIGILÂNCIA</v>
      </c>
      <c r="G499" s="45" t="str">
        <f>IFERROR(__xludf.DUMMYFUNCTION("""COMPUTED_VALUE"""),"Campus II")</f>
        <v>Campus II</v>
      </c>
      <c r="H499" s="45" t="str">
        <f>IFERROR(__xludf.DUMMYFUNCTION("""COMPUTED_VALUE"""),"DVR do Campus II")</f>
        <v>DVR do Campus II</v>
      </c>
      <c r="I499" s="7" t="str">
        <f>IFERROR(__xludf.DUMMYFUNCTION("""COMPUTED_VALUE"""),"Instalações e/ou Manutenção em Cabeamento de Rede")</f>
        <v>Instalações e/ou Manutenção em Cabeamento de Rede</v>
      </c>
      <c r="J499" s="13" t="str">
        <f>IFERROR(__xludf.DUMMYFUNCTION("""COMPUTED_VALUE"""),"05 Telecomunicações / 39 - CFTV (PRAZO DE ATÉ 15 DIAS PARA ATENDIMENTO)")</f>
        <v>05 Telecomunicações / 39 - CFTV (PRAZO DE ATÉ 15 DIAS PARA ATENDIMENTO)</v>
      </c>
      <c r="K499" s="13"/>
      <c r="L499" s="13" t="str">
        <f>IFERROR(__xludf.DUMMYFUNCTION("""COMPUTED_VALUE"""),"DVR do Campus II, se encontra com a data e o horário incorreto após uma queda de energia. ")</f>
        <v>DVR do Campus II, se encontra com a data e o horário incorreto após uma queda de energia. </v>
      </c>
      <c r="M499" s="25"/>
      <c r="N499" s="26" t="str">
        <f>IFERROR(__xludf.DUMMYFUNCTION("""COMPUTED_VALUE"""),"Realizado")</f>
        <v>Realizado</v>
      </c>
      <c r="O499" s="11">
        <f>IFERROR(__xludf.DUMMYFUNCTION("""COMPUTED_VALUE"""),45370.0)</f>
        <v>45370</v>
      </c>
      <c r="P499" s="11"/>
    </row>
    <row r="500">
      <c r="A500" s="20" t="str">
        <f>IFERROR(__xludf.DUMMYFUNCTION("""COMPUTED_VALUE"""),"498/2024")</f>
        <v>498/2024</v>
      </c>
      <c r="B500" s="8">
        <f>IFERROR(__xludf.DUMMYFUNCTION("""COMPUTED_VALUE"""),45362.0)</f>
        <v>45362</v>
      </c>
      <c r="C500" s="21" t="str">
        <f>IFERROR(__xludf.DUMMYFUNCTION("""COMPUTED_VALUE"""),"marcia.mendes@ufcat.edu.br")</f>
        <v>marcia.mendes@ufcat.edu.br</v>
      </c>
      <c r="D500" s="22" t="str">
        <f>IFERROR(__xludf.DUMMYFUNCTION("""COMPUTED_VALUE"""),"Marcia")</f>
        <v>Marcia</v>
      </c>
      <c r="E500" s="22" t="str">
        <f>IFERROR(__xludf.DUMMYFUNCTION("""COMPUTED_VALUE"""),"64 98412-9238")</f>
        <v>64 98412-9238</v>
      </c>
      <c r="F500" s="22" t="str">
        <f>IFERROR(__xludf.DUMMYFUNCTION("""COMPUTED_VALUE"""),"IQ")</f>
        <v>IQ</v>
      </c>
      <c r="G500" s="22" t="str">
        <f>IFERROR(__xludf.DUMMYFUNCTION("""COMPUTED_VALUE"""),"Bloco N")</f>
        <v>Bloco N</v>
      </c>
      <c r="H500" s="22" t="str">
        <f>IFERROR(__xludf.DUMMYFUNCTION("""COMPUTED_VALUE"""),"Sala 111.")</f>
        <v>Sala 111.</v>
      </c>
      <c r="I500" s="7" t="str">
        <f>IFERROR(__xludf.DUMMYFUNCTION("""COMPUTED_VALUE"""),"Pequenos serviços de reparos em Marcenaria")</f>
        <v>Pequenos serviços de reparos em Marcenaria</v>
      </c>
      <c r="J500" s="15" t="str">
        <f>IFERROR(__xludf.DUMMYFUNCTION("""COMPUTED_VALUE"""),"03 Marcenaria / 29 - Outros (PRAZO DE ACORDO COM A DEMANDA)")</f>
        <v>03 Marcenaria / 29 - Outros (PRAZO DE ACORDO COM A DEMANDA)</v>
      </c>
      <c r="K500" s="15"/>
      <c r="L500" s="15" t="str">
        <f>IFERROR(__xludf.DUMMYFUNCTION("""COMPUTED_VALUE"""),"Trocar maçaneta quebrada.")</f>
        <v>Trocar maçaneta quebrada.</v>
      </c>
      <c r="M500" s="25"/>
      <c r="N500" s="26" t="str">
        <f>IFERROR(__xludf.DUMMYFUNCTION("""COMPUTED_VALUE"""),"Realizado")</f>
        <v>Realizado</v>
      </c>
      <c r="O500" s="11">
        <f>IFERROR(__xludf.DUMMYFUNCTION("""COMPUTED_VALUE"""),45371.0)</f>
        <v>45371</v>
      </c>
      <c r="P500" s="11"/>
    </row>
    <row r="501">
      <c r="A501" s="20" t="str">
        <f>IFERROR(__xludf.DUMMYFUNCTION("""COMPUTED_VALUE"""),"499/2024")</f>
        <v>499/2024</v>
      </c>
      <c r="B501" s="8">
        <f>IFERROR(__xludf.DUMMYFUNCTION("""COMPUTED_VALUE"""),45362.0)</f>
        <v>45362</v>
      </c>
      <c r="C501" s="21" t="str">
        <f>IFERROR(__xludf.DUMMYFUNCTION("""COMPUTED_VALUE"""),"marcia.mendes@ufcat.edu.br")</f>
        <v>marcia.mendes@ufcat.edu.br</v>
      </c>
      <c r="D501" s="22" t="str">
        <f>IFERROR(__xludf.DUMMYFUNCTION("""COMPUTED_VALUE"""),"Marcia")</f>
        <v>Marcia</v>
      </c>
      <c r="E501" s="22" t="str">
        <f>IFERROR(__xludf.DUMMYFUNCTION("""COMPUTED_VALUE"""),"64 98412-9238")</f>
        <v>64 98412-9238</v>
      </c>
      <c r="F501" s="22" t="str">
        <f>IFERROR(__xludf.DUMMYFUNCTION("""COMPUTED_VALUE"""),"IQ")</f>
        <v>IQ</v>
      </c>
      <c r="G501" s="22" t="str">
        <f>IFERROR(__xludf.DUMMYFUNCTION("""COMPUTED_VALUE"""),"Bloco N")</f>
        <v>Bloco N</v>
      </c>
      <c r="H501" s="40">
        <f>IFERROR(__xludf.DUMMYFUNCTION("""COMPUTED_VALUE"""),115.0)</f>
        <v>115</v>
      </c>
      <c r="I501" s="7" t="str">
        <f>IFERROR(__xludf.DUMMYFUNCTION("""COMPUTED_VALUE"""),"Pequenos serviços de reparos em Marcenaria")</f>
        <v>Pequenos serviços de reparos em Marcenaria</v>
      </c>
      <c r="J501" s="15" t="str">
        <f>IFERROR(__xludf.DUMMYFUNCTION("""COMPUTED_VALUE"""),"03 Marcenaria / 24 - Conserto de Móveis (PRAZO DE ATÉ 60 DIAS PARA ATENDIMENTO)")</f>
        <v>03 Marcenaria / 24 - Conserto de Móveis (PRAZO DE ATÉ 60 DIAS PARA ATENDIMENTO)</v>
      </c>
      <c r="K501" s="15"/>
      <c r="L501" s="15" t="str">
        <f>IFERROR(__xludf.DUMMYFUNCTION("""COMPUTED_VALUE"""),"Consertar 3 banquetas.")</f>
        <v>Consertar 3 banquetas.</v>
      </c>
      <c r="M501" s="25"/>
      <c r="N501" s="26" t="str">
        <f>IFERROR(__xludf.DUMMYFUNCTION("""COMPUTED_VALUE"""),"Realizado")</f>
        <v>Realizado</v>
      </c>
      <c r="O501" s="11">
        <f>IFERROR(__xludf.DUMMYFUNCTION("""COMPUTED_VALUE"""),45390.0)</f>
        <v>45390</v>
      </c>
      <c r="P501" s="12"/>
    </row>
    <row r="502">
      <c r="A502" s="20" t="str">
        <f>IFERROR(__xludf.DUMMYFUNCTION("""COMPUTED_VALUE"""),"500/2024")</f>
        <v>500/2024</v>
      </c>
      <c r="B502" s="8">
        <f>IFERROR(__xludf.DUMMYFUNCTION("""COMPUTED_VALUE"""),45362.0)</f>
        <v>45362</v>
      </c>
      <c r="C502" s="44" t="str">
        <f>IFERROR(__xludf.DUMMYFUNCTION("""COMPUTED_VALUE"""),"seguranca@ufcat.edu.br")</f>
        <v>seguranca@ufcat.edu.br</v>
      </c>
      <c r="D502" s="45" t="str">
        <f>IFERROR(__xludf.DUMMYFUNCTION("""COMPUTED_VALUE"""),"Carla Braz ")</f>
        <v>Carla Braz </v>
      </c>
      <c r="E502" s="47">
        <f>IFERROR(__xludf.DUMMYFUNCTION("""COMPUTED_VALUE"""),5318.0)</f>
        <v>5318</v>
      </c>
      <c r="F502" s="45" t="str">
        <f>IFERROR(__xludf.DUMMYFUNCTION("""COMPUTED_VALUE"""),"CENTRAL DE OPERAÇÕES VIGILÂNCIA")</f>
        <v>CENTRAL DE OPERAÇÕES VIGILÂNCIA</v>
      </c>
      <c r="G502" s="45" t="str">
        <f>IFERROR(__xludf.DUMMYFUNCTION("""COMPUTED_VALUE"""),"Campus II")</f>
        <v>Campus II</v>
      </c>
      <c r="H502" s="45" t="str">
        <f>IFERROR(__xludf.DUMMYFUNCTION("""COMPUTED_VALUE"""),"Entrada Lateral")</f>
        <v>Entrada Lateral</v>
      </c>
      <c r="I502" s="7" t="str">
        <f>IFERROR(__xludf.DUMMYFUNCTION("""COMPUTED_VALUE"""),"Instalações e/ou Manutenção em Cabeamento de Rede")</f>
        <v>Instalações e/ou Manutenção em Cabeamento de Rede</v>
      </c>
      <c r="J502" s="13" t="str">
        <f>IFERROR(__xludf.DUMMYFUNCTION("""COMPUTED_VALUE"""),"05 Telecomunicações / 39 - CFTV (PRAZO DE ATÉ 15 DIAS PARA ATENDIMENTO)")</f>
        <v>05 Telecomunicações / 39 - CFTV (PRAZO DE ATÉ 15 DIAS PARA ATENDIMENTO)</v>
      </c>
      <c r="K502" s="13"/>
      <c r="L502" s="13" t="str">
        <f>IFERROR(__xludf.DUMMYFUNCTION("""COMPUTED_VALUE"""),"Câmera ""Entrada Lateral"" está com interferência.")</f>
        <v>Câmera "Entrada Lateral" está com interferência.</v>
      </c>
      <c r="M502" s="25"/>
      <c r="N502" s="26" t="str">
        <f>IFERROR(__xludf.DUMMYFUNCTION("""COMPUTED_VALUE"""),"Realizado")</f>
        <v>Realizado</v>
      </c>
      <c r="O502" s="17">
        <f>IFERROR(__xludf.DUMMYFUNCTION("""COMPUTED_VALUE"""),45371.0)</f>
        <v>45371</v>
      </c>
      <c r="P502" s="17"/>
    </row>
    <row r="503">
      <c r="A503" s="20" t="str">
        <f>IFERROR(__xludf.DUMMYFUNCTION("""COMPUTED_VALUE"""),"501/2024")</f>
        <v>501/2024</v>
      </c>
      <c r="B503" s="8">
        <f>IFERROR(__xludf.DUMMYFUNCTION("""COMPUTED_VALUE"""),45362.0)</f>
        <v>45362</v>
      </c>
      <c r="C503" s="21" t="str">
        <f>IFERROR(__xludf.DUMMYFUNCTION("""COMPUTED_VALUE"""),"seguranca@ufcat.edu.br")</f>
        <v>seguranca@ufcat.edu.br</v>
      </c>
      <c r="D503" s="22" t="str">
        <f>IFERROR(__xludf.DUMMYFUNCTION("""COMPUTED_VALUE"""),"Carla Braz")</f>
        <v>Carla Braz</v>
      </c>
      <c r="E503" s="40">
        <f>IFERROR(__xludf.DUMMYFUNCTION("""COMPUTED_VALUE"""),5318.0)</f>
        <v>5318</v>
      </c>
      <c r="F503" s="22" t="str">
        <f>IFERROR(__xludf.DUMMYFUNCTION("""COMPUTED_VALUE"""),"CENTRAL DE OPERAÇÕES VIGILÂNCIA")</f>
        <v>CENTRAL DE OPERAÇÕES VIGILÂNCIA</v>
      </c>
      <c r="G503" s="22" t="str">
        <f>IFERROR(__xludf.DUMMYFUNCTION("""COMPUTED_VALUE"""),"Bloco O")</f>
        <v>Bloco O</v>
      </c>
      <c r="H503" s="22" t="str">
        <f>IFERROR(__xludf.DUMMYFUNCTION("""COMPUTED_VALUE"""),"Sala Rack")</f>
        <v>Sala Rack</v>
      </c>
      <c r="I503" s="7" t="str">
        <f>IFERROR(__xludf.DUMMYFUNCTION("""COMPUTED_VALUE"""),"Instalações e/ou Manutenção em Cabeamento de Rede")</f>
        <v>Instalações e/ou Manutenção em Cabeamento de Rede</v>
      </c>
      <c r="J503" s="15" t="str">
        <f>IFERROR(__xludf.DUMMYFUNCTION("""COMPUTED_VALUE"""),"05 Telecomunicações / 39 - CFTV (PRAZO DE ATÉ 15 DIAS PARA ATENDIMENTO)")</f>
        <v>05 Telecomunicações / 39 - CFTV (PRAZO DE ATÉ 15 DIAS PARA ATENDIMENTO)</v>
      </c>
      <c r="K503" s="15"/>
      <c r="L503" s="15" t="str">
        <f>IFERROR(__xludf.DUMMYFUNCTION("""COMPUTED_VALUE"""),"DVR DESCONECTADO ")</f>
        <v>DVR DESCONECTADO </v>
      </c>
      <c r="M503" s="25"/>
      <c r="N503" s="26" t="str">
        <f>IFERROR(__xludf.DUMMYFUNCTION("""COMPUTED_VALUE"""),"Realizado")</f>
        <v>Realizado</v>
      </c>
      <c r="O503" s="11">
        <f>IFERROR(__xludf.DUMMYFUNCTION("""COMPUTED_VALUE"""),45363.0)</f>
        <v>45363</v>
      </c>
      <c r="P503" s="11"/>
    </row>
    <row r="504">
      <c r="A504" s="20" t="str">
        <f>IFERROR(__xludf.DUMMYFUNCTION("""COMPUTED_VALUE"""),"502/2024")</f>
        <v>502/2024</v>
      </c>
      <c r="B504" s="8">
        <f>IFERROR(__xludf.DUMMYFUNCTION("""COMPUTED_VALUE"""),45362.0)</f>
        <v>45362</v>
      </c>
      <c r="C504" s="44" t="str">
        <f>IFERROR(__xludf.DUMMYFUNCTION("""COMPUTED_VALUE"""),"muc.prpe@ufcat.edu.br")</f>
        <v>muc.prpe@ufcat.edu.br</v>
      </c>
      <c r="D504" s="45" t="str">
        <f>IFERROR(__xludf.DUMMYFUNCTION("""COMPUTED_VALUE"""),"Ludmila")</f>
        <v>Ludmila</v>
      </c>
      <c r="E504" s="47">
        <f>IFERROR(__xludf.DUMMYFUNCTION("""COMPUTED_VALUE"""),5333.0)</f>
        <v>5333</v>
      </c>
      <c r="F504" s="45" t="str">
        <f>IFERROR(__xludf.DUMMYFUNCTION("""COMPUTED_VALUE"""),"PRPE")</f>
        <v>PRPE</v>
      </c>
      <c r="G504" s="45" t="str">
        <f>IFERROR(__xludf.DUMMYFUNCTION("""COMPUTED_VALUE"""),"MUC")</f>
        <v>MUC</v>
      </c>
      <c r="H504" s="45" t="str">
        <f>IFERROR(__xludf.DUMMYFUNCTION("""COMPUTED_VALUE"""),"apto 404")</f>
        <v>apto 404</v>
      </c>
      <c r="I504" s="7" t="str">
        <f>IFERROR(__xludf.DUMMYFUNCTION("""COMPUTED_VALUE"""),"Reparos (alvenaria, piso, forro e telhado)")</f>
        <v>Reparos (alvenaria, piso, forro e telhado)</v>
      </c>
      <c r="J504" s="13" t="str">
        <f>IFERROR(__xludf.DUMMYFUNCTION("""COMPUTED_VALUE"""),"01 Alvenaria / 06 - Outros (PRAZO DE ATÉ 60 DIAS PARA ATENDIMENTO)")</f>
        <v>01 Alvenaria / 06 - Outros (PRAZO DE ATÉ 60 DIAS PARA ATENDIMENTO)</v>
      </c>
      <c r="K504" s="13"/>
      <c r="L504" s="13" t="str">
        <f>IFERROR(__xludf.DUMMYFUNCTION("""COMPUTED_VALUE"""),"esta entrando agua pelas janelas do quarto B quando chove")</f>
        <v>esta entrando agua pelas janelas do quarto B quando chove</v>
      </c>
      <c r="M504" s="25"/>
      <c r="N504" s="26" t="str">
        <f>IFERROR(__xludf.DUMMYFUNCTION("""COMPUTED_VALUE"""),"Realizado")</f>
        <v>Realizado</v>
      </c>
      <c r="O504" s="11">
        <f>IFERROR(__xludf.DUMMYFUNCTION("""COMPUTED_VALUE"""),45369.0)</f>
        <v>45369</v>
      </c>
      <c r="P504" s="11"/>
    </row>
    <row r="505">
      <c r="A505" s="20" t="str">
        <f>IFERROR(__xludf.DUMMYFUNCTION("""COMPUTED_VALUE"""),"503/2024")</f>
        <v>503/2024</v>
      </c>
      <c r="B505" s="8">
        <f>IFERROR(__xludf.DUMMYFUNCTION("""COMPUTED_VALUE"""),45362.0)</f>
        <v>45362</v>
      </c>
      <c r="C505" s="44" t="str">
        <f>IFERROR(__xludf.DUMMYFUNCTION("""COMPUTED_VALUE"""),"muc.prpe@ufcat.edu.br")</f>
        <v>muc.prpe@ufcat.edu.br</v>
      </c>
      <c r="D505" s="45" t="str">
        <f>IFERROR(__xludf.DUMMYFUNCTION("""COMPUTED_VALUE"""),"DANIEL DOS REIS SIMÕES")</f>
        <v>DANIEL DOS REIS SIMÕES</v>
      </c>
      <c r="E505" s="47">
        <f>IFERROR(__xludf.DUMMYFUNCTION("""COMPUTED_VALUE"""),5333.0)</f>
        <v>5333</v>
      </c>
      <c r="F505" s="45" t="str">
        <f>IFERROR(__xludf.DUMMYFUNCTION("""COMPUTED_VALUE"""),"PRPE")</f>
        <v>PRPE</v>
      </c>
      <c r="G505" s="45" t="str">
        <f>IFERROR(__xludf.DUMMYFUNCTION("""COMPUTED_VALUE"""),"MUC")</f>
        <v>MUC</v>
      </c>
      <c r="H505" s="45" t="str">
        <f>IFERROR(__xludf.DUMMYFUNCTION("""COMPUTED_VALUE"""),"Apto 405")</f>
        <v>Apto 405</v>
      </c>
      <c r="I505" s="7" t="str">
        <f>IFERROR(__xludf.DUMMYFUNCTION("""COMPUTED_VALUE"""),"Pequenos serviços de reparos em Marcenaria")</f>
        <v>Pequenos serviços de reparos em Marcenaria</v>
      </c>
      <c r="J505" s="13" t="str">
        <f>IFERROR(__xludf.DUMMYFUNCTION("""COMPUTED_VALUE"""),"03 Marcenaria / 29 - Outros (PRAZO DE ACORDO COM A DEMANDA)")</f>
        <v>03 Marcenaria / 29 - Outros (PRAZO DE ACORDO COM A DEMANDA)</v>
      </c>
      <c r="K505" s="13"/>
      <c r="L505" s="13" t="str">
        <f>IFERROR(__xludf.DUMMYFUNCTION("""COMPUTED_VALUE"""),"Colocar a porta no guarda-roupa que se soltou. Apto 405, quarto B.")</f>
        <v>Colocar a porta no guarda-roupa que se soltou. Apto 405, quarto B.</v>
      </c>
      <c r="M505" s="25"/>
      <c r="N505" s="26" t="str">
        <f>IFERROR(__xludf.DUMMYFUNCTION("""COMPUTED_VALUE"""),"Realizado")</f>
        <v>Realizado</v>
      </c>
      <c r="O505" s="11">
        <f>IFERROR(__xludf.DUMMYFUNCTION("""COMPUTED_VALUE"""),45369.0)</f>
        <v>45369</v>
      </c>
      <c r="P505" s="11"/>
    </row>
    <row r="506">
      <c r="A506" s="20" t="str">
        <f>IFERROR(__xludf.DUMMYFUNCTION("""COMPUTED_VALUE"""),"504/2024")</f>
        <v>504/2024</v>
      </c>
      <c r="B506" s="8">
        <f>IFERROR(__xludf.DUMMYFUNCTION("""COMPUTED_VALUE"""),45362.0)</f>
        <v>45362</v>
      </c>
      <c r="C506" s="44" t="str">
        <f>IFERROR(__xludf.DUMMYFUNCTION("""COMPUTED_VALUE"""),"seguranca@ufcat.edu.br")</f>
        <v>seguranca@ufcat.edu.br</v>
      </c>
      <c r="D506" s="45" t="str">
        <f>IFERROR(__xludf.DUMMYFUNCTION("""COMPUTED_VALUE"""),"Carla Braz")</f>
        <v>Carla Braz</v>
      </c>
      <c r="E506" s="47">
        <f>IFERROR(__xludf.DUMMYFUNCTION("""COMPUTED_VALUE"""),5318.0)</f>
        <v>5318</v>
      </c>
      <c r="F506" s="45" t="str">
        <f>IFERROR(__xludf.DUMMYFUNCTION("""COMPUTED_VALUE"""),"CENTRAL DE OPERAÇÕES VIGILÂNCIA")</f>
        <v>CENTRAL DE OPERAÇÕES VIGILÂNCIA</v>
      </c>
      <c r="G506" s="45" t="str">
        <f>IFERROR(__xludf.DUMMYFUNCTION("""COMPUTED_VALUE"""),"Bloco K")</f>
        <v>Bloco K</v>
      </c>
      <c r="H506" s="13" t="str">
        <f>IFERROR(__xludf.DUMMYFUNCTION("""COMPUTED_VALUE"""),"ENTRADA RAIO X")</f>
        <v>ENTRADA RAIO X</v>
      </c>
      <c r="I506" s="7" t="str">
        <f>IFERROR(__xludf.DUMMYFUNCTION("""COMPUTED_VALUE"""),"Instalações e/ou Manutenção em Cabeamento de Rede")</f>
        <v>Instalações e/ou Manutenção em Cabeamento de Rede</v>
      </c>
      <c r="J506" s="13" t="str">
        <f>IFERROR(__xludf.DUMMYFUNCTION("""COMPUTED_VALUE"""),"05 Telecomunicações / 39 - CFTV (PRAZO DE ATÉ 15 DIAS PARA ATENDIMENTO)")</f>
        <v>05 Telecomunicações / 39 - CFTV (PRAZO DE ATÉ 15 DIAS PARA ATENDIMENTO)</v>
      </c>
      <c r="K506" s="13"/>
      <c r="L506" s="13" t="str">
        <f>IFERROR(__xludf.DUMMYFUNCTION("""COMPUTED_VALUE"""),"Funcionária da equipe da limpeza ao passar a vassoura na câmera de segurança acabou movendo-a para outro ângulo, sendo necessário reposiciona-lá.")</f>
        <v>Funcionária da equipe da limpeza ao passar a vassoura na câmera de segurança acabou movendo-a para outro ângulo, sendo necessário reposiciona-lá.</v>
      </c>
      <c r="M506" s="25"/>
      <c r="N506" s="26" t="str">
        <f>IFERROR(__xludf.DUMMYFUNCTION("""COMPUTED_VALUE"""),"Realizado")</f>
        <v>Realizado</v>
      </c>
      <c r="O506" s="11">
        <f>IFERROR(__xludf.DUMMYFUNCTION("""COMPUTED_VALUE"""),45363.0)</f>
        <v>45363</v>
      </c>
      <c r="P506" s="11"/>
    </row>
    <row r="507">
      <c r="A507" s="20" t="str">
        <f>IFERROR(__xludf.DUMMYFUNCTION("""COMPUTED_VALUE"""),"505/2024")</f>
        <v>505/2024</v>
      </c>
      <c r="B507" s="8">
        <f>IFERROR(__xludf.DUMMYFUNCTION("""COMPUTED_VALUE"""),45362.0)</f>
        <v>45362</v>
      </c>
      <c r="C507" s="44" t="str">
        <f>IFERROR(__xludf.DUMMYFUNCTION("""COMPUTED_VALUE"""),"seguranca@ufcat.edu.br")</f>
        <v>seguranca@ufcat.edu.br</v>
      </c>
      <c r="D507" s="52" t="str">
        <f>IFERROR(__xludf.DUMMYFUNCTION("""COMPUTED_VALUE"""),"neide da costa ")</f>
        <v>neide da costa </v>
      </c>
      <c r="E507" s="53">
        <f>IFERROR(__xludf.DUMMYFUNCTION("""COMPUTED_VALUE"""),5318.0)</f>
        <v>5318</v>
      </c>
      <c r="F507" s="52" t="str">
        <f>IFERROR(__xludf.DUMMYFUNCTION("""COMPUTED_VALUE"""),"CENTRAL DE OPERAÇÕES VIGILÂNCIA")</f>
        <v>CENTRAL DE OPERAÇÕES VIGILÂNCIA</v>
      </c>
      <c r="G507" s="52" t="str">
        <f>IFERROR(__xludf.DUMMYFUNCTION("""COMPUTED_VALUE"""),"Auditório Paulo de Bastos")</f>
        <v>Auditório Paulo de Bastos</v>
      </c>
      <c r="H507" s="52" t="str">
        <f>IFERROR(__xludf.DUMMYFUNCTION("""COMPUTED_VALUE"""),"Câmera auditorio dos fundos  e auditorio garagem ")</f>
        <v>Câmera auditorio dos fundos  e auditorio garagem </v>
      </c>
      <c r="I507" s="7" t="str">
        <f>IFERROR(__xludf.DUMMYFUNCTION("""COMPUTED_VALUE"""),"Instalações e/ou Manutenção em Cabeamento de Rede")</f>
        <v>Instalações e/ou Manutenção em Cabeamento de Rede</v>
      </c>
      <c r="J507" s="13" t="str">
        <f>IFERROR(__xludf.DUMMYFUNCTION("""COMPUTED_VALUE"""),"05 Telecomunicações / 39 - CFTV (PRAZO DE ATÉ 15 DIAS PARA ATENDIMENTO)")</f>
        <v>05 Telecomunicações / 39 - CFTV (PRAZO DE ATÉ 15 DIAS PARA ATENDIMENTO)</v>
      </c>
      <c r="K507" s="13"/>
      <c r="L507" s="13" t="str">
        <f>IFERROR(__xludf.DUMMYFUNCTION("""COMPUTED_VALUE"""),"A câmera esta rodando normal so que a tela ta preta não mostra a imagem não sei se e por causa que está a noite.")</f>
        <v>A câmera esta rodando normal so que a tela ta preta não mostra a imagem não sei se e por causa que está a noite.</v>
      </c>
      <c r="M507" s="54"/>
      <c r="N507" s="10" t="str">
        <f>IFERROR(__xludf.DUMMYFUNCTION("""COMPUTED_VALUE"""),"Realizado")</f>
        <v>Realizado</v>
      </c>
      <c r="O507" s="55">
        <f>IFERROR(__xludf.DUMMYFUNCTION("""COMPUTED_VALUE"""),45369.0)</f>
        <v>45369</v>
      </c>
      <c r="P507" s="55"/>
    </row>
    <row r="508">
      <c r="A508" s="20" t="str">
        <f>IFERROR(__xludf.DUMMYFUNCTION("""COMPUTED_VALUE"""),"506/2024")</f>
        <v>506/2024</v>
      </c>
      <c r="B508" s="8">
        <f>IFERROR(__xludf.DUMMYFUNCTION("""COMPUTED_VALUE"""),45362.0)</f>
        <v>45362</v>
      </c>
      <c r="C508" s="44" t="str">
        <f>IFERROR(__xludf.DUMMYFUNCTION("""COMPUTED_VALUE"""),"seguranca@ufcat.edu.br")</f>
        <v>seguranca@ufcat.edu.br</v>
      </c>
      <c r="D508" s="45" t="str">
        <f>IFERROR(__xludf.DUMMYFUNCTION("""COMPUTED_VALUE"""),"neide da costa ")</f>
        <v>neide da costa </v>
      </c>
      <c r="E508" s="47">
        <f>IFERROR(__xludf.DUMMYFUNCTION("""COMPUTED_VALUE"""),5318.0)</f>
        <v>5318</v>
      </c>
      <c r="F508" s="45" t="str">
        <f>IFERROR(__xludf.DUMMYFUNCTION("""COMPUTED_VALUE"""),"CENTRAL DE OPERAÇÕES VIGILÂNCIA")</f>
        <v>CENTRAL DE OPERAÇÕES VIGILÂNCIA</v>
      </c>
      <c r="G508" s="45" t="str">
        <f>IFERROR(__xludf.DUMMYFUNCTION("""COMPUTED_VALUE"""),"Didatico I")</f>
        <v>Didatico I</v>
      </c>
      <c r="H508" s="45" t="str">
        <f>IFERROR(__xludf.DUMMYFUNCTION("""COMPUTED_VALUE"""),"Câmera do 2 piso ")</f>
        <v>Câmera do 2 piso </v>
      </c>
      <c r="I508" s="7" t="str">
        <f>IFERROR(__xludf.DUMMYFUNCTION("""COMPUTED_VALUE"""),"Instalações e/ou Manutenção em Cabeamento de Rede")</f>
        <v>Instalações e/ou Manutenção em Cabeamento de Rede</v>
      </c>
      <c r="J508" s="13" t="str">
        <f>IFERROR(__xludf.DUMMYFUNCTION("""COMPUTED_VALUE"""),"05 Telecomunicações / 39 - CFTV (PRAZO DE ATÉ 15 DIAS PARA ATENDIMENTO)")</f>
        <v>05 Telecomunicações / 39 - CFTV (PRAZO DE ATÉ 15 DIAS PARA ATENDIMENTO)</v>
      </c>
      <c r="K508" s="13"/>
      <c r="L508" s="13" t="str">
        <f>IFERROR(__xludf.DUMMYFUNCTION("""COMPUTED_VALUE"""),"A câmera do 2 piso didatico 1 esta rodando normal mas a tela está preta ")</f>
        <v>A câmera do 2 piso didatico 1 esta rodando normal mas a tela está preta </v>
      </c>
      <c r="M508" s="25"/>
      <c r="N508" s="56" t="str">
        <f>IFERROR(__xludf.DUMMYFUNCTION("""COMPUTED_VALUE"""),"Realizado")</f>
        <v>Realizado</v>
      </c>
      <c r="O508" s="57">
        <f>IFERROR(__xludf.DUMMYFUNCTION("""COMPUTED_VALUE"""),45365.0)</f>
        <v>45365</v>
      </c>
      <c r="P508" s="57"/>
    </row>
    <row r="509">
      <c r="A509" s="20" t="str">
        <f>IFERROR(__xludf.DUMMYFUNCTION("""COMPUTED_VALUE"""),"507/2024")</f>
        <v>507/2024</v>
      </c>
      <c r="B509" s="8">
        <f>IFERROR(__xludf.DUMMYFUNCTION("""COMPUTED_VALUE"""),45363.0)</f>
        <v>45363</v>
      </c>
      <c r="C509" s="44" t="str">
        <f>IFERROR(__xludf.DUMMYFUNCTION("""COMPUTED_VALUE"""),"seguranca@ufcat.edu.br")</f>
        <v>seguranca@ufcat.edu.br</v>
      </c>
      <c r="D509" s="45" t="str">
        <f>IFERROR(__xludf.DUMMYFUNCTION("""COMPUTED_VALUE"""),"neide da costa ")</f>
        <v>neide da costa </v>
      </c>
      <c r="E509" s="47">
        <f>IFERROR(__xludf.DUMMYFUNCTION("""COMPUTED_VALUE"""),5318.0)</f>
        <v>5318</v>
      </c>
      <c r="F509" s="45" t="str">
        <f>IFERROR(__xludf.DUMMYFUNCTION("""COMPUTED_VALUE"""),"CENTRAL DE OPERAÇÕES VIGILÂNCIA")</f>
        <v>CENTRAL DE OPERAÇÕES VIGILÂNCIA</v>
      </c>
      <c r="G509" s="45" t="str">
        <f>IFERROR(__xludf.DUMMYFUNCTION("""COMPUTED_VALUE"""),"Bloco Administrativo")</f>
        <v>Bloco Administrativo</v>
      </c>
      <c r="H509" s="45" t="str">
        <f>IFERROR(__xludf.DUMMYFUNCTION("""COMPUTED_VALUE"""),"todas as câmeras do administrativo")</f>
        <v>todas as câmeras do administrativo</v>
      </c>
      <c r="I509" s="7" t="str">
        <f>IFERROR(__xludf.DUMMYFUNCTION("""COMPUTED_VALUE"""),"Instalações e/ou Manutenção em Cabeamento de Rede")</f>
        <v>Instalações e/ou Manutenção em Cabeamento de Rede</v>
      </c>
      <c r="J509" s="13" t="str">
        <f>IFERROR(__xludf.DUMMYFUNCTION("""COMPUTED_VALUE"""),"05 Telecomunicações / 39 - CFTV (PRAZO DE ATÉ 15 DIAS PARA ATENDIMENTO)")</f>
        <v>05 Telecomunicações / 39 - CFTV (PRAZO DE ATÉ 15 DIAS PARA ATENDIMENTO)</v>
      </c>
      <c r="K509" s="13"/>
      <c r="L509" s="13" t="str">
        <f>IFERROR(__xludf.DUMMYFUNCTION("""COMPUTED_VALUE"""),"todas as câmeras do administrativo estão com a hora e data errada dificultando se a caso precisar puxar as imagens.")</f>
        <v>todas as câmeras do administrativo estão com a hora e data errada dificultando se a caso precisar puxar as imagens.</v>
      </c>
      <c r="M509" s="25"/>
      <c r="N509" s="26" t="str">
        <f>IFERROR(__xludf.DUMMYFUNCTION("""COMPUTED_VALUE"""),"Realizado")</f>
        <v>Realizado</v>
      </c>
      <c r="O509" s="11">
        <f>IFERROR(__xludf.DUMMYFUNCTION("""COMPUTED_VALUE"""),45364.0)</f>
        <v>45364</v>
      </c>
      <c r="P509" s="11"/>
    </row>
    <row r="510">
      <c r="A510" s="20" t="str">
        <f>IFERROR(__xludf.DUMMYFUNCTION("""COMPUTED_VALUE"""),"508/2024")</f>
        <v>508/2024</v>
      </c>
      <c r="B510" s="8">
        <f>IFERROR(__xludf.DUMMYFUNCTION("""COMPUTED_VALUE"""),45363.0)</f>
        <v>45363</v>
      </c>
      <c r="C510" s="44" t="str">
        <f>IFERROR(__xludf.DUMMYFUNCTION("""COMPUTED_VALUE"""),"seguranca@ufcat.edu.br")</f>
        <v>seguranca@ufcat.edu.br</v>
      </c>
      <c r="D510" s="45" t="str">
        <f>IFERROR(__xludf.DUMMYFUNCTION("""COMPUTED_VALUE"""),"neide da costa ")</f>
        <v>neide da costa </v>
      </c>
      <c r="E510" s="47">
        <f>IFERROR(__xludf.DUMMYFUNCTION("""COMPUTED_VALUE"""),5318.0)</f>
        <v>5318</v>
      </c>
      <c r="F510" s="45" t="str">
        <f>IFERROR(__xludf.DUMMYFUNCTION("""COMPUTED_VALUE"""),"CENTRAL DE OPERAÇÕES VIGILÂNCIA")</f>
        <v>CENTRAL DE OPERAÇÕES VIGILÂNCIA</v>
      </c>
      <c r="G510" s="45" t="str">
        <f>IFERROR(__xludf.DUMMYFUNCTION("""COMPUTED_VALUE"""),"Bloco L")</f>
        <v>Bloco L</v>
      </c>
      <c r="H510" s="45" t="str">
        <f>IFERROR(__xludf.DUMMYFUNCTION("""COMPUTED_VALUE"""),"Câmeras do L interno")</f>
        <v>Câmeras do L interno</v>
      </c>
      <c r="I510" s="7" t="str">
        <f>IFERROR(__xludf.DUMMYFUNCTION("""COMPUTED_VALUE"""),"Instalações e/ou Manutenção em Cabeamento de Rede")</f>
        <v>Instalações e/ou Manutenção em Cabeamento de Rede</v>
      </c>
      <c r="J510" s="13" t="str">
        <f>IFERROR(__xludf.DUMMYFUNCTION("""COMPUTED_VALUE"""),"05 Telecomunicações / 39 - CFTV (PRAZO DE ATÉ 15 DIAS PARA ATENDIMENTO)")</f>
        <v>05 Telecomunicações / 39 - CFTV (PRAZO DE ATÉ 15 DIAS PARA ATENDIMENTO)</v>
      </c>
      <c r="K510" s="13"/>
      <c r="L510" s="13" t="str">
        <f>IFERROR(__xludf.DUMMYFUNCTION("""COMPUTED_VALUE"""),"Todas as câmeras do bloco L interno estão com hora e data errada dificultando se a caso precisar puxar imagem .")</f>
        <v>Todas as câmeras do bloco L interno estão com hora e data errada dificultando se a caso precisar puxar imagem .</v>
      </c>
      <c r="M510" s="25"/>
      <c r="N510" s="26" t="str">
        <f>IFERROR(__xludf.DUMMYFUNCTION("""COMPUTED_VALUE"""),"Realizado")</f>
        <v>Realizado</v>
      </c>
      <c r="O510" s="11">
        <f>IFERROR(__xludf.DUMMYFUNCTION("""COMPUTED_VALUE"""),45364.0)</f>
        <v>45364</v>
      </c>
      <c r="P510" s="11"/>
    </row>
    <row r="511">
      <c r="A511" s="20" t="str">
        <f>IFERROR(__xludf.DUMMYFUNCTION("""COMPUTED_VALUE"""),"509/2024")</f>
        <v>509/2024</v>
      </c>
      <c r="B511" s="8">
        <f>IFERROR(__xludf.DUMMYFUNCTION("""COMPUTED_VALUE"""),45363.0)</f>
        <v>45363</v>
      </c>
      <c r="C511" s="44" t="str">
        <f>IFERROR(__xludf.DUMMYFUNCTION("""COMPUTED_VALUE"""),"seguranca@ufcat.edu.br")</f>
        <v>seguranca@ufcat.edu.br</v>
      </c>
      <c r="D511" s="45" t="str">
        <f>IFERROR(__xludf.DUMMYFUNCTION("""COMPUTED_VALUE"""),"neide da costa ")</f>
        <v>neide da costa </v>
      </c>
      <c r="E511" s="47">
        <f>IFERROR(__xludf.DUMMYFUNCTION("""COMPUTED_VALUE"""),5318.0)</f>
        <v>5318</v>
      </c>
      <c r="F511" s="45" t="str">
        <f>IFERROR(__xludf.DUMMYFUNCTION("""COMPUTED_VALUE"""),"CENTRAL DE OPERAÇÕES VIGILÂNCIA")</f>
        <v>CENTRAL DE OPERAÇÕES VIGILÂNCIA</v>
      </c>
      <c r="G511" s="45" t="str">
        <f>IFERROR(__xludf.DUMMYFUNCTION("""COMPUTED_VALUE"""),"Campus II")</f>
        <v>Campus II</v>
      </c>
      <c r="H511" s="45" t="str">
        <f>IFERROR(__xludf.DUMMYFUNCTION("""COMPUTED_VALUE"""),"câmera corredor frente ")</f>
        <v>câmera corredor frente </v>
      </c>
      <c r="I511" s="7" t="str">
        <f>IFERROR(__xludf.DUMMYFUNCTION("""COMPUTED_VALUE"""),"Instalações e/ou Manutenção em Cabeamento de Rede")</f>
        <v>Instalações e/ou Manutenção em Cabeamento de Rede</v>
      </c>
      <c r="J511" s="13" t="str">
        <f>IFERROR(__xludf.DUMMYFUNCTION("""COMPUTED_VALUE"""),"05 Telecomunicações / 39 - CFTV (PRAZO DE ATÉ 15 DIAS PARA ATENDIMENTO)")</f>
        <v>05 Telecomunicações / 39 - CFTV (PRAZO DE ATÉ 15 DIAS PARA ATENDIMENTO)</v>
      </c>
      <c r="K511" s="13"/>
      <c r="L511" s="13" t="str">
        <f>IFERROR(__xludf.DUMMYFUNCTION("""COMPUTED_VALUE"""),"A câmera corredor frente do campus 2 está com interferência")</f>
        <v>A câmera corredor frente do campus 2 está com interferência</v>
      </c>
      <c r="M511" s="25"/>
      <c r="N511" s="26" t="str">
        <f>IFERROR(__xludf.DUMMYFUNCTION("""COMPUTED_VALUE"""),"Realizado")</f>
        <v>Realizado</v>
      </c>
      <c r="O511" s="11">
        <f>IFERROR(__xludf.DUMMYFUNCTION("""COMPUTED_VALUE"""),45364.0)</f>
        <v>45364</v>
      </c>
      <c r="P511" s="11"/>
    </row>
    <row r="512">
      <c r="A512" s="20" t="str">
        <f>IFERROR(__xludf.DUMMYFUNCTION("""COMPUTED_VALUE"""),"510/2024")</f>
        <v>510/2024</v>
      </c>
      <c r="B512" s="8">
        <f>IFERROR(__xludf.DUMMYFUNCTION("""COMPUTED_VALUE"""),45363.0)</f>
        <v>45363</v>
      </c>
      <c r="C512" s="37" t="str">
        <f>IFERROR(__xludf.DUMMYFUNCTION("""COMPUTED_VALUE"""),"mariaeduarda.borges@ufcat.edu.br")</f>
        <v>mariaeduarda.borges@ufcat.edu.br</v>
      </c>
      <c r="D512" s="38" t="str">
        <f>IFERROR(__xludf.DUMMYFUNCTION("""COMPUTED_VALUE"""),"Maria Eduarda Silva Borges ")</f>
        <v>Maria Eduarda Silva Borges </v>
      </c>
      <c r="E512" s="41">
        <f>IFERROR(__xludf.DUMMYFUNCTION("""COMPUTED_VALUE"""),5340.0)</f>
        <v>5340</v>
      </c>
      <c r="F512" s="38" t="str">
        <f>IFERROR(__xludf.DUMMYFUNCTION("""COMPUTED_VALUE"""),"PREF")</f>
        <v>PREF</v>
      </c>
      <c r="G512" s="38" t="str">
        <f>IFERROR(__xludf.DUMMYFUNCTION("""COMPUTED_VALUE"""),"Bloco F")</f>
        <v>Bloco F</v>
      </c>
      <c r="H512" s="38" t="str">
        <f>IFERROR(__xludf.DUMMYFUNCTION("""COMPUTED_VALUE"""),"AO LADO DO ESTACIONAMENTO DE MOTOS.")</f>
        <v>AO LADO DO ESTACIONAMENTO DE MOTOS.</v>
      </c>
      <c r="I512" s="7" t="str">
        <f>IFERROR(__xludf.DUMMYFUNCTION("""COMPUTED_VALUE"""),"Instalações elétricas")</f>
        <v>Instalações elétricas</v>
      </c>
      <c r="J512" s="29" t="str">
        <f>IFERROR(__xludf.DUMMYFUNCTION("""COMPUTED_VALUE"""),"04 Elétrica / 31 - Iluminação Externa (PRAZO DE ATÉ 15 DIAS PARA ATENDIMENTO)")</f>
        <v>04 Elétrica / 31 - Iluminação Externa (PRAZO DE ATÉ 15 DIAS PARA ATENDIMENTO)</v>
      </c>
      <c r="K512" s="29"/>
      <c r="L512" s="29" t="str">
        <f>IFERROR(__xludf.DUMMYFUNCTION("""COMPUTED_VALUE"""),"Lâmpadas queimadas ao lado do estacionamento de moto do bloco F .")</f>
        <v>Lâmpadas queimadas ao lado do estacionamento de moto do bloco F .</v>
      </c>
      <c r="M512" s="25"/>
      <c r="N512" s="26" t="str">
        <f>IFERROR(__xludf.DUMMYFUNCTION("""COMPUTED_VALUE"""),"Realizado")</f>
        <v>Realizado</v>
      </c>
      <c r="O512" s="11">
        <f>IFERROR(__xludf.DUMMYFUNCTION("""COMPUTED_VALUE"""),45365.0)</f>
        <v>45365</v>
      </c>
      <c r="P512" s="11"/>
    </row>
    <row r="513">
      <c r="A513" s="20" t="str">
        <f>IFERROR(__xludf.DUMMYFUNCTION("""COMPUTED_VALUE"""),"511/2024")</f>
        <v>511/2024</v>
      </c>
      <c r="B513" s="8">
        <f>IFERROR(__xludf.DUMMYFUNCTION("""COMPUTED_VALUE"""),45363.0)</f>
        <v>45363</v>
      </c>
      <c r="C513" s="37" t="str">
        <f>IFERROR(__xludf.DUMMYFUNCTION("""COMPUTED_VALUE"""),"mariaeduarda.borges@ufcat.edu.br")</f>
        <v>mariaeduarda.borges@ufcat.edu.br</v>
      </c>
      <c r="D513" s="38" t="str">
        <f>IFERROR(__xludf.DUMMYFUNCTION("""COMPUTED_VALUE"""),"Maria Eduarda Silva Borges ")</f>
        <v>Maria Eduarda Silva Borges </v>
      </c>
      <c r="E513" s="41">
        <f>IFERROR(__xludf.DUMMYFUNCTION("""COMPUTED_VALUE"""),5340.0)</f>
        <v>5340</v>
      </c>
      <c r="F513" s="38" t="str">
        <f>IFERROR(__xludf.DUMMYFUNCTION("""COMPUTED_VALUE"""),"PREF")</f>
        <v>PREF</v>
      </c>
      <c r="G513" s="38" t="str">
        <f>IFERROR(__xludf.DUMMYFUNCTION("""COMPUTED_VALUE"""),"Bloco M")</f>
        <v>Bloco M</v>
      </c>
      <c r="H513" s="38" t="str">
        <f>IFERROR(__xludf.DUMMYFUNCTION("""COMPUTED_VALUE"""),"SALA 104")</f>
        <v>SALA 104</v>
      </c>
      <c r="I513" s="7" t="str">
        <f>IFERROR(__xludf.DUMMYFUNCTION("""COMPUTED_VALUE"""),"Reparos (alvenaria, piso, forro e telhado)")</f>
        <v>Reparos (alvenaria, piso, forro e telhado)</v>
      </c>
      <c r="J513" s="13" t="str">
        <f>IFERROR(__xludf.DUMMYFUNCTION("""COMPUTED_VALUE"""),"01 Alvenaria / 06 - Outros (PRAZO DE ATÉ 60 DIAS PARA ATENDIMENTO)")</f>
        <v>01 Alvenaria / 06 - Outros (PRAZO DE ATÉ 60 DIAS PARA ATENDIMENTO)</v>
      </c>
      <c r="K513" s="13"/>
      <c r="L513" s="29" t="str">
        <f>IFERROR(__xludf.DUMMYFUNCTION("""COMPUTED_VALUE""")," Há uma goteira na sala 104 do Bloco M, onde molhou bastante a sala.")</f>
        <v> Há uma goteira na sala 104 do Bloco M, onde molhou bastante a sala.</v>
      </c>
      <c r="M513" s="25"/>
      <c r="N513" s="26" t="str">
        <f>IFERROR(__xludf.DUMMYFUNCTION("""COMPUTED_VALUE"""),"Aguardando Disp. de M.O.")</f>
        <v>Aguardando Disp. de M.O.</v>
      </c>
      <c r="O513" s="11">
        <f>IFERROR(__xludf.DUMMYFUNCTION("""COMPUTED_VALUE"""),45393.0)</f>
        <v>45393</v>
      </c>
      <c r="P513" s="12"/>
    </row>
    <row r="514">
      <c r="A514" s="20" t="str">
        <f>IFERROR(__xludf.DUMMYFUNCTION("""COMPUTED_VALUE"""),"512/2024")</f>
        <v>512/2024</v>
      </c>
      <c r="B514" s="8">
        <f>IFERROR(__xludf.DUMMYFUNCTION("""COMPUTED_VALUE"""),45363.0)</f>
        <v>45363</v>
      </c>
      <c r="C514" s="44" t="str">
        <f>IFERROR(__xludf.DUMMYFUNCTION("""COMPUTED_VALUE"""),"divinosilva@ufcat.edu.br")</f>
        <v>divinosilva@ufcat.edu.br</v>
      </c>
      <c r="D514" s="45" t="str">
        <f>IFERROR(__xludf.DUMMYFUNCTION("""COMPUTED_VALUE"""),"Divino")</f>
        <v>Divino</v>
      </c>
      <c r="E514" s="47">
        <f>IFERROR(__xludf.DUMMYFUNCTION("""COMPUTED_VALUE"""),5320.0)</f>
        <v>5320</v>
      </c>
      <c r="F514" s="45" t="str">
        <f>IFERROR(__xludf.DUMMYFUNCTION("""COMPUTED_VALUE"""),"IMTec")</f>
        <v>IMTec</v>
      </c>
      <c r="G514" s="45" t="str">
        <f>IFERROR(__xludf.DUMMYFUNCTION("""COMPUTED_VALUE"""),"Bloco M")</f>
        <v>Bloco M</v>
      </c>
      <c r="H514" s="45" t="str">
        <f>IFERROR(__xludf.DUMMYFUNCTION("""COMPUTED_VALUE"""),"Copa - 3º piso")</f>
        <v>Copa - 3º piso</v>
      </c>
      <c r="I514" s="7" t="str">
        <f>IFERROR(__xludf.DUMMYFUNCTION("""COMPUTED_VALUE"""),"Instalações elétricas")</f>
        <v>Instalações elétricas</v>
      </c>
      <c r="J514" s="45" t="str">
        <f>IFERROR(__xludf.DUMMYFUNCTION("""COMPUTED_VALUE"""),"04 Elétrica / 34 - Tomada Uso Geral (PRAZO DE ATÉ 15 DIAS PARA ATENDIMENTO)")</f>
        <v>04 Elétrica / 34 - Tomada Uso Geral (PRAZO DE ATÉ 15 DIAS PARA ATENDIMENTO)</v>
      </c>
      <c r="K514" s="45"/>
      <c r="L514" s="13" t="str">
        <f>IFERROR(__xludf.DUMMYFUNCTION("""COMPUTED_VALUE"""),"Troca de tomada")</f>
        <v>Troca de tomada</v>
      </c>
      <c r="M514" s="25"/>
      <c r="N514" s="26" t="str">
        <f>IFERROR(__xludf.DUMMYFUNCTION("""COMPUTED_VALUE"""),"Realizado")</f>
        <v>Realizado</v>
      </c>
      <c r="O514" s="11">
        <f>IFERROR(__xludf.DUMMYFUNCTION("""COMPUTED_VALUE"""),45364.0)</f>
        <v>45364</v>
      </c>
      <c r="P514" s="11"/>
    </row>
    <row r="515">
      <c r="A515" s="20" t="str">
        <f>IFERROR(__xludf.DUMMYFUNCTION("""COMPUTED_VALUE"""),"513/2024")</f>
        <v>513/2024</v>
      </c>
      <c r="B515" s="8">
        <f>IFERROR(__xludf.DUMMYFUNCTION("""COMPUTED_VALUE"""),45363.0)</f>
        <v>45363</v>
      </c>
      <c r="C515" s="44" t="str">
        <f>IFERROR(__xludf.DUMMYFUNCTION("""COMPUTED_VALUE"""),"divinosilva@ufcat.edu.br")</f>
        <v>divinosilva@ufcat.edu.br</v>
      </c>
      <c r="D515" s="45" t="str">
        <f>IFERROR(__xludf.DUMMYFUNCTION("""COMPUTED_VALUE"""),"Divino")</f>
        <v>Divino</v>
      </c>
      <c r="E515" s="47">
        <f>IFERROR(__xludf.DUMMYFUNCTION("""COMPUTED_VALUE"""),5320.0)</f>
        <v>5320</v>
      </c>
      <c r="F515" s="45" t="str">
        <f>IFERROR(__xludf.DUMMYFUNCTION("""COMPUTED_VALUE"""),"IMTec")</f>
        <v>IMTec</v>
      </c>
      <c r="G515" s="45" t="str">
        <f>IFERROR(__xludf.DUMMYFUNCTION("""COMPUTED_VALUE"""),"Bloco J")</f>
        <v>Bloco J</v>
      </c>
      <c r="H515" s="45" t="str">
        <f>IFERROR(__xludf.DUMMYFUNCTION("""COMPUTED_VALUE"""),"Sala de infraestrutura")</f>
        <v>Sala de infraestrutura</v>
      </c>
      <c r="I515" s="7" t="str">
        <f>IFERROR(__xludf.DUMMYFUNCTION("""COMPUTED_VALUE"""),"Instalações elétricas")</f>
        <v>Instalações elétricas</v>
      </c>
      <c r="J515" s="13" t="str">
        <f>IFERROR(__xludf.DUMMYFUNCTION("""COMPUTED_VALUE"""),"04 Elétrica / 37 - Outros (PRAZO DE ACORDO COM A DEMANDA)")</f>
        <v>04 Elétrica / 37 - Outros (PRAZO DE ACORDO COM A DEMANDA)</v>
      </c>
      <c r="K515" s="13"/>
      <c r="L515" s="13" t="str">
        <f>IFERROR(__xludf.DUMMYFUNCTION("""COMPUTED_VALUE"""),"Instalação de cabos de bateria (ligação de bateria em nobreak)")</f>
        <v>Instalação de cabos de bateria (ligação de bateria em nobreak)</v>
      </c>
      <c r="M515" s="25"/>
      <c r="N515" s="26" t="str">
        <f>IFERROR(__xludf.DUMMYFUNCTION("""COMPUTED_VALUE"""),"Realizado")</f>
        <v>Realizado</v>
      </c>
      <c r="O515" s="11">
        <f>IFERROR(__xludf.DUMMYFUNCTION("""COMPUTED_VALUE"""),45364.0)</f>
        <v>45364</v>
      </c>
      <c r="P515" s="11"/>
    </row>
    <row r="516">
      <c r="A516" s="20" t="str">
        <f>IFERROR(__xludf.DUMMYFUNCTION("""COMPUTED_VALUE"""),"514/2024")</f>
        <v>514/2024</v>
      </c>
      <c r="B516" s="8">
        <f>IFERROR(__xludf.DUMMYFUNCTION("""COMPUTED_VALUE"""),45363.0)</f>
        <v>45363</v>
      </c>
      <c r="C516" s="44" t="str">
        <f>IFERROR(__xludf.DUMMYFUNCTION("""COMPUTED_VALUE"""),"amanda.lopes@ufcat.edu.br")</f>
        <v>amanda.lopes@ufcat.edu.br</v>
      </c>
      <c r="D516" s="45" t="str">
        <f>IFERROR(__xludf.DUMMYFUNCTION("""COMPUTED_VALUE"""),"Amanda Matos ")</f>
        <v>Amanda Matos </v>
      </c>
      <c r="E516" s="47">
        <f>IFERROR(__xludf.DUMMYFUNCTION("""COMPUTED_VALUE"""),5340.0)</f>
        <v>5340</v>
      </c>
      <c r="F516" s="45" t="str">
        <f>IFERROR(__xludf.DUMMYFUNCTION("""COMPUTED_VALUE"""),"PREF")</f>
        <v>PREF</v>
      </c>
      <c r="G516" s="45" t="str">
        <f>IFERROR(__xludf.DUMMYFUNCTION("""COMPUTED_VALUE"""),"Didático II")</f>
        <v>Didático II</v>
      </c>
      <c r="H516" s="45" t="str">
        <f>IFERROR(__xludf.DUMMYFUNCTION("""COMPUTED_VALUE"""),"Salas de aula terreo")</f>
        <v>Salas de aula terreo</v>
      </c>
      <c r="I516" s="7" t="str">
        <f>IFERROR(__xludf.DUMMYFUNCTION("""COMPUTED_VALUE"""),"Instalações elétricas")</f>
        <v>Instalações elétricas</v>
      </c>
      <c r="J516" s="13" t="str">
        <f>IFERROR(__xludf.DUMMYFUNCTION("""COMPUTED_VALUE"""),"04 Elétrica / 36 - Instalação de Aparelhos em geral (PRAZO DE ATÉ 15 DIAS PARA ATENDIMENTO)")</f>
        <v>04 Elétrica / 36 - Instalação de Aparelhos em geral (PRAZO DE ATÉ 15 DIAS PARA ATENDIMENTO)</v>
      </c>
      <c r="K516" s="13"/>
      <c r="L516" s="13" t="str">
        <f>IFERROR(__xludf.DUMMYFUNCTION("""COMPUTED_VALUE"""),"Instalação de TV""S salas do terreo ")</f>
        <v>Instalação de TV"S salas do terreo </v>
      </c>
      <c r="M516" s="25"/>
      <c r="N516" s="58" t="str">
        <f>IFERROR(__xludf.DUMMYFUNCTION("""COMPUTED_VALUE"""),"Realizado")</f>
        <v>Realizado</v>
      </c>
      <c r="O516" s="57">
        <f>IFERROR(__xludf.DUMMYFUNCTION("""COMPUTED_VALUE"""),45365.0)</f>
        <v>45365</v>
      </c>
      <c r="P516" s="57"/>
    </row>
    <row r="517">
      <c r="A517" s="20" t="str">
        <f>IFERROR(__xludf.DUMMYFUNCTION("""COMPUTED_VALUE"""),"515/2024")</f>
        <v>515/2024</v>
      </c>
      <c r="B517" s="8">
        <f>IFERROR(__xludf.DUMMYFUNCTION("""COMPUTED_VALUE"""),45364.0)</f>
        <v>45364</v>
      </c>
      <c r="C517" s="44" t="str">
        <f>IFERROR(__xludf.DUMMYFUNCTION("""COMPUTED_VALUE"""),"editoraletrasdocerrado@ufcat.edu.br")</f>
        <v>editoraletrasdocerrado@ufcat.edu.br</v>
      </c>
      <c r="D517" s="45" t="str">
        <f>IFERROR(__xludf.DUMMYFUNCTION("""COMPUTED_VALUE"""),"José Luíz Solazzi")</f>
        <v>José Luíz Solazzi</v>
      </c>
      <c r="E517" s="47">
        <f>IFERROR(__xludf.DUMMYFUNCTION("""COMPUTED_VALUE"""),5351.0)</f>
        <v>5351</v>
      </c>
      <c r="F517" s="45" t="str">
        <f>IFERROR(__xludf.DUMMYFUNCTION("""COMPUTED_VALUE"""),"EDITORA")</f>
        <v>EDITORA</v>
      </c>
      <c r="G517" s="45" t="str">
        <f>IFERROR(__xludf.DUMMYFUNCTION("""COMPUTED_VALUE"""),"Biblioteca")</f>
        <v>Biblioteca</v>
      </c>
      <c r="H517" s="45" t="str">
        <f>IFERROR(__xludf.DUMMYFUNCTION("""COMPUTED_VALUE"""),"Subsolo da biblioteca  ")</f>
        <v>Subsolo da biblioteca  </v>
      </c>
      <c r="I517" s="7" t="str">
        <f>IFERROR(__xludf.DUMMYFUNCTION("""COMPUTED_VALUE"""),"Ar Condicionado ")</f>
        <v>Ar Condicionado </v>
      </c>
      <c r="J517" s="48" t="str">
        <f>IFERROR(__xludf.DUMMYFUNCTION("""COMPUTED_VALUE"""),"04 Elétrica / 37 - Outros (PRAZO DE ACORDO COM A DEMANDA)")</f>
        <v>04 Elétrica / 37 - Outros (PRAZO DE ACORDO COM A DEMANDA)</v>
      </c>
      <c r="K517" s="48"/>
      <c r="L517" s="13" t="str">
        <f>IFERROR(__xludf.DUMMYFUNCTION("""COMPUTED_VALUE"""),"Limpeza e Higienização do ar condicionado  ")</f>
        <v>Limpeza e Higienização do ar condicionado  </v>
      </c>
      <c r="M517" s="25"/>
      <c r="N517" s="26" t="str">
        <f>IFERROR(__xludf.DUMMYFUNCTION("""COMPUTED_VALUE"""),"Aguardando análise")</f>
        <v>Aguardando análise</v>
      </c>
      <c r="O517" s="12"/>
      <c r="P517" s="12"/>
    </row>
    <row r="518">
      <c r="A518" s="20" t="str">
        <f>IFERROR(__xludf.DUMMYFUNCTION("""COMPUTED_VALUE"""),"516/2024")</f>
        <v>516/2024</v>
      </c>
      <c r="B518" s="8">
        <f>IFERROR(__xludf.DUMMYFUNCTION("""COMPUTED_VALUE"""),45364.0)</f>
        <v>45364</v>
      </c>
      <c r="C518" s="44" t="str">
        <f>IFERROR(__xludf.DUMMYFUNCTION("""COMPUTED_VALUE"""),"alda@ufcat.edu.br")</f>
        <v>alda@ufcat.edu.br</v>
      </c>
      <c r="D518" s="45" t="str">
        <f>IFERROR(__xludf.DUMMYFUNCTION("""COMPUTED_VALUE"""),"Alda D'Almeida Ortúzar Ferreira")</f>
        <v>Alda D'Almeida Ortúzar Ferreira</v>
      </c>
      <c r="E518" s="47">
        <f>IFERROR(__xludf.DUMMYFUNCTION("""COMPUTED_VALUE"""),5332.0)</f>
        <v>5332</v>
      </c>
      <c r="F518" s="45" t="str">
        <f>IFERROR(__xludf.DUMMYFUNCTION("""COMPUTED_VALUE"""),"CDPEC")</f>
        <v>CDPEC</v>
      </c>
      <c r="G518" s="45" t="str">
        <f>IFERROR(__xludf.DUMMYFUNCTION("""COMPUTED_VALUE"""),"Bloco F")</f>
        <v>Bloco F</v>
      </c>
      <c r="H518" s="45" t="str">
        <f>IFERROR(__xludf.DUMMYFUNCTION("""COMPUTED_VALUE"""),"Sala 4")</f>
        <v>Sala 4</v>
      </c>
      <c r="I518" s="7"/>
      <c r="J518" s="13"/>
      <c r="K518" s="13"/>
      <c r="L518" s="13" t="str">
        <f>IFERROR(__xludf.DUMMYFUNCTION("""COMPUTED_VALUE"""),"Separar 6 estantes do acervo do CDPEC interligadas por rosca parafuso.")</f>
        <v>Separar 6 estantes do acervo do CDPEC interligadas por rosca parafuso.</v>
      </c>
      <c r="M518" s="25"/>
      <c r="N518" s="26" t="str">
        <f>IFERROR(__xludf.DUMMYFUNCTION("""COMPUTED_VALUE"""),"Realizado")</f>
        <v>Realizado</v>
      </c>
      <c r="O518" s="11">
        <f>IFERROR(__xludf.DUMMYFUNCTION("""COMPUTED_VALUE"""),45365.0)</f>
        <v>45365</v>
      </c>
      <c r="P518" s="11"/>
    </row>
    <row r="519">
      <c r="A519" s="20" t="str">
        <f>IFERROR(__xludf.DUMMYFUNCTION("""COMPUTED_VALUE"""),"517/2024")</f>
        <v>517/2024</v>
      </c>
      <c r="B519" s="8">
        <f>IFERROR(__xludf.DUMMYFUNCTION("""COMPUTED_VALUE"""),45364.0)</f>
        <v>45364</v>
      </c>
      <c r="C519" s="21" t="str">
        <f>IFERROR(__xludf.DUMMYFUNCTION("""COMPUTED_VALUE"""),"muc.prpe@ufcat.edu.br")</f>
        <v>muc.prpe@ufcat.edu.br</v>
      </c>
      <c r="D519" s="22" t="str">
        <f>IFERROR(__xludf.DUMMYFUNCTION("""COMPUTED_VALUE"""),"Ludmila ")</f>
        <v>Ludmila </v>
      </c>
      <c r="E519" s="40">
        <f>IFERROR(__xludf.DUMMYFUNCTION("""COMPUTED_VALUE"""),5333.0)</f>
        <v>5333</v>
      </c>
      <c r="F519" s="22" t="str">
        <f>IFERROR(__xludf.DUMMYFUNCTION("""COMPUTED_VALUE"""),"PRPE")</f>
        <v>PRPE</v>
      </c>
      <c r="G519" s="22" t="str">
        <f>IFERROR(__xludf.DUMMYFUNCTION("""COMPUTED_VALUE"""),"MUC")</f>
        <v>MUC</v>
      </c>
      <c r="H519" s="22" t="str">
        <f>IFERROR(__xludf.DUMMYFUNCTION("""COMPUTED_VALUE"""),"Guarita ")</f>
        <v>Guarita </v>
      </c>
      <c r="I519" s="7" t="str">
        <f>IFERROR(__xludf.DUMMYFUNCTION("""COMPUTED_VALUE"""),"Instalações elétricas")</f>
        <v>Instalações elétricas</v>
      </c>
      <c r="J519" s="15" t="str">
        <f>IFERROR(__xludf.DUMMYFUNCTION("""COMPUTED_VALUE"""),"04 Elétrica / 36 - Instalação de Aparelhos em geral (PRAZO DE ATÉ 15 DIAS PARA ATENDIMENTO)")</f>
        <v>04 Elétrica / 36 - Instalação de Aparelhos em geral (PRAZO DE ATÉ 15 DIAS PARA ATENDIMENTO)</v>
      </c>
      <c r="K519" s="15"/>
      <c r="L519" s="15" t="str">
        <f>IFERROR(__xludf.DUMMYFUNCTION("""COMPUTED_VALUE"""),"Instalação de nova TV para monitoramente de cameras")</f>
        <v>Instalação de nova TV para monitoramente de cameras</v>
      </c>
      <c r="M519" s="25"/>
      <c r="N519" s="26" t="str">
        <f>IFERROR(__xludf.DUMMYFUNCTION("""COMPUTED_VALUE"""),"Realizado")</f>
        <v>Realizado</v>
      </c>
      <c r="O519" s="11">
        <f>IFERROR(__xludf.DUMMYFUNCTION("""COMPUTED_VALUE"""),45370.0)</f>
        <v>45370</v>
      </c>
      <c r="P519" s="11"/>
    </row>
    <row r="520">
      <c r="A520" s="20" t="str">
        <f>IFERROR(__xludf.DUMMYFUNCTION("""COMPUTED_VALUE"""),"518/2024")</f>
        <v>518/2024</v>
      </c>
      <c r="B520" s="8">
        <f>IFERROR(__xludf.DUMMYFUNCTION("""COMPUTED_VALUE"""),45364.0)</f>
        <v>45364</v>
      </c>
      <c r="C520" s="21" t="str">
        <f>IFERROR(__xludf.DUMMYFUNCTION("""COMPUTED_VALUE"""),"muc.prpe@ufcat.edu.br")</f>
        <v>muc.prpe@ufcat.edu.br</v>
      </c>
      <c r="D520" s="22" t="str">
        <f>IFERROR(__xludf.DUMMYFUNCTION("""COMPUTED_VALUE"""),"Ludmila")</f>
        <v>Ludmila</v>
      </c>
      <c r="E520" s="40">
        <f>IFERROR(__xludf.DUMMYFUNCTION("""COMPUTED_VALUE"""),5333.0)</f>
        <v>5333</v>
      </c>
      <c r="F520" s="22" t="str">
        <f>IFERROR(__xludf.DUMMYFUNCTION("""COMPUTED_VALUE"""),"PRPE")</f>
        <v>PRPE</v>
      </c>
      <c r="G520" s="22" t="str">
        <f>IFERROR(__xludf.DUMMYFUNCTION("""COMPUTED_VALUE"""),"MUC")</f>
        <v>MUC</v>
      </c>
      <c r="H520" s="22" t="str">
        <f>IFERROR(__xludf.DUMMYFUNCTION("""COMPUTED_VALUE"""),"apto 205")</f>
        <v>apto 205</v>
      </c>
      <c r="I520" s="7" t="str">
        <f>IFERROR(__xludf.DUMMYFUNCTION("""COMPUTED_VALUE"""),"Instalações Hidrossanitárias")</f>
        <v>Instalações Hidrossanitárias</v>
      </c>
      <c r="J520" s="15" t="str">
        <f>IFERROR(__xludf.DUMMYFUNCTION("""COMPUTED_VALUE"""),"02 Hidráulica / 22 - Outros (PRAZO DE 15 a 60 DIAS PARA ATENDIMENTO)")</f>
        <v>02 Hidráulica / 22 - Outros (PRAZO DE 15 a 60 DIAS PARA ATENDIMENTO)</v>
      </c>
      <c r="K520" s="15"/>
      <c r="L520" s="15" t="str">
        <f>IFERROR(__xludf.DUMMYFUNCTION("""COMPUTED_VALUE"""),"graves infiltrações no banheiro")</f>
        <v>graves infiltrações no banheiro</v>
      </c>
      <c r="M520" s="25"/>
      <c r="N520" s="26" t="str">
        <f>IFERROR(__xludf.DUMMYFUNCTION("""COMPUTED_VALUE"""),"Realizado")</f>
        <v>Realizado</v>
      </c>
      <c r="O520" s="11">
        <f>IFERROR(__xludf.DUMMYFUNCTION("""COMPUTED_VALUE"""),45369.0)</f>
        <v>45369</v>
      </c>
      <c r="P520" s="11"/>
    </row>
    <row r="521">
      <c r="A521" s="20" t="str">
        <f>IFERROR(__xludf.DUMMYFUNCTION("""COMPUTED_VALUE"""),"519/2024")</f>
        <v>519/2024</v>
      </c>
      <c r="B521" s="8">
        <f>IFERROR(__xludf.DUMMYFUNCTION("""COMPUTED_VALUE"""),45365.0)</f>
        <v>45365</v>
      </c>
      <c r="C521" s="21" t="str">
        <f>IFERROR(__xludf.DUMMYFUNCTION("""COMPUTED_VALUE"""),"seguranca@ufcat.edu.br")</f>
        <v>seguranca@ufcat.edu.br</v>
      </c>
      <c r="D521" s="22" t="str">
        <f>IFERROR(__xludf.DUMMYFUNCTION("""COMPUTED_VALUE"""),"neide da costa ")</f>
        <v>neide da costa </v>
      </c>
      <c r="E521" s="40">
        <f>IFERROR(__xludf.DUMMYFUNCTION("""COMPUTED_VALUE"""),5318.0)</f>
        <v>5318</v>
      </c>
      <c r="F521" s="22" t="str">
        <f>IFERROR(__xludf.DUMMYFUNCTION("""COMPUTED_VALUE"""),"CENTRAL DE OPERAÇÕES VIGILÂNCIA")</f>
        <v>CENTRAL DE OPERAÇÕES VIGILÂNCIA</v>
      </c>
      <c r="G521" s="22" t="str">
        <f>IFERROR(__xludf.DUMMYFUNCTION("""COMPUTED_VALUE"""),"Didatico I")</f>
        <v>Didatico I</v>
      </c>
      <c r="H521" s="22" t="str">
        <f>IFERROR(__xludf.DUMMYFUNCTION("""COMPUTED_VALUE"""),"Camera do didático  1 entrada portão lateral")</f>
        <v>Camera do didático  1 entrada portão lateral</v>
      </c>
      <c r="I521" s="7" t="str">
        <f>IFERROR(__xludf.DUMMYFUNCTION("""COMPUTED_VALUE"""),"Instalações e/ou Manutenção em Cabeamento de Rede")</f>
        <v>Instalações e/ou Manutenção em Cabeamento de Rede</v>
      </c>
      <c r="J521" s="15" t="str">
        <f>IFERROR(__xludf.DUMMYFUNCTION("""COMPUTED_VALUE"""),"05 Telecomunicações / 39 - CFTV (PRAZO DE ATÉ 15 DIAS PARA ATENDIMENTO)")</f>
        <v>05 Telecomunicações / 39 - CFTV (PRAZO DE ATÉ 15 DIAS PARA ATENDIMENTO)</v>
      </c>
      <c r="K521" s="15"/>
      <c r="L521" s="15" t="str">
        <f>IFERROR(__xludf.DUMMYFUNCTION("""COMPUTED_VALUE"""),"A câmera esta rodando as horas e a datas normalmente mas não esta aparecendo a imagem a tela fica toda preta pensei que fosse por conta da noite e de manha iria voltar mostrar a imagem como as outras mais não continua a tela preta .")</f>
        <v>A câmera esta rodando as horas e a datas normalmente mas não esta aparecendo a imagem a tela fica toda preta pensei que fosse por conta da noite e de manha iria voltar mostrar a imagem como as outras mais não continua a tela preta .</v>
      </c>
      <c r="M521" s="25"/>
      <c r="N521" s="26" t="str">
        <f>IFERROR(__xludf.DUMMYFUNCTION("""COMPUTED_VALUE"""),"Realizado")</f>
        <v>Realizado</v>
      </c>
      <c r="O521" s="11">
        <f>IFERROR(__xludf.DUMMYFUNCTION("""COMPUTED_VALUE"""),45370.0)</f>
        <v>45370</v>
      </c>
      <c r="P521" s="11"/>
    </row>
    <row r="522">
      <c r="A522" s="20" t="str">
        <f>IFERROR(__xludf.DUMMYFUNCTION("""COMPUTED_VALUE"""),"520/2024")</f>
        <v>520/2024</v>
      </c>
      <c r="B522" s="8">
        <f>IFERROR(__xludf.DUMMYFUNCTION("""COMPUTED_VALUE"""),45365.0)</f>
        <v>45365</v>
      </c>
      <c r="C522" s="44" t="str">
        <f>IFERROR(__xludf.DUMMYFUNCTION("""COMPUTED_VALUE"""),"muc.prpe@ufcat.edu.br")</f>
        <v>muc.prpe@ufcat.edu.br</v>
      </c>
      <c r="D522" s="52" t="str">
        <f>IFERROR(__xludf.DUMMYFUNCTION("""COMPUTED_VALUE"""),"Ludmila ")</f>
        <v>Ludmila </v>
      </c>
      <c r="E522" s="53">
        <f>IFERROR(__xludf.DUMMYFUNCTION("""COMPUTED_VALUE"""),5333.0)</f>
        <v>5333</v>
      </c>
      <c r="F522" s="52" t="str">
        <f>IFERROR(__xludf.DUMMYFUNCTION("""COMPUTED_VALUE"""),"PRPE")</f>
        <v>PRPE</v>
      </c>
      <c r="G522" s="52" t="str">
        <f>IFERROR(__xludf.DUMMYFUNCTION("""COMPUTED_VALUE"""),"MUC")</f>
        <v>MUC</v>
      </c>
      <c r="H522" s="52" t="str">
        <f>IFERROR(__xludf.DUMMYFUNCTION("""COMPUTED_VALUE"""),"apto 301")</f>
        <v>apto 301</v>
      </c>
      <c r="I522" s="7" t="str">
        <f>IFERROR(__xludf.DUMMYFUNCTION("""COMPUTED_VALUE"""),"Instalações Hidrossanitárias")</f>
        <v>Instalações Hidrossanitárias</v>
      </c>
      <c r="J522" s="13" t="str">
        <f>IFERROR(__xludf.DUMMYFUNCTION("""COMPUTED_VALUE"""),"02 Hidráulica / 09 - Vazamento de Pia (PRAZO DE 15 a 60 DIAS PARA ATENDIMENTO)")</f>
        <v>02 Hidráulica / 09 - Vazamento de Pia (PRAZO DE 15 a 60 DIAS PARA ATENDIMENTO)</v>
      </c>
      <c r="K522" s="13"/>
      <c r="L522" s="13" t="str">
        <f>IFERROR(__xludf.DUMMYFUNCTION("""COMPUTED_VALUE"""),"vazamento na pia e no vaso sanitário ")</f>
        <v>vazamento na pia e no vaso sanitário </v>
      </c>
      <c r="M522" s="54"/>
      <c r="N522" s="10" t="str">
        <f>IFERROR(__xludf.DUMMYFUNCTION("""COMPUTED_VALUE"""),"Realizado")</f>
        <v>Realizado</v>
      </c>
      <c r="O522" s="55">
        <f>IFERROR(__xludf.DUMMYFUNCTION("""COMPUTED_VALUE"""),45369.0)</f>
        <v>45369</v>
      </c>
      <c r="P522" s="55"/>
    </row>
    <row r="523">
      <c r="A523" s="20" t="str">
        <f>IFERROR(__xludf.DUMMYFUNCTION("""COMPUTED_VALUE"""),"521/2024")</f>
        <v>521/2024</v>
      </c>
      <c r="B523" s="8">
        <f>IFERROR(__xludf.DUMMYFUNCTION("""COMPUTED_VALUE"""),45365.0)</f>
        <v>45365</v>
      </c>
      <c r="C523" s="44" t="str">
        <f>IFERROR(__xludf.DUMMYFUNCTION("""COMPUTED_VALUE"""),"amanda.lopes@ufcat.edu.br")</f>
        <v>amanda.lopes@ufcat.edu.br</v>
      </c>
      <c r="D523" s="45" t="str">
        <f>IFERROR(__xludf.DUMMYFUNCTION("""COMPUTED_VALUE"""),"Amanda Matos ")</f>
        <v>Amanda Matos </v>
      </c>
      <c r="E523" s="47">
        <f>IFERROR(__xludf.DUMMYFUNCTION("""COMPUTED_VALUE"""),5340.0)</f>
        <v>5340</v>
      </c>
      <c r="F523" s="45" t="str">
        <f>IFERROR(__xludf.DUMMYFUNCTION("""COMPUTED_VALUE"""),"PREF")</f>
        <v>PREF</v>
      </c>
      <c r="G523" s="45" t="str">
        <f>IFERROR(__xludf.DUMMYFUNCTION("""COMPUTED_VALUE"""),"Didático II")</f>
        <v>Didático II</v>
      </c>
      <c r="H523" s="45" t="str">
        <f>IFERROR(__xludf.DUMMYFUNCTION("""COMPUTED_VALUE"""),"caixa de água ")</f>
        <v>caixa de água </v>
      </c>
      <c r="I523" s="7" t="str">
        <f>IFERROR(__xludf.DUMMYFUNCTION("""COMPUTED_VALUE"""),"Instalações Hidrossanitárias")</f>
        <v>Instalações Hidrossanitárias</v>
      </c>
      <c r="J523" s="13" t="str">
        <f>IFERROR(__xludf.DUMMYFUNCTION("""COMPUTED_VALUE"""),"02 Hidráulica / 12 - Vazamento em tubulações externas (PRAZO DE 15 a 60 DIAS PARA ATENDIMENTO)")</f>
        <v>02 Hidráulica / 12 - Vazamento em tubulações externas (PRAZO DE 15 a 60 DIAS PARA ATENDIMENTO)</v>
      </c>
      <c r="K523" s="13"/>
      <c r="L523" s="13" t="str">
        <f>IFERROR(__xludf.DUMMYFUNCTION("""COMPUTED_VALUE"""),"Vazamento da caixa água ")</f>
        <v>Vazamento da caixa água </v>
      </c>
      <c r="M523" s="25"/>
      <c r="N523" s="26" t="str">
        <f>IFERROR(__xludf.DUMMYFUNCTION("""COMPUTED_VALUE"""),"Realizado")</f>
        <v>Realizado</v>
      </c>
      <c r="O523" s="11">
        <f>IFERROR(__xludf.DUMMYFUNCTION("""COMPUTED_VALUE"""),45365.0)</f>
        <v>45365</v>
      </c>
      <c r="P523" s="11"/>
    </row>
    <row r="524">
      <c r="A524" s="20" t="str">
        <f>IFERROR(__xludf.DUMMYFUNCTION("""COMPUTED_VALUE"""),"522/2024")</f>
        <v>522/2024</v>
      </c>
      <c r="B524" s="8">
        <f>IFERROR(__xludf.DUMMYFUNCTION("""COMPUTED_VALUE"""),45365.0)</f>
        <v>45365</v>
      </c>
      <c r="C524" s="44" t="str">
        <f>IFERROR(__xludf.DUMMYFUNCTION("""COMPUTED_VALUE"""),"amanda.lopes@ufcat.edu.br")</f>
        <v>amanda.lopes@ufcat.edu.br</v>
      </c>
      <c r="D524" s="45" t="str">
        <f>IFERROR(__xludf.DUMMYFUNCTION("""COMPUTED_VALUE"""),"Amanda Matos ")</f>
        <v>Amanda Matos </v>
      </c>
      <c r="E524" s="47">
        <f>IFERROR(__xludf.DUMMYFUNCTION("""COMPUTED_VALUE"""),5340.0)</f>
        <v>5340</v>
      </c>
      <c r="F524" s="45" t="str">
        <f>IFERROR(__xludf.DUMMYFUNCTION("""COMPUTED_VALUE"""),"PREF")</f>
        <v>PREF</v>
      </c>
      <c r="G524" s="45" t="str">
        <f>IFERROR(__xludf.DUMMYFUNCTION("""COMPUTED_VALUE"""),"Didático II")</f>
        <v>Didático II</v>
      </c>
      <c r="H524" s="45" t="str">
        <f>IFERROR(__xludf.DUMMYFUNCTION("""COMPUTED_VALUE"""),"Banheiro Masculino Terreo ")</f>
        <v>Banheiro Masculino Terreo </v>
      </c>
      <c r="I524" s="7" t="str">
        <f>IFERROR(__xludf.DUMMYFUNCTION("""COMPUTED_VALUE"""),"Instalações Hidrossanitárias")</f>
        <v>Instalações Hidrossanitárias</v>
      </c>
      <c r="J524" s="13" t="str">
        <f>IFERROR(__xludf.DUMMYFUNCTION("""COMPUTED_VALUE"""),"02 Hidráulica / 07 - Desentupimento (PRAZO DE 1 ATÉ 5 DIAS PARA ATENDIMENTO)")</f>
        <v>02 Hidráulica / 07 - Desentupimento (PRAZO DE 1 ATÉ 5 DIAS PARA ATENDIMENTO)</v>
      </c>
      <c r="K524" s="13"/>
      <c r="L524" s="13" t="str">
        <f>IFERROR(__xludf.DUMMYFUNCTION("""COMPUTED_VALUE"""),"Vaso entupido ")</f>
        <v>Vaso entupido </v>
      </c>
      <c r="M524" s="25"/>
      <c r="N524" s="26" t="str">
        <f>IFERROR(__xludf.DUMMYFUNCTION("""COMPUTED_VALUE"""),"Realizado")</f>
        <v>Realizado</v>
      </c>
      <c r="O524" s="11">
        <f>IFERROR(__xludf.DUMMYFUNCTION("""COMPUTED_VALUE"""),45365.0)</f>
        <v>45365</v>
      </c>
      <c r="P524" s="11"/>
    </row>
    <row r="525">
      <c r="A525" s="20" t="str">
        <f>IFERROR(__xludf.DUMMYFUNCTION("""COMPUTED_VALUE"""),"523/2024")</f>
        <v>523/2024</v>
      </c>
      <c r="B525" s="8">
        <f>IFERROR(__xludf.DUMMYFUNCTION("""COMPUTED_VALUE"""),45365.0)</f>
        <v>45365</v>
      </c>
      <c r="C525" s="44" t="str">
        <f>IFERROR(__xludf.DUMMYFUNCTION("""COMPUTED_VALUE"""),"licielle.oliveira@ufcat.edu.br")</f>
        <v>licielle.oliveira@ufcat.edu.br</v>
      </c>
      <c r="D525" s="45" t="str">
        <f>IFERROR(__xludf.DUMMYFUNCTION("""COMPUTED_VALUE"""),"Licielle Menezes Oliveira")</f>
        <v>Licielle Menezes Oliveira</v>
      </c>
      <c r="E525" s="47">
        <f>IFERROR(__xludf.DUMMYFUNCTION("""COMPUTED_VALUE"""),9.99941183E8)</f>
        <v>999941183</v>
      </c>
      <c r="F525" s="45" t="str">
        <f>IFERROR(__xludf.DUMMYFUNCTION("""COMPUTED_VALUE"""),"REITORIA")</f>
        <v>REITORIA</v>
      </c>
      <c r="G525" s="45" t="str">
        <f>IFERROR(__xludf.DUMMYFUNCTION("""COMPUTED_VALUE"""),"Bloco Administrativo")</f>
        <v>Bloco Administrativo</v>
      </c>
      <c r="H525" s="46">
        <f>IFERROR(__xludf.DUMMYFUNCTION("""COMPUTED_VALUE"""),113.0)</f>
        <v>113</v>
      </c>
      <c r="I525" s="7" t="str">
        <f>IFERROR(__xludf.DUMMYFUNCTION("""COMPUTED_VALUE"""),"Instalações e/ou Manutenção em Cabeamento de Rede")</f>
        <v>Instalações e/ou Manutenção em Cabeamento de Rede</v>
      </c>
      <c r="J525" s="13" t="str">
        <f>IFERROR(__xludf.DUMMYFUNCTION("""COMPUTED_VALUE"""),"05 Telecomunicações / 38 - Cabeamento de Rede (PRAZO DE ATÉ 15 DIAS PARA ATENDIMENTO)")</f>
        <v>05 Telecomunicações / 38 - Cabeamento de Rede (PRAZO DE ATÉ 15 DIAS PARA ATENDIMENTO)</v>
      </c>
      <c r="K525" s="13"/>
      <c r="L525" s="13" t="str">
        <f>IFERROR(__xludf.DUMMYFUNCTION("""COMPUTED_VALUE"""),"Instalação de ponto de internet")</f>
        <v>Instalação de ponto de internet</v>
      </c>
      <c r="M525" s="25"/>
      <c r="N525" s="26" t="str">
        <f>IFERROR(__xludf.DUMMYFUNCTION("""COMPUTED_VALUE"""),"Realizado")</f>
        <v>Realizado</v>
      </c>
      <c r="O525" s="11">
        <f>IFERROR(__xludf.DUMMYFUNCTION("""COMPUTED_VALUE"""),45371.0)</f>
        <v>45371</v>
      </c>
      <c r="P525" s="11"/>
    </row>
    <row r="526">
      <c r="A526" s="20" t="str">
        <f>IFERROR(__xludf.DUMMYFUNCTION("""COMPUTED_VALUE"""),"524/2024")</f>
        <v>524/2024</v>
      </c>
      <c r="B526" s="8">
        <f>IFERROR(__xludf.DUMMYFUNCTION("""COMPUTED_VALUE"""),45365.777709525464)</f>
        <v>45365.77771</v>
      </c>
      <c r="C526" s="44" t="str">
        <f>IFERROR(__xludf.DUMMYFUNCTION("""COMPUTED_VALUE"""),"seguranca@ufcat.edu.br")</f>
        <v>seguranca@ufcat.edu.br</v>
      </c>
      <c r="D526" s="45" t="str">
        <f>IFERROR(__xludf.DUMMYFUNCTION("""COMPUTED_VALUE"""),"Maria Duarte")</f>
        <v>Maria Duarte</v>
      </c>
      <c r="E526" s="47">
        <f>IFERROR(__xludf.DUMMYFUNCTION("""COMPUTED_VALUE"""),5318.0)</f>
        <v>5318</v>
      </c>
      <c r="F526" s="45" t="str">
        <f>IFERROR(__xludf.DUMMYFUNCTION("""COMPUTED_VALUE"""),"CENTRAL DE OPERAÇÕES VIGILÂNCIA")</f>
        <v>CENTRAL DE OPERAÇÕES VIGILÂNCIA</v>
      </c>
      <c r="G526" s="45" t="str">
        <f>IFERROR(__xludf.DUMMYFUNCTION("""COMPUTED_VALUE"""),"Bloco P")</f>
        <v>Bloco P</v>
      </c>
      <c r="H526" s="45" t="str">
        <f>IFERROR(__xludf.DUMMYFUNCTION("""COMPUTED_VALUE"""),"DVR Prefeitura")</f>
        <v>DVR Prefeitura</v>
      </c>
      <c r="I526" s="7" t="str">
        <f>IFERROR(__xludf.DUMMYFUNCTION("""COMPUTED_VALUE"""),"Instalações e/ou Manutenção em Cabeamento de Rede")</f>
        <v>Instalações e/ou Manutenção em Cabeamento de Rede</v>
      </c>
      <c r="J526" s="13" t="str">
        <f>IFERROR(__xludf.DUMMYFUNCTION("""COMPUTED_VALUE"""),"05 Telecomunicações / 39 - CFTV (PRAZO DE ATÉ 15 DIAS PARA ATENDIMENTO)")</f>
        <v>05 Telecomunicações / 39 - CFTV (PRAZO DE ATÉ 15 DIAS PARA ATENDIMENTO)</v>
      </c>
      <c r="K526" s="13"/>
      <c r="L526" s="13" t="str">
        <f>IFERROR(__xludf.DUMMYFUNCTION("""COMPUTED_VALUE"""),"O DVR da Prefeitura, não está aceitando abrir todas as câmeras. No DVR ele está normal, conectado, porém ao abrir as câmeras elas não abrem, ficam como se estivessem desconectadas, dando a seguinte mensagem ''TEMPO LIMITE DE CONEXÃO ATINGIDO'', onde algum"&amp;"as abrem e outras não abrem, isso está ocorrendo em todos os computadores, somente algumas abrem outras dão erro para exibição. Foi percebido que isso está acontecendo há alguns dias. ")</f>
        <v>O DVR da Prefeitura, não está aceitando abrir todas as câmeras. No DVR ele está normal, conectado, porém ao abrir as câmeras elas não abrem, ficam como se estivessem desconectadas, dando a seguinte mensagem ''TEMPO LIMITE DE CONEXÃO ATINGIDO'', onde algumas abrem e outras não abrem, isso está ocorrendo em todos os computadores, somente algumas abrem outras dão erro para exibição. Foi percebido que isso está acontecendo há alguns dias. </v>
      </c>
      <c r="M526" s="25"/>
      <c r="N526" s="26" t="str">
        <f>IFERROR(__xludf.DUMMYFUNCTION("""COMPUTED_VALUE"""),"Realizado")</f>
        <v>Realizado</v>
      </c>
      <c r="O526" s="11">
        <f>IFERROR(__xludf.DUMMYFUNCTION("""COMPUTED_VALUE"""),45371.0)</f>
        <v>45371</v>
      </c>
      <c r="P526" s="11"/>
    </row>
    <row r="527">
      <c r="A527" s="20" t="str">
        <f>IFERROR(__xludf.DUMMYFUNCTION("""COMPUTED_VALUE"""),"525/2024")</f>
        <v>525/2024</v>
      </c>
      <c r="B527" s="8">
        <f>IFERROR(__xludf.DUMMYFUNCTION("""COMPUTED_VALUE"""),45366.63526512732)</f>
        <v>45366.63527</v>
      </c>
      <c r="C527" s="44" t="str">
        <f>IFERROR(__xludf.DUMMYFUNCTION("""COMPUTED_VALUE"""),"progep@ufcat.edu.br")</f>
        <v>progep@ufcat.edu.br</v>
      </c>
      <c r="D527" s="45" t="str">
        <f>IFERROR(__xludf.DUMMYFUNCTION("""COMPUTED_VALUE"""),"Fabiana Alves de Assunção Mesquita")</f>
        <v>Fabiana Alves de Assunção Mesquita</v>
      </c>
      <c r="E527" s="47">
        <f>IFERROR(__xludf.DUMMYFUNCTION("""COMPUTED_VALUE"""),5336.0)</f>
        <v>5336</v>
      </c>
      <c r="F527" s="45" t="str">
        <f>IFERROR(__xludf.DUMMYFUNCTION("""COMPUTED_VALUE"""),"PROGEP")</f>
        <v>PROGEP</v>
      </c>
      <c r="G527" s="45" t="str">
        <f>IFERROR(__xludf.DUMMYFUNCTION("""COMPUTED_VALUE"""),"Bloco Administrativo")</f>
        <v>Bloco Administrativo</v>
      </c>
      <c r="H527" s="46">
        <f>IFERROR(__xludf.DUMMYFUNCTION("""COMPUTED_VALUE"""),116.0)</f>
        <v>116</v>
      </c>
      <c r="I527" s="7" t="str">
        <f>IFERROR(__xludf.DUMMYFUNCTION("""COMPUTED_VALUE"""),"Instalações elétricas")</f>
        <v>Instalações elétricas</v>
      </c>
      <c r="J527" s="13" t="str">
        <f>IFERROR(__xludf.DUMMYFUNCTION("""COMPUTED_VALUE"""),"04 Elétrica / 34 - Tomada Uso Geral (PRAZO DE ATÉ 15 DIAS PARA ATENDIMENTO)")</f>
        <v>04 Elétrica / 34 - Tomada Uso Geral (PRAZO DE ATÉ 15 DIAS PARA ATENDIMENTO)</v>
      </c>
      <c r="K527" s="13"/>
      <c r="L527" s="13" t="str">
        <f>IFERROR(__xludf.DUMMYFUNCTION("""COMPUTED_VALUE"""),"Instalação de 3 tomadas na sala 113")</f>
        <v>Instalação de 3 tomadas na sala 113</v>
      </c>
      <c r="M527" s="20" t="str">
        <f>IFERROR(__xludf.DUMMYFUNCTION("""COMPUTED_VALUE"""),"Caixa condulete PVC")</f>
        <v>Caixa condulete PVC</v>
      </c>
      <c r="N527" s="26" t="str">
        <f>IFERROR(__xludf.DUMMYFUNCTION("""COMPUTED_VALUE"""),"Aguardando Mat./Equipam.")</f>
        <v>Aguardando Mat./Equipam.</v>
      </c>
      <c r="O527" s="12"/>
      <c r="P527" s="12"/>
    </row>
    <row r="528">
      <c r="A528" s="20" t="str">
        <f>IFERROR(__xludf.DUMMYFUNCTION("""COMPUTED_VALUE"""),"526/2024")</f>
        <v>526/2024</v>
      </c>
      <c r="B528" s="8">
        <f>IFERROR(__xludf.DUMMYFUNCTION("""COMPUTED_VALUE"""),45368.56934314815)</f>
        <v>45368.56934</v>
      </c>
      <c r="C528" s="44" t="str">
        <f>IFERROR(__xludf.DUMMYFUNCTION("""COMPUTED_VALUE"""),"seguranca@ufcat.edu.br")</f>
        <v>seguranca@ufcat.edu.br</v>
      </c>
      <c r="D528" s="45" t="str">
        <f>IFERROR(__xludf.DUMMYFUNCTION("""COMPUTED_VALUE"""),"Carla Braz")</f>
        <v>Carla Braz</v>
      </c>
      <c r="E528" s="47">
        <f>IFERROR(__xludf.DUMMYFUNCTION("""COMPUTED_VALUE"""),5318.0)</f>
        <v>5318</v>
      </c>
      <c r="F528" s="45" t="str">
        <f>IFERROR(__xludf.DUMMYFUNCTION("""COMPUTED_VALUE"""),"CENTRAL DE OPERAÇÕES VIGILÂNCIA")</f>
        <v>CENTRAL DE OPERAÇÕES VIGILÂNCIA</v>
      </c>
      <c r="G528" s="45" t="str">
        <f>IFERROR(__xludf.DUMMYFUNCTION("""COMPUTED_VALUE"""),"Bloco O")</f>
        <v>Bloco O</v>
      </c>
      <c r="H528" s="46" t="str">
        <f>IFERROR(__xludf.DUMMYFUNCTION("""COMPUTED_VALUE"""),"Sala Rack ")</f>
        <v>Sala Rack </v>
      </c>
      <c r="I528" s="7" t="str">
        <f>IFERROR(__xludf.DUMMYFUNCTION("""COMPUTED_VALUE"""),"Instalações e/ou Manutenção em Cabeamento de Rede")</f>
        <v>Instalações e/ou Manutenção em Cabeamento de Rede</v>
      </c>
      <c r="J528" s="13" t="str">
        <f>IFERROR(__xludf.DUMMYFUNCTION("""COMPUTED_VALUE"""),"05 Telecomunicações / 39 - CFTV (PRAZO DE ATÉ 15 DIAS PARA ATENDIMENTO)")</f>
        <v>05 Telecomunicações / 39 - CFTV (PRAZO DE ATÉ 15 DIAS PARA ATENDIMENTO)</v>
      </c>
      <c r="K528" s="13"/>
      <c r="L528" s="13" t="str">
        <f>IFERROR(__xludf.DUMMYFUNCTION("""COMPUTED_VALUE"""),"DVR DESCONECTADO")</f>
        <v>DVR DESCONECTADO</v>
      </c>
      <c r="M528" s="25"/>
      <c r="N528" s="26" t="str">
        <f>IFERROR(__xludf.DUMMYFUNCTION("""COMPUTED_VALUE"""),"Realizado")</f>
        <v>Realizado</v>
      </c>
      <c r="O528" s="11">
        <f>IFERROR(__xludf.DUMMYFUNCTION("""COMPUTED_VALUE"""),45370.0)</f>
        <v>45370</v>
      </c>
      <c r="P528" s="11"/>
    </row>
    <row r="529">
      <c r="A529" s="20" t="str">
        <f>IFERROR(__xludf.DUMMYFUNCTION("""COMPUTED_VALUE"""),"527/2024")</f>
        <v>527/2024</v>
      </c>
      <c r="B529" s="8">
        <f>IFERROR(__xludf.DUMMYFUNCTION("""COMPUTED_VALUE"""),45369.31578675926)</f>
        <v>45369.31579</v>
      </c>
      <c r="C529" s="44" t="str">
        <f>IFERROR(__xludf.DUMMYFUNCTION("""COMPUTED_VALUE"""),"amanda.lopes@ufcat.edu.br")</f>
        <v>amanda.lopes@ufcat.edu.br</v>
      </c>
      <c r="D529" s="45" t="str">
        <f>IFERROR(__xludf.DUMMYFUNCTION("""COMPUTED_VALUE"""),"Amanda Matos")</f>
        <v>Amanda Matos</v>
      </c>
      <c r="E529" s="47">
        <f>IFERROR(__xludf.DUMMYFUNCTION("""COMPUTED_VALUE"""),5340.0)</f>
        <v>5340</v>
      </c>
      <c r="F529" s="45" t="str">
        <f>IFERROR(__xludf.DUMMYFUNCTION("""COMPUTED_VALUE"""),"PREF")</f>
        <v>PREF</v>
      </c>
      <c r="G529" s="45" t="str">
        <f>IFERROR(__xludf.DUMMYFUNCTION("""COMPUTED_VALUE"""),"Bloco I")</f>
        <v>Bloco I</v>
      </c>
      <c r="H529" s="46" t="str">
        <f>IFERROR(__xludf.DUMMYFUNCTION("""COMPUTED_VALUE"""),"Praça ")</f>
        <v>Praça </v>
      </c>
      <c r="I529" s="7" t="str">
        <f>IFERROR(__xludf.DUMMYFUNCTION("""COMPUTED_VALUE"""),"Instalações elétricas")</f>
        <v>Instalações elétricas</v>
      </c>
      <c r="J529" s="13" t="str">
        <f>IFERROR(__xludf.DUMMYFUNCTION("""COMPUTED_VALUE"""),"04 Elétrica / 35 - Troca de Lâmpadas (PRAZO DE ATÉ 15 DIAS PARA ATENDIMENTO)")</f>
        <v>04 Elétrica / 35 - Troca de Lâmpadas (PRAZO DE ATÉ 15 DIAS PARA ATENDIMENTO)</v>
      </c>
      <c r="K529" s="13"/>
      <c r="L529" s="13" t="str">
        <f>IFERROR(__xludf.DUMMYFUNCTION("""COMPUTED_VALUE"""),"Instalação de luminaria ")</f>
        <v>Instalação de luminaria </v>
      </c>
      <c r="M529" s="25"/>
      <c r="N529" s="26" t="str">
        <f>IFERROR(__xludf.DUMMYFUNCTION("""COMPUTED_VALUE"""),"Realizado")</f>
        <v>Realizado</v>
      </c>
      <c r="O529" s="11">
        <f>IFERROR(__xludf.DUMMYFUNCTION("""COMPUTED_VALUE"""),45369.0)</f>
        <v>45369</v>
      </c>
      <c r="P529" s="11"/>
    </row>
    <row r="530">
      <c r="A530" s="20" t="str">
        <f>IFERROR(__xludf.DUMMYFUNCTION("""COMPUTED_VALUE"""),"528/2024")</f>
        <v>528/2024</v>
      </c>
      <c r="B530" s="8">
        <f>IFERROR(__xludf.DUMMYFUNCTION("""COMPUTED_VALUE"""),45369.43864460648)</f>
        <v>45369.43864</v>
      </c>
      <c r="C530" s="44" t="str">
        <f>IFERROR(__xludf.DUMMYFUNCTION("""COMPUTED_VALUE"""),"cinara.martins@ufcat.edu.br")</f>
        <v>cinara.martins@ufcat.edu.br</v>
      </c>
      <c r="D530" s="45" t="str">
        <f>IFERROR(__xludf.DUMMYFUNCTION("""COMPUTED_VALUE"""),"Cinara Martins")</f>
        <v>Cinara Martins</v>
      </c>
      <c r="E530" s="47" t="str">
        <f>IFERROR(__xludf.DUMMYFUNCTION("""COMPUTED_VALUE"""),"(64) 98406-7434")</f>
        <v>(64) 98406-7434</v>
      </c>
      <c r="F530" s="45" t="str">
        <f>IFERROR(__xludf.DUMMYFUNCTION("""COMPUTED_VALUE"""),"REITORIA")</f>
        <v>REITORIA</v>
      </c>
      <c r="G530" s="45" t="str">
        <f>IFERROR(__xludf.DUMMYFUNCTION("""COMPUTED_VALUE"""),"Bloco Administrativo")</f>
        <v>Bloco Administrativo</v>
      </c>
      <c r="H530" s="46" t="str">
        <f>IFERROR(__xludf.DUMMYFUNCTION("""COMPUTED_VALUE"""),"Recepção Reitoria")</f>
        <v>Recepção Reitoria</v>
      </c>
      <c r="I530" s="7" t="str">
        <f>IFERROR(__xludf.DUMMYFUNCTION("""COMPUTED_VALUE"""),"Instalações e/ou Manutenção em Cabeamento de Rede")</f>
        <v>Instalações e/ou Manutenção em Cabeamento de Rede</v>
      </c>
      <c r="J530" s="13" t="str">
        <f>IFERROR(__xludf.DUMMYFUNCTION("""COMPUTED_VALUE"""),"05 Telecomunicações / 38 - Cabeamento de Rede (PRAZO DE ATÉ 15 DIAS PARA ATENDIMENTO)")</f>
        <v>05 Telecomunicações / 38 - Cabeamento de Rede (PRAZO DE ATÉ 15 DIAS PARA ATENDIMENTO)</v>
      </c>
      <c r="K530" s="13"/>
      <c r="L530" s="13" t="str">
        <f>IFERROR(__xludf.DUMMYFUNCTION("""COMPUTED_VALUE"""),"Instalação de ponto de internet")</f>
        <v>Instalação de ponto de internet</v>
      </c>
      <c r="M530" s="25" t="str">
        <f>IFERROR(__xludf.DUMMYFUNCTION("""COMPUTED_VALUE"""),"Ponto de internet para habilitar uma impressora")</f>
        <v>Ponto de internet para habilitar uma impressora</v>
      </c>
      <c r="N530" s="26" t="str">
        <f>IFERROR(__xludf.DUMMYFUNCTION("""COMPUTED_VALUE"""),"Realizado")</f>
        <v>Realizado</v>
      </c>
      <c r="O530" s="11">
        <f>IFERROR(__xludf.DUMMYFUNCTION("""COMPUTED_VALUE"""),45372.0)</f>
        <v>45372</v>
      </c>
      <c r="P530" s="11"/>
    </row>
    <row r="531">
      <c r="A531" s="20" t="str">
        <f>IFERROR(__xludf.DUMMYFUNCTION("""COMPUTED_VALUE"""),"529/2024")</f>
        <v>529/2024</v>
      </c>
      <c r="B531" s="8">
        <f>IFERROR(__xludf.DUMMYFUNCTION("""COMPUTED_VALUE"""),45369.5607896875)</f>
        <v>45369.56079</v>
      </c>
      <c r="C531" s="44" t="str">
        <f>IFERROR(__xludf.DUMMYFUNCTION("""COMPUTED_VALUE"""),"computacao.ibiotec@ufcat.edu.br")</f>
        <v>computacao.ibiotec@ufcat.edu.br</v>
      </c>
      <c r="D531" s="45" t="str">
        <f>IFERROR(__xludf.DUMMYFUNCTION("""COMPUTED_VALUE"""),"Diovana Canedo ")</f>
        <v>Diovana Canedo </v>
      </c>
      <c r="E531" s="47">
        <f>IFERROR(__xludf.DUMMYFUNCTION("""COMPUTED_VALUE"""),5310.0)</f>
        <v>5310</v>
      </c>
      <c r="F531" s="45" t="str">
        <f>IFERROR(__xludf.DUMMYFUNCTION("""COMPUTED_VALUE"""),"IBIOTEC - Ciências da Computação")</f>
        <v>IBIOTEC - Ciências da Computação</v>
      </c>
      <c r="G531" s="45" t="str">
        <f>IFERROR(__xludf.DUMMYFUNCTION("""COMPUTED_VALUE"""),"Bloco M")</f>
        <v>Bloco M</v>
      </c>
      <c r="H531" s="46" t="str">
        <f>IFERROR(__xludf.DUMMYFUNCTION("""COMPUTED_VALUE"""),"Sala 151")</f>
        <v>Sala 151</v>
      </c>
      <c r="I531" s="7" t="str">
        <f>IFERROR(__xludf.DUMMYFUNCTION("""COMPUTED_VALUE"""),"Instalações elétricas")</f>
        <v>Instalações elétricas</v>
      </c>
      <c r="J531" s="13" t="str">
        <f>IFERROR(__xludf.DUMMYFUNCTION("""COMPUTED_VALUE"""),"04 Elétrica / 34 - Tomada Uso Geral (PRAZO DE ATÉ 15 DIAS PARA ATENDIMENTO)")</f>
        <v>04 Elétrica / 34 - Tomada Uso Geral (PRAZO DE ATÉ 15 DIAS PARA ATENDIMENTO)</v>
      </c>
      <c r="K531" s="13"/>
      <c r="L531" s="13" t="str">
        <f>IFERROR(__xludf.DUMMYFUNCTION("""COMPUTED_VALUE"""),"Instalação de novas tomadas e ponto de internet ")</f>
        <v>Instalação de novas tomadas e ponto de internet </v>
      </c>
      <c r="M531" s="25"/>
      <c r="N531" s="26" t="str">
        <f>IFERROR(__xludf.DUMMYFUNCTION("""COMPUTED_VALUE"""),"Realizado")</f>
        <v>Realizado</v>
      </c>
      <c r="O531" s="11">
        <f>IFERROR(__xludf.DUMMYFUNCTION("""COMPUTED_VALUE"""),45370.0)</f>
        <v>45370</v>
      </c>
      <c r="P531" s="11"/>
    </row>
    <row r="532">
      <c r="A532" s="20" t="str">
        <f>IFERROR(__xludf.DUMMYFUNCTION("""COMPUTED_VALUE"""),"530/2024")</f>
        <v>530/2024</v>
      </c>
      <c r="B532" s="8">
        <f>IFERROR(__xludf.DUMMYFUNCTION("""COMPUTED_VALUE"""),45369.58684429398)</f>
        <v>45369.58684</v>
      </c>
      <c r="C532" s="44" t="str">
        <f>IFERROR(__xludf.DUMMYFUNCTION("""COMPUTED_VALUE"""),"gabriel.neto@ufcat.edu.br")</f>
        <v>gabriel.neto@ufcat.edu.br</v>
      </c>
      <c r="D532" s="45" t="str">
        <f>IFERROR(__xludf.DUMMYFUNCTION("""COMPUTED_VALUE"""),"Gabriel de Melo Neto")</f>
        <v>Gabriel de Melo Neto</v>
      </c>
      <c r="E532" s="47" t="str">
        <f>IFERROR(__xludf.DUMMYFUNCTION("""COMPUTED_VALUE"""),"x")</f>
        <v>x</v>
      </c>
      <c r="F532" s="45" t="str">
        <f>IFERROR(__xludf.DUMMYFUNCTION("""COMPUTED_VALUE"""),"FAE")</f>
        <v>FAE</v>
      </c>
      <c r="G532" s="45" t="str">
        <f>IFERROR(__xludf.DUMMYFUNCTION("""COMPUTED_VALUE"""),"MUC")</f>
        <v>MUC</v>
      </c>
      <c r="H532" s="46" t="str">
        <f>IFERROR(__xludf.DUMMYFUNCTION("""COMPUTED_VALUE"""),"Terreno da MUC que recebeu plantio agroecológico")</f>
        <v>Terreno da MUC que recebeu plantio agroecológico</v>
      </c>
      <c r="I532" s="7" t="str">
        <f>IFERROR(__xludf.DUMMYFUNCTION("""COMPUTED_VALUE"""),"Jardinagem")</f>
        <v>Jardinagem</v>
      </c>
      <c r="J532" s="15" t="str">
        <f>IFERROR(__xludf.DUMMYFUNCTION("""COMPUTED_VALUE"""),"10 Jardinagem / 58 Serviços de Jardinagem ")</f>
        <v>10 Jardinagem / 58 Serviços de Jardinagem </v>
      </c>
      <c r="K532" s="15"/>
      <c r="L532" s="13" t="str">
        <f>IFERROR(__xludf.DUMMYFUNCTION("""COMPUTED_VALUE"""),"Realizar roçagem com o uso de roçadeira intercostal nos locais que não há plantio.")</f>
        <v>Realizar roçagem com o uso de roçadeira intercostal nos locais que não há plantio.</v>
      </c>
      <c r="M532" s="25"/>
      <c r="N532" s="26" t="str">
        <f>IFERROR(__xludf.DUMMYFUNCTION("""COMPUTED_VALUE"""),"Aguardando análise")</f>
        <v>Aguardando análise</v>
      </c>
      <c r="O532" s="12"/>
      <c r="P532" s="12"/>
    </row>
    <row r="533">
      <c r="A533" s="20" t="str">
        <f>IFERROR(__xludf.DUMMYFUNCTION("""COMPUTED_VALUE"""),"531/2024")</f>
        <v>531/2024</v>
      </c>
      <c r="B533" s="8">
        <f>IFERROR(__xludf.DUMMYFUNCTION("""COMPUTED_VALUE"""),45369.597836886576)</f>
        <v>45369.59784</v>
      </c>
      <c r="C533" s="44" t="str">
        <f>IFERROR(__xludf.DUMMYFUNCTION("""COMPUTED_VALUE"""),"muc.prpe@ufcat.edu.br")</f>
        <v>muc.prpe@ufcat.edu.br</v>
      </c>
      <c r="D533" s="45" t="str">
        <f>IFERROR(__xludf.DUMMYFUNCTION("""COMPUTED_VALUE"""),"ludmila ")</f>
        <v>ludmila </v>
      </c>
      <c r="E533" s="47">
        <f>IFERROR(__xludf.DUMMYFUNCTION("""COMPUTED_VALUE"""),5333.0)</f>
        <v>5333</v>
      </c>
      <c r="F533" s="45" t="str">
        <f>IFERROR(__xludf.DUMMYFUNCTION("""COMPUTED_VALUE"""),"PRPE")</f>
        <v>PRPE</v>
      </c>
      <c r="G533" s="45" t="str">
        <f>IFERROR(__xludf.DUMMYFUNCTION("""COMPUTED_VALUE"""),"MUC")</f>
        <v>MUC</v>
      </c>
      <c r="H533" s="46" t="str">
        <f>IFERROR(__xludf.DUMMYFUNCTION("""COMPUTED_VALUE"""),"Área externa da MUC ")</f>
        <v>Área externa da MUC </v>
      </c>
      <c r="I533" s="7" t="str">
        <f>IFERROR(__xludf.DUMMYFUNCTION("""COMPUTED_VALUE"""),"Jardinagem")</f>
        <v>Jardinagem</v>
      </c>
      <c r="J533" s="15" t="str">
        <f>IFERROR(__xludf.DUMMYFUNCTION("""COMPUTED_VALUE"""),"10 Jardinagem / 58 Serviços de Jardinagem ")</f>
        <v>10 Jardinagem / 58 Serviços de Jardinagem </v>
      </c>
      <c r="K533" s="15"/>
      <c r="L533" s="13" t="str">
        <f>IFERROR(__xludf.DUMMYFUNCTION("""COMPUTED_VALUE"""),"Realizar roçagem nas Realizar roçagem com o uso de roçadeira intercostal nos locais que não há plantio.
")</f>
        <v>Realizar roçagem nas Realizar roçagem com o uso de roçadeira intercostal nos locais que não há plantio.
</v>
      </c>
      <c r="M533" s="25"/>
      <c r="N533" s="26" t="str">
        <f>IFERROR(__xludf.DUMMYFUNCTION("""COMPUTED_VALUE"""),"Aguardando análise")</f>
        <v>Aguardando análise</v>
      </c>
      <c r="O533" s="12"/>
      <c r="P533" s="12"/>
    </row>
    <row r="534">
      <c r="A534" s="20" t="str">
        <f>IFERROR(__xludf.DUMMYFUNCTION("""COMPUTED_VALUE"""),"532/2024")</f>
        <v>532/2024</v>
      </c>
      <c r="B534" s="8">
        <f>IFERROR(__xludf.DUMMYFUNCTION("""COMPUTED_VALUE"""),45369.61199460649)</f>
        <v>45369.61199</v>
      </c>
      <c r="C534" s="44" t="str">
        <f>IFERROR(__xludf.DUMMYFUNCTION("""COMPUTED_VALUE"""),"cpatri.proaf@ufcat.edu.br")</f>
        <v>cpatri.proaf@ufcat.edu.br</v>
      </c>
      <c r="D534" s="45" t="str">
        <f>IFERROR(__xludf.DUMMYFUNCTION("""COMPUTED_VALUE"""),"Fábio Gonçalves")</f>
        <v>Fábio Gonçalves</v>
      </c>
      <c r="E534" s="47">
        <f>IFERROR(__xludf.DUMMYFUNCTION("""COMPUTED_VALUE"""),5343.0)</f>
        <v>5343</v>
      </c>
      <c r="F534" s="45" t="str">
        <f>IFERROR(__xludf.DUMMYFUNCTION("""COMPUTED_VALUE"""),"CPATRI")</f>
        <v>CPATRI</v>
      </c>
      <c r="G534" s="45" t="str">
        <f>IFERROR(__xludf.DUMMYFUNCTION("""COMPUTED_VALUE"""),"Bloco Administrativo")</f>
        <v>Bloco Administrativo</v>
      </c>
      <c r="H534" s="46" t="str">
        <f>IFERROR(__xludf.DUMMYFUNCTION("""COMPUTED_VALUE"""),"almoxarifado")</f>
        <v>almoxarifado</v>
      </c>
      <c r="I534" s="7" t="str">
        <f>IFERROR(__xludf.DUMMYFUNCTION("""COMPUTED_VALUE"""),"Serralheria")</f>
        <v>Serralheria</v>
      </c>
      <c r="J534" s="13" t="str">
        <f>IFERROR(__xludf.DUMMYFUNCTION("""COMPUTED_VALUE"""),"08 Serralheria / 56 - Outros (PRAZO DE ACORDO COM A DEMANDA)")</f>
        <v>08 Serralheria / 56 - Outros (PRAZO DE ACORDO COM A DEMANDA)</v>
      </c>
      <c r="K534" s="13"/>
      <c r="L534" s="13" t="str">
        <f>IFERROR(__xludf.DUMMYFUNCTION("""COMPUTED_VALUE"""),"colocar mais umas grades nos carrinhos de transporte dos carregadores")</f>
        <v>colocar mais umas grades nos carrinhos de transporte dos carregadores</v>
      </c>
      <c r="M534" s="25"/>
      <c r="N534" s="26" t="str">
        <f>IFERROR(__xludf.DUMMYFUNCTION("""COMPUTED_VALUE"""),"Realizado")</f>
        <v>Realizado</v>
      </c>
      <c r="O534" s="11">
        <f>IFERROR(__xludf.DUMMYFUNCTION("""COMPUTED_VALUE"""),45394.0)</f>
        <v>45394</v>
      </c>
      <c r="P534" s="12"/>
    </row>
    <row r="535">
      <c r="A535" s="20" t="str">
        <f>IFERROR(__xludf.DUMMYFUNCTION("""COMPUTED_VALUE"""),"533/2024")</f>
        <v>533/2024</v>
      </c>
      <c r="B535" s="8">
        <f>IFERROR(__xludf.DUMMYFUNCTION("""COMPUTED_VALUE"""),45369.65524875)</f>
        <v>45369.65525</v>
      </c>
      <c r="C535" s="44" t="str">
        <f>IFERROR(__xludf.DUMMYFUNCTION("""COMPUTED_VALUE"""),"psicologia.ibiotec@ufcat.edu.br")</f>
        <v>psicologia.ibiotec@ufcat.edu.br</v>
      </c>
      <c r="D535" s="45" t="str">
        <f>IFERROR(__xludf.DUMMYFUNCTION("""COMPUTED_VALUE"""),"Diovana Canedo ")</f>
        <v>Diovana Canedo </v>
      </c>
      <c r="E535" s="47">
        <f>IFERROR(__xludf.DUMMYFUNCTION("""COMPUTED_VALUE"""),5310.0)</f>
        <v>5310</v>
      </c>
      <c r="F535" s="45" t="str">
        <f>IFERROR(__xludf.DUMMYFUNCTION("""COMPUTED_VALUE"""),"IBIOTEC  - Psicologia")</f>
        <v>IBIOTEC  - Psicologia</v>
      </c>
      <c r="G535" s="45" t="str">
        <f>IFERROR(__xludf.DUMMYFUNCTION("""COMPUTED_VALUE"""),"Bloco M")</f>
        <v>Bloco M</v>
      </c>
      <c r="H535" s="46">
        <f>IFERROR(__xludf.DUMMYFUNCTION("""COMPUTED_VALUE"""),151.0)</f>
        <v>151</v>
      </c>
      <c r="I535" s="7" t="str">
        <f>IFERROR(__xludf.DUMMYFUNCTION("""COMPUTED_VALUE"""),"Pequenos serviços de reparos em Marcenaria")</f>
        <v>Pequenos serviços de reparos em Marcenaria</v>
      </c>
      <c r="J535" s="13" t="str">
        <f>IFERROR(__xludf.DUMMYFUNCTION("""COMPUTED_VALUE"""),"03 Marcenaria / 29 - Outros (PRAZO DE ACORDO COM A DEMANDA)")</f>
        <v>03 Marcenaria / 29 - Outros (PRAZO DE ACORDO COM A DEMANDA)</v>
      </c>
      <c r="K535" s="13"/>
      <c r="L535" s="13" t="str">
        <f>IFERROR(__xludf.DUMMYFUNCTION("""COMPUTED_VALUE"""),"Retirada e instalação de prateleiras e quadros ")</f>
        <v>Retirada e instalação de prateleiras e quadros </v>
      </c>
      <c r="M535" s="25"/>
      <c r="N535" s="26" t="str">
        <f>IFERROR(__xludf.DUMMYFUNCTION("""COMPUTED_VALUE"""),"Realizado")</f>
        <v>Realizado</v>
      </c>
      <c r="O535" s="11">
        <f>IFERROR(__xludf.DUMMYFUNCTION("""COMPUTED_VALUE"""),45370.0)</f>
        <v>45370</v>
      </c>
      <c r="P535" s="11"/>
    </row>
    <row r="536">
      <c r="A536" s="20" t="str">
        <f>IFERROR(__xludf.DUMMYFUNCTION("""COMPUTED_VALUE"""),"534/2024")</f>
        <v>534/2024</v>
      </c>
      <c r="B536" s="8">
        <f>IFERROR(__xludf.DUMMYFUNCTION("""COMPUTED_VALUE"""),45370.40068719907)</f>
        <v>45370.40069</v>
      </c>
      <c r="C536" s="44" t="str">
        <f>IFERROR(__xludf.DUMMYFUNCTION("""COMPUTED_VALUE"""),"medicina.ibiotec@ufcat.edu.br")</f>
        <v>medicina.ibiotec@ufcat.edu.br</v>
      </c>
      <c r="D536" s="45" t="str">
        <f>IFERROR(__xludf.DUMMYFUNCTION("""COMPUTED_VALUE"""),"Thaiany dos Santos Silva de Aquino")</f>
        <v>Thaiany dos Santos Silva de Aquino</v>
      </c>
      <c r="E536" s="47">
        <f>IFERROR(__xludf.DUMMYFUNCTION("""COMPUTED_VALUE"""),7602.0)</f>
        <v>7602</v>
      </c>
      <c r="F536" s="45" t="str">
        <f>IFERROR(__xludf.DUMMYFUNCTION("""COMPUTED_VALUE"""),"IBIOTEC - Medicina")</f>
        <v>IBIOTEC - Medicina</v>
      </c>
      <c r="G536" s="45" t="str">
        <f>IFERROR(__xludf.DUMMYFUNCTION("""COMPUTED_VALUE"""),"Campus II")</f>
        <v>Campus II</v>
      </c>
      <c r="H536" s="46" t="str">
        <f>IFERROR(__xludf.DUMMYFUNCTION("""COMPUTED_VALUE"""),"Corredor em frente a Secretaria")</f>
        <v>Corredor em frente a Secretaria</v>
      </c>
      <c r="I536" s="7" t="str">
        <f>IFERROR(__xludf.DUMMYFUNCTION("""COMPUTED_VALUE"""),"Instalações elétricas")</f>
        <v>Instalações elétricas</v>
      </c>
      <c r="J536" s="13" t="str">
        <f>IFERROR(__xludf.DUMMYFUNCTION("""COMPUTED_VALUE"""),"04 Elétrica / 35 - Troca de Lâmpadas (PRAZO DE ATÉ 15 DIAS PARA ATENDIMENTO)")</f>
        <v>04 Elétrica / 35 - Troca de Lâmpadas (PRAZO DE ATÉ 15 DIAS PARA ATENDIMENTO)</v>
      </c>
      <c r="K536" s="13"/>
      <c r="L536" s="13" t="str">
        <f>IFERROR(__xludf.DUMMYFUNCTION("""COMPUTED_VALUE"""),"Troca de duas lâmpadas queimadas.")</f>
        <v>Troca de duas lâmpadas queimadas.</v>
      </c>
      <c r="M536" s="25"/>
      <c r="N536" s="26" t="str">
        <f>IFERROR(__xludf.DUMMYFUNCTION("""COMPUTED_VALUE"""),"Realizado")</f>
        <v>Realizado</v>
      </c>
      <c r="O536" s="11">
        <f>IFERROR(__xludf.DUMMYFUNCTION("""COMPUTED_VALUE"""),45370.0)</f>
        <v>45370</v>
      </c>
      <c r="P536" s="11"/>
    </row>
    <row r="537">
      <c r="A537" s="20" t="str">
        <f>IFERROR(__xludf.DUMMYFUNCTION("""COMPUTED_VALUE"""),"535/2024")</f>
        <v>535/2024</v>
      </c>
      <c r="B537" s="8">
        <f>IFERROR(__xludf.DUMMYFUNCTION("""COMPUTED_VALUE"""),45370.58307378472)</f>
        <v>45370.58307</v>
      </c>
      <c r="C537" s="44" t="str">
        <f>IFERROR(__xludf.DUMMYFUNCTION("""COMPUTED_VALUE"""),"cpatri.proaf@ufcat.edu.br")</f>
        <v>cpatri.proaf@ufcat.edu.br</v>
      </c>
      <c r="D537" s="45" t="str">
        <f>IFERROR(__xludf.DUMMYFUNCTION("""COMPUTED_VALUE"""),"Fábio Gonçalves")</f>
        <v>Fábio Gonçalves</v>
      </c>
      <c r="E537" s="47">
        <f>IFERROR(__xludf.DUMMYFUNCTION("""COMPUTED_VALUE"""),5343.0)</f>
        <v>5343</v>
      </c>
      <c r="F537" s="45" t="str">
        <f>IFERROR(__xludf.DUMMYFUNCTION("""COMPUTED_VALUE"""),"CPATRI")</f>
        <v>CPATRI</v>
      </c>
      <c r="G537" s="45" t="str">
        <f>IFERROR(__xludf.DUMMYFUNCTION("""COMPUTED_VALUE"""),"Bloco Administrativo")</f>
        <v>Bloco Administrativo</v>
      </c>
      <c r="H537" s="46" t="str">
        <f>IFERROR(__xludf.DUMMYFUNCTION("""COMPUTED_VALUE"""),"almoxarifado")</f>
        <v>almoxarifado</v>
      </c>
      <c r="I537" s="7" t="str">
        <f>IFERROR(__xludf.DUMMYFUNCTION("""COMPUTED_VALUE"""),"Instalações elétricas")</f>
        <v>Instalações elétricas</v>
      </c>
      <c r="J537" s="13" t="str">
        <f>IFERROR(__xludf.DUMMYFUNCTION("""COMPUTED_VALUE"""),"04 Elétrica / 35 - Troca de Lâmpadas (PRAZO DE ATÉ 15 DIAS PARA ATENDIMENTO)")</f>
        <v>04 Elétrica / 35 - Troca de Lâmpadas (PRAZO DE ATÉ 15 DIAS PARA ATENDIMENTO)</v>
      </c>
      <c r="K537" s="13"/>
      <c r="L537" s="13" t="str">
        <f>IFERROR(__xludf.DUMMYFUNCTION("""COMPUTED_VALUE"""),"troca de duas lampadas")</f>
        <v>troca de duas lampadas</v>
      </c>
      <c r="M537" s="25"/>
      <c r="N537" s="26" t="str">
        <f>IFERROR(__xludf.DUMMYFUNCTION("""COMPUTED_VALUE"""),"Realizado")</f>
        <v>Realizado</v>
      </c>
      <c r="O537" s="11">
        <f>IFERROR(__xludf.DUMMYFUNCTION("""COMPUTED_VALUE"""),45371.0)</f>
        <v>45371</v>
      </c>
      <c r="P537" s="11"/>
    </row>
    <row r="538">
      <c r="A538" s="20" t="str">
        <f>IFERROR(__xludf.DUMMYFUNCTION("""COMPUTED_VALUE"""),"536/2024")</f>
        <v>536/2024</v>
      </c>
      <c r="B538" s="8">
        <f>IFERROR(__xludf.DUMMYFUNCTION("""COMPUTED_VALUE"""),45371.42503488426)</f>
        <v>45371.42503</v>
      </c>
      <c r="C538" s="44" t="str">
        <f>IFERROR(__xludf.DUMMYFUNCTION("""COMPUTED_VALUE"""),"elaine_carbonero@ufcat.edu.br")</f>
        <v>elaine_carbonero@ufcat.edu.br</v>
      </c>
      <c r="D538" s="45" t="str">
        <f>IFERROR(__xludf.DUMMYFUNCTION("""COMPUTED_VALUE"""),"elaine Carbonero")</f>
        <v>elaine Carbonero</v>
      </c>
      <c r="E538" s="47">
        <f>IFERROR(__xludf.DUMMYFUNCTION("""COMPUTED_VALUE"""),6.4981321757E10)</f>
        <v>64981321757</v>
      </c>
      <c r="F538" s="45" t="str">
        <f>IFERROR(__xludf.DUMMYFUNCTION("""COMPUTED_VALUE"""),"IQ")</f>
        <v>IQ</v>
      </c>
      <c r="G538" s="45" t="str">
        <f>IFERROR(__xludf.DUMMYFUNCTION("""COMPUTED_VALUE"""),"Bloco N")</f>
        <v>Bloco N</v>
      </c>
      <c r="H538" s="46" t="str">
        <f>IFERROR(__xludf.DUMMYFUNCTION("""COMPUTED_VALUE"""),"Secretaria, sala 105")</f>
        <v>Secretaria, sala 105</v>
      </c>
      <c r="I538" s="7" t="str">
        <f>IFERROR(__xludf.DUMMYFUNCTION("""COMPUTED_VALUE"""),"Ar condicionado ")</f>
        <v>Ar condicionado </v>
      </c>
      <c r="J538" s="19" t="str">
        <f>IFERROR(__xludf.DUMMYFUNCTION("""COMPUTED_VALUE"""),"09 Ar Condicionado / 57 - Manutenção por empresa contratada")</f>
        <v>09 Ar Condicionado / 57 - Manutenção por empresa contratada</v>
      </c>
      <c r="K538" s="19"/>
      <c r="L538" s="13" t="str">
        <f>IFERROR(__xludf.DUMMYFUNCTION("""COMPUTED_VALUE"""),"Limpeza e higienização de um aparelho de ar condicionado")</f>
        <v>Limpeza e higienização de um aparelho de ar condicionado</v>
      </c>
      <c r="M538" s="25"/>
      <c r="N538" s="26" t="str">
        <f>IFERROR(__xludf.DUMMYFUNCTION("""COMPUTED_VALUE"""),"Contratação externa Unidade ")</f>
        <v>Contratação externa Unidade </v>
      </c>
      <c r="O538" s="11">
        <f>IFERROR(__xludf.DUMMYFUNCTION("""COMPUTED_VALUE"""),45393.0)</f>
        <v>45393</v>
      </c>
      <c r="P538" s="12"/>
    </row>
    <row r="539">
      <c r="A539" s="20" t="str">
        <f>IFERROR(__xludf.DUMMYFUNCTION("""COMPUTED_VALUE"""),"537/2024")</f>
        <v>537/2024</v>
      </c>
      <c r="B539" s="8">
        <f>IFERROR(__xludf.DUMMYFUNCTION("""COMPUTED_VALUE"""),45371.49909172454)</f>
        <v>45371.49909</v>
      </c>
      <c r="C539" s="44" t="str">
        <f>IFERROR(__xludf.DUMMYFUNCTION("""COMPUTED_VALUE"""),"amanda.lopes@ufcat.edu.br")</f>
        <v>amanda.lopes@ufcat.edu.br</v>
      </c>
      <c r="D539" s="45" t="str">
        <f>IFERROR(__xludf.DUMMYFUNCTION("""COMPUTED_VALUE"""),"Amanda Matos ")</f>
        <v>Amanda Matos </v>
      </c>
      <c r="E539" s="47">
        <f>IFERROR(__xludf.DUMMYFUNCTION("""COMPUTED_VALUE"""),5340.0)</f>
        <v>5340</v>
      </c>
      <c r="F539" s="45" t="str">
        <f>IFERROR(__xludf.DUMMYFUNCTION("""COMPUTED_VALUE"""),"PREF")</f>
        <v>PREF</v>
      </c>
      <c r="G539" s="45" t="str">
        <f>IFERROR(__xludf.DUMMYFUNCTION("""COMPUTED_VALUE"""),"SETI")</f>
        <v>SETI</v>
      </c>
      <c r="H539" s="46" t="str">
        <f>IFERROR(__xludf.DUMMYFUNCTION("""COMPUTED_VALUE"""),"SETi")</f>
        <v>SETi</v>
      </c>
      <c r="I539" s="7" t="str">
        <f>IFERROR(__xludf.DUMMYFUNCTION("""COMPUTED_VALUE"""),"Instalações elétricas")</f>
        <v>Instalações elétricas</v>
      </c>
      <c r="J539" s="13" t="str">
        <f>IFERROR(__xludf.DUMMYFUNCTION("""COMPUTED_VALUE"""),"04 Elétrica / 36 - Instalação de Aparelhos em geral (PRAZO DE ATÉ 15 DIAS PARA ATENDIMENTO)")</f>
        <v>04 Elétrica / 36 - Instalação de Aparelhos em geral (PRAZO DE ATÉ 15 DIAS PARA ATENDIMENTO)</v>
      </c>
      <c r="K539" s="13"/>
      <c r="L539" s="13" t="str">
        <f>IFERROR(__xludf.DUMMYFUNCTION("""COMPUTED_VALUE"""),"Instalação de plug macho no ar condicionado ")</f>
        <v>Instalação de plug macho no ar condicionado </v>
      </c>
      <c r="M539" s="25"/>
      <c r="N539" s="26" t="str">
        <f>IFERROR(__xludf.DUMMYFUNCTION("""COMPUTED_VALUE"""),"Realizado")</f>
        <v>Realizado</v>
      </c>
      <c r="O539" s="11">
        <f>IFERROR(__xludf.DUMMYFUNCTION("""COMPUTED_VALUE"""),45371.0)</f>
        <v>45371</v>
      </c>
      <c r="P539" s="11"/>
    </row>
    <row r="540">
      <c r="A540" s="20" t="str">
        <f>IFERROR(__xludf.DUMMYFUNCTION("""COMPUTED_VALUE"""),"538/2024")</f>
        <v>538/2024</v>
      </c>
      <c r="B540" s="8">
        <f>IFERROR(__xludf.DUMMYFUNCTION("""COMPUTED_VALUE"""),45371.49959206019)</f>
        <v>45371.49959</v>
      </c>
      <c r="C540" s="44" t="str">
        <f>IFERROR(__xludf.DUMMYFUNCTION("""COMPUTED_VALUE"""),"amanda.lopes@ufcat.edu.br")</f>
        <v>amanda.lopes@ufcat.edu.br</v>
      </c>
      <c r="D540" s="45" t="str">
        <f>IFERROR(__xludf.DUMMYFUNCTION("""COMPUTED_VALUE"""),"Amanda Matos ")</f>
        <v>Amanda Matos </v>
      </c>
      <c r="E540" s="47">
        <f>IFERROR(__xludf.DUMMYFUNCTION("""COMPUTED_VALUE"""),5340.0)</f>
        <v>5340</v>
      </c>
      <c r="F540" s="45" t="str">
        <f>IFERROR(__xludf.DUMMYFUNCTION("""COMPUTED_VALUE"""),"PREF")</f>
        <v>PREF</v>
      </c>
      <c r="G540" s="45" t="str">
        <f>IFERROR(__xludf.DUMMYFUNCTION("""COMPUTED_VALUE"""),"SETI")</f>
        <v>SETI</v>
      </c>
      <c r="H540" s="46" t="str">
        <f>IFERROR(__xludf.DUMMYFUNCTION("""COMPUTED_VALUE"""),"SETI")</f>
        <v>SETI</v>
      </c>
      <c r="I540" s="7" t="str">
        <f>IFERROR(__xludf.DUMMYFUNCTION("""COMPUTED_VALUE"""),"Instalações elétricas")</f>
        <v>Instalações elétricas</v>
      </c>
      <c r="J540" s="13" t="str">
        <f>IFERROR(__xludf.DUMMYFUNCTION("""COMPUTED_VALUE"""),"04 Elétrica / 34 - Tomada Uso Geral (PRAZO DE ATÉ 15 DIAS PARA ATENDIMENTO)")</f>
        <v>04 Elétrica / 34 - Tomada Uso Geral (PRAZO DE ATÉ 15 DIAS PARA ATENDIMENTO)</v>
      </c>
      <c r="K540" s="13"/>
      <c r="L540" s="13" t="str">
        <f>IFERROR(__xludf.DUMMYFUNCTION("""COMPUTED_VALUE"""),"Instalação de tomada para bebedouro ")</f>
        <v>Instalação de tomada para bebedouro </v>
      </c>
      <c r="M540" s="25"/>
      <c r="N540" s="26" t="str">
        <f>IFERROR(__xludf.DUMMYFUNCTION("""COMPUTED_VALUE"""),"Realizado")</f>
        <v>Realizado</v>
      </c>
      <c r="O540" s="11">
        <f>IFERROR(__xludf.DUMMYFUNCTION("""COMPUTED_VALUE"""),45371.0)</f>
        <v>45371</v>
      </c>
      <c r="P540" s="11"/>
    </row>
    <row r="541">
      <c r="A541" s="20" t="str">
        <f>IFERROR(__xludf.DUMMYFUNCTION("""COMPUTED_VALUE"""),"539/2024")</f>
        <v>539/2024</v>
      </c>
      <c r="B541" s="8">
        <f>IFERROR(__xludf.DUMMYFUNCTION("""COMPUTED_VALUE"""),45371.628643171294)</f>
        <v>45371.62864</v>
      </c>
      <c r="C541" s="44" t="str">
        <f>IFERROR(__xludf.DUMMYFUNCTION("""COMPUTED_VALUE"""),"ceapsi.ufcat@gmail.com")</f>
        <v>ceapsi.ufcat@gmail.com</v>
      </c>
      <c r="D541" s="45" t="str">
        <f>IFERROR(__xludf.DUMMYFUNCTION("""COMPUTED_VALUE"""),"Jacqueline")</f>
        <v>Jacqueline</v>
      </c>
      <c r="E541" s="47">
        <f>IFERROR(__xludf.DUMMYFUNCTION("""COMPUTED_VALUE"""),5349.0)</f>
        <v>5349</v>
      </c>
      <c r="F541" s="45" t="str">
        <f>IFERROR(__xludf.DUMMYFUNCTION("""COMPUTED_VALUE"""),"IBIOTEC  - Psicologia")</f>
        <v>IBIOTEC  - Psicologia</v>
      </c>
      <c r="G541" s="45" t="str">
        <f>IFERROR(__xludf.DUMMYFUNCTION("""COMPUTED_VALUE"""),"Bloco M")</f>
        <v>Bloco M</v>
      </c>
      <c r="H541" s="46" t="str">
        <f>IFERROR(__xludf.DUMMYFUNCTION("""COMPUTED_VALUE"""),"CEAPSI- Sala de grupo/Sala 7")</f>
        <v>CEAPSI- Sala de grupo/Sala 7</v>
      </c>
      <c r="I541" s="7" t="str">
        <f>IFERROR(__xludf.DUMMYFUNCTION("""COMPUTED_VALUE"""),"Instalações elétricas")</f>
        <v>Instalações elétricas</v>
      </c>
      <c r="J541" s="13" t="str">
        <f>IFERROR(__xludf.DUMMYFUNCTION("""COMPUTED_VALUE"""),"05 Telecomunicações / 38 - Cabeamento de Rede (PRAZO DE ATÉ 15 DIAS PARA ATENDIMENTO)")</f>
        <v>05 Telecomunicações / 38 - Cabeamento de Rede (PRAZO DE ATÉ 15 DIAS PARA ATENDIMENTO)</v>
      </c>
      <c r="K541" s="13"/>
      <c r="L541" s="13" t="str">
        <f>IFERROR(__xludf.DUMMYFUNCTION("""COMPUTED_VALUE"""),"Abertura de ponto de rede")</f>
        <v>Abertura de ponto de rede</v>
      </c>
      <c r="M541" s="25"/>
      <c r="N541" s="26" t="str">
        <f>IFERROR(__xludf.DUMMYFUNCTION("""COMPUTED_VALUE"""),"Realizado")</f>
        <v>Realizado</v>
      </c>
      <c r="O541" s="11">
        <f>IFERROR(__xludf.DUMMYFUNCTION("""COMPUTED_VALUE"""),45372.0)</f>
        <v>45372</v>
      </c>
      <c r="P541" s="11"/>
    </row>
    <row r="542">
      <c r="A542" s="20" t="str">
        <f>IFERROR(__xludf.DUMMYFUNCTION("""COMPUTED_VALUE"""),"540/2024")</f>
        <v>540/2024</v>
      </c>
      <c r="B542" s="8">
        <f>IFERROR(__xludf.DUMMYFUNCTION("""COMPUTED_VALUE"""),45371.630895381946)</f>
        <v>45371.6309</v>
      </c>
      <c r="C542" s="44" t="str">
        <f>IFERROR(__xludf.DUMMYFUNCTION("""COMPUTED_VALUE"""),"ceapsi.ufcat@gmail.com")</f>
        <v>ceapsi.ufcat@gmail.com</v>
      </c>
      <c r="D542" s="45" t="str">
        <f>IFERROR(__xludf.DUMMYFUNCTION("""COMPUTED_VALUE"""),"Jacqueline")</f>
        <v>Jacqueline</v>
      </c>
      <c r="E542" s="47">
        <f>IFERROR(__xludf.DUMMYFUNCTION("""COMPUTED_VALUE"""),5349.0)</f>
        <v>5349</v>
      </c>
      <c r="F542" s="45" t="str">
        <f>IFERROR(__xludf.DUMMYFUNCTION("""COMPUTED_VALUE"""),"IBIOTEC  - Psicologia")</f>
        <v>IBIOTEC  - Psicologia</v>
      </c>
      <c r="G542" s="45" t="str">
        <f>IFERROR(__xludf.DUMMYFUNCTION("""COMPUTED_VALUE"""),"Bloco M")</f>
        <v>Bloco M</v>
      </c>
      <c r="H542" s="46" t="str">
        <f>IFERROR(__xludf.DUMMYFUNCTION("""COMPUTED_VALUE"""),"Sala de grupo/Sala 7")</f>
        <v>Sala de grupo/Sala 7</v>
      </c>
      <c r="I542" s="7" t="str">
        <f>IFERROR(__xludf.DUMMYFUNCTION("""COMPUTED_VALUE"""),"Instalações elétricas")</f>
        <v>Instalações elétricas</v>
      </c>
      <c r="J542" s="13" t="str">
        <f>IFERROR(__xludf.DUMMYFUNCTION("""COMPUTED_VALUE"""),"03 Marcenaria / 29 - Outros (PRAZO DE ACORDO COM A DEMANDA)")</f>
        <v>03 Marcenaria / 29 - Outros (PRAZO DE ACORDO COM A DEMANDA)</v>
      </c>
      <c r="K542" s="13"/>
      <c r="L542" s="13" t="str">
        <f>IFERROR(__xludf.DUMMYFUNCTION("""COMPUTED_VALUE"""),"Fixar um quadro(pintura) na parede da sala 7")</f>
        <v>Fixar um quadro(pintura) na parede da sala 7</v>
      </c>
      <c r="M542" s="25"/>
      <c r="N542" s="26" t="str">
        <f>IFERROR(__xludf.DUMMYFUNCTION("""COMPUTED_VALUE"""),"Realizado")</f>
        <v>Realizado</v>
      </c>
      <c r="O542" s="11">
        <f>IFERROR(__xludf.DUMMYFUNCTION("""COMPUTED_VALUE"""),45372.0)</f>
        <v>45372</v>
      </c>
      <c r="P542" s="11"/>
    </row>
    <row r="543">
      <c r="A543" s="20" t="str">
        <f>IFERROR(__xludf.DUMMYFUNCTION("""COMPUTED_VALUE"""),"541/2024")</f>
        <v>541/2024</v>
      </c>
      <c r="B543" s="8">
        <f>IFERROR(__xludf.DUMMYFUNCTION("""COMPUTED_VALUE"""),45371.63417340278)</f>
        <v>45371.63417</v>
      </c>
      <c r="C543" s="44" t="str">
        <f>IFERROR(__xludf.DUMMYFUNCTION("""COMPUTED_VALUE"""),"muc.prpe@ufcat.edu.br")</f>
        <v>muc.prpe@ufcat.edu.br</v>
      </c>
      <c r="D543" s="45" t="str">
        <f>IFERROR(__xludf.DUMMYFUNCTION("""COMPUTED_VALUE"""),"DANIEL DOS REIS SIMÕES")</f>
        <v>DANIEL DOS REIS SIMÕES</v>
      </c>
      <c r="E543" s="47">
        <f>IFERROR(__xludf.DUMMYFUNCTION("""COMPUTED_VALUE"""),5333.0)</f>
        <v>5333</v>
      </c>
      <c r="F543" s="45" t="str">
        <f>IFERROR(__xludf.DUMMYFUNCTION("""COMPUTED_VALUE"""),"PRPE")</f>
        <v>PRPE</v>
      </c>
      <c r="G543" s="45" t="str">
        <f>IFERROR(__xludf.DUMMYFUNCTION("""COMPUTED_VALUE"""),"MUC")</f>
        <v>MUC</v>
      </c>
      <c r="H543" s="46" t="str">
        <f>IFERROR(__xludf.DUMMYFUNCTION("""COMPUTED_VALUE"""),"Apto 104")</f>
        <v>Apto 104</v>
      </c>
      <c r="I543" s="7" t="str">
        <f>IFERROR(__xludf.DUMMYFUNCTION("""COMPUTED_VALUE"""),"Reparos (alvenaria, piso, forro e telhado)")</f>
        <v>Reparos (alvenaria, piso, forro e telhado)</v>
      </c>
      <c r="J543" s="13" t="str">
        <f>IFERROR(__xludf.DUMMYFUNCTION("""COMPUTED_VALUE"""),"01 Alvenaria / 06 - Outros (PRAZO DE ATÉ 60 DIAS PARA ATENDIMENTO)")</f>
        <v>01 Alvenaria / 06 - Outros (PRAZO DE ATÉ 60 DIAS PARA ATENDIMENTO)</v>
      </c>
      <c r="K543" s="13"/>
      <c r="L543" s="13" t="str">
        <f>IFERROR(__xludf.DUMMYFUNCTION("""COMPUTED_VALUE"""),"Instalar varão para cortina, na sala do apto 104.")</f>
        <v>Instalar varão para cortina, na sala do apto 104.</v>
      </c>
      <c r="M543" s="25"/>
      <c r="N543" s="26" t="str">
        <f>IFERROR(__xludf.DUMMYFUNCTION("""COMPUTED_VALUE"""),"Realizado")</f>
        <v>Realizado</v>
      </c>
      <c r="O543" s="11">
        <f>IFERROR(__xludf.DUMMYFUNCTION("""COMPUTED_VALUE"""),45372.0)</f>
        <v>45372</v>
      </c>
      <c r="P543" s="11"/>
    </row>
    <row r="544">
      <c r="A544" s="20" t="str">
        <f>IFERROR(__xludf.DUMMYFUNCTION("""COMPUTED_VALUE"""),"542/2024")</f>
        <v>542/2024</v>
      </c>
      <c r="B544" s="8">
        <f>IFERROR(__xludf.DUMMYFUNCTION("""COMPUTED_VALUE"""),45371.692017719906)</f>
        <v>45371.69202</v>
      </c>
      <c r="C544" s="44" t="str">
        <f>IFERROR(__xludf.DUMMYFUNCTION("""COMPUTED_VALUE"""),"abner.ferreira@ufcat.edu.br")</f>
        <v>abner.ferreira@ufcat.edu.br</v>
      </c>
      <c r="D544" s="45" t="str">
        <f>IFERROR(__xludf.DUMMYFUNCTION("""COMPUTED_VALUE"""),"Abner Antônio Ferreira")</f>
        <v>Abner Antônio Ferreira</v>
      </c>
      <c r="E544" s="47">
        <f>IFERROR(__xludf.DUMMYFUNCTION("""COMPUTED_VALUE"""),6.2992294836E10)</f>
        <v>62992294836</v>
      </c>
      <c r="F544" s="45" t="str">
        <f>IFERROR(__xludf.DUMMYFUNCTION("""COMPUTED_VALUE"""),"REITORIA")</f>
        <v>REITORIA</v>
      </c>
      <c r="G544" s="45" t="str">
        <f>IFERROR(__xludf.DUMMYFUNCTION("""COMPUTED_VALUE"""),"Bloco Administrativo")</f>
        <v>Bloco Administrativo</v>
      </c>
      <c r="H544" s="46" t="str">
        <f>IFERROR(__xludf.DUMMYFUNCTION("""COMPUTED_VALUE"""),"SEPLAN")</f>
        <v>SEPLAN</v>
      </c>
      <c r="I544" s="7" t="str">
        <f>IFERROR(__xludf.DUMMYFUNCTION("""COMPUTED_VALUE"""),"Instalações e/ou Manutenção em Cabeamento de Rede")</f>
        <v>Instalações e/ou Manutenção em Cabeamento de Rede</v>
      </c>
      <c r="J544" s="13" t="str">
        <f>IFERROR(__xludf.DUMMYFUNCTION("""COMPUTED_VALUE"""),"05 Telecomunicações / 38 - Cabeamento de Rede (PRAZO DE ATÉ 15 DIAS PARA ATENDIMENTO)")</f>
        <v>05 Telecomunicações / 38 - Cabeamento de Rede (PRAZO DE ATÉ 15 DIAS PARA ATENDIMENTO)</v>
      </c>
      <c r="K544" s="13"/>
      <c r="L544" s="13" t="str">
        <f>IFERROR(__xludf.DUMMYFUNCTION("""COMPUTED_VALUE"""),"Revisão dos pontos de rede da sala. ")</f>
        <v>Revisão dos pontos de rede da sala. </v>
      </c>
      <c r="M544" s="25"/>
      <c r="N544" s="26" t="str">
        <f>IFERROR(__xludf.DUMMYFUNCTION("""COMPUTED_VALUE"""),"Realizado")</f>
        <v>Realizado</v>
      </c>
      <c r="O544" s="11">
        <f>IFERROR(__xludf.DUMMYFUNCTION("""COMPUTED_VALUE"""),45372.0)</f>
        <v>45372</v>
      </c>
      <c r="P544" s="11"/>
    </row>
    <row r="545">
      <c r="A545" s="20" t="str">
        <f>IFERROR(__xludf.DUMMYFUNCTION("""COMPUTED_VALUE"""),"543/2024")</f>
        <v>543/2024</v>
      </c>
      <c r="B545" s="8">
        <f>IFERROR(__xludf.DUMMYFUNCTION("""COMPUTED_VALUE"""),45372.31695394676)</f>
        <v>45372.31695</v>
      </c>
      <c r="C545" s="44" t="str">
        <f>IFERROR(__xludf.DUMMYFUNCTION("""COMPUTED_VALUE"""),"amanda.lopes@ufcat.edu.br")</f>
        <v>amanda.lopes@ufcat.edu.br</v>
      </c>
      <c r="D545" s="45" t="str">
        <f>IFERROR(__xludf.DUMMYFUNCTION("""COMPUTED_VALUE"""),"Amanda Matos ")</f>
        <v>Amanda Matos </v>
      </c>
      <c r="E545" s="47">
        <f>IFERROR(__xludf.DUMMYFUNCTION("""COMPUTED_VALUE"""),5340.0)</f>
        <v>5340</v>
      </c>
      <c r="F545" s="45" t="str">
        <f>IFERROR(__xludf.DUMMYFUNCTION("""COMPUTED_VALUE"""),"PREF")</f>
        <v>PREF</v>
      </c>
      <c r="G545" s="45" t="str">
        <f>IFERROR(__xludf.DUMMYFUNCTION("""COMPUTED_VALUE"""),"Bloco A")</f>
        <v>Bloco A</v>
      </c>
      <c r="H545" s="46" t="str">
        <f>IFERROR(__xludf.DUMMYFUNCTION("""COMPUTED_VALUE"""),"Sala 02 e 03")</f>
        <v>Sala 02 e 03</v>
      </c>
      <c r="I545" s="7" t="str">
        <f>IFERROR(__xludf.DUMMYFUNCTION("""COMPUTED_VALUE"""),"Pintura")</f>
        <v>Pintura</v>
      </c>
      <c r="J545" s="13" t="str">
        <f>IFERROR(__xludf.DUMMYFUNCTION("""COMPUTED_VALUE"""),"06 Pintura / 47 - Outros (PRAZO DE ACORDO COM A DEMANDA)")</f>
        <v>06 Pintura / 47 - Outros (PRAZO DE ACORDO COM A DEMANDA)</v>
      </c>
      <c r="K545" s="13"/>
      <c r="L545" s="13" t="str">
        <f>IFERROR(__xludf.DUMMYFUNCTION("""COMPUTED_VALUE"""),"Pintura das portas ")</f>
        <v>Pintura das portas </v>
      </c>
      <c r="M545" s="25"/>
      <c r="N545" s="26" t="str">
        <f>IFERROR(__xludf.DUMMYFUNCTION("""COMPUTED_VALUE"""),"Realizado")</f>
        <v>Realizado</v>
      </c>
      <c r="O545" s="11">
        <f>IFERROR(__xludf.DUMMYFUNCTION("""COMPUTED_VALUE"""),45385.0)</f>
        <v>45385</v>
      </c>
      <c r="P545" s="12"/>
    </row>
    <row r="546">
      <c r="A546" s="20" t="str">
        <f>IFERROR(__xludf.DUMMYFUNCTION("""COMPUTED_VALUE"""),"544/2024")</f>
        <v>544/2024</v>
      </c>
      <c r="B546" s="8">
        <f>IFERROR(__xludf.DUMMYFUNCTION("""COMPUTED_VALUE"""),45372.372665937495)</f>
        <v>45372.37267</v>
      </c>
      <c r="C546" s="44" t="str">
        <f>IFERROR(__xludf.DUMMYFUNCTION("""COMPUTED_VALUE"""),"propesq@ufcat.edu.br")</f>
        <v>propesq@ufcat.edu.br</v>
      </c>
      <c r="D546" s="45" t="str">
        <f>IFERROR(__xludf.DUMMYFUNCTION("""COMPUTED_VALUE"""),"Ludimila Campos")</f>
        <v>Ludimila Campos</v>
      </c>
      <c r="E546" s="47">
        <f>IFERROR(__xludf.DUMMYFUNCTION("""COMPUTED_VALUE"""),5302.0)</f>
        <v>5302</v>
      </c>
      <c r="F546" s="45" t="str">
        <f>IFERROR(__xludf.DUMMYFUNCTION("""COMPUTED_VALUE"""),"PROPESQ")</f>
        <v>PROPESQ</v>
      </c>
      <c r="G546" s="45" t="str">
        <f>IFERROR(__xludf.DUMMYFUNCTION("""COMPUTED_VALUE"""),"Bloco L")</f>
        <v>Bloco L</v>
      </c>
      <c r="H546" s="46" t="str">
        <f>IFERROR(__xludf.DUMMYFUNCTION("""COMPUTED_VALUE"""),"Elevador do Bloco L")</f>
        <v>Elevador do Bloco L</v>
      </c>
      <c r="I546" s="7" t="str">
        <f>IFERROR(__xludf.DUMMYFUNCTION("""COMPUTED_VALUE"""),"Instalações elétricas")</f>
        <v>Instalações elétricas</v>
      </c>
      <c r="J546" s="13" t="str">
        <f>IFERROR(__xludf.DUMMYFUNCTION("""COMPUTED_VALUE"""),"04 Elétrica / 37 - Outros (PRAZO DE ACORDO COM A DEMANDA)")</f>
        <v>04 Elétrica / 37 - Outros (PRAZO DE ACORDO COM A DEMANDA)</v>
      </c>
      <c r="K546" s="13"/>
      <c r="L546" s="13" t="str">
        <f>IFERROR(__xludf.DUMMYFUNCTION("""COMPUTED_VALUE"""),"O elevador está fazendo barulho diferente. Por gentileza, verificar. ")</f>
        <v>O elevador está fazendo barulho diferente. Por gentileza, verificar. </v>
      </c>
      <c r="M546" s="20" t="str">
        <f>IFERROR(__xludf.DUMMYFUNCTION("""COMPUTED_VALUE"""),"Repassado para o monitoramento para que os mesmo entrem em contato com a empresa responsavel por manutenção de elevadores")</f>
        <v>Repassado para o monitoramento para que os mesmo entrem em contato com a empresa responsavel por manutenção de elevadores</v>
      </c>
      <c r="N546" s="26" t="str">
        <f>IFERROR(__xludf.DUMMYFUNCTION("""COMPUTED_VALUE"""),"Empresa Contratada Acionada")</f>
        <v>Empresa Contratada Acionada</v>
      </c>
      <c r="O546" s="11">
        <f>IFERROR(__xludf.DUMMYFUNCTION("""COMPUTED_VALUE"""),45372.0)</f>
        <v>45372</v>
      </c>
      <c r="P546" s="11"/>
    </row>
    <row r="547">
      <c r="A547" s="20" t="str">
        <f>IFERROR(__xludf.DUMMYFUNCTION("""COMPUTED_VALUE"""),"545/2024")</f>
        <v>545/2024</v>
      </c>
      <c r="B547" s="8">
        <f>IFERROR(__xludf.DUMMYFUNCTION("""COMPUTED_VALUE"""),45372.37979877315)</f>
        <v>45372.3798</v>
      </c>
      <c r="C547" s="44" t="str">
        <f>IFERROR(__xludf.DUMMYFUNCTION("""COMPUTED_VALUE"""),"amanda.lopes@ufcat.edu.br")</f>
        <v>amanda.lopes@ufcat.edu.br</v>
      </c>
      <c r="D547" s="45" t="str">
        <f>IFERROR(__xludf.DUMMYFUNCTION("""COMPUTED_VALUE"""),"Amanda Matos ")</f>
        <v>Amanda Matos </v>
      </c>
      <c r="E547" s="47">
        <f>IFERROR(__xludf.DUMMYFUNCTION("""COMPUTED_VALUE"""),5340.0)</f>
        <v>5340</v>
      </c>
      <c r="F547" s="45" t="str">
        <f>IFERROR(__xludf.DUMMYFUNCTION("""COMPUTED_VALUE"""),"PREF")</f>
        <v>PREF</v>
      </c>
      <c r="G547" s="45" t="str">
        <f>IFERROR(__xludf.DUMMYFUNCTION("""COMPUTED_VALUE"""),"Bloco G")</f>
        <v>Bloco G</v>
      </c>
      <c r="H547" s="46" t="str">
        <f>IFERROR(__xludf.DUMMYFUNCTION("""COMPUTED_VALUE"""),"Sala 02")</f>
        <v>Sala 02</v>
      </c>
      <c r="I547" s="7" t="str">
        <f>IFERROR(__xludf.DUMMYFUNCTION("""COMPUTED_VALUE"""),"Instalações elétricas")</f>
        <v>Instalações elétricas</v>
      </c>
      <c r="J547" s="13" t="str">
        <f>IFERROR(__xludf.DUMMYFUNCTION("""COMPUTED_VALUE"""),"04 Elétrica / 37 - Outros (PRAZO DE ACORDO COM A DEMANDA)")</f>
        <v>04 Elétrica / 37 - Outros (PRAZO DE ACORDO COM A DEMANDA)</v>
      </c>
      <c r="K547" s="13"/>
      <c r="L547" s="13" t="str">
        <f>IFERROR(__xludf.DUMMYFUNCTION("""COMPUTED_VALUE"""),"Recolocação de lampadas ")</f>
        <v>Recolocação de lampadas </v>
      </c>
      <c r="M547" s="25"/>
      <c r="N547" s="26" t="str">
        <f>IFERROR(__xludf.DUMMYFUNCTION("""COMPUTED_VALUE"""),"Realizado")</f>
        <v>Realizado</v>
      </c>
      <c r="O547" s="11">
        <f>IFERROR(__xludf.DUMMYFUNCTION("""COMPUTED_VALUE"""),45372.0)</f>
        <v>45372</v>
      </c>
      <c r="P547" s="11"/>
    </row>
    <row r="548">
      <c r="A548" s="20" t="str">
        <f>IFERROR(__xludf.DUMMYFUNCTION("""COMPUTED_VALUE"""),"546/2024")</f>
        <v>546/2024</v>
      </c>
      <c r="B548" s="8">
        <f>IFERROR(__xludf.DUMMYFUNCTION("""COMPUTED_VALUE"""),45372.38041672454)</f>
        <v>45372.38042</v>
      </c>
      <c r="C548" s="44" t="str">
        <f>IFERROR(__xludf.DUMMYFUNCTION("""COMPUTED_VALUE"""),"amanda.lopes@ufcat.edu.br")</f>
        <v>amanda.lopes@ufcat.edu.br</v>
      </c>
      <c r="D548" s="45" t="str">
        <f>IFERROR(__xludf.DUMMYFUNCTION("""COMPUTED_VALUE"""),"Amanda Matos ")</f>
        <v>Amanda Matos </v>
      </c>
      <c r="E548" s="47">
        <f>IFERROR(__xludf.DUMMYFUNCTION("""COMPUTED_VALUE"""),5340.0)</f>
        <v>5340</v>
      </c>
      <c r="F548" s="45" t="str">
        <f>IFERROR(__xludf.DUMMYFUNCTION("""COMPUTED_VALUE"""),"PREF")</f>
        <v>PREF</v>
      </c>
      <c r="G548" s="45" t="str">
        <f>IFERROR(__xludf.DUMMYFUNCTION("""COMPUTED_VALUE"""),"Bloco G")</f>
        <v>Bloco G</v>
      </c>
      <c r="H548" s="46" t="str">
        <f>IFERROR(__xludf.DUMMYFUNCTION("""COMPUTED_VALUE"""),"Sala 02")</f>
        <v>Sala 02</v>
      </c>
      <c r="I548" s="7" t="str">
        <f>IFERROR(__xludf.DUMMYFUNCTION("""COMPUTED_VALUE"""),"Reparos (alvenaria, piso, forro e telhado)")</f>
        <v>Reparos (alvenaria, piso, forro e telhado)</v>
      </c>
      <c r="J548" s="13" t="str">
        <f>IFERROR(__xludf.DUMMYFUNCTION("""COMPUTED_VALUE"""),"01 Alvenaria / 06 - Outros (PRAZO DE ATÉ 60 DIAS PARA ATENDIMENTO)")</f>
        <v>01 Alvenaria / 06 - Outros (PRAZO DE ATÉ 60 DIAS PARA ATENDIMENTO)</v>
      </c>
      <c r="K548" s="13"/>
      <c r="L548" s="13" t="str">
        <f>IFERROR(__xludf.DUMMYFUNCTION("""COMPUTED_VALUE"""),"Reparo em goteira/infiltração telhado ")</f>
        <v>Reparo em goteira/infiltração telhado </v>
      </c>
      <c r="M548" s="25"/>
      <c r="N548" s="26" t="str">
        <f>IFERROR(__xludf.DUMMYFUNCTION("""COMPUTED_VALUE"""),"Realizado")</f>
        <v>Realizado</v>
      </c>
      <c r="O548" s="11">
        <f>IFERROR(__xludf.DUMMYFUNCTION("""COMPUTED_VALUE"""),45372.0)</f>
        <v>45372</v>
      </c>
      <c r="P548" s="11"/>
    </row>
    <row r="549">
      <c r="A549" s="20" t="str">
        <f>IFERROR(__xludf.DUMMYFUNCTION("""COMPUTED_VALUE"""),"547/2024")</f>
        <v>547/2024</v>
      </c>
      <c r="B549" s="8">
        <f>IFERROR(__xludf.DUMMYFUNCTION("""COMPUTED_VALUE"""),45372.38425858796)</f>
        <v>45372.38426</v>
      </c>
      <c r="C549" s="44" t="str">
        <f>IFERROR(__xludf.DUMMYFUNCTION("""COMPUTED_VALUE"""),"welington_silva@ufcat.edu.br")</f>
        <v>welington_silva@ufcat.edu.br</v>
      </c>
      <c r="D549" s="45" t="str">
        <f>IFERROR(__xludf.DUMMYFUNCTION("""COMPUTED_VALUE"""),"Welington Cesar Silva.")</f>
        <v>Welington Cesar Silva.</v>
      </c>
      <c r="E549" s="47">
        <f>IFERROR(__xludf.DUMMYFUNCTION("""COMPUTED_VALUE"""),5311.0)</f>
        <v>5311</v>
      </c>
      <c r="F549" s="45" t="str">
        <f>IFERROR(__xludf.DUMMYFUNCTION("""COMPUTED_VALUE"""),"IBIOTEC  - Educação Física")</f>
        <v>IBIOTEC  - Educação Física</v>
      </c>
      <c r="G549" s="45" t="str">
        <f>IFERROR(__xludf.DUMMYFUNCTION("""COMPUTED_VALUE"""),"Bloco D")</f>
        <v>Bloco D</v>
      </c>
      <c r="H549" s="46">
        <f>IFERROR(__xludf.DUMMYFUNCTION("""COMPUTED_VALUE"""),11.0)</f>
        <v>11</v>
      </c>
      <c r="I549" s="7" t="str">
        <f>IFERROR(__xludf.DUMMYFUNCTION("""COMPUTED_VALUE"""),"Reparos (alvenaria, piso, forro e telhado)")</f>
        <v>Reparos (alvenaria, piso, forro e telhado)</v>
      </c>
      <c r="J549" s="13" t="str">
        <f>IFERROR(__xludf.DUMMYFUNCTION("""COMPUTED_VALUE"""),"01 Alvenaria / 06 - Outros (PRAZO DE ATÉ 60 DIAS PARA ATENDIMENTO)")</f>
        <v>01 Alvenaria / 06 - Outros (PRAZO DE ATÉ 60 DIAS PARA ATENDIMENTO)</v>
      </c>
      <c r="K549" s="13"/>
      <c r="L549" s="13" t="str">
        <f>IFERROR(__xludf.DUMMYFUNCTION("""COMPUTED_VALUE"""),"Está tendo goteiras na sala 11.")</f>
        <v>Está tendo goteiras na sala 11.</v>
      </c>
      <c r="M549" s="25"/>
      <c r="N549" s="26" t="str">
        <f>IFERROR(__xludf.DUMMYFUNCTION("""COMPUTED_VALUE"""),"Realizado")</f>
        <v>Realizado</v>
      </c>
      <c r="O549" s="11">
        <f>IFERROR(__xludf.DUMMYFUNCTION("""COMPUTED_VALUE"""),45373.0)</f>
        <v>45373</v>
      </c>
      <c r="P549" s="11"/>
    </row>
    <row r="550">
      <c r="A550" s="20" t="str">
        <f>IFERROR(__xludf.DUMMYFUNCTION("""COMPUTED_VALUE"""),"548/2024")</f>
        <v>548/2024</v>
      </c>
      <c r="B550" s="8">
        <f>IFERROR(__xludf.DUMMYFUNCTION("""COMPUTED_VALUE"""),45372.41757467593)</f>
        <v>45372.41757</v>
      </c>
      <c r="C550" s="44" t="str">
        <f>IFERROR(__xludf.DUMMYFUNCTION("""COMPUTED_VALUE"""),"amanda.lopes@ufcat.edu.br")</f>
        <v>amanda.lopes@ufcat.edu.br</v>
      </c>
      <c r="D550" s="45" t="str">
        <f>IFERROR(__xludf.DUMMYFUNCTION("""COMPUTED_VALUE"""),"Amanda Matos ")</f>
        <v>Amanda Matos </v>
      </c>
      <c r="E550" s="47">
        <f>IFERROR(__xludf.DUMMYFUNCTION("""COMPUTED_VALUE"""),5340.0)</f>
        <v>5340</v>
      </c>
      <c r="F550" s="45" t="str">
        <f>IFERROR(__xludf.DUMMYFUNCTION("""COMPUTED_VALUE"""),"PREF")</f>
        <v>PREF</v>
      </c>
      <c r="G550" s="45" t="str">
        <f>IFERROR(__xludf.DUMMYFUNCTION("""COMPUTED_VALUE"""),"Bloco Administrativo")</f>
        <v>Bloco Administrativo</v>
      </c>
      <c r="H550" s="46" t="str">
        <f>IFERROR(__xludf.DUMMYFUNCTION("""COMPUTED_VALUE"""),"Banheiro feminino terreo ")</f>
        <v>Banheiro feminino terreo </v>
      </c>
      <c r="I550" s="7" t="str">
        <f>IFERROR(__xludf.DUMMYFUNCTION("""COMPUTED_VALUE"""),"Instalações Hidrossanitárias")</f>
        <v>Instalações Hidrossanitárias</v>
      </c>
      <c r="J550" s="13" t="str">
        <f>IFERROR(__xludf.DUMMYFUNCTION("""COMPUTED_VALUE"""),"02 Hidráulica / 16 - Instalação de dispenser de Sabonete (PRAZO DE 15 a 60 DIAS PARA ATENDIMENTO)")</f>
        <v>02 Hidráulica / 16 - Instalação de dispenser de Sabonete (PRAZO DE 15 a 60 DIAS PARA ATENDIMENTO)</v>
      </c>
      <c r="K550" s="13"/>
      <c r="L550" s="13" t="str">
        <f>IFERROR(__xludf.DUMMYFUNCTION("""COMPUTED_VALUE"""),"Dispenser está soltando da parede ")</f>
        <v>Dispenser está soltando da parede </v>
      </c>
      <c r="M550" s="25"/>
      <c r="N550" s="26" t="str">
        <f>IFERROR(__xludf.DUMMYFUNCTION("""COMPUTED_VALUE"""),"Realizado")</f>
        <v>Realizado</v>
      </c>
      <c r="O550" s="11">
        <f>IFERROR(__xludf.DUMMYFUNCTION("""COMPUTED_VALUE"""),45373.0)</f>
        <v>45373</v>
      </c>
      <c r="P550" s="11"/>
    </row>
    <row r="551">
      <c r="A551" s="20" t="str">
        <f>IFERROR(__xludf.DUMMYFUNCTION("""COMPUTED_VALUE"""),".")</f>
        <v>.</v>
      </c>
      <c r="B551" s="8">
        <f>IFERROR(__xludf.DUMMYFUNCTION("""COMPUTED_VALUE"""),45372.442944016206)</f>
        <v>45372.44294</v>
      </c>
      <c r="C551" s="44" t="str">
        <f>IFERROR(__xludf.DUMMYFUNCTION("""COMPUTED_VALUE"""),"mariaeduarda.borges@ufcat.edu.br")</f>
        <v>mariaeduarda.borges@ufcat.edu.br</v>
      </c>
      <c r="D551" s="45" t="str">
        <f>IFERROR(__xludf.DUMMYFUNCTION("""COMPUTED_VALUE"""),"Maria Eduarda Silva Borges ")</f>
        <v>Maria Eduarda Silva Borges </v>
      </c>
      <c r="E551" s="47">
        <f>IFERROR(__xludf.DUMMYFUNCTION("""COMPUTED_VALUE"""),5340.0)</f>
        <v>5340</v>
      </c>
      <c r="F551" s="45" t="str">
        <f>IFERROR(__xludf.DUMMYFUNCTION("""COMPUTED_VALUE"""),"PREF")</f>
        <v>PREF</v>
      </c>
      <c r="G551" s="45" t="str">
        <f>IFERROR(__xludf.DUMMYFUNCTION("""COMPUTED_VALUE"""),"Bloco O")</f>
        <v>Bloco O</v>
      </c>
      <c r="H551" s="46" t="str">
        <f>IFERROR(__xludf.DUMMYFUNCTION("""COMPUTED_VALUE"""),"ENGENHARIA BLOCO O")</f>
        <v>ENGENHARIA BLOCO O</v>
      </c>
      <c r="I551" s="7" t="str">
        <f>IFERROR(__xludf.DUMMYFUNCTION("""COMPUTED_VALUE"""),"Reparos (alvenaria, piso, forro e telhado)")</f>
        <v>Reparos (alvenaria, piso, forro e telhado)</v>
      </c>
      <c r="J551" s="13" t="str">
        <f>IFERROR(__xludf.DUMMYFUNCTION("""COMPUTED_VALUE"""),"01 Alvenaria / 06 - Outros (PRAZO DE ATÉ 60 DIAS PARA ATENDIMENTO)")</f>
        <v>01 Alvenaria / 06 - Outros (PRAZO DE ATÉ 60 DIAS PARA ATENDIMENTO)</v>
      </c>
      <c r="K551" s="13"/>
      <c r="L551" s="13" t="str">
        <f>IFERROR(__xludf.DUMMYFUNCTION("""COMPUTED_VALUE""")," O motor do ar condicionado está caindo.")</f>
        <v> O motor do ar condicionado está caindo.</v>
      </c>
      <c r="M551" s="25"/>
      <c r="N551" s="26" t="str">
        <f>IFERROR(__xludf.DUMMYFUNCTION("""COMPUTED_VALUE"""),"Aguardando análise")</f>
        <v>Aguardando análise</v>
      </c>
      <c r="O551" s="12"/>
      <c r="P551" s="12"/>
    </row>
    <row r="552">
      <c r="A552" s="20" t="str">
        <f>IFERROR(__xludf.DUMMYFUNCTION("""COMPUTED_VALUE"""),"550/2024")</f>
        <v>550/2024</v>
      </c>
      <c r="B552" s="8">
        <f>IFERROR(__xludf.DUMMYFUNCTION("""COMPUTED_VALUE"""),45372.45110041667)</f>
        <v>45372.4511</v>
      </c>
      <c r="C552" s="44" t="str">
        <f>IFERROR(__xludf.DUMMYFUNCTION("""COMPUTED_VALUE"""),"mariaeduarda.borges@ufcat.edu.br")</f>
        <v>mariaeduarda.borges@ufcat.edu.br</v>
      </c>
      <c r="D552" s="45" t="str">
        <f>IFERROR(__xludf.DUMMYFUNCTION("""COMPUTED_VALUE"""),"Maria Eduarda Silva Borges ")</f>
        <v>Maria Eduarda Silva Borges </v>
      </c>
      <c r="E552" s="47">
        <f>IFERROR(__xludf.DUMMYFUNCTION("""COMPUTED_VALUE"""),5340.0)</f>
        <v>5340</v>
      </c>
      <c r="F552" s="45" t="str">
        <f>IFERROR(__xludf.DUMMYFUNCTION("""COMPUTED_VALUE"""),"PREF")</f>
        <v>PREF</v>
      </c>
      <c r="G552" s="45" t="str">
        <f>IFERROR(__xludf.DUMMYFUNCTION("""COMPUTED_VALUE"""),"Didatico I")</f>
        <v>Didatico I</v>
      </c>
      <c r="H552" s="46" t="str">
        <f>IFERROR(__xludf.DUMMYFUNCTION("""COMPUTED_VALUE"""),"BANHEIRO MASCULINO TEREO")</f>
        <v>BANHEIRO MASCULINO TEREO</v>
      </c>
      <c r="I552" s="7" t="str">
        <f>IFERROR(__xludf.DUMMYFUNCTION("""COMPUTED_VALUE"""),"Vidraçaria")</f>
        <v>Vidraçaria</v>
      </c>
      <c r="J552" s="15" t="str">
        <f>IFERROR(__xludf.DUMMYFUNCTION("""COMPUTED_VALUE"""),"07 Vidraçaria / 51 - Outros (PRAZO DE ACORDO COM A DEMANDA)")</f>
        <v>07 Vidraçaria / 51 - Outros (PRAZO DE ACORDO COM A DEMANDA)</v>
      </c>
      <c r="K552" s="15"/>
      <c r="L552" s="13" t="str">
        <f>IFERROR(__xludf.DUMMYFUNCTION("""COMPUTED_VALUE"""),"Ao realizar conferência do Bloco Didático I, no banheiro masculino do térreo havia um espelho solto em cima da pia.")</f>
        <v>Ao realizar conferência do Bloco Didático I, no banheiro masculino do térreo havia um espelho solto em cima da pia.</v>
      </c>
      <c r="M552" s="25"/>
      <c r="N552" s="26" t="str">
        <f>IFERROR(__xludf.DUMMYFUNCTION("""COMPUTED_VALUE"""),"Realizado")</f>
        <v>Realizado</v>
      </c>
      <c r="O552" s="11">
        <f>IFERROR(__xludf.DUMMYFUNCTION("""COMPUTED_VALUE"""),45372.0)</f>
        <v>45372</v>
      </c>
      <c r="P552" s="11"/>
    </row>
    <row r="553">
      <c r="A553" s="20" t="str">
        <f>IFERROR(__xludf.DUMMYFUNCTION("""COMPUTED_VALUE"""),"551/2024")</f>
        <v>551/2024</v>
      </c>
      <c r="B553" s="8">
        <f>IFERROR(__xludf.DUMMYFUNCTION("""COMPUTED_VALUE"""),45372.45259288195)</f>
        <v>45372.45259</v>
      </c>
      <c r="C553" s="44" t="str">
        <f>IFERROR(__xludf.DUMMYFUNCTION("""COMPUTED_VALUE"""),"jodoligeo@ufcat.edu.br")</f>
        <v>jodoligeo@ufcat.edu.br</v>
      </c>
      <c r="D553" s="45" t="str">
        <f>IFERROR(__xludf.DUMMYFUNCTION("""COMPUTED_VALUE"""),"João Donizete Lima")</f>
        <v>João Donizete Lima</v>
      </c>
      <c r="E553" s="47">
        <f>IFERROR(__xludf.DUMMYFUNCTION("""COMPUTED_VALUE"""),3.4415305E7)</f>
        <v>34415305</v>
      </c>
      <c r="F553" s="45" t="str">
        <f>IFERROR(__xludf.DUMMYFUNCTION("""COMPUTED_VALUE"""),"IGEO")</f>
        <v>IGEO</v>
      </c>
      <c r="G553" s="45" t="str">
        <f>IFERROR(__xludf.DUMMYFUNCTION("""COMPUTED_VALUE"""),"Bloco A")</f>
        <v>Bloco A</v>
      </c>
      <c r="H553" s="46" t="str">
        <f>IFERROR(__xludf.DUMMYFUNCTION("""COMPUTED_VALUE"""),"Sala 02")</f>
        <v>Sala 02</v>
      </c>
      <c r="I553" s="7" t="str">
        <f>IFERROR(__xludf.DUMMYFUNCTION("""COMPUTED_VALUE"""),"Instalações elétricas")</f>
        <v>Instalações elétricas</v>
      </c>
      <c r="J553" s="13" t="str">
        <f>IFERROR(__xludf.DUMMYFUNCTION("""COMPUTED_VALUE"""),"04 Elétrica / 37 - Outros (PRAZO DE ACORDO COM A DEMANDA)")</f>
        <v>04 Elétrica / 37 - Outros (PRAZO DE ACORDO COM A DEMANDA)</v>
      </c>
      <c r="K553" s="13"/>
      <c r="L553" s="13" t="str">
        <f>IFERROR(__xludf.DUMMYFUNCTION("""COMPUTED_VALUE"""),"Verificar chave do quadro de energia")</f>
        <v>Verificar chave do quadro de energia</v>
      </c>
      <c r="M553" s="25"/>
      <c r="N553" s="26" t="str">
        <f>IFERROR(__xludf.DUMMYFUNCTION("""COMPUTED_VALUE"""),"Aguardando análise")</f>
        <v>Aguardando análise</v>
      </c>
      <c r="O553" s="11">
        <f>IFERROR(__xludf.DUMMYFUNCTION("""COMPUTED_VALUE"""),45372.0)</f>
        <v>45372</v>
      </c>
      <c r="P553" s="11"/>
    </row>
    <row r="554">
      <c r="A554" s="20" t="str">
        <f>IFERROR(__xludf.DUMMYFUNCTION("""COMPUTED_VALUE"""),"552/2024")</f>
        <v>552/2024</v>
      </c>
      <c r="B554" s="8">
        <f>IFERROR(__xludf.DUMMYFUNCTION("""COMPUTED_VALUE"""),45372.45357824074)</f>
        <v>45372.45358</v>
      </c>
      <c r="C554" s="44" t="str">
        <f>IFERROR(__xludf.DUMMYFUNCTION("""COMPUTED_VALUE"""),"mariaeduarda.borges@ufcat.edu.br")</f>
        <v>mariaeduarda.borges@ufcat.edu.br</v>
      </c>
      <c r="D554" s="45" t="str">
        <f>IFERROR(__xludf.DUMMYFUNCTION("""COMPUTED_VALUE"""),"Maria Eduarda Silva Borges ")</f>
        <v>Maria Eduarda Silva Borges </v>
      </c>
      <c r="E554" s="47">
        <f>IFERROR(__xludf.DUMMYFUNCTION("""COMPUTED_VALUE"""),5340.0)</f>
        <v>5340</v>
      </c>
      <c r="F554" s="45" t="str">
        <f>IFERROR(__xludf.DUMMYFUNCTION("""COMPUTED_VALUE"""),"PREF")</f>
        <v>PREF</v>
      </c>
      <c r="G554" s="45" t="str">
        <f>IFERROR(__xludf.DUMMYFUNCTION("""COMPUTED_VALUE"""),"Bloco K")</f>
        <v>Bloco K</v>
      </c>
      <c r="H554" s="46" t="str">
        <f>IFERROR(__xludf.DUMMYFUNCTION("""COMPUTED_VALUE"""),"SALA 08")</f>
        <v>SALA 08</v>
      </c>
      <c r="I554" s="7" t="str">
        <f>IFERROR(__xludf.DUMMYFUNCTION("""COMPUTED_VALUE"""),"Pequenos serviços de reparos em Marcenaria")</f>
        <v>Pequenos serviços de reparos em Marcenaria</v>
      </c>
      <c r="J554" s="13" t="str">
        <f>IFERROR(__xludf.DUMMYFUNCTION("""COMPUTED_VALUE"""),"03 Marcenaria / 29 - Outros (PRAZO DE ACORDO COM A DEMANDA)")</f>
        <v>03 Marcenaria / 29 - Outros (PRAZO DE ACORDO COM A DEMANDA)</v>
      </c>
      <c r="K554" s="13"/>
      <c r="L554" s="13" t="str">
        <f>IFERROR(__xludf.DUMMYFUNCTION("""COMPUTED_VALUE"""),"Ao realizar sua ronda no Bloco K, encontrou a porta do Laboratório de Óxidos Funcionais Nanoestruturados, destrancada, como é uma porta digital, ela informou que não está funcionando para ser trancada, sendo assim permaneceu destrancada, por não haver com"&amp;"o trancar.")</f>
        <v>Ao realizar sua ronda no Bloco K, encontrou a porta do Laboratório de Óxidos Funcionais Nanoestruturados, destrancada, como é uma porta digital, ela informou que não está funcionando para ser trancada, sendo assim permaneceu destrancada, por não haver como trancar.</v>
      </c>
      <c r="M554" s="25"/>
      <c r="N554" s="26" t="str">
        <f>IFERROR(__xludf.DUMMYFUNCTION("""COMPUTED_VALUE"""),"Realizado")</f>
        <v>Realizado</v>
      </c>
      <c r="O554" s="11">
        <f>IFERROR(__xludf.DUMMYFUNCTION("""COMPUTED_VALUE"""),45373.0)</f>
        <v>45373</v>
      </c>
      <c r="P554" s="11"/>
    </row>
    <row r="555" ht="27.0" customHeight="1">
      <c r="A555" s="20" t="str">
        <f>IFERROR(__xludf.DUMMYFUNCTION("""COMPUTED_VALUE"""),"553/2024")</f>
        <v>553/2024</v>
      </c>
      <c r="B555" s="8">
        <f>IFERROR(__xludf.DUMMYFUNCTION("""COMPUTED_VALUE"""),45372.4585786574)</f>
        <v>45372.45858</v>
      </c>
      <c r="C555" s="44" t="str">
        <f>IFERROR(__xludf.DUMMYFUNCTION("""COMPUTED_VALUE"""),"mariaeduarda.borges@ufcat.edu.br")</f>
        <v>mariaeduarda.borges@ufcat.edu.br</v>
      </c>
      <c r="D555" s="45" t="str">
        <f>IFERROR(__xludf.DUMMYFUNCTION("""COMPUTED_VALUE"""),"Maria Eduarda Silva Borges ")</f>
        <v>Maria Eduarda Silva Borges </v>
      </c>
      <c r="E555" s="47">
        <f>IFERROR(__xludf.DUMMYFUNCTION("""COMPUTED_VALUE"""),5340.0)</f>
        <v>5340</v>
      </c>
      <c r="F555" s="45" t="str">
        <f>IFERROR(__xludf.DUMMYFUNCTION("""COMPUTED_VALUE"""),"PREF")</f>
        <v>PREF</v>
      </c>
      <c r="G555" s="45" t="str">
        <f>IFERROR(__xludf.DUMMYFUNCTION("""COMPUTED_VALUE"""),"Estacionamento")</f>
        <v>Estacionamento</v>
      </c>
      <c r="H555" s="46" t="str">
        <f>IFERROR(__xludf.DUMMYFUNCTION("""COMPUTED_VALUE"""),"PORTÃO DE SAÍDA ENTRADA AV. DR. LAMARTINE PINTO DE AVELAR")</f>
        <v>PORTÃO DE SAÍDA ENTRADA AV. DR. LAMARTINE PINTO DE AVELAR</v>
      </c>
      <c r="I555" s="7" t="str">
        <f>IFERROR(__xludf.DUMMYFUNCTION("""COMPUTED_VALUE"""),"Instalações elétricas")</f>
        <v>Instalações elétricas</v>
      </c>
      <c r="J555" s="13" t="str">
        <f>IFERROR(__xludf.DUMMYFUNCTION("""COMPUTED_VALUE"""),"04 Elétrica / 31 - Iluminação Externa (PRAZO DE ATÉ 15 DIAS PARA ATENDIMENTO)")</f>
        <v>04 Elétrica / 31 - Iluminação Externa (PRAZO DE ATÉ 15 DIAS PARA ATENDIMENTO)</v>
      </c>
      <c r="K555" s="13"/>
      <c r="L555" s="13" t="str">
        <f>IFERROR(__xludf.DUMMYFUNCTION("""COMPUTED_VALUE"""),"Lâmpada do refletor do portão de saída para avenida Dr. Lamartine Pinto de Avelar está queimada.
")</f>
        <v>Lâmpada do refletor do portão de saída para avenida Dr. Lamartine Pinto de Avelar está queimada.
</v>
      </c>
      <c r="M555" s="25" t="str">
        <f>IFERROR(__xludf.DUMMYFUNCTION("""COMPUTED_VALUE"""),"Refletor")</f>
        <v>Refletor</v>
      </c>
      <c r="N555" s="26" t="str">
        <f>IFERROR(__xludf.DUMMYFUNCTION("""COMPUTED_VALUE"""),"Aguardando Mat./Equipam.")</f>
        <v>Aguardando Mat./Equipam.</v>
      </c>
      <c r="O555" s="12"/>
      <c r="P555" s="12"/>
    </row>
    <row r="556" ht="27.0" customHeight="1">
      <c r="A556" s="20" t="str">
        <f>IFERROR(__xludf.DUMMYFUNCTION("""COMPUTED_VALUE"""),"554/2024")</f>
        <v>554/2024</v>
      </c>
      <c r="B556" s="8">
        <f>IFERROR(__xludf.DUMMYFUNCTION("""COMPUTED_VALUE"""),45372.46267461806)</f>
        <v>45372.46267</v>
      </c>
      <c r="C556" s="44" t="str">
        <f>IFERROR(__xludf.DUMMYFUNCTION("""COMPUTED_VALUE"""),"mariaeduarda.borges@ufcat.edu.br")</f>
        <v>mariaeduarda.borges@ufcat.edu.br</v>
      </c>
      <c r="D556" s="45" t="str">
        <f>IFERROR(__xludf.DUMMYFUNCTION("""COMPUTED_VALUE"""),"Maria Eduarda Silva Borges ")</f>
        <v>Maria Eduarda Silva Borges </v>
      </c>
      <c r="E556" s="47">
        <f>IFERROR(__xludf.DUMMYFUNCTION("""COMPUTED_VALUE"""),5340.0)</f>
        <v>5340</v>
      </c>
      <c r="F556" s="45" t="str">
        <f>IFERROR(__xludf.DUMMYFUNCTION("""COMPUTED_VALUE"""),"PREF")</f>
        <v>PREF</v>
      </c>
      <c r="G556" s="45" t="str">
        <f>IFERROR(__xludf.DUMMYFUNCTION("""COMPUTED_VALUE"""),"Bloco N")</f>
        <v>Bloco N</v>
      </c>
      <c r="H556" s="46" t="str">
        <f>IFERROR(__xludf.DUMMYFUNCTION("""COMPUTED_VALUE"""),"PORTA DE ENTRADA DO LABORATÓRIO DO BLOCO N")</f>
        <v>PORTA DE ENTRADA DO LABORATÓRIO DO BLOCO N</v>
      </c>
      <c r="I556" s="7" t="str">
        <f>IFERROR(__xludf.DUMMYFUNCTION("""COMPUTED_VALUE"""),"Vidraçaria")</f>
        <v>Vidraçaria</v>
      </c>
      <c r="J556" s="13" t="str">
        <f>IFERROR(__xludf.DUMMYFUNCTION("""COMPUTED_VALUE"""),"07 Vidraçaria / 49 - Vidro de Porta (PRAZO DE ATÉ 60 DIAS PARA ATENDIMENTO)")</f>
        <v>07 Vidraçaria / 49 - Vidro de Porta (PRAZO DE ATÉ 60 DIAS PARA ATENDIMENTO)</v>
      </c>
      <c r="K556" s="13"/>
      <c r="L556" s="13" t="str">
        <f>IFERROR(__xludf.DUMMYFUNCTION("""COMPUTED_VALUE"""),"a porta de vidro da entrada do Laboratório do Bloco N, veio a quebrar o vidro da parte de cima, pois devido ao vento forte que houve no local, o escorador da porta caiu e a porta bateu. Com isso foi solicitado para que a vigilante Kássia Duarte (Bravo-3),"&amp;" fosse ao local para averiguar a situação, juntamente com ela a equipe da limpeza para limpar o local que caiu os vidros ao solo. Foi solicitado a vigilante para isolar a porta para evitar acidentes, até a equipe da manutenção ir ao local retirar o restan"&amp;"te de vidros quebrados da porta.")</f>
        <v>a porta de vidro da entrada do Laboratório do Bloco N, veio a quebrar o vidro da parte de cima, pois devido ao vento forte que houve no local, o escorador da porta caiu e a porta bateu. Com isso foi solicitado para que a vigilante Kássia Duarte (Bravo-3), fosse ao local para averiguar a situação, juntamente com ela a equipe da limpeza para limpar o local que caiu os vidros ao solo. Foi solicitado a vigilante para isolar a porta para evitar acidentes, até a equipe da manutenção ir ao local retirar o restante de vidros quebrados da porta.</v>
      </c>
      <c r="M556" s="20"/>
      <c r="N556" s="26" t="str">
        <f>IFERROR(__xludf.DUMMYFUNCTION("""COMPUTED_VALUE"""),"Aguardando análise")</f>
        <v>Aguardando análise</v>
      </c>
      <c r="O556" s="12"/>
      <c r="P556" s="12"/>
    </row>
    <row r="557" ht="27.0" customHeight="1">
      <c r="A557" s="20" t="str">
        <f>IFERROR(__xludf.DUMMYFUNCTION("""COMPUTED_VALUE"""),"555/2024")</f>
        <v>555/2024</v>
      </c>
      <c r="B557" s="8">
        <f>IFERROR(__xludf.DUMMYFUNCTION("""COMPUTED_VALUE"""),45372.468060740735)</f>
        <v>45372.46806</v>
      </c>
      <c r="C557" s="44" t="str">
        <f>IFERROR(__xludf.DUMMYFUNCTION("""COMPUTED_VALUE"""),"jose.borges@ufcat.edu.br")</f>
        <v>jose.borges@ufcat.edu.br</v>
      </c>
      <c r="D557" s="45" t="str">
        <f>IFERROR(__xludf.DUMMYFUNCTION("""COMPUTED_VALUE"""),"José Salviano Borges")</f>
        <v>José Salviano Borges</v>
      </c>
      <c r="E557" s="47">
        <f>IFERROR(__xludf.DUMMYFUNCTION("""COMPUTED_VALUE"""),6.4999684524E10)</f>
        <v>64999684524</v>
      </c>
      <c r="F557" s="45" t="str">
        <f>IFERROR(__xludf.DUMMYFUNCTION("""COMPUTED_VALUE"""),"IMTec")</f>
        <v>IMTec</v>
      </c>
      <c r="G557" s="45" t="str">
        <f>IFERROR(__xludf.DUMMYFUNCTION("""COMPUTED_VALUE"""),"Bloco J")</f>
        <v>Bloco J</v>
      </c>
      <c r="H557" s="46" t="str">
        <f>IFERROR(__xludf.DUMMYFUNCTION("""COMPUTED_VALUE"""),"Sala 02")</f>
        <v>Sala 02</v>
      </c>
      <c r="I557" s="7" t="str">
        <f>IFERROR(__xludf.DUMMYFUNCTION("""COMPUTED_VALUE"""),"Instalações elétricas")</f>
        <v>Instalações elétricas</v>
      </c>
      <c r="J557" s="13" t="str">
        <f>IFERROR(__xludf.DUMMYFUNCTION("""COMPUTED_VALUE"""),"04 Elétrica / 34 - Tomada Uso Geral (PRAZO DE ATÉ 15 DIAS PARA ATENDIMENTO)")</f>
        <v>04 Elétrica / 34 - Tomada Uso Geral (PRAZO DE ATÉ 15 DIAS PARA ATENDIMENTO)</v>
      </c>
      <c r="K557" s="13"/>
      <c r="L557" s="13" t="str">
        <f>IFERROR(__xludf.DUMMYFUNCTION("""COMPUTED_VALUE"""),"Necessitamos de adicionar tomadas em um canto do laboratório, para instalação de impressoras 3D em uma zona mais segura de trabalho.")</f>
        <v>Necessitamos de adicionar tomadas em um canto do laboratório, para instalação de impressoras 3D em uma zona mais segura de trabalho.</v>
      </c>
      <c r="M557" s="25"/>
      <c r="N557" s="26" t="str">
        <f>IFERROR(__xludf.DUMMYFUNCTION("""COMPUTED_VALUE"""),"Realizado")</f>
        <v>Realizado</v>
      </c>
      <c r="O557" s="11">
        <f>IFERROR(__xludf.DUMMYFUNCTION("""COMPUTED_VALUE"""),45376.0)</f>
        <v>45376</v>
      </c>
      <c r="P557" s="11"/>
    </row>
    <row r="558" ht="27.0" customHeight="1">
      <c r="A558" s="20" t="str">
        <f>IFERROR(__xludf.DUMMYFUNCTION("""COMPUTED_VALUE"""),"556/2024")</f>
        <v>556/2024</v>
      </c>
      <c r="B558" s="8">
        <f>IFERROR(__xludf.DUMMYFUNCTION("""COMPUTED_VALUE"""),45372.562885300926)</f>
        <v>45372.56289</v>
      </c>
      <c r="C558" s="44" t="str">
        <f>IFERROR(__xludf.DUMMYFUNCTION("""COMPUTED_VALUE"""),"iolanda.aguiar@ufcat.edu.br")</f>
        <v>iolanda.aguiar@ufcat.edu.br</v>
      </c>
      <c r="D558" s="45" t="str">
        <f>IFERROR(__xludf.DUMMYFUNCTION("""COMPUTED_VALUE"""),"Iolanda Maeria Aguiar")</f>
        <v>Iolanda Maeria Aguiar</v>
      </c>
      <c r="E558" s="47">
        <f>IFERROR(__xludf.DUMMYFUNCTION("""COMPUTED_VALUE"""),6.2982410124E10)</f>
        <v>62982410124</v>
      </c>
      <c r="F558" s="45" t="str">
        <f>IFERROR(__xludf.DUMMYFUNCTION("""COMPUTED_VALUE"""),"FENG - Engenharia de Minas")</f>
        <v>FENG - Engenharia de Minas</v>
      </c>
      <c r="G558" s="45" t="str">
        <f>IFERROR(__xludf.DUMMYFUNCTION("""COMPUTED_VALUE"""),"Bloco O")</f>
        <v>Bloco O</v>
      </c>
      <c r="H558" s="46" t="str">
        <f>IFERROR(__xludf.DUMMYFUNCTION("""COMPUTED_VALUE"""),"área externa, fundo do prédio")</f>
        <v>área externa, fundo do prédio</v>
      </c>
      <c r="I558" s="7" t="str">
        <f>IFERROR(__xludf.DUMMYFUNCTION("""COMPUTED_VALUE"""),"Instalações elétricas")</f>
        <v>Instalações elétricas</v>
      </c>
      <c r="J558" s="13" t="str">
        <f>IFERROR(__xludf.DUMMYFUNCTION("""COMPUTED_VALUE"""),"04 Elétrica / 33 - Tomada Ar Condicionado (PRAZO DE ATÉ 15 DIAS PARA ATENDIMENTO)")</f>
        <v>04 Elétrica / 33 - Tomada Ar Condicionado (PRAZO DE ATÉ 15 DIAS PARA ATENDIMENTO)</v>
      </c>
      <c r="K558" s="13"/>
      <c r="L558" s="13" t="str">
        <f>IFERROR(__xludf.DUMMYFUNCTION("""COMPUTED_VALUE"""),"Instalação elétrica de 3 ar condicionados que foram mudados de lugar, sendo 1 monofásico e 2 trifásicos")</f>
        <v>Instalação elétrica de 3 ar condicionados que foram mudados de lugar, sendo 1 monofásico e 2 trifásicos</v>
      </c>
      <c r="M558" s="25"/>
      <c r="N558" s="26" t="str">
        <f>IFERROR(__xludf.DUMMYFUNCTION("""COMPUTED_VALUE"""),"Realizado")</f>
        <v>Realizado</v>
      </c>
      <c r="O558" s="11">
        <f>IFERROR(__xludf.DUMMYFUNCTION("""COMPUTED_VALUE"""),45376.0)</f>
        <v>45376</v>
      </c>
      <c r="P558" s="11"/>
    </row>
    <row r="559" ht="27.0" customHeight="1">
      <c r="A559" s="20" t="str">
        <f>IFERROR(__xludf.DUMMYFUNCTION("""COMPUTED_VALUE"""),"557/2024")</f>
        <v>557/2024</v>
      </c>
      <c r="B559" s="8">
        <f>IFERROR(__xludf.DUMMYFUNCTION("""COMPUTED_VALUE"""),45372.69290505787)</f>
        <v>45372.69291</v>
      </c>
      <c r="C559" s="44" t="str">
        <f>IFERROR(__xludf.DUMMYFUNCTION("""COMPUTED_VALUE"""),"cpatri.proaf@ufcat.edu.br")</f>
        <v>cpatri.proaf@ufcat.edu.br</v>
      </c>
      <c r="D559" s="45" t="str">
        <f>IFERROR(__xludf.DUMMYFUNCTION("""COMPUTED_VALUE"""),"Fábio Gonçalves")</f>
        <v>Fábio Gonçalves</v>
      </c>
      <c r="E559" s="47">
        <f>IFERROR(__xludf.DUMMYFUNCTION("""COMPUTED_VALUE"""),5343.0)</f>
        <v>5343</v>
      </c>
      <c r="F559" s="45" t="str">
        <f>IFERROR(__xludf.DUMMYFUNCTION("""COMPUTED_VALUE"""),"CPATRI")</f>
        <v>CPATRI</v>
      </c>
      <c r="G559" s="45" t="str">
        <f>IFERROR(__xludf.DUMMYFUNCTION("""COMPUTED_VALUE"""),"Bloco Administrativo")</f>
        <v>Bloco Administrativo</v>
      </c>
      <c r="H559" s="46" t="str">
        <f>IFERROR(__xludf.DUMMYFUNCTION("""COMPUTED_VALUE"""),"Copa cozinha subsolo")</f>
        <v>Copa cozinha subsolo</v>
      </c>
      <c r="I559" s="7" t="str">
        <f>IFERROR(__xludf.DUMMYFUNCTION("""COMPUTED_VALUE"""),"Instalações Hidrossanitárias")</f>
        <v>Instalações Hidrossanitárias</v>
      </c>
      <c r="J559" s="13" t="str">
        <f>IFERROR(__xludf.DUMMYFUNCTION("""COMPUTED_VALUE"""),"02 Hidráulica / 20 - Vazamento em bebedouros (PRAZO DE 1 a 5 DIAS PARA ATENDIMENTO)")</f>
        <v>02 Hidráulica / 20 - Vazamento em bebedouros (PRAZO DE 1 a 5 DIAS PARA ATENDIMENTO)</v>
      </c>
      <c r="K559" s="13"/>
      <c r="L559" s="13" t="str">
        <f>IFERROR(__xludf.DUMMYFUNCTION("""COMPUTED_VALUE"""),"a opção acima é só simulatória, queremos na verdade a troca de bebedouro, o mesmo para a troca se encontra no almoxarifado cpatri")</f>
        <v>a opção acima é só simulatória, queremos na verdade a troca de bebedouro, o mesmo para a troca se encontra no almoxarifado cpatri</v>
      </c>
      <c r="M559" s="25"/>
      <c r="N559" s="26" t="str">
        <f>IFERROR(__xludf.DUMMYFUNCTION("""COMPUTED_VALUE"""),"Realizado")</f>
        <v>Realizado</v>
      </c>
      <c r="O559" s="11">
        <f>IFERROR(__xludf.DUMMYFUNCTION("""COMPUTED_VALUE"""),45373.0)</f>
        <v>45373</v>
      </c>
      <c r="P559" s="11"/>
    </row>
    <row r="560" ht="27.0" customHeight="1">
      <c r="A560" s="20" t="str">
        <f>IFERROR(__xludf.DUMMYFUNCTION("""COMPUTED_VALUE"""),"558/2024")</f>
        <v>558/2024</v>
      </c>
      <c r="B560" s="8">
        <f>IFERROR(__xludf.DUMMYFUNCTION("""COMPUTED_VALUE"""),45373.35504710648)</f>
        <v>45373.35505</v>
      </c>
      <c r="C560" s="44" t="str">
        <f>IFERROR(__xludf.DUMMYFUNCTION("""COMPUTED_VALUE"""),"cinara.martins@ufcat.edu.br")</f>
        <v>cinara.martins@ufcat.edu.br</v>
      </c>
      <c r="D560" s="45" t="str">
        <f>IFERROR(__xludf.DUMMYFUNCTION("""COMPUTED_VALUE"""),"Cinara Martins ")</f>
        <v>Cinara Martins </v>
      </c>
      <c r="E560" s="47" t="str">
        <f>IFERROR(__xludf.DUMMYFUNCTION("""COMPUTED_VALUE"""),"64 98406-7434 ")</f>
        <v>64 98406-7434 </v>
      </c>
      <c r="F560" s="45" t="str">
        <f>IFERROR(__xludf.DUMMYFUNCTION("""COMPUTED_VALUE"""),"REITORIA")</f>
        <v>REITORIA</v>
      </c>
      <c r="G560" s="45" t="str">
        <f>IFERROR(__xludf.DUMMYFUNCTION("""COMPUTED_VALUE"""),"Bloco Administrativo")</f>
        <v>Bloco Administrativo</v>
      </c>
      <c r="H560" s="46" t="str">
        <f>IFERROR(__xludf.DUMMYFUNCTION("""COMPUTED_VALUE"""),"Banheiros 2° piso")</f>
        <v>Banheiros 2° piso</v>
      </c>
      <c r="I560" s="7" t="str">
        <f>IFERROR(__xludf.DUMMYFUNCTION("""COMPUTED_VALUE"""),"Instalações elétricas")</f>
        <v>Instalações elétricas</v>
      </c>
      <c r="J560" s="13" t="str">
        <f>IFERROR(__xludf.DUMMYFUNCTION("""COMPUTED_VALUE"""),"04 Elétrica / 37 - Outros (PRAZO DE ACORDO COM A DEMANDA)")</f>
        <v>04 Elétrica / 37 - Outros (PRAZO DE ACORDO COM A DEMANDA)</v>
      </c>
      <c r="K560" s="13"/>
      <c r="L560" s="13" t="str">
        <f>IFERROR(__xludf.DUMMYFUNCTION("""COMPUTED_VALUE"""),"Tomadas dos banheiros feminino, masculino e especial, não estão funcionando. ")</f>
        <v>Tomadas dos banheiros feminino, masculino e especial, não estão funcionando. </v>
      </c>
      <c r="M560" s="25"/>
      <c r="N560" s="26" t="str">
        <f>IFERROR(__xludf.DUMMYFUNCTION("""COMPUTED_VALUE"""),"Realizado")</f>
        <v>Realizado</v>
      </c>
      <c r="O560" s="11">
        <f>IFERROR(__xludf.DUMMYFUNCTION("""COMPUTED_VALUE"""),45373.0)</f>
        <v>45373</v>
      </c>
      <c r="P560" s="11"/>
    </row>
    <row r="561" ht="27.0" customHeight="1">
      <c r="A561" s="20" t="str">
        <f>IFERROR(__xludf.DUMMYFUNCTION("""COMPUTED_VALUE"""),"559/2024")</f>
        <v>559/2024</v>
      </c>
      <c r="B561" s="8">
        <f>IFERROR(__xludf.DUMMYFUNCTION("""COMPUTED_VALUE"""),45373.394628090275)</f>
        <v>45373.39463</v>
      </c>
      <c r="C561" s="44" t="str">
        <f>IFERROR(__xludf.DUMMYFUNCTION("""COMPUTED_VALUE"""),"deusmarsilva@ufcat.edu.br")</f>
        <v>deusmarsilva@ufcat.edu.br</v>
      </c>
      <c r="D561" s="45" t="str">
        <f>IFERROR(__xludf.DUMMYFUNCTION("""COMPUTED_VALUE"""),"Deusmar Machado da Silva")</f>
        <v>Deusmar Machado da Silva</v>
      </c>
      <c r="E561" s="47" t="str">
        <f>IFERROR(__xludf.DUMMYFUNCTION("""COMPUTED_VALUE"""),"00")</f>
        <v>00</v>
      </c>
      <c r="F561" s="45" t="str">
        <f>IFERROR(__xludf.DUMMYFUNCTION("""COMPUTED_VALUE"""),"IBIOTEC - Medicina")</f>
        <v>IBIOTEC - Medicina</v>
      </c>
      <c r="G561" s="45" t="str">
        <f>IFERROR(__xludf.DUMMYFUNCTION("""COMPUTED_VALUE"""),"Campus II")</f>
        <v>Campus II</v>
      </c>
      <c r="H561" s="46" t="str">
        <f>IFERROR(__xludf.DUMMYFUNCTION("""COMPUTED_VALUE"""),"Sala 5 (sala abaixo da escada)")</f>
        <v>Sala 5 (sala abaixo da escada)</v>
      </c>
      <c r="I561" s="7" t="str">
        <f>IFERROR(__xludf.DUMMYFUNCTION("""COMPUTED_VALUE"""),"Instalações elétricas")</f>
        <v>Instalações elétricas</v>
      </c>
      <c r="J561" s="13" t="str">
        <f>IFERROR(__xludf.DUMMYFUNCTION("""COMPUTED_VALUE"""),"04 Elétrica / 35 - Troca de Lâmpadas (PRAZO DE ATÉ 15 DIAS PARA ATENDIMENTO)")</f>
        <v>04 Elétrica / 35 - Troca de Lâmpadas (PRAZO DE ATÉ 15 DIAS PARA ATENDIMENTO)</v>
      </c>
      <c r="K561" s="13"/>
      <c r="L561" s="13" t="str">
        <f>IFERROR(__xludf.DUMMYFUNCTION("""COMPUTED_VALUE"""),"Lâmpada queimada")</f>
        <v>Lâmpada queimada</v>
      </c>
      <c r="M561" s="25"/>
      <c r="N561" s="26" t="str">
        <f>IFERROR(__xludf.DUMMYFUNCTION("""COMPUTED_VALUE"""),"Realizado")</f>
        <v>Realizado</v>
      </c>
      <c r="O561" s="11">
        <f>IFERROR(__xludf.DUMMYFUNCTION("""COMPUTED_VALUE"""),45373.0)</f>
        <v>45373</v>
      </c>
      <c r="P561" s="11"/>
    </row>
    <row r="562" ht="27.0" customHeight="1">
      <c r="A562" s="20" t="str">
        <f>IFERROR(__xludf.DUMMYFUNCTION("""COMPUTED_VALUE"""),"560/2024")</f>
        <v>560/2024</v>
      </c>
      <c r="B562" s="8">
        <f>IFERROR(__xludf.DUMMYFUNCTION("""COMPUTED_VALUE"""),45373.400525046294)</f>
        <v>45373.40053</v>
      </c>
      <c r="C562" s="44" t="str">
        <f>IFERROR(__xludf.DUMMYFUNCTION("""COMPUTED_VALUE"""),"deusmarsilva@ufcat.edu.br")</f>
        <v>deusmarsilva@ufcat.edu.br</v>
      </c>
      <c r="D562" s="45" t="str">
        <f>IFERROR(__xludf.DUMMYFUNCTION("""COMPUTED_VALUE"""),"Deusmar Machado da Silva")</f>
        <v>Deusmar Machado da Silva</v>
      </c>
      <c r="E562" s="47" t="str">
        <f>IFERROR(__xludf.DUMMYFUNCTION("""COMPUTED_VALUE"""),"00")</f>
        <v>00</v>
      </c>
      <c r="F562" s="45" t="str">
        <f>IFERROR(__xludf.DUMMYFUNCTION("""COMPUTED_VALUE"""),"IBIOTEC - Medicina")</f>
        <v>IBIOTEC - Medicina</v>
      </c>
      <c r="G562" s="45" t="str">
        <f>IFERROR(__xludf.DUMMYFUNCTION("""COMPUTED_VALUE"""),"Campus II")</f>
        <v>Campus II</v>
      </c>
      <c r="H562" s="46" t="str">
        <f>IFERROR(__xludf.DUMMYFUNCTION("""COMPUTED_VALUE"""),"Bloco da Anatomia")</f>
        <v>Bloco da Anatomia</v>
      </c>
      <c r="I562" s="7" t="str">
        <f>IFERROR(__xludf.DUMMYFUNCTION("""COMPUTED_VALUE"""),"Serviços gerais")</f>
        <v>Serviços gerais</v>
      </c>
      <c r="J562" s="13"/>
      <c r="K562" s="13"/>
      <c r="L562" s="13" t="str">
        <f>IFERROR(__xludf.DUMMYFUNCTION("""COMPUTED_VALUE"""),"Estamos com carcaças de animais que foram utilizadas na pesquisa para descarte. Caso não façam esse tipo de serviço, favor indicar quem faz e como solicitar o serviço para o descarte.")</f>
        <v>Estamos com carcaças de animais que foram utilizadas na pesquisa para descarte. Caso não façam esse tipo de serviço, favor indicar quem faz e como solicitar o serviço para o descarte.</v>
      </c>
      <c r="M562" s="20"/>
      <c r="N562" s="26" t="str">
        <f>IFERROR(__xludf.DUMMYFUNCTION("""COMPUTED_VALUE"""),"Aguardando análise")</f>
        <v>Aguardando análise</v>
      </c>
      <c r="O562" s="11">
        <f>IFERROR(__xludf.DUMMYFUNCTION("""COMPUTED_VALUE"""),45373.0)</f>
        <v>45373</v>
      </c>
      <c r="P562" s="11"/>
    </row>
    <row r="563" ht="27.0" customHeight="1">
      <c r="A563" s="20" t="str">
        <f>IFERROR(__xludf.DUMMYFUNCTION("""COMPUTED_VALUE"""),"561/2024")</f>
        <v>561/2024</v>
      </c>
      <c r="B563" s="8">
        <f>IFERROR(__xludf.DUMMYFUNCTION("""COMPUTED_VALUE"""),45373.46596178241)</f>
        <v>45373.46596</v>
      </c>
      <c r="C563" s="44" t="str">
        <f>IFERROR(__xludf.DUMMYFUNCTION("""COMPUTED_VALUE"""),"soc@ufcat.edu.br")</f>
        <v>soc@ufcat.edu.br</v>
      </c>
      <c r="D563" s="45" t="str">
        <f>IFERROR(__xludf.DUMMYFUNCTION("""COMPUTED_VALUE"""),"Tânia Maria Tartuci")</f>
        <v>Tânia Maria Tartuci</v>
      </c>
      <c r="E563" s="47">
        <f>IFERROR(__xludf.DUMMYFUNCTION("""COMPUTED_VALUE"""),5361.0)</f>
        <v>5361</v>
      </c>
      <c r="F563" s="45" t="str">
        <f>IFERROR(__xludf.DUMMYFUNCTION("""COMPUTED_VALUE"""),"REITORIA")</f>
        <v>REITORIA</v>
      </c>
      <c r="G563" s="45" t="str">
        <f>IFERROR(__xludf.DUMMYFUNCTION("""COMPUTED_VALUE"""),"Bloco Administrativo")</f>
        <v>Bloco Administrativo</v>
      </c>
      <c r="H563" s="46" t="str">
        <f>IFERROR(__xludf.DUMMYFUNCTION("""COMPUTED_VALUE"""),"Sala 108")</f>
        <v>Sala 108</v>
      </c>
      <c r="I563" s="7" t="str">
        <f>IFERROR(__xludf.DUMMYFUNCTION("""COMPUTED_VALUE"""),"Pequenos serviços de reparos em Marcenaria")</f>
        <v>Pequenos serviços de reparos em Marcenaria</v>
      </c>
      <c r="J563" s="13" t="str">
        <f>IFERROR(__xludf.DUMMYFUNCTION("""COMPUTED_VALUE"""),"03 Marcenaria / 24 - Conserto de Móveis (PRAZO DE ATÉ 60 DIAS PARA ATENDIMENTO)")</f>
        <v>03 Marcenaria / 24 - Conserto de Móveis (PRAZO DE ATÉ 60 DIAS PARA ATENDIMENTO)</v>
      </c>
      <c r="K563" s="13"/>
      <c r="L563" s="13" t="str">
        <f>IFERROR(__xludf.DUMMYFUNCTION("""COMPUTED_VALUE"""),"Confecção de tampo para mesa de apoio")</f>
        <v>Confecção de tampo para mesa de apoio</v>
      </c>
      <c r="M563" s="20"/>
      <c r="N563" s="26" t="str">
        <f>IFERROR(__xludf.DUMMYFUNCTION("""COMPUTED_VALUE"""),"Realizado")</f>
        <v>Realizado</v>
      </c>
      <c r="O563" s="11">
        <f>IFERROR(__xludf.DUMMYFUNCTION("""COMPUTED_VALUE"""),45376.0)</f>
        <v>45376</v>
      </c>
      <c r="P563" s="11"/>
    </row>
    <row r="564" ht="27.0" customHeight="1">
      <c r="A564" s="20" t="str">
        <f>IFERROR(__xludf.DUMMYFUNCTION("""COMPUTED_VALUE"""),"562/2024")</f>
        <v>562/2024</v>
      </c>
      <c r="B564" s="8">
        <f>IFERROR(__xludf.DUMMYFUNCTION("""COMPUTED_VALUE"""),45373.580777546296)</f>
        <v>45373.58078</v>
      </c>
      <c r="C564" s="44" t="str">
        <f>IFERROR(__xludf.DUMMYFUNCTION("""COMPUTED_VALUE"""),"luci_cardoso@gmail.com")</f>
        <v>luci_cardoso@gmail.com</v>
      </c>
      <c r="D564" s="45" t="str">
        <f>IFERROR(__xludf.DUMMYFUNCTION("""COMPUTED_VALUE"""),"Luci Cardoso")</f>
        <v>Luci Cardoso</v>
      </c>
      <c r="E564" s="47">
        <f>IFERROR(__xludf.DUMMYFUNCTION("""COMPUTED_VALUE"""),5398.0)</f>
        <v>5398</v>
      </c>
      <c r="F564" s="45" t="str">
        <f>IFERROR(__xludf.DUMMYFUNCTION("""COMPUTED_VALUE"""),"REITORIA")</f>
        <v>REITORIA</v>
      </c>
      <c r="G564" s="45" t="str">
        <f>IFERROR(__xludf.DUMMYFUNCTION("""COMPUTED_VALUE"""),"Bloco Administrativo")</f>
        <v>Bloco Administrativo</v>
      </c>
      <c r="H564" s="46" t="str">
        <f>IFERROR(__xludf.DUMMYFUNCTION("""COMPUTED_VALUE"""),"Cozinha do 2º piso")</f>
        <v>Cozinha do 2º piso</v>
      </c>
      <c r="I564" s="7" t="str">
        <f>IFERROR(__xludf.DUMMYFUNCTION("""COMPUTED_VALUE"""),"Pequenos serviços de reparos em Marcenaria")</f>
        <v>Pequenos serviços de reparos em Marcenaria</v>
      </c>
      <c r="J564" s="13" t="str">
        <f>IFERROR(__xludf.DUMMYFUNCTION("""COMPUTED_VALUE"""),"03 Marcenaria / 29 - Outros (PRAZO DE ACORDO COM A DEMANDA)")</f>
        <v>03 Marcenaria / 29 - Outros (PRAZO DE ACORDO COM A DEMANDA)</v>
      </c>
      <c r="K564" s="13"/>
      <c r="L564" s="13" t="str">
        <f>IFERROR(__xludf.DUMMYFUNCTION("""COMPUTED_VALUE"""),"Confeccionar e instalar uma prateleira na copa para armazenamento de eletro-portáteis a fim de liberar mais espaço.")</f>
        <v>Confeccionar e instalar uma prateleira na copa para armazenamento de eletro-portáteis a fim de liberar mais espaço.</v>
      </c>
      <c r="M564" s="20"/>
      <c r="N564" s="26" t="str">
        <f>IFERROR(__xludf.DUMMYFUNCTION("""COMPUTED_VALUE"""),"Realizado")</f>
        <v>Realizado</v>
      </c>
      <c r="O564" s="11">
        <f>IFERROR(__xludf.DUMMYFUNCTION("""COMPUTED_VALUE"""),45397.0)</f>
        <v>45397</v>
      </c>
      <c r="P564" s="11"/>
    </row>
    <row r="565" ht="27.0" customHeight="1">
      <c r="A565" s="20" t="str">
        <f>IFERROR(__xludf.DUMMYFUNCTION("""COMPUTED_VALUE"""),"563/2024")</f>
        <v>563/2024</v>
      </c>
      <c r="B565" s="8">
        <f>IFERROR(__xludf.DUMMYFUNCTION("""COMPUTED_VALUE"""),45373.58177215278)</f>
        <v>45373.58177</v>
      </c>
      <c r="C565" s="44" t="str">
        <f>IFERROR(__xludf.DUMMYFUNCTION("""COMPUTED_VALUE"""),"luci_cardoso@ufcat.edu.br")</f>
        <v>luci_cardoso@ufcat.edu.br</v>
      </c>
      <c r="D565" s="45" t="str">
        <f>IFERROR(__xludf.DUMMYFUNCTION("""COMPUTED_VALUE"""),"Luci Cardoso")</f>
        <v>Luci Cardoso</v>
      </c>
      <c r="E565" s="47">
        <f>IFERROR(__xludf.DUMMYFUNCTION("""COMPUTED_VALUE"""),5398.0)</f>
        <v>5398</v>
      </c>
      <c r="F565" s="45" t="str">
        <f>IFERROR(__xludf.DUMMYFUNCTION("""COMPUTED_VALUE"""),"REITORIA")</f>
        <v>REITORIA</v>
      </c>
      <c r="G565" s="45" t="str">
        <f>IFERROR(__xludf.DUMMYFUNCTION("""COMPUTED_VALUE"""),"Bloco Administrativo")</f>
        <v>Bloco Administrativo</v>
      </c>
      <c r="H565" s="46" t="str">
        <f>IFERROR(__xludf.DUMMYFUNCTION("""COMPUTED_VALUE"""),"corredor do 2º piso")</f>
        <v>corredor do 2º piso</v>
      </c>
      <c r="I565" s="7" t="str">
        <f>IFERROR(__xludf.DUMMYFUNCTION("""COMPUTED_VALUE"""),"Instalações elétricas")</f>
        <v>Instalações elétricas</v>
      </c>
      <c r="J565" s="13" t="str">
        <f>IFERROR(__xludf.DUMMYFUNCTION("""COMPUTED_VALUE"""),"04 Elétrica / 35 - Troca de Lâmpadas (PRAZO DE ATÉ 15 DIAS PARA ATENDIMENTO)")</f>
        <v>04 Elétrica / 35 - Troca de Lâmpadas (PRAZO DE ATÉ 15 DIAS PARA ATENDIMENTO)</v>
      </c>
      <c r="K565" s="13"/>
      <c r="L565" s="13" t="str">
        <f>IFERROR(__xludf.DUMMYFUNCTION("""COMPUTED_VALUE"""),"2 lâmpadas queimadas no corredor no rumo da cozinha")</f>
        <v>2 lâmpadas queimadas no corredor no rumo da cozinha</v>
      </c>
      <c r="M565" s="20"/>
      <c r="N565" s="26" t="str">
        <f>IFERROR(__xludf.DUMMYFUNCTION("""COMPUTED_VALUE"""),"Realizado")</f>
        <v>Realizado</v>
      </c>
      <c r="O565" s="11">
        <f>IFERROR(__xludf.DUMMYFUNCTION("""COMPUTED_VALUE"""),45376.0)</f>
        <v>45376</v>
      </c>
      <c r="P565" s="11"/>
    </row>
    <row r="566" ht="27.0" customHeight="1">
      <c r="A566" s="20" t="str">
        <f>IFERROR(__xludf.DUMMYFUNCTION("""COMPUTED_VALUE"""),"564/2024")</f>
        <v>564/2024</v>
      </c>
      <c r="B566" s="8">
        <f>IFERROR(__xludf.DUMMYFUNCTION("""COMPUTED_VALUE"""),45374.419981307874)</f>
        <v>45374.41998</v>
      </c>
      <c r="C566" s="44" t="str">
        <f>IFERROR(__xludf.DUMMYFUNCTION("""COMPUTED_VALUE"""),"seguranca@ufcat.edu.br")</f>
        <v>seguranca@ufcat.edu.br</v>
      </c>
      <c r="D566" s="45" t="str">
        <f>IFERROR(__xludf.DUMMYFUNCTION("""COMPUTED_VALUE"""),"Carla Braz")</f>
        <v>Carla Braz</v>
      </c>
      <c r="E566" s="47">
        <f>IFERROR(__xludf.DUMMYFUNCTION("""COMPUTED_VALUE"""),5318.0)</f>
        <v>5318</v>
      </c>
      <c r="F566" s="45" t="str">
        <f>IFERROR(__xludf.DUMMYFUNCTION("""COMPUTED_VALUE"""),"CENTRAL DE OPERAÇÕES VIGILÂNCIA")</f>
        <v>CENTRAL DE OPERAÇÕES VIGILÂNCIA</v>
      </c>
      <c r="G566" s="45" t="str">
        <f>IFERROR(__xludf.DUMMYFUNCTION("""COMPUTED_VALUE"""),"Bloco O")</f>
        <v>Bloco O</v>
      </c>
      <c r="H566" s="46" t="str">
        <f>IFERROR(__xludf.DUMMYFUNCTION("""COMPUTED_VALUE"""),"SALA RACK")</f>
        <v>SALA RACK</v>
      </c>
      <c r="I566" s="7" t="str">
        <f>IFERROR(__xludf.DUMMYFUNCTION("""COMPUTED_VALUE"""),"Instalações e/ou Manutenção em Cabeamento de Rede")</f>
        <v>Instalações e/ou Manutenção em Cabeamento de Rede</v>
      </c>
      <c r="J566" s="13" t="str">
        <f>IFERROR(__xludf.DUMMYFUNCTION("""COMPUTED_VALUE"""),"05 Telecomunicações / 39 - CFTV (PRAZO DE ATÉ 15 DIAS PARA ATENDIMENTO)")</f>
        <v>05 Telecomunicações / 39 - CFTV (PRAZO DE ATÉ 15 DIAS PARA ATENDIMENTO)</v>
      </c>
      <c r="K566" s="13"/>
      <c r="L566" s="13" t="str">
        <f>IFERROR(__xludf.DUMMYFUNCTION("""COMPUTED_VALUE"""),"DVR DESCONECTADO.")</f>
        <v>DVR DESCONECTADO.</v>
      </c>
      <c r="M566" s="20"/>
      <c r="N566" s="26" t="str">
        <f>IFERROR(__xludf.DUMMYFUNCTION("""COMPUTED_VALUE"""),"Realizado")</f>
        <v>Realizado</v>
      </c>
      <c r="O566" s="11">
        <f>IFERROR(__xludf.DUMMYFUNCTION("""COMPUTED_VALUE"""),45376.0)</f>
        <v>45376</v>
      </c>
      <c r="P566" s="11"/>
    </row>
    <row r="567" ht="27.0" customHeight="1">
      <c r="A567" s="20" t="str">
        <f>IFERROR(__xludf.DUMMYFUNCTION("""COMPUTED_VALUE"""),"565/2024")</f>
        <v>565/2024</v>
      </c>
      <c r="B567" s="8">
        <f>IFERROR(__xludf.DUMMYFUNCTION("""COMPUTED_VALUE"""),45376.297306168985)</f>
        <v>45376.29731</v>
      </c>
      <c r="C567" s="44" t="str">
        <f>IFERROR(__xludf.DUMMYFUNCTION("""COMPUTED_VALUE"""),"seguranca@ufcat.edu.br")</f>
        <v>seguranca@ufcat.edu.br</v>
      </c>
      <c r="D567" s="45" t="str">
        <f>IFERROR(__xludf.DUMMYFUNCTION("""COMPUTED_VALUE"""),"APARECIDA ")</f>
        <v>APARECIDA </v>
      </c>
      <c r="E567" s="47">
        <f>IFERROR(__xludf.DUMMYFUNCTION("""COMPUTED_VALUE"""),5318.0)</f>
        <v>5318</v>
      </c>
      <c r="F567" s="45" t="str">
        <f>IFERROR(__xludf.DUMMYFUNCTION("""COMPUTED_VALUE"""),"CENTRAL DE OPERAÇÕES VIGILÂNCIA")</f>
        <v>CENTRAL DE OPERAÇÕES VIGILÂNCIA</v>
      </c>
      <c r="G567" s="45" t="str">
        <f>IFERROR(__xludf.DUMMYFUNCTION("""COMPUTED_VALUE"""),"Biblioteca")</f>
        <v>Biblioteca</v>
      </c>
      <c r="H567" s="46" t="str">
        <f>IFERROR(__xludf.DUMMYFUNCTION("""COMPUTED_VALUE"""),"Estacionamento carros.")</f>
        <v>Estacionamento carros.</v>
      </c>
      <c r="I567" s="7" t="str">
        <f>IFERROR(__xludf.DUMMYFUNCTION("""COMPUTED_VALUE"""),"Instalações e/ou Manutenção em Cabeamento de Rede")</f>
        <v>Instalações e/ou Manutenção em Cabeamento de Rede</v>
      </c>
      <c r="J567" s="13" t="str">
        <f>IFERROR(__xludf.DUMMYFUNCTION("""COMPUTED_VALUE"""),"05 Telecomunicações / 39 - CFTV (PRAZO DE ATÉ 15 DIAS PARA ATENDIMENTO)")</f>
        <v>05 Telecomunicações / 39 - CFTV (PRAZO DE ATÉ 15 DIAS PARA ATENDIMENTO)</v>
      </c>
      <c r="K567" s="13"/>
      <c r="L567" s="13" t="str">
        <f>IFERROR(__xludf.DUMMYFUNCTION("""COMPUTED_VALUE"""),"câmera com interferência")</f>
        <v>câmera com interferência</v>
      </c>
      <c r="M567" s="20"/>
      <c r="N567" s="26" t="str">
        <f>IFERROR(__xludf.DUMMYFUNCTION("""COMPUTED_VALUE"""),"Realizado")</f>
        <v>Realizado</v>
      </c>
      <c r="O567" s="11">
        <f>IFERROR(__xludf.DUMMYFUNCTION("""COMPUTED_VALUE"""),45376.0)</f>
        <v>45376</v>
      </c>
      <c r="P567" s="11"/>
    </row>
    <row r="568" ht="27.0" customHeight="1">
      <c r="A568" s="20" t="str">
        <f>IFERROR(__xludf.DUMMYFUNCTION("""COMPUTED_VALUE"""),"566/2024")</f>
        <v>566/2024</v>
      </c>
      <c r="B568" s="8">
        <f>IFERROR(__xludf.DUMMYFUNCTION("""COMPUTED_VALUE"""),45376.36300353009)</f>
        <v>45376.363</v>
      </c>
      <c r="C568" s="44" t="str">
        <f>IFERROR(__xludf.DUMMYFUNCTION("""COMPUTED_VALUE"""),"ceapsi.ufcat@gmail.com")</f>
        <v>ceapsi.ufcat@gmail.com</v>
      </c>
      <c r="D568" s="45" t="str">
        <f>IFERROR(__xludf.DUMMYFUNCTION("""COMPUTED_VALUE"""),"Jacqueline ")</f>
        <v>Jacqueline </v>
      </c>
      <c r="E568" s="47">
        <f>IFERROR(__xludf.DUMMYFUNCTION("""COMPUTED_VALUE"""),5349.0)</f>
        <v>5349</v>
      </c>
      <c r="F568" s="45" t="str">
        <f>IFERROR(__xludf.DUMMYFUNCTION("""COMPUTED_VALUE"""),"IBIOTEC  - Psicologia")</f>
        <v>IBIOTEC  - Psicologia</v>
      </c>
      <c r="G568" s="45" t="str">
        <f>IFERROR(__xludf.DUMMYFUNCTION("""COMPUTED_VALUE"""),"Bloco M")</f>
        <v>Bloco M</v>
      </c>
      <c r="H568" s="46" t="str">
        <f>IFERROR(__xludf.DUMMYFUNCTION("""COMPUTED_VALUE"""),"Sala coordenação/Sala 104- Corredor de acesso ao CEAPSI")</f>
        <v>Sala coordenação/Sala 104- Corredor de acesso ao CEAPSI</v>
      </c>
      <c r="I568" s="7" t="str">
        <f>IFERROR(__xludf.DUMMYFUNCTION("""COMPUTED_VALUE"""),"Instalações elétricas")</f>
        <v>Instalações elétricas</v>
      </c>
      <c r="J568" s="13" t="str">
        <f>IFERROR(__xludf.DUMMYFUNCTION("""COMPUTED_VALUE"""),"04 Elétrica / 35 - Troca de Lâmpadas (PRAZO DE ATÉ 15 DIAS PARA ATENDIMENTO)")</f>
        <v>04 Elétrica / 35 - Troca de Lâmpadas (PRAZO DE ATÉ 15 DIAS PARA ATENDIMENTO)</v>
      </c>
      <c r="K568" s="13"/>
      <c r="L568" s="13" t="str">
        <f>IFERROR(__xludf.DUMMYFUNCTION("""COMPUTED_VALUE"""),"Troca de 1 lâmpada ")</f>
        <v>Troca de 1 lâmpada </v>
      </c>
      <c r="M568" s="20"/>
      <c r="N568" s="26" t="str">
        <f>IFERROR(__xludf.DUMMYFUNCTION("""COMPUTED_VALUE"""),"Realizado")</f>
        <v>Realizado</v>
      </c>
      <c r="O568" s="11">
        <f>IFERROR(__xludf.DUMMYFUNCTION("""COMPUTED_VALUE"""),45376.0)</f>
        <v>45376</v>
      </c>
      <c r="P568" s="11"/>
    </row>
    <row r="569" ht="27.0" customHeight="1">
      <c r="A569" s="20" t="str">
        <f>IFERROR(__xludf.DUMMYFUNCTION("""COMPUTED_VALUE"""),"567/2024")</f>
        <v>567/2024</v>
      </c>
      <c r="B569" s="8">
        <f>IFERROR(__xludf.DUMMYFUNCTION("""COMPUTED_VALUE"""),45376.37539931713)</f>
        <v>45376.3754</v>
      </c>
      <c r="C569" s="44" t="str">
        <f>IFERROR(__xludf.DUMMYFUNCTION("""COMPUTED_VALUE"""),"ceapsi.ufcat@gmail.com")</f>
        <v>ceapsi.ufcat@gmail.com</v>
      </c>
      <c r="D569" s="45" t="str">
        <f>IFERROR(__xludf.DUMMYFUNCTION("""COMPUTED_VALUE"""),"Jacqueline")</f>
        <v>Jacqueline</v>
      </c>
      <c r="E569" s="47">
        <f>IFERROR(__xludf.DUMMYFUNCTION("""COMPUTED_VALUE"""),5349.0)</f>
        <v>5349</v>
      </c>
      <c r="F569" s="45" t="str">
        <f>IFERROR(__xludf.DUMMYFUNCTION("""COMPUTED_VALUE"""),"IBIOTEC  - Psicologia")</f>
        <v>IBIOTEC  - Psicologia</v>
      </c>
      <c r="G569" s="45" t="str">
        <f>IFERROR(__xludf.DUMMYFUNCTION("""COMPUTED_VALUE"""),"Bloco M")</f>
        <v>Bloco M</v>
      </c>
      <c r="H569" s="46" t="str">
        <f>IFERROR(__xludf.DUMMYFUNCTION("""COMPUTED_VALUE"""),"Corredor de acesso ao CEAPSI")</f>
        <v>Corredor de acesso ao CEAPSI</v>
      </c>
      <c r="I569" s="7" t="str">
        <f>IFERROR(__xludf.DUMMYFUNCTION("""COMPUTED_VALUE"""),"Pequenos serviços de reparos em Marcenaria")</f>
        <v>Pequenos serviços de reparos em Marcenaria</v>
      </c>
      <c r="J569" s="13" t="str">
        <f>IFERROR(__xludf.DUMMYFUNCTION("""COMPUTED_VALUE"""),"03 Marcenaria / 29 - Outros (PRAZO DE ACORDO COM A DEMANDA)")</f>
        <v>03 Marcenaria / 29 - Outros (PRAZO DE ACORDO COM A DEMANDA)</v>
      </c>
      <c r="K569" s="13"/>
      <c r="L569" s="13" t="str">
        <f>IFERROR(__xludf.DUMMYFUNCTION("""COMPUTED_VALUE"""),"Voltar miolo de chave, que foi retirado para fazer cópias das chaves. (ESCANINHOS 1 E 4)")</f>
        <v>Voltar miolo de chave, que foi retirado para fazer cópias das chaves. (ESCANINHOS 1 E 4)</v>
      </c>
      <c r="M569" s="20"/>
      <c r="N569" s="26" t="str">
        <f>IFERROR(__xludf.DUMMYFUNCTION("""COMPUTED_VALUE"""),"Realizado")</f>
        <v>Realizado</v>
      </c>
      <c r="O569" s="11">
        <f>IFERROR(__xludf.DUMMYFUNCTION("""COMPUTED_VALUE"""),45378.0)</f>
        <v>45378</v>
      </c>
      <c r="P569" s="11"/>
    </row>
    <row r="570" ht="27.0" customHeight="1">
      <c r="A570" s="20" t="str">
        <f>IFERROR(__xludf.DUMMYFUNCTION("""COMPUTED_VALUE"""),"568/2024")</f>
        <v>568/2024</v>
      </c>
      <c r="B570" s="8">
        <f>IFERROR(__xludf.DUMMYFUNCTION("""COMPUTED_VALUE"""),45376.40577028935)</f>
        <v>45376.40577</v>
      </c>
      <c r="C570" s="44" t="str">
        <f>IFERROR(__xludf.DUMMYFUNCTION("""COMPUTED_VALUE"""),"ceapsi.ufcat@gmail.com")</f>
        <v>ceapsi.ufcat@gmail.com</v>
      </c>
      <c r="D570" s="45" t="str">
        <f>IFERROR(__xludf.DUMMYFUNCTION("""COMPUTED_VALUE"""),"Jacqueline")</f>
        <v>Jacqueline</v>
      </c>
      <c r="E570" s="47">
        <f>IFERROR(__xludf.DUMMYFUNCTION("""COMPUTED_VALUE"""),5349.0)</f>
        <v>5349</v>
      </c>
      <c r="F570" s="45" t="str">
        <f>IFERROR(__xludf.DUMMYFUNCTION("""COMPUTED_VALUE"""),"IBIOTEC  - Psicologia")</f>
        <v>IBIOTEC  - Psicologia</v>
      </c>
      <c r="G570" s="45" t="str">
        <f>IFERROR(__xludf.DUMMYFUNCTION("""COMPUTED_VALUE"""),"Bloco M")</f>
        <v>Bloco M</v>
      </c>
      <c r="H570" s="46" t="str">
        <f>IFERROR(__xludf.DUMMYFUNCTION("""COMPUTED_VALUE"""),"Sala 106/Corredor de acesso ao CEAPSI")</f>
        <v>Sala 106/Corredor de acesso ao CEAPSI</v>
      </c>
      <c r="I570" s="7" t="str">
        <f>IFERROR(__xludf.DUMMYFUNCTION("""COMPUTED_VALUE"""),"Ar Condicionado ")</f>
        <v>Ar Condicionado </v>
      </c>
      <c r="J570" s="13"/>
      <c r="K570" s="13"/>
      <c r="L570" s="13" t="str">
        <f>IFERROR(__xludf.DUMMYFUNCTION("""COMPUTED_VALUE"""),"Não funcionamento")</f>
        <v>Não funcionamento</v>
      </c>
      <c r="M570" s="20"/>
      <c r="N570" s="26" t="str">
        <f>IFERROR(__xludf.DUMMYFUNCTION("""COMPUTED_VALUE"""),"Realizado")</f>
        <v>Realizado</v>
      </c>
      <c r="O570" s="11">
        <f>IFERROR(__xludf.DUMMYFUNCTION("""COMPUTED_VALUE"""),45376.0)</f>
        <v>45376</v>
      </c>
      <c r="P570" s="11"/>
    </row>
    <row r="571" ht="27.0" customHeight="1">
      <c r="A571" s="20" t="str">
        <f>IFERROR(__xludf.DUMMYFUNCTION("""COMPUTED_VALUE"""),"569/2024")</f>
        <v>569/2024</v>
      </c>
      <c r="B571" s="8">
        <f>IFERROR(__xludf.DUMMYFUNCTION("""COMPUTED_VALUE"""),45376.44091837963)</f>
        <v>45376.44092</v>
      </c>
      <c r="C571" s="44" t="str">
        <f>IFERROR(__xludf.DUMMYFUNCTION("""COMPUTED_VALUE"""),"amanda.lopes@ufcat.edu.br")</f>
        <v>amanda.lopes@ufcat.edu.br</v>
      </c>
      <c r="D571" s="45" t="str">
        <f>IFERROR(__xludf.DUMMYFUNCTION("""COMPUTED_VALUE"""),"Amanda Matos ")</f>
        <v>Amanda Matos </v>
      </c>
      <c r="E571" s="47">
        <f>IFERROR(__xludf.DUMMYFUNCTION("""COMPUTED_VALUE"""),5340.0)</f>
        <v>5340</v>
      </c>
      <c r="F571" s="45" t="str">
        <f>IFERROR(__xludf.DUMMYFUNCTION("""COMPUTED_VALUE"""),"PREF")</f>
        <v>PREF</v>
      </c>
      <c r="G571" s="45" t="str">
        <f>IFERROR(__xludf.DUMMYFUNCTION("""COMPUTED_VALUE"""),"Bloco M")</f>
        <v>Bloco M</v>
      </c>
      <c r="H571" s="46" t="str">
        <f>IFERROR(__xludf.DUMMYFUNCTION("""COMPUTED_VALUE"""),"Lado externo ")</f>
        <v>Lado externo </v>
      </c>
      <c r="I571" s="7" t="str">
        <f>IFERROR(__xludf.DUMMYFUNCTION("""COMPUTED_VALUE"""),"Jardinagem")</f>
        <v>Jardinagem</v>
      </c>
      <c r="J571" s="13" t="str">
        <f>IFERROR(__xludf.DUMMYFUNCTION("""COMPUTED_VALUE"""),"Outros (PRAZO ATÉ 15 DIAS PARA ATENDIMENTO)")</f>
        <v>Outros (PRAZO ATÉ 15 DIAS PARA ATENDIMENTO)</v>
      </c>
      <c r="K571" s="13"/>
      <c r="L571" s="13" t="str">
        <f>IFERROR(__xludf.DUMMYFUNCTION("""COMPUTED_VALUE"""),"Retira de terra e entulho ")</f>
        <v>Retira de terra e entulho </v>
      </c>
      <c r="M571" s="20"/>
      <c r="N571" s="26" t="str">
        <f>IFERROR(__xludf.DUMMYFUNCTION("""COMPUTED_VALUE"""),"Realizado")</f>
        <v>Realizado</v>
      </c>
      <c r="O571" s="11">
        <f>IFERROR(__xludf.DUMMYFUNCTION("""COMPUTED_VALUE"""),45377.0)</f>
        <v>45377</v>
      </c>
      <c r="P571" s="11"/>
    </row>
    <row r="572" ht="27.0" customHeight="1">
      <c r="A572" s="20" t="str">
        <f>IFERROR(__xludf.DUMMYFUNCTION("""COMPUTED_VALUE"""),"570/2024")</f>
        <v>570/2024</v>
      </c>
      <c r="B572" s="8">
        <f>IFERROR(__xludf.DUMMYFUNCTION("""COMPUTED_VALUE"""),45376.476807280094)</f>
        <v>45376.47681</v>
      </c>
      <c r="C572" s="44" t="str">
        <f>IFERROR(__xludf.DUMMYFUNCTION("""COMPUTED_VALUE"""),"amanda.lopes@ufcat.edu.br")</f>
        <v>amanda.lopes@ufcat.edu.br</v>
      </c>
      <c r="D572" s="45" t="str">
        <f>IFERROR(__xludf.DUMMYFUNCTION("""COMPUTED_VALUE"""),"Amanda Matos ")</f>
        <v>Amanda Matos </v>
      </c>
      <c r="E572" s="47">
        <f>IFERROR(__xludf.DUMMYFUNCTION("""COMPUTED_VALUE"""),5340.0)</f>
        <v>5340</v>
      </c>
      <c r="F572" s="45" t="str">
        <f>IFERROR(__xludf.DUMMYFUNCTION("""COMPUTED_VALUE"""),"PREF")</f>
        <v>PREF</v>
      </c>
      <c r="G572" s="45" t="str">
        <f>IFERROR(__xludf.DUMMYFUNCTION("""COMPUTED_VALUE"""),"Bloco P")</f>
        <v>Bloco P</v>
      </c>
      <c r="H572" s="46" t="str">
        <f>IFERROR(__xludf.DUMMYFUNCTION("""COMPUTED_VALUE"""),"PREF")</f>
        <v>PREF</v>
      </c>
      <c r="I572" s="7" t="str">
        <f>IFERROR(__xludf.DUMMYFUNCTION("""COMPUTED_VALUE"""),"Reparos (alvenaria, piso, forro e telhado)")</f>
        <v>Reparos (alvenaria, piso, forro e telhado)</v>
      </c>
      <c r="J572" s="13" t="str">
        <f>IFERROR(__xludf.DUMMYFUNCTION("""COMPUTED_VALUE"""),"01 Alvenaria / 06 - Outros (PRAZO DE ATÉ 60 DIAS PARA ATENDIMENTO)")</f>
        <v>01 Alvenaria / 06 - Outros (PRAZO DE ATÉ 60 DIAS PARA ATENDIMENTO)</v>
      </c>
      <c r="K572" s="13"/>
      <c r="L572" s="13" t="str">
        <f>IFERROR(__xludf.DUMMYFUNCTION("""COMPUTED_VALUE"""),"Selar caixa de esgoto dentro da sala ")</f>
        <v>Selar caixa de esgoto dentro da sala </v>
      </c>
      <c r="M572" s="20"/>
      <c r="N572" s="26" t="str">
        <f>IFERROR(__xludf.DUMMYFUNCTION("""COMPUTED_VALUE"""),"Cancelada pelo solicitante")</f>
        <v>Cancelada pelo solicitante</v>
      </c>
      <c r="O572" s="11">
        <f>IFERROR(__xludf.DUMMYFUNCTION("""COMPUTED_VALUE"""),45387.0)</f>
        <v>45387</v>
      </c>
      <c r="P572" s="11"/>
    </row>
    <row r="573" ht="27.0" customHeight="1">
      <c r="A573" s="20" t="str">
        <f>IFERROR(__xludf.DUMMYFUNCTION("""COMPUTED_VALUE"""),"571/2024")</f>
        <v>571/2024</v>
      </c>
      <c r="B573" s="8">
        <f>IFERROR(__xludf.DUMMYFUNCTION("""COMPUTED_VALUE"""),45376.569961643516)</f>
        <v>45376.56996</v>
      </c>
      <c r="C573" s="44" t="str">
        <f>IFERROR(__xludf.DUMMYFUNCTION("""COMPUTED_VALUE"""),"iana.abrantes@ufcat.edu.br")</f>
        <v>iana.abrantes@ufcat.edu.br</v>
      </c>
      <c r="D573" s="45" t="str">
        <f>IFERROR(__xludf.DUMMYFUNCTION("""COMPUTED_VALUE"""),"Iana Grecco")</f>
        <v>Iana Grecco</v>
      </c>
      <c r="E573" s="47" t="str">
        <f>IFERROR(__xludf.DUMMYFUNCTION("""COMPUTED_VALUE"""),"62 9 8331-8743")</f>
        <v>62 9 8331-8743</v>
      </c>
      <c r="F573" s="45" t="str">
        <f>IFERROR(__xludf.DUMMYFUNCTION("""COMPUTED_VALUE"""),"FENG - Engenharia Civil")</f>
        <v>FENG - Engenharia Civil</v>
      </c>
      <c r="G573" s="45" t="str">
        <f>IFERROR(__xludf.DUMMYFUNCTION("""COMPUTED_VALUE"""),"Bloco O")</f>
        <v>Bloco O</v>
      </c>
      <c r="H573" s="46" t="str">
        <f>IFERROR(__xludf.DUMMYFUNCTION("""COMPUTED_VALUE"""),"Banheiro Feminino - andar da Eng. de Minas")</f>
        <v>Banheiro Feminino - andar da Eng. de Minas</v>
      </c>
      <c r="I573" s="7" t="str">
        <f>IFERROR(__xludf.DUMMYFUNCTION("""COMPUTED_VALUE"""),"Instalações Hidrossanitárias")</f>
        <v>Instalações Hidrossanitárias</v>
      </c>
      <c r="J573" s="13" t="str">
        <f>IFERROR(__xludf.DUMMYFUNCTION("""COMPUTED_VALUE"""),"02 Hidráulica / 18 - Vazamento nas válvulas de vasos sanitários e mictórios (PRAZO DE 15 a 60 DIAS PARA ATENDIMENTO)")</f>
        <v>02 Hidráulica / 18 - Vazamento nas válvulas de vasos sanitários e mictórios (PRAZO DE 15 a 60 DIAS PARA ATENDIMENTO)</v>
      </c>
      <c r="K573" s="13"/>
      <c r="L573" s="13" t="str">
        <f>IFERROR(__xludf.DUMMYFUNCTION("""COMPUTED_VALUE"""),"A válvula de descarga do último boxe do banheiro feminino está com problemas")</f>
        <v>A válvula de descarga do último boxe do banheiro feminino está com problemas</v>
      </c>
      <c r="M573" s="20"/>
      <c r="N573" s="26" t="str">
        <f>IFERROR(__xludf.DUMMYFUNCTION("""COMPUTED_VALUE"""),"Realizado")</f>
        <v>Realizado</v>
      </c>
      <c r="O573" s="11">
        <f>IFERROR(__xludf.DUMMYFUNCTION("""COMPUTED_VALUE"""),45376.0)</f>
        <v>45376</v>
      </c>
      <c r="P573" s="11"/>
    </row>
    <row r="574" ht="27.0" customHeight="1">
      <c r="A574" s="20" t="str">
        <f>IFERROR(__xludf.DUMMYFUNCTION("""COMPUTED_VALUE"""),"572/2024")</f>
        <v>572/2024</v>
      </c>
      <c r="B574" s="8">
        <f>IFERROR(__xludf.DUMMYFUNCTION("""COMPUTED_VALUE"""),45376.57158322917)</f>
        <v>45376.57158</v>
      </c>
      <c r="C574" s="44" t="str">
        <f>IFERROR(__xludf.DUMMYFUNCTION("""COMPUTED_VALUE"""),"amanda.lopes@ufcat.edu.br")</f>
        <v>amanda.lopes@ufcat.edu.br</v>
      </c>
      <c r="D574" s="45" t="str">
        <f>IFERROR(__xludf.DUMMYFUNCTION("""COMPUTED_VALUE"""),"Amanda Matos ")</f>
        <v>Amanda Matos </v>
      </c>
      <c r="E574" s="47">
        <f>IFERROR(__xludf.DUMMYFUNCTION("""COMPUTED_VALUE"""),5340.0)</f>
        <v>5340</v>
      </c>
      <c r="F574" s="45" t="str">
        <f>IFERROR(__xludf.DUMMYFUNCTION("""COMPUTED_VALUE"""),"PREF")</f>
        <v>PREF</v>
      </c>
      <c r="G574" s="45" t="str">
        <f>IFERROR(__xludf.DUMMYFUNCTION("""COMPUTED_VALUE"""),"Auditório Paulo de Bastos")</f>
        <v>Auditório Paulo de Bastos</v>
      </c>
      <c r="H574" s="46" t="str">
        <f>IFERROR(__xludf.DUMMYFUNCTION("""COMPUTED_VALUE"""),"Hall de entrada")</f>
        <v>Hall de entrada</v>
      </c>
      <c r="I574" s="7" t="str">
        <f>IFERROR(__xludf.DUMMYFUNCTION("""COMPUTED_VALUE"""),"Instalações elétricas")</f>
        <v>Instalações elétricas</v>
      </c>
      <c r="J574" s="13" t="str">
        <f>IFERROR(__xludf.DUMMYFUNCTION("""COMPUTED_VALUE"""),"04 Elétrica / 35 - Troca de Lâmpadas (PRAZO DE ATÉ 15 DIAS PARA ATENDIMENTO)")</f>
        <v>04 Elétrica / 35 - Troca de Lâmpadas (PRAZO DE ATÉ 15 DIAS PARA ATENDIMENTO)</v>
      </c>
      <c r="K574" s="13"/>
      <c r="L574" s="13" t="str">
        <f>IFERROR(__xludf.DUMMYFUNCTION("""COMPUTED_VALUE"""),"Substituição de luminarias e tomadas ")</f>
        <v>Substituição de luminarias e tomadas </v>
      </c>
      <c r="M574" s="20"/>
      <c r="N574" s="26" t="str">
        <f>IFERROR(__xludf.DUMMYFUNCTION("""COMPUTED_VALUE"""),"Realizado")</f>
        <v>Realizado</v>
      </c>
      <c r="O574" s="11">
        <f>IFERROR(__xludf.DUMMYFUNCTION("""COMPUTED_VALUE"""),45377.0)</f>
        <v>45377</v>
      </c>
      <c r="P574" s="11"/>
    </row>
    <row r="575" ht="27.0" customHeight="1">
      <c r="A575" s="20" t="str">
        <f>IFERROR(__xludf.DUMMYFUNCTION("""COMPUTED_VALUE"""),"573/2024")</f>
        <v>573/2024</v>
      </c>
      <c r="B575" s="8">
        <f>IFERROR(__xludf.DUMMYFUNCTION("""COMPUTED_VALUE"""),45376.65785024306)</f>
        <v>45376.65785</v>
      </c>
      <c r="C575" s="44" t="str">
        <f>IFERROR(__xludf.DUMMYFUNCTION("""COMPUTED_VALUE"""),"amanda.lopes@ufcat.edu.br")</f>
        <v>amanda.lopes@ufcat.edu.br</v>
      </c>
      <c r="D575" s="45" t="str">
        <f>IFERROR(__xludf.DUMMYFUNCTION("""COMPUTED_VALUE"""),"Amanda Matos ")</f>
        <v>Amanda Matos </v>
      </c>
      <c r="E575" s="47">
        <f>IFERROR(__xludf.DUMMYFUNCTION("""COMPUTED_VALUE"""),5340.0)</f>
        <v>5340</v>
      </c>
      <c r="F575" s="45" t="str">
        <f>IFERROR(__xludf.DUMMYFUNCTION("""COMPUTED_VALUE"""),"PREF")</f>
        <v>PREF</v>
      </c>
      <c r="G575" s="45" t="str">
        <f>IFERROR(__xludf.DUMMYFUNCTION("""COMPUTED_VALUE"""),"Bloco Administrativo")</f>
        <v>Bloco Administrativo</v>
      </c>
      <c r="H575" s="46" t="str">
        <f>IFERROR(__xludf.DUMMYFUNCTION("""COMPUTED_VALUE"""),"Subsolo ")</f>
        <v>Subsolo </v>
      </c>
      <c r="I575" s="7" t="str">
        <f>IFERROR(__xludf.DUMMYFUNCTION("""COMPUTED_VALUE"""),"Instalações elétricas")</f>
        <v>Instalações elétricas</v>
      </c>
      <c r="J575" s="13" t="str">
        <f>IFERROR(__xludf.DUMMYFUNCTION("""COMPUTED_VALUE"""),"04 Elétrica / 34 - Tomada Uso Geral (PRAZO DE ATÉ 15 DIAS PARA ATENDIMENTO)")</f>
        <v>04 Elétrica / 34 - Tomada Uso Geral (PRAZO DE ATÉ 15 DIAS PARA ATENDIMENTO)</v>
      </c>
      <c r="K575" s="13"/>
      <c r="L575" s="13" t="str">
        <f>IFERROR(__xludf.DUMMYFUNCTION("""COMPUTED_VALUE"""),"Substituição de tomada ")</f>
        <v>Substituição de tomada </v>
      </c>
      <c r="M575" s="20"/>
      <c r="N575" s="26" t="str">
        <f>IFERROR(__xludf.DUMMYFUNCTION("""COMPUTED_VALUE"""),"Realizado")</f>
        <v>Realizado</v>
      </c>
      <c r="O575" s="11">
        <f>IFERROR(__xludf.DUMMYFUNCTION("""COMPUTED_VALUE"""),45377.0)</f>
        <v>45377</v>
      </c>
      <c r="P575" s="11"/>
    </row>
    <row r="576" ht="27.0" customHeight="1">
      <c r="A576" s="20" t="str">
        <f>IFERROR(__xludf.DUMMYFUNCTION("""COMPUTED_VALUE"""),"574/2024")</f>
        <v>574/2024</v>
      </c>
      <c r="B576" s="8">
        <f>IFERROR(__xludf.DUMMYFUNCTION("""COMPUTED_VALUE"""),45376.66310168982)</f>
        <v>45376.6631</v>
      </c>
      <c r="C576" s="44" t="str">
        <f>IFERROR(__xludf.DUMMYFUNCTION("""COMPUTED_VALUE"""),"muc.prpe@ufcat.edu.br")</f>
        <v>muc.prpe@ufcat.edu.br</v>
      </c>
      <c r="D576" s="45" t="str">
        <f>IFERROR(__xludf.DUMMYFUNCTION("""COMPUTED_VALUE"""),"DANIEL DOS REIS SIMÕES")</f>
        <v>DANIEL DOS REIS SIMÕES</v>
      </c>
      <c r="E576" s="47">
        <f>IFERROR(__xludf.DUMMYFUNCTION("""COMPUTED_VALUE"""),5333.0)</f>
        <v>5333</v>
      </c>
      <c r="F576" s="45" t="str">
        <f>IFERROR(__xludf.DUMMYFUNCTION("""COMPUTED_VALUE"""),"PRPE")</f>
        <v>PRPE</v>
      </c>
      <c r="G576" s="45" t="str">
        <f>IFERROR(__xludf.DUMMYFUNCTION("""COMPUTED_VALUE"""),"MUC")</f>
        <v>MUC</v>
      </c>
      <c r="H576" s="46" t="str">
        <f>IFERROR(__xludf.DUMMYFUNCTION("""COMPUTED_VALUE"""),"MUC")</f>
        <v>MUC</v>
      </c>
      <c r="I576" s="7" t="str">
        <f>IFERROR(__xludf.DUMMYFUNCTION("""COMPUTED_VALUE"""),"Reparos (alvenaria, piso, forro e telhado)")</f>
        <v>Reparos (alvenaria, piso, forro e telhado)</v>
      </c>
      <c r="J576" s="13" t="str">
        <f>IFERROR(__xludf.DUMMYFUNCTION("""COMPUTED_VALUE"""),"01 Alvenaria / 05 - Piso (PRAZO DE ATÉ 60 DIAS PARA ATENDIMENTO)")</f>
        <v>01 Alvenaria / 05 - Piso (PRAZO DE ATÉ 60 DIAS PARA ATENDIMENTO)</v>
      </c>
      <c r="K576" s="13"/>
      <c r="L576" s="13" t="str">
        <f>IFERROR(__xludf.DUMMYFUNCTION("""COMPUTED_VALUE"""),"Colar pisos táteis que se soltaram do chão.")</f>
        <v>Colar pisos táteis que se soltaram do chão.</v>
      </c>
      <c r="M576" s="20"/>
      <c r="N576" s="26" t="str">
        <f>IFERROR(__xludf.DUMMYFUNCTION("""COMPUTED_VALUE"""),"Realizado")</f>
        <v>Realizado</v>
      </c>
      <c r="O576" s="11">
        <f>IFERROR(__xludf.DUMMYFUNCTION("""COMPUTED_VALUE"""),45392.0)</f>
        <v>45392</v>
      </c>
      <c r="P576" s="11"/>
    </row>
    <row r="577" ht="27.0" customHeight="1">
      <c r="A577" s="20" t="str">
        <f>IFERROR(__xludf.DUMMYFUNCTION("""COMPUTED_VALUE"""),"575/2024")</f>
        <v>575/2024</v>
      </c>
      <c r="B577" s="8">
        <f>IFERROR(__xludf.DUMMYFUNCTION("""COMPUTED_VALUE"""),45376.718699317134)</f>
        <v>45376.7187</v>
      </c>
      <c r="C577" s="44" t="str">
        <f>IFERROR(__xludf.DUMMYFUNCTION("""COMPUTED_VALUE"""),"seguranca@ufcat.edu.br")</f>
        <v>seguranca@ufcat.edu.br</v>
      </c>
      <c r="D577" s="45" t="str">
        <f>IFERROR(__xludf.DUMMYFUNCTION("""COMPUTED_VALUE"""),"Carla Braz")</f>
        <v>Carla Braz</v>
      </c>
      <c r="E577" s="47">
        <f>IFERROR(__xludf.DUMMYFUNCTION("""COMPUTED_VALUE"""),5318.0)</f>
        <v>5318</v>
      </c>
      <c r="F577" s="45" t="str">
        <f>IFERROR(__xludf.DUMMYFUNCTION("""COMPUTED_VALUE"""),"CENTRAL DE OPERAÇÕES VIGILÂNCIA")</f>
        <v>CENTRAL DE OPERAÇÕES VIGILÂNCIA</v>
      </c>
      <c r="G577" s="45" t="str">
        <f>IFERROR(__xludf.DUMMYFUNCTION("""COMPUTED_VALUE"""),"Monitoramento")</f>
        <v>Monitoramento</v>
      </c>
      <c r="H577" s="46" t="str">
        <f>IFERROR(__xludf.DUMMYFUNCTION("""COMPUTED_VALUE"""),"Central de Operações")</f>
        <v>Central de Operações</v>
      </c>
      <c r="I577" s="7" t="str">
        <f>IFERROR(__xludf.DUMMYFUNCTION("""COMPUTED_VALUE"""),"Instalações e/ou Manutenção em Cabeamento de Rede")</f>
        <v>Instalações e/ou Manutenção em Cabeamento de Rede</v>
      </c>
      <c r="J577" s="13" t="str">
        <f>IFERROR(__xludf.DUMMYFUNCTION("""COMPUTED_VALUE"""),"05 Telecomunicações / 38 - Cabeamento de Rede (PRAZO DE ATÉ 15 DIAS PARA ATENDIMENTO)")</f>
        <v>05 Telecomunicações / 38 - Cabeamento de Rede (PRAZO DE ATÉ 15 DIAS PARA ATENDIMENTO)</v>
      </c>
      <c r="K577" s="13"/>
      <c r="L577" s="13" t="str">
        <f>IFERROR(__xludf.DUMMYFUNCTION("""COMPUTED_VALUE"""),"Ponto de rede se encontra sem funcionamento")</f>
        <v>Ponto de rede se encontra sem funcionamento</v>
      </c>
      <c r="M577" s="20"/>
      <c r="N577" s="26" t="str">
        <f>IFERROR(__xludf.DUMMYFUNCTION("""COMPUTED_VALUE"""),"Realizado")</f>
        <v>Realizado</v>
      </c>
      <c r="O577" s="11">
        <f>IFERROR(__xludf.DUMMYFUNCTION("""COMPUTED_VALUE"""),45377.0)</f>
        <v>45377</v>
      </c>
      <c r="P577" s="11"/>
    </row>
    <row r="578" ht="27.0" customHeight="1">
      <c r="A578" s="20" t="str">
        <f>IFERROR(__xludf.DUMMYFUNCTION("""COMPUTED_VALUE"""),"576/2024")</f>
        <v>576/2024</v>
      </c>
      <c r="B578" s="8">
        <f>IFERROR(__xludf.DUMMYFUNCTION("""COMPUTED_VALUE"""),45377.353812013884)</f>
        <v>45377.35381</v>
      </c>
      <c r="C578" s="44" t="str">
        <f>IFERROR(__xludf.DUMMYFUNCTION("""COMPUTED_VALUE"""),"amanda.lopes@ufcat.edu.br")</f>
        <v>amanda.lopes@ufcat.edu.br</v>
      </c>
      <c r="D578" s="45" t="str">
        <f>IFERROR(__xludf.DUMMYFUNCTION("""COMPUTED_VALUE"""),"Amanda Matos ")</f>
        <v>Amanda Matos </v>
      </c>
      <c r="E578" s="47">
        <f>IFERROR(__xludf.DUMMYFUNCTION("""COMPUTED_VALUE"""),5340.0)</f>
        <v>5340</v>
      </c>
      <c r="F578" s="45" t="str">
        <f>IFERROR(__xludf.DUMMYFUNCTION("""COMPUTED_VALUE"""),"PREF")</f>
        <v>PREF</v>
      </c>
      <c r="G578" s="45" t="str">
        <f>IFERROR(__xludf.DUMMYFUNCTION("""COMPUTED_VALUE"""),"MUC")</f>
        <v>MUC</v>
      </c>
      <c r="H578" s="46" t="str">
        <f>IFERROR(__xludf.DUMMYFUNCTION("""COMPUTED_VALUE"""),"DVR")</f>
        <v>DVR</v>
      </c>
      <c r="I578" s="7" t="str">
        <f>IFERROR(__xludf.DUMMYFUNCTION("""COMPUTED_VALUE"""),"Instalações e/ou Manutenção em Cabeamento de Rede")</f>
        <v>Instalações e/ou Manutenção em Cabeamento de Rede</v>
      </c>
      <c r="J578" s="13" t="str">
        <f>IFERROR(__xludf.DUMMYFUNCTION("""COMPUTED_VALUE"""),"05 Telecomunicações / 38 - Cabeamento de Rede (PRAZO DE ATÉ 15 DIAS PARA ATENDIMENTO)")</f>
        <v>05 Telecomunicações / 38 - Cabeamento de Rede (PRAZO DE ATÉ 15 DIAS PARA ATENDIMENTO)</v>
      </c>
      <c r="K578" s="13"/>
      <c r="L578" s="13" t="str">
        <f>IFERROR(__xludf.DUMMYFUNCTION("""COMPUTED_VALUE"""),"Não esta gravando ")</f>
        <v>Não esta gravando </v>
      </c>
      <c r="M578" s="20"/>
      <c r="N578" s="26" t="str">
        <f>IFERROR(__xludf.DUMMYFUNCTION("""COMPUTED_VALUE"""),"Realizado")</f>
        <v>Realizado</v>
      </c>
      <c r="O578" s="11">
        <f>IFERROR(__xludf.DUMMYFUNCTION("""COMPUTED_VALUE"""),45377.0)</f>
        <v>45377</v>
      </c>
      <c r="P578" s="11"/>
    </row>
    <row r="579" ht="27.0" customHeight="1">
      <c r="A579" s="20" t="str">
        <f>IFERROR(__xludf.DUMMYFUNCTION("""COMPUTED_VALUE"""),"577/2024")</f>
        <v>577/2024</v>
      </c>
      <c r="B579" s="8">
        <f>IFERROR(__xludf.DUMMYFUNCTION("""COMPUTED_VALUE"""),45377.35782282407)</f>
        <v>45377.35782</v>
      </c>
      <c r="C579" s="44" t="str">
        <f>IFERROR(__xludf.DUMMYFUNCTION("""COMPUTED_VALUE"""),"muc.prpe@ufcat.edu.br")</f>
        <v>muc.prpe@ufcat.edu.br</v>
      </c>
      <c r="D579" s="45" t="str">
        <f>IFERROR(__xludf.DUMMYFUNCTION("""COMPUTED_VALUE"""),"Ludmila")</f>
        <v>Ludmila</v>
      </c>
      <c r="E579" s="47">
        <f>IFERROR(__xludf.DUMMYFUNCTION("""COMPUTED_VALUE"""),5333.0)</f>
        <v>5333</v>
      </c>
      <c r="F579" s="45" t="str">
        <f>IFERROR(__xludf.DUMMYFUNCTION("""COMPUTED_VALUE"""),"PRPE")</f>
        <v>PRPE</v>
      </c>
      <c r="G579" s="45" t="str">
        <f>IFERROR(__xludf.DUMMYFUNCTION("""COMPUTED_VALUE"""),"MUC")</f>
        <v>MUC</v>
      </c>
      <c r="H579" s="46" t="str">
        <f>IFERROR(__xludf.DUMMYFUNCTION("""COMPUTED_VALUE"""),"DML")</f>
        <v>DML</v>
      </c>
      <c r="I579" s="7" t="str">
        <f>IFERROR(__xludf.DUMMYFUNCTION("""COMPUTED_VALUE"""),"Instalações Hidrossanitárias")</f>
        <v>Instalações Hidrossanitárias</v>
      </c>
      <c r="J579" s="13" t="str">
        <f>IFERROR(__xludf.DUMMYFUNCTION("""COMPUTED_VALUE"""),"02 Hidráulica / 22 - Outros (PRAZO DE 15 a 60 DIAS PARA ATENDIMENTO)")</f>
        <v>02 Hidráulica / 22 - Outros (PRAZO DE 15 a 60 DIAS PARA ATENDIMENTO)</v>
      </c>
      <c r="K579" s="13"/>
      <c r="L579" s="13" t="str">
        <f>IFERROR(__xludf.DUMMYFUNCTION("""COMPUTED_VALUE"""),"vazamento de gás no bebedouro")</f>
        <v>vazamento de gás no bebedouro</v>
      </c>
      <c r="M579" s="20"/>
      <c r="N579" s="26" t="str">
        <f>IFERROR(__xludf.DUMMYFUNCTION("""COMPUTED_VALUE"""),"Realizado")</f>
        <v>Realizado</v>
      </c>
      <c r="O579" s="11">
        <f>IFERROR(__xludf.DUMMYFUNCTION("""COMPUTED_VALUE"""),45378.0)</f>
        <v>45378</v>
      </c>
      <c r="P579" s="11"/>
    </row>
    <row r="580" ht="27.0" customHeight="1">
      <c r="A580" s="20" t="str">
        <f>IFERROR(__xludf.DUMMYFUNCTION("""COMPUTED_VALUE"""),"578/2024")</f>
        <v>578/2024</v>
      </c>
      <c r="B580" s="8">
        <f>IFERROR(__xludf.DUMMYFUNCTION("""COMPUTED_VALUE"""),45377.358426921295)</f>
        <v>45377.35843</v>
      </c>
      <c r="C580" s="44" t="str">
        <f>IFERROR(__xludf.DUMMYFUNCTION("""COMPUTED_VALUE"""),"cinara.martins@ufcat.edu.br")</f>
        <v>cinara.martins@ufcat.edu.br</v>
      </c>
      <c r="D580" s="45" t="str">
        <f>IFERROR(__xludf.DUMMYFUNCTION("""COMPUTED_VALUE"""),"Cinara Martins")</f>
        <v>Cinara Martins</v>
      </c>
      <c r="E580" s="47">
        <f>IFERROR(__xludf.DUMMYFUNCTION("""COMPUTED_VALUE"""),5303.0)</f>
        <v>5303</v>
      </c>
      <c r="F580" s="45" t="str">
        <f>IFERROR(__xludf.DUMMYFUNCTION("""COMPUTED_VALUE"""),"REITORIA")</f>
        <v>REITORIA</v>
      </c>
      <c r="G580" s="45" t="str">
        <f>IFERROR(__xludf.DUMMYFUNCTION("""COMPUTED_VALUE"""),"Bloco Administrativo")</f>
        <v>Bloco Administrativo</v>
      </c>
      <c r="H580" s="46">
        <f>IFERROR(__xludf.DUMMYFUNCTION("""COMPUTED_VALUE"""),108.0)</f>
        <v>108</v>
      </c>
      <c r="I580" s="7" t="str">
        <f>IFERROR(__xludf.DUMMYFUNCTION("""COMPUTED_VALUE"""),"Pequenos serviços de reparos em Marcenaria")</f>
        <v>Pequenos serviços de reparos em Marcenaria</v>
      </c>
      <c r="J580" s="13" t="str">
        <f>IFERROR(__xludf.DUMMYFUNCTION("""COMPUTED_VALUE"""),"03 Marcenaria / 29 - Outros (PRAZO DE ACORDO COM A DEMANDA)")</f>
        <v>03 Marcenaria / 29 - Outros (PRAZO DE ACORDO COM A DEMANDA)</v>
      </c>
      <c r="K580" s="13"/>
      <c r="L580" s="13" t="str">
        <f>IFERROR(__xludf.DUMMYFUNCTION("""COMPUTED_VALUE"""),"Fazer a substituição do tampão que está na vertical da mesa, por um tampão na horizontal.")</f>
        <v>Fazer a substituição do tampão que está na vertical da mesa, por um tampão na horizontal.</v>
      </c>
      <c r="M580" s="20"/>
      <c r="N580" s="26" t="str">
        <f>IFERROR(__xludf.DUMMYFUNCTION("""COMPUTED_VALUE"""),"Realizado")</f>
        <v>Realizado</v>
      </c>
      <c r="O580" s="11">
        <f>IFERROR(__xludf.DUMMYFUNCTION("""COMPUTED_VALUE"""),45377.0)</f>
        <v>45377</v>
      </c>
      <c r="P580" s="11"/>
    </row>
    <row r="581" ht="27.0" customHeight="1">
      <c r="A581" s="20" t="str">
        <f>IFERROR(__xludf.DUMMYFUNCTION("""COMPUTED_VALUE"""),"579/2024")</f>
        <v>579/2024</v>
      </c>
      <c r="B581" s="8">
        <f>IFERROR(__xludf.DUMMYFUNCTION("""COMPUTED_VALUE"""),45377.36414907407)</f>
        <v>45377.36415</v>
      </c>
      <c r="C581" s="44" t="str">
        <f>IFERROR(__xludf.DUMMYFUNCTION("""COMPUTED_VALUE"""),"mariaeduarda.borges@ufcat.edu.br")</f>
        <v>mariaeduarda.borges@ufcat.edu.br</v>
      </c>
      <c r="D581" s="45" t="str">
        <f>IFERROR(__xludf.DUMMYFUNCTION("""COMPUTED_VALUE"""),"Maria Eduarda Silva Borges ")</f>
        <v>Maria Eduarda Silva Borges </v>
      </c>
      <c r="E581" s="47">
        <f>IFERROR(__xludf.DUMMYFUNCTION("""COMPUTED_VALUE"""),5340.0)</f>
        <v>5340</v>
      </c>
      <c r="F581" s="45" t="str">
        <f>IFERROR(__xludf.DUMMYFUNCTION("""COMPUTED_VALUE"""),"PREF")</f>
        <v>PREF</v>
      </c>
      <c r="G581" s="45" t="str">
        <f>IFERROR(__xludf.DUMMYFUNCTION("""COMPUTED_VALUE"""),"Bloco O")</f>
        <v>Bloco O</v>
      </c>
      <c r="H581" s="46" t="str">
        <f>IFERROR(__xludf.DUMMYFUNCTION("""COMPUTED_VALUE"""),"TENDA PRÓXIMA AO BLOCO O")</f>
        <v>TENDA PRÓXIMA AO BLOCO O</v>
      </c>
      <c r="I581" s="7" t="str">
        <f>IFERROR(__xludf.DUMMYFUNCTION("""COMPUTED_VALUE"""),"Serralheria")</f>
        <v>Serralheria</v>
      </c>
      <c r="J581" s="13" t="str">
        <f>IFERROR(__xludf.DUMMYFUNCTION("""COMPUTED_VALUE"""),"08 Serralheria / 56 - Outros (PRAZO DE ACORDO COM A DEMANDA)")</f>
        <v>08 Serralheria / 56 - Outros (PRAZO DE ACORDO COM A DEMANDA)</v>
      </c>
      <c r="K581" s="13"/>
      <c r="L581" s="13" t="str">
        <f>IFERROR(__xludf.DUMMYFUNCTION("""COMPUTED_VALUE"""),"A tenda próxima ao Bloco O, soltou uma parte de cima, com isso pode haver o risco de molhar com a chuva que está havendo, os aparelhos que se encontram no seu interior.")</f>
        <v>A tenda próxima ao Bloco O, soltou uma parte de cima, com isso pode haver o risco de molhar com a chuva que está havendo, os aparelhos que se encontram no seu interior.</v>
      </c>
      <c r="M581" s="20" t="str">
        <f>IFERROR(__xludf.DUMMYFUNCTION("""COMPUTED_VALUE"""),"CPATRI")</f>
        <v>CPATRI</v>
      </c>
      <c r="N581" s="26" t="str">
        <f>IFERROR(__xludf.DUMMYFUNCTION("""COMPUTED_VALUE"""),"Não é atribuição da PREF")</f>
        <v>Não é atribuição da PREF</v>
      </c>
      <c r="O581" s="11">
        <f>IFERROR(__xludf.DUMMYFUNCTION("""COMPUTED_VALUE"""),45377.0)</f>
        <v>45377</v>
      </c>
      <c r="P581" s="11"/>
    </row>
    <row r="582" ht="27.0" customHeight="1">
      <c r="A582" s="20" t="str">
        <f>IFERROR(__xludf.DUMMYFUNCTION("""COMPUTED_VALUE"""),"580/2024")</f>
        <v>580/2024</v>
      </c>
      <c r="B582" s="8">
        <f>IFERROR(__xludf.DUMMYFUNCTION("""COMPUTED_VALUE"""),45377.36623460648)</f>
        <v>45377.36623</v>
      </c>
      <c r="C582" s="44" t="str">
        <f>IFERROR(__xludf.DUMMYFUNCTION("""COMPUTED_VALUE"""),"mariaeduarda.borges@ufcat.edu.br")</f>
        <v>mariaeduarda.borges@ufcat.edu.br</v>
      </c>
      <c r="D582" s="45" t="str">
        <f>IFERROR(__xludf.DUMMYFUNCTION("""COMPUTED_VALUE"""),"Maria Eduarda Silva Borges ")</f>
        <v>Maria Eduarda Silva Borges </v>
      </c>
      <c r="E582" s="47">
        <f>IFERROR(__xludf.DUMMYFUNCTION("""COMPUTED_VALUE"""),5340.0)</f>
        <v>5340</v>
      </c>
      <c r="F582" s="45" t="str">
        <f>IFERROR(__xludf.DUMMYFUNCTION("""COMPUTED_VALUE"""),"PREF")</f>
        <v>PREF</v>
      </c>
      <c r="G582" s="45" t="str">
        <f>IFERROR(__xludf.DUMMYFUNCTION("""COMPUTED_VALUE"""),"Bloco O")</f>
        <v>Bloco O</v>
      </c>
      <c r="H582" s="46" t="str">
        <f>IFERROR(__xludf.DUMMYFUNCTION("""COMPUTED_VALUE"""),"ENTRADA DE ENGENHARIA")</f>
        <v>ENTRADA DE ENGENHARIA</v>
      </c>
      <c r="I582" s="7" t="str">
        <f>IFERROR(__xludf.DUMMYFUNCTION("""COMPUTED_VALUE"""),"Instalações elétricas")</f>
        <v>Instalações elétricas</v>
      </c>
      <c r="J582" s="13" t="str">
        <f>IFERROR(__xludf.DUMMYFUNCTION("""COMPUTED_VALUE"""),"04 Elétrica / 31 - Iluminação Externa (PRAZO DE ATÉ 15 DIAS PARA ATENDIMENTO)")</f>
        <v>04 Elétrica / 31 - Iluminação Externa (PRAZO DE ATÉ 15 DIAS PARA ATENDIMENTO)</v>
      </c>
      <c r="K582" s="13"/>
      <c r="L582" s="13" t="str">
        <f>IFERROR(__xludf.DUMMYFUNCTION("""COMPUTED_VALUE"""),"As lâmpadas de engenharia BLOCO O, estão queimadas.")</f>
        <v>As lâmpadas de engenharia BLOCO O, estão queimadas.</v>
      </c>
      <c r="M582" s="20"/>
      <c r="N582" s="26" t="str">
        <f>IFERROR(__xludf.DUMMYFUNCTION("""COMPUTED_VALUE"""),"Realizado")</f>
        <v>Realizado</v>
      </c>
      <c r="O582" s="11">
        <f>IFERROR(__xludf.DUMMYFUNCTION("""COMPUTED_VALUE"""),45377.0)</f>
        <v>45377</v>
      </c>
      <c r="P582" s="11"/>
    </row>
    <row r="583" ht="27.0" customHeight="1">
      <c r="A583" s="20" t="str">
        <f>IFERROR(__xludf.DUMMYFUNCTION("""COMPUTED_VALUE"""),"581/2024")</f>
        <v>581/2024</v>
      </c>
      <c r="B583" s="8">
        <f>IFERROR(__xludf.DUMMYFUNCTION("""COMPUTED_VALUE"""),45377.36637956019)</f>
        <v>45377.36638</v>
      </c>
      <c r="C583" s="44" t="str">
        <f>IFERROR(__xludf.DUMMYFUNCTION("""COMPUTED_VALUE"""),"progep@ufcat.edu.br")</f>
        <v>progep@ufcat.edu.br</v>
      </c>
      <c r="D583" s="45" t="str">
        <f>IFERROR(__xludf.DUMMYFUNCTION("""COMPUTED_VALUE"""),"Fabiana Alves de Assunção Mesquita")</f>
        <v>Fabiana Alves de Assunção Mesquita</v>
      </c>
      <c r="E583" s="47">
        <f>IFERROR(__xludf.DUMMYFUNCTION("""COMPUTED_VALUE"""),5336.0)</f>
        <v>5336</v>
      </c>
      <c r="F583" s="45" t="str">
        <f>IFERROR(__xludf.DUMMYFUNCTION("""COMPUTED_VALUE"""),"PROGEP")</f>
        <v>PROGEP</v>
      </c>
      <c r="G583" s="45" t="str">
        <f>IFERROR(__xludf.DUMMYFUNCTION("""COMPUTED_VALUE"""),"Bloco Administrativo")</f>
        <v>Bloco Administrativo</v>
      </c>
      <c r="H583" s="46">
        <f>IFERROR(__xludf.DUMMYFUNCTION("""COMPUTED_VALUE"""),123.0)</f>
        <v>123</v>
      </c>
      <c r="I583" s="7" t="str">
        <f>IFERROR(__xludf.DUMMYFUNCTION("""COMPUTED_VALUE"""),"Instalações Hidrossanitárias")</f>
        <v>Instalações Hidrossanitárias</v>
      </c>
      <c r="J583" s="13" t="str">
        <f>IFERROR(__xludf.DUMMYFUNCTION("""COMPUTED_VALUE"""),"02 Hidráulica / 22 - Outros (PRAZO DE 15 a 60 DIAS PARA ATENDIMENTO)")</f>
        <v>02 Hidráulica / 22 - Outros (PRAZO DE 15 a 60 DIAS PARA ATENDIMENTO)</v>
      </c>
      <c r="K583" s="13"/>
      <c r="L583" s="13" t="str">
        <f>IFERROR(__xludf.DUMMYFUNCTION("""COMPUTED_VALUE"""),"Quando chove, a água da chuva entra pela janela. Está com uma abertura.")</f>
        <v>Quando chove, a água da chuva entra pela janela. Está com uma abertura.</v>
      </c>
      <c r="M583" s="20"/>
      <c r="N583" s="26" t="str">
        <f>IFERROR(__xludf.DUMMYFUNCTION("""COMPUTED_VALUE"""),"Realizado")</f>
        <v>Realizado</v>
      </c>
      <c r="O583" s="11">
        <f>IFERROR(__xludf.DUMMYFUNCTION("""COMPUTED_VALUE"""),45386.0)</f>
        <v>45386</v>
      </c>
      <c r="P583" s="11"/>
    </row>
    <row r="584" ht="27.0" customHeight="1">
      <c r="A584" s="20" t="str">
        <f>IFERROR(__xludf.DUMMYFUNCTION("""COMPUTED_VALUE"""),"582/2024")</f>
        <v>582/2024</v>
      </c>
      <c r="B584" s="8">
        <f>IFERROR(__xludf.DUMMYFUNCTION("""COMPUTED_VALUE"""),45377.374200879625)</f>
        <v>45377.3742</v>
      </c>
      <c r="C584" s="44" t="str">
        <f>IFERROR(__xludf.DUMMYFUNCTION("""COMPUTED_VALUE"""),"secretariafae@ufcat.edu.br")</f>
        <v>secretariafae@ufcat.edu.br</v>
      </c>
      <c r="D584" s="45" t="str">
        <f>IFERROR(__xludf.DUMMYFUNCTION("""COMPUTED_VALUE"""),"Bárbara")</f>
        <v>Bárbara</v>
      </c>
      <c r="E584" s="47">
        <f>IFERROR(__xludf.DUMMYFUNCTION("""COMPUTED_VALUE"""),5308.0)</f>
        <v>5308</v>
      </c>
      <c r="F584" s="45" t="str">
        <f>IFERROR(__xludf.DUMMYFUNCTION("""COMPUTED_VALUE"""),"FAE")</f>
        <v>FAE</v>
      </c>
      <c r="G584" s="45" t="str">
        <f>IFERROR(__xludf.DUMMYFUNCTION("""COMPUTED_VALUE"""),"Bloco H")</f>
        <v>Bloco H</v>
      </c>
      <c r="H584" s="46" t="str">
        <f>IFERROR(__xludf.DUMMYFUNCTION("""COMPUTED_VALUE"""),"Cozinha ")</f>
        <v>Cozinha </v>
      </c>
      <c r="I584" s="7" t="str">
        <f>IFERROR(__xludf.DUMMYFUNCTION("""COMPUTED_VALUE"""),"Pintura")</f>
        <v>Pintura</v>
      </c>
      <c r="J584" s="13" t="str">
        <f>IFERROR(__xludf.DUMMYFUNCTION("""COMPUTED_VALUE"""),"06 Pintura / 44 - Pintura de Teto (PRAZO DE ATÉ 60 DIAS PARA ATENDIMENTO)")</f>
        <v>06 Pintura / 44 - Pintura de Teto (PRAZO DE ATÉ 60 DIAS PARA ATENDIMENTO)</v>
      </c>
      <c r="K584" s="13"/>
      <c r="L584" s="13" t="str">
        <f>IFERROR(__xludf.DUMMYFUNCTION("""COMPUTED_VALUE"""),"Pintar teto da cozinha da FaE ")</f>
        <v>Pintar teto da cozinha da FaE </v>
      </c>
      <c r="M584" s="20"/>
      <c r="N584" s="26" t="str">
        <f>IFERROR(__xludf.DUMMYFUNCTION("""COMPUTED_VALUE"""),"Realizado")</f>
        <v>Realizado</v>
      </c>
      <c r="O584" s="11">
        <f>IFERROR(__xludf.DUMMYFUNCTION("""COMPUTED_VALUE"""),45384.0)</f>
        <v>45384</v>
      </c>
      <c r="P584" s="11"/>
    </row>
    <row r="585" ht="27.0" customHeight="1">
      <c r="A585" s="20" t="str">
        <f>IFERROR(__xludf.DUMMYFUNCTION("""COMPUTED_VALUE"""),"583/2024")</f>
        <v>583/2024</v>
      </c>
      <c r="B585" s="8">
        <f>IFERROR(__xludf.DUMMYFUNCTION("""COMPUTED_VALUE"""),45377.37493135416)</f>
        <v>45377.37493</v>
      </c>
      <c r="C585" s="44" t="str">
        <f>IFERROR(__xludf.DUMMYFUNCTION("""COMPUTED_VALUE"""),"logistica.dlt@ufcat.edu.br")</f>
        <v>logistica.dlt@ufcat.edu.br</v>
      </c>
      <c r="D585" s="45" t="str">
        <f>IFERROR(__xludf.DUMMYFUNCTION("""COMPUTED_VALUE"""),"Beatriz Costa")</f>
        <v>Beatriz Costa</v>
      </c>
      <c r="E585" s="47">
        <f>IFERROR(__xludf.DUMMYFUNCTION("""COMPUTED_VALUE"""),5369.0)</f>
        <v>5369</v>
      </c>
      <c r="F585" s="45" t="str">
        <f>IFERROR(__xludf.DUMMYFUNCTION("""COMPUTED_VALUE"""),"DLT")</f>
        <v>DLT</v>
      </c>
      <c r="G585" s="45" t="str">
        <f>IFERROR(__xludf.DUMMYFUNCTION("""COMPUTED_VALUE"""),"Bloco P")</f>
        <v>Bloco P</v>
      </c>
      <c r="H585" s="46" t="str">
        <f>IFERROR(__xludf.DUMMYFUNCTION("""COMPUTED_VALUE"""),"Sala do Transporte (ao lado do moitoramento)")</f>
        <v>Sala do Transporte (ao lado do moitoramento)</v>
      </c>
      <c r="I585" s="7" t="str">
        <f>IFERROR(__xludf.DUMMYFUNCTION("""COMPUTED_VALUE"""),"Instalações elétricas")</f>
        <v>Instalações elétricas</v>
      </c>
      <c r="J585" s="13" t="str">
        <f>IFERROR(__xludf.DUMMYFUNCTION("""COMPUTED_VALUE"""),"04 Elétrica / 35 - Troca de Lâmpadas (PRAZO DE ATÉ 15 DIAS PARA ATENDIMENTO)")</f>
        <v>04 Elétrica / 35 - Troca de Lâmpadas (PRAZO DE ATÉ 15 DIAS PARA ATENDIMENTO)</v>
      </c>
      <c r="K585" s="13"/>
      <c r="L585" s="13" t="str">
        <f>IFERROR(__xludf.DUMMYFUNCTION("""COMPUTED_VALUE"""),"Trocar lâmpada da entrada do alojamento dos motoristas.")</f>
        <v>Trocar lâmpada da entrada do alojamento dos motoristas.</v>
      </c>
      <c r="M585" s="20"/>
      <c r="N585" s="26" t="str">
        <f>IFERROR(__xludf.DUMMYFUNCTION("""COMPUTED_VALUE"""),"Realizado")</f>
        <v>Realizado</v>
      </c>
      <c r="O585" s="11">
        <f>IFERROR(__xludf.DUMMYFUNCTION("""COMPUTED_VALUE"""),45377.0)</f>
        <v>45377</v>
      </c>
      <c r="P585" s="11"/>
    </row>
    <row r="586" ht="27.0" customHeight="1">
      <c r="A586" s="20" t="str">
        <f>IFERROR(__xludf.DUMMYFUNCTION("""COMPUTED_VALUE"""),"584/2024")</f>
        <v>584/2024</v>
      </c>
      <c r="B586" s="8">
        <f>IFERROR(__xludf.DUMMYFUNCTION("""COMPUTED_VALUE"""),45377.391371875)</f>
        <v>45377.39137</v>
      </c>
      <c r="C586" s="44" t="str">
        <f>IFERROR(__xludf.DUMMYFUNCTION("""COMPUTED_VALUE"""),"secretariafae@ufcat.edu.br")</f>
        <v>secretariafae@ufcat.edu.br</v>
      </c>
      <c r="D586" s="45" t="str">
        <f>IFERROR(__xludf.DUMMYFUNCTION("""COMPUTED_VALUE"""),"Bárbara")</f>
        <v>Bárbara</v>
      </c>
      <c r="E586" s="47">
        <f>IFERROR(__xludf.DUMMYFUNCTION("""COMPUTED_VALUE"""),5308.0)</f>
        <v>5308</v>
      </c>
      <c r="F586" s="45" t="str">
        <f>IFERROR(__xludf.DUMMYFUNCTION("""COMPUTED_VALUE"""),"FAE")</f>
        <v>FAE</v>
      </c>
      <c r="G586" s="45" t="str">
        <f>IFERROR(__xludf.DUMMYFUNCTION("""COMPUTED_VALUE"""),"Bloco H")</f>
        <v>Bloco H</v>
      </c>
      <c r="H586" s="46" t="str">
        <f>IFERROR(__xludf.DUMMYFUNCTION("""COMPUTED_VALUE"""),"Laboratorio de Ensino")</f>
        <v>Laboratorio de Ensino</v>
      </c>
      <c r="I586" s="7" t="str">
        <f>IFERROR(__xludf.DUMMYFUNCTION("""COMPUTED_VALUE"""),"Pequenos serviços de reparos em Marcenaria")</f>
        <v>Pequenos serviços de reparos em Marcenaria</v>
      </c>
      <c r="J586" s="13" t="str">
        <f>IFERROR(__xludf.DUMMYFUNCTION("""COMPUTED_VALUE"""),"03 Marcenaria / 24 - Conserto de Móveis (PRAZO DE ATÉ 60 DIAS PARA ATENDIMENTO)")</f>
        <v>03 Marcenaria / 24 - Conserto de Móveis (PRAZO DE ATÉ 60 DIAS PARA ATENDIMENTO)</v>
      </c>
      <c r="K586" s="13"/>
      <c r="L586" s="13" t="str">
        <f>IFERROR(__xludf.DUMMYFUNCTION("""COMPUTED_VALUE"""),"Cortar os pés do armário ")</f>
        <v>Cortar os pés do armário </v>
      </c>
      <c r="M586" s="20"/>
      <c r="N586" s="26" t="str">
        <f>IFERROR(__xludf.DUMMYFUNCTION("""COMPUTED_VALUE"""),"Realizado")</f>
        <v>Realizado</v>
      </c>
      <c r="O586" s="11">
        <f>IFERROR(__xludf.DUMMYFUNCTION("""COMPUTED_VALUE"""),45377.0)</f>
        <v>45377</v>
      </c>
      <c r="P586" s="11"/>
    </row>
    <row r="587" ht="27.0" customHeight="1">
      <c r="A587" s="20" t="str">
        <f>IFERROR(__xludf.DUMMYFUNCTION("""COMPUTED_VALUE"""),"585/2024")</f>
        <v>585/2024</v>
      </c>
      <c r="B587" s="8">
        <f>IFERROR(__xludf.DUMMYFUNCTION("""COMPUTED_VALUE"""),45377.426518541666)</f>
        <v>45377.42652</v>
      </c>
      <c r="C587" s="44" t="str">
        <f>IFERROR(__xludf.DUMMYFUNCTION("""COMPUTED_VALUE"""),"amanda.lopes@ufcat.edu.br")</f>
        <v>amanda.lopes@ufcat.edu.br</v>
      </c>
      <c r="D587" s="45" t="str">
        <f>IFERROR(__xludf.DUMMYFUNCTION("""COMPUTED_VALUE"""),"Amanda Matos ")</f>
        <v>Amanda Matos </v>
      </c>
      <c r="E587" s="47">
        <f>IFERROR(__xludf.DUMMYFUNCTION("""COMPUTED_VALUE"""),5340.0)</f>
        <v>5340</v>
      </c>
      <c r="F587" s="45" t="str">
        <f>IFERROR(__xludf.DUMMYFUNCTION("""COMPUTED_VALUE"""),"PREF")</f>
        <v>PREF</v>
      </c>
      <c r="G587" s="45" t="str">
        <f>IFERROR(__xludf.DUMMYFUNCTION("""COMPUTED_VALUE"""),"Bloco G")</f>
        <v>Bloco G</v>
      </c>
      <c r="H587" s="46" t="str">
        <f>IFERROR(__xludf.DUMMYFUNCTION("""COMPUTED_VALUE"""),"Sala 02")</f>
        <v>Sala 02</v>
      </c>
      <c r="I587" s="7" t="str">
        <f>IFERROR(__xludf.DUMMYFUNCTION("""COMPUTED_VALUE"""),"Instalações elétricas")</f>
        <v>Instalações elétricas</v>
      </c>
      <c r="J587" s="13" t="str">
        <f>IFERROR(__xludf.DUMMYFUNCTION("""COMPUTED_VALUE"""),"04 Elétrica / 35 - Troca de Lâmpadas (PRAZO DE ATÉ 15 DIAS PARA ATENDIMENTO)")</f>
        <v>04 Elétrica / 35 - Troca de Lâmpadas (PRAZO DE ATÉ 15 DIAS PARA ATENDIMENTO)</v>
      </c>
      <c r="K587" s="13"/>
      <c r="L587" s="13" t="str">
        <f>IFERROR(__xludf.DUMMYFUNCTION("""COMPUTED_VALUE"""),"Instalação de luminaria ")</f>
        <v>Instalação de luminaria </v>
      </c>
      <c r="M587" s="20"/>
      <c r="N587" s="26" t="str">
        <f>IFERROR(__xludf.DUMMYFUNCTION("""COMPUTED_VALUE"""),"Realizado")</f>
        <v>Realizado</v>
      </c>
      <c r="O587" s="11">
        <f>IFERROR(__xludf.DUMMYFUNCTION("""COMPUTED_VALUE"""),45377.0)</f>
        <v>45377</v>
      </c>
      <c r="P587" s="11"/>
    </row>
    <row r="588" ht="27.0" customHeight="1">
      <c r="A588" s="20" t="str">
        <f>IFERROR(__xludf.DUMMYFUNCTION("""COMPUTED_VALUE"""),"586/2024")</f>
        <v>586/2024</v>
      </c>
      <c r="B588" s="8">
        <f>IFERROR(__xludf.DUMMYFUNCTION("""COMPUTED_VALUE"""),45377.56697984954)</f>
        <v>45377.56698</v>
      </c>
      <c r="C588" s="44" t="str">
        <f>IFERROR(__xludf.DUMMYFUNCTION("""COMPUTED_VALUE"""),"diretoria.iel@ufcat.edu.br")</f>
        <v>diretoria.iel@ufcat.edu.br</v>
      </c>
      <c r="D588" s="45" t="str">
        <f>IFERROR(__xludf.DUMMYFUNCTION("""COMPUTED_VALUE"""),"Thiago Fernandes Borges")</f>
        <v>Thiago Fernandes Borges</v>
      </c>
      <c r="E588" s="47">
        <f>IFERROR(__xludf.DUMMYFUNCTION("""COMPUTED_VALUE"""),5304.0)</f>
        <v>5304</v>
      </c>
      <c r="F588" s="45" t="str">
        <f>IFERROR(__xludf.DUMMYFUNCTION("""COMPUTED_VALUE"""),"IEL")</f>
        <v>IEL</v>
      </c>
      <c r="G588" s="45" t="str">
        <f>IFERROR(__xludf.DUMMYFUNCTION("""COMPUTED_VALUE"""),"Bloco G")</f>
        <v>Bloco G</v>
      </c>
      <c r="H588" s="46">
        <f>IFERROR(__xludf.DUMMYFUNCTION("""COMPUTED_VALUE"""),1.0)</f>
        <v>1</v>
      </c>
      <c r="I588" s="7" t="str">
        <f>IFERROR(__xludf.DUMMYFUNCTION("""COMPUTED_VALUE"""),"Pequenos serviços de reparos em Marcenaria")</f>
        <v>Pequenos serviços de reparos em Marcenaria</v>
      </c>
      <c r="J588" s="13" t="str">
        <f>IFERROR(__xludf.DUMMYFUNCTION("""COMPUTED_VALUE"""),"03 Marcenaria / 29 - Outros (PRAZO DE ACORDO COM A DEMANDA)")</f>
        <v>03 Marcenaria / 29 - Outros (PRAZO DE ACORDO COM A DEMANDA)</v>
      </c>
      <c r="K588" s="13"/>
      <c r="L588" s="13" t="str">
        <f>IFERROR(__xludf.DUMMYFUNCTION("""COMPUTED_VALUE"""),"Instalação da persiana na sala 1 do bloco G, retiradas por conta da reforma do bloco.")</f>
        <v>Instalação da persiana na sala 1 do bloco G, retiradas por conta da reforma do bloco.</v>
      </c>
      <c r="M588" s="20"/>
      <c r="N588" s="26" t="str">
        <f>IFERROR(__xludf.DUMMYFUNCTION("""COMPUTED_VALUE"""),"Realizado")</f>
        <v>Realizado</v>
      </c>
      <c r="O588" s="11">
        <f>IFERROR(__xludf.DUMMYFUNCTION("""COMPUTED_VALUE"""),45383.0)</f>
        <v>45383</v>
      </c>
      <c r="P588" s="11"/>
    </row>
    <row r="589" ht="27.0" customHeight="1">
      <c r="A589" s="20" t="str">
        <f>IFERROR(__xludf.DUMMYFUNCTION("""COMPUTED_VALUE"""),"587/2024")</f>
        <v>587/2024</v>
      </c>
      <c r="B589" s="8">
        <f>IFERROR(__xludf.DUMMYFUNCTION("""COMPUTED_VALUE"""),45377.59829196759)</f>
        <v>45377.59829</v>
      </c>
      <c r="C589" s="44" t="str">
        <f>IFERROR(__xludf.DUMMYFUNCTION("""COMPUTED_VALUE"""),"mariaeduarda.borges@ufcat.edu.br")</f>
        <v>mariaeduarda.borges@ufcat.edu.br</v>
      </c>
      <c r="D589" s="45" t="str">
        <f>IFERROR(__xludf.DUMMYFUNCTION("""COMPUTED_VALUE"""),"Maria Eduarda Silva Borges ")</f>
        <v>Maria Eduarda Silva Borges </v>
      </c>
      <c r="E589" s="47">
        <f>IFERROR(__xludf.DUMMYFUNCTION("""COMPUTED_VALUE"""),5340.0)</f>
        <v>5340</v>
      </c>
      <c r="F589" s="45" t="str">
        <f>IFERROR(__xludf.DUMMYFUNCTION("""COMPUTED_VALUE"""),"PREF")</f>
        <v>PREF</v>
      </c>
      <c r="G589" s="45" t="str">
        <f>IFERROR(__xludf.DUMMYFUNCTION("""COMPUTED_VALUE"""),"Didatico I")</f>
        <v>Didatico I</v>
      </c>
      <c r="H589" s="46" t="str">
        <f>IFERROR(__xludf.DUMMYFUNCTION("""COMPUTED_VALUE"""),"SALA 307 DO DIDÁTICO 1")</f>
        <v>SALA 307 DO DIDÁTICO 1</v>
      </c>
      <c r="I589" s="7" t="str">
        <f>IFERROR(__xludf.DUMMYFUNCTION("""COMPUTED_VALUE"""),"Reparos (alvenaria, piso, forro e telhado)")</f>
        <v>Reparos (alvenaria, piso, forro e telhado)</v>
      </c>
      <c r="J589" s="13" t="str">
        <f>IFERROR(__xludf.DUMMYFUNCTION("""COMPUTED_VALUE"""),"01 Alvenaria / 06 - Outros (PRAZO DE ATÉ 60 DIAS PARA ATENDIMENTO)")</f>
        <v>01 Alvenaria / 06 - Outros (PRAZO DE ATÉ 60 DIAS PARA ATENDIMENTO)</v>
      </c>
      <c r="K589" s="13"/>
      <c r="L589" s="13" t="str">
        <f>IFERROR(__xludf.DUMMYFUNCTION("""COMPUTED_VALUE"""),"Havia escorrido água da chuva no chão.")</f>
        <v>Havia escorrido água da chuva no chão.</v>
      </c>
      <c r="M589" s="20"/>
      <c r="N589" s="26" t="str">
        <f>IFERROR(__xludf.DUMMYFUNCTION("""COMPUTED_VALUE"""),"Realizado")</f>
        <v>Realizado</v>
      </c>
      <c r="O589" s="11">
        <f>IFERROR(__xludf.DUMMYFUNCTION("""COMPUTED_VALUE"""),45378.0)</f>
        <v>45378</v>
      </c>
      <c r="P589" s="11"/>
    </row>
    <row r="590" ht="27.0" customHeight="1">
      <c r="A590" s="20" t="str">
        <f>IFERROR(__xludf.DUMMYFUNCTION("""COMPUTED_VALUE"""),"588/2024")</f>
        <v>588/2024</v>
      </c>
      <c r="B590" s="8">
        <f>IFERROR(__xludf.DUMMYFUNCTION("""COMPUTED_VALUE"""),45377.599627187505)</f>
        <v>45377.59963</v>
      </c>
      <c r="C590" s="44" t="str">
        <f>IFERROR(__xludf.DUMMYFUNCTION("""COMPUTED_VALUE"""),"mariaeduarda.borges@ufcat.edu.br")</f>
        <v>mariaeduarda.borges@ufcat.edu.br</v>
      </c>
      <c r="D590" s="45" t="str">
        <f>IFERROR(__xludf.DUMMYFUNCTION("""COMPUTED_VALUE"""),"Maria Eduarda Silva Borges ")</f>
        <v>Maria Eduarda Silva Borges </v>
      </c>
      <c r="E590" s="47">
        <f>IFERROR(__xludf.DUMMYFUNCTION("""COMPUTED_VALUE"""),5340.0)</f>
        <v>5340</v>
      </c>
      <c r="F590" s="45" t="str">
        <f>IFERROR(__xludf.DUMMYFUNCTION("""COMPUTED_VALUE"""),"PREF")</f>
        <v>PREF</v>
      </c>
      <c r="G590" s="45" t="str">
        <f>IFERROR(__xludf.DUMMYFUNCTION("""COMPUTED_VALUE"""),"Bloco L")</f>
        <v>Bloco L</v>
      </c>
      <c r="H590" s="46" t="str">
        <f>IFERROR(__xludf.DUMMYFUNCTION("""COMPUTED_VALUE"""),"HALL 3 PISO")</f>
        <v>HALL 3 PISO</v>
      </c>
      <c r="I590" s="7" t="str">
        <f>IFERROR(__xludf.DUMMYFUNCTION("""COMPUTED_VALUE"""),"Reparos (alvenaria, piso, forro e telhado)")</f>
        <v>Reparos (alvenaria, piso, forro e telhado)</v>
      </c>
      <c r="J590" s="13" t="str">
        <f>IFERROR(__xludf.DUMMYFUNCTION("""COMPUTED_VALUE"""),"01 Alvenaria / 05 - Piso (PRAZO DE ATÉ 60 DIAS PARA ATENDIMENTO)")</f>
        <v>01 Alvenaria / 05 - Piso (PRAZO DE ATÉ 60 DIAS PARA ATENDIMENTO)</v>
      </c>
      <c r="K590" s="13"/>
      <c r="L590" s="13" t="str">
        <f>IFERROR(__xludf.DUMMYFUNCTION("""COMPUTED_VALUE"""),"havia uma goteira no Hall 3 piso.")</f>
        <v>havia uma goteira no Hall 3 piso.</v>
      </c>
      <c r="M590" s="20"/>
      <c r="N590" s="26" t="str">
        <f>IFERROR(__xludf.DUMMYFUNCTION("""COMPUTED_VALUE"""),"Realizado")</f>
        <v>Realizado</v>
      </c>
      <c r="O590" s="11">
        <f>IFERROR(__xludf.DUMMYFUNCTION("""COMPUTED_VALUE"""),45398.0)</f>
        <v>45398</v>
      </c>
      <c r="P590" s="11"/>
    </row>
    <row r="591" ht="27.0" customHeight="1">
      <c r="A591" s="20" t="str">
        <f>IFERROR(__xludf.DUMMYFUNCTION("""COMPUTED_VALUE"""),"589/2024")</f>
        <v>589/2024</v>
      </c>
      <c r="B591" s="8">
        <f>IFERROR(__xludf.DUMMYFUNCTION("""COMPUTED_VALUE"""),45377.60082789352)</f>
        <v>45377.60083</v>
      </c>
      <c r="C591" s="44" t="str">
        <f>IFERROR(__xludf.DUMMYFUNCTION("""COMPUTED_VALUE"""),"mariaeduarda.borges@ufcat.edu.br")</f>
        <v>mariaeduarda.borges@ufcat.edu.br</v>
      </c>
      <c r="D591" s="45" t="str">
        <f>IFERROR(__xludf.DUMMYFUNCTION("""COMPUTED_VALUE"""),"Maria Eduarda Silva Borges ")</f>
        <v>Maria Eduarda Silva Borges </v>
      </c>
      <c r="E591" s="47">
        <f>IFERROR(__xludf.DUMMYFUNCTION("""COMPUTED_VALUE"""),5340.0)</f>
        <v>5340</v>
      </c>
      <c r="F591" s="45" t="str">
        <f>IFERROR(__xludf.DUMMYFUNCTION("""COMPUTED_VALUE"""),"PREF")</f>
        <v>PREF</v>
      </c>
      <c r="G591" s="45" t="str">
        <f>IFERROR(__xludf.DUMMYFUNCTION("""COMPUTED_VALUE"""),"Monitoramento")</f>
        <v>Monitoramento</v>
      </c>
      <c r="H591" s="46" t="str">
        <f>IFERROR(__xludf.DUMMYFUNCTION("""COMPUTED_VALUE"""),"SALA DA CENTRAL DE MONITORAMENTO.")</f>
        <v>SALA DA CENTRAL DE MONITORAMENTO.</v>
      </c>
      <c r="I591" s="7" t="str">
        <f>IFERROR(__xludf.DUMMYFUNCTION("""COMPUTED_VALUE"""),"Reparos (alvenaria, piso, forro e telhado)")</f>
        <v>Reparos (alvenaria, piso, forro e telhado)</v>
      </c>
      <c r="J591" s="13" t="str">
        <f>IFERROR(__xludf.DUMMYFUNCTION("""COMPUTED_VALUE"""),"01 Alvenaria / 06 - Outros (PRAZO DE ATÉ 60 DIAS PARA ATENDIMENTO)")</f>
        <v>01 Alvenaria / 06 - Outros (PRAZO DE ATÉ 60 DIAS PARA ATENDIMENTO)</v>
      </c>
      <c r="K591" s="13"/>
      <c r="L591" s="13" t="str">
        <f>IFERROR(__xludf.DUMMYFUNCTION("""COMPUTED_VALUE"""),"Foi visualizado pela Auxiliar de monitoramento que havia água da chuva escorrendo pela parede da central de monitoramento.")</f>
        <v>Foi visualizado pela Auxiliar de monitoramento que havia água da chuva escorrendo pela parede da central de monitoramento.</v>
      </c>
      <c r="M591" s="20"/>
      <c r="N591" s="26" t="str">
        <f>IFERROR(__xludf.DUMMYFUNCTION("""COMPUTED_VALUE"""),"Realizado")</f>
        <v>Realizado</v>
      </c>
      <c r="O591" s="11">
        <f>IFERROR(__xludf.DUMMYFUNCTION("""COMPUTED_VALUE"""),45386.0)</f>
        <v>45386</v>
      </c>
      <c r="P591" s="11"/>
    </row>
    <row r="592" ht="27.0" customHeight="1">
      <c r="A592" s="20" t="str">
        <f>IFERROR(__xludf.DUMMYFUNCTION("""COMPUTED_VALUE"""),"590/2024")</f>
        <v>590/2024</v>
      </c>
      <c r="B592" s="8">
        <f>IFERROR(__xludf.DUMMYFUNCTION("""COMPUTED_VALUE"""),45377.60387496528)</f>
        <v>45377.60387</v>
      </c>
      <c r="C592" s="44" t="str">
        <f>IFERROR(__xludf.DUMMYFUNCTION("""COMPUTED_VALUE"""),"mariaeduarda.borges@ufcat.edu.br")</f>
        <v>mariaeduarda.borges@ufcat.edu.br</v>
      </c>
      <c r="D592" s="45" t="str">
        <f>IFERROR(__xludf.DUMMYFUNCTION("""COMPUTED_VALUE"""),"Maria Eduarda Silva Borges ")</f>
        <v>Maria Eduarda Silva Borges </v>
      </c>
      <c r="E592" s="47">
        <f>IFERROR(__xludf.DUMMYFUNCTION("""COMPUTED_VALUE"""),5340.0)</f>
        <v>5340</v>
      </c>
      <c r="F592" s="45" t="str">
        <f>IFERROR(__xludf.DUMMYFUNCTION("""COMPUTED_VALUE"""),"PREF")</f>
        <v>PREF</v>
      </c>
      <c r="G592" s="45" t="str">
        <f>IFERROR(__xludf.DUMMYFUNCTION("""COMPUTED_VALUE"""),"Bloco N")</f>
        <v>Bloco N</v>
      </c>
      <c r="H592" s="46" t="str">
        <f>IFERROR(__xludf.DUMMYFUNCTION("""COMPUTED_VALUE"""),"SALA 208")</f>
        <v>SALA 208</v>
      </c>
      <c r="I592" s="7" t="str">
        <f>IFERROR(__xludf.DUMMYFUNCTION("""COMPUTED_VALUE"""),"Reparos (alvenaria, piso, forro e telhado)")</f>
        <v>Reparos (alvenaria, piso, forro e telhado)</v>
      </c>
      <c r="J592" s="13" t="str">
        <f>IFERROR(__xludf.DUMMYFUNCTION("""COMPUTED_VALUE"""),"01 Alvenaria / 06 - Outros (PRAZO DE ATÉ 60 DIAS PARA ATENDIMENTO)")</f>
        <v>01 Alvenaria / 06 - Outros (PRAZO DE ATÉ 60 DIAS PARA ATENDIMENTO)</v>
      </c>
      <c r="K592" s="13"/>
      <c r="L592" s="13" t="str">
        <f>IFERROR(__xludf.DUMMYFUNCTION("""COMPUTED_VALUE"""),"Uma parte da estrutura da janela da Sala 208 do Bloco N, está solta.")</f>
        <v>Uma parte da estrutura da janela da Sala 208 do Bloco N, está solta.</v>
      </c>
      <c r="M592" s="20"/>
      <c r="N592" s="26" t="str">
        <f>IFERROR(__xludf.DUMMYFUNCTION("""COMPUTED_VALUE"""),"Realizado")</f>
        <v>Realizado</v>
      </c>
      <c r="O592" s="11">
        <f>IFERROR(__xludf.DUMMYFUNCTION("""COMPUTED_VALUE"""),45387.0)</f>
        <v>45387</v>
      </c>
      <c r="P592" s="11"/>
    </row>
    <row r="593" ht="27.0" customHeight="1">
      <c r="A593" s="20" t="str">
        <f>IFERROR(__xludf.DUMMYFUNCTION("""COMPUTED_VALUE"""),"591/2024")</f>
        <v>591/2024</v>
      </c>
      <c r="B593" s="8">
        <f>IFERROR(__xludf.DUMMYFUNCTION("""COMPUTED_VALUE"""),45377.60756746528)</f>
        <v>45377.60757</v>
      </c>
      <c r="C593" s="44" t="str">
        <f>IFERROR(__xludf.DUMMYFUNCTION("""COMPUTED_VALUE"""),"mariaeduarda.borges@ufcat.edu.br")</f>
        <v>mariaeduarda.borges@ufcat.edu.br</v>
      </c>
      <c r="D593" s="45" t="str">
        <f>IFERROR(__xludf.DUMMYFUNCTION("""COMPUTED_VALUE"""),"Maria Eduarda Silva Borges ")</f>
        <v>Maria Eduarda Silva Borges </v>
      </c>
      <c r="E593" s="47">
        <f>IFERROR(__xludf.DUMMYFUNCTION("""COMPUTED_VALUE"""),5340.0)</f>
        <v>5340</v>
      </c>
      <c r="F593" s="45" t="str">
        <f>IFERROR(__xludf.DUMMYFUNCTION("""COMPUTED_VALUE"""),"PREF")</f>
        <v>PREF</v>
      </c>
      <c r="G593" s="45" t="str">
        <f>IFERROR(__xludf.DUMMYFUNCTION("""COMPUTED_VALUE"""),"Estacionamento")</f>
        <v>Estacionamento</v>
      </c>
      <c r="H593" s="46" t="str">
        <f>IFERROR(__xludf.DUMMYFUNCTION("""COMPUTED_VALUE"""),"CAIXA DE ESGOTO PRÓXIMO A GUARITA DO VIGILANTE")</f>
        <v>CAIXA DE ESGOTO PRÓXIMO A GUARITA DO VIGILANTE</v>
      </c>
      <c r="I593" s="7" t="str">
        <f>IFERROR(__xludf.DUMMYFUNCTION("""COMPUTED_VALUE"""),"Instalações Hidrossanitárias")</f>
        <v>Instalações Hidrossanitárias</v>
      </c>
      <c r="J593" s="13" t="str">
        <f>IFERROR(__xludf.DUMMYFUNCTION("""COMPUTED_VALUE"""),"02 Hidráulica / 22 - Outros (PRAZO DE 15 a 60 DIAS PARA ATENDIMENTO)")</f>
        <v>02 Hidráulica / 22 - Outros (PRAZO DE 15 a 60 DIAS PARA ATENDIMENTO)</v>
      </c>
      <c r="K593" s="13"/>
      <c r="L593" s="13" t="str">
        <f>IFERROR(__xludf.DUMMYFUNCTION("""COMPUTED_VALUE"""),"A uma caixa de esgoto próximo ao banheiro da sua guarita (Em frente ao portão da Lamartine) está vazando, com isso está havendo um mal cheiro no local.")</f>
        <v>A uma caixa de esgoto próximo ao banheiro da sua guarita (Em frente ao portão da Lamartine) está vazando, com isso está havendo um mal cheiro no local.</v>
      </c>
      <c r="M593" s="20"/>
      <c r="N593" s="26" t="str">
        <f>IFERROR(__xludf.DUMMYFUNCTION("""COMPUTED_VALUE"""),"Realizado")</f>
        <v>Realizado</v>
      </c>
      <c r="O593" s="11">
        <f>IFERROR(__xludf.DUMMYFUNCTION("""COMPUTED_VALUE"""),45386.0)</f>
        <v>45386</v>
      </c>
      <c r="P593" s="11"/>
    </row>
    <row r="594" ht="27.0" customHeight="1">
      <c r="A594" s="20" t="str">
        <f>IFERROR(__xludf.DUMMYFUNCTION("""COMPUTED_VALUE"""),"592/2024")</f>
        <v>592/2024</v>
      </c>
      <c r="B594" s="8">
        <f>IFERROR(__xludf.DUMMYFUNCTION("""COMPUTED_VALUE"""),45377.62295863426)</f>
        <v>45377.62296</v>
      </c>
      <c r="C594" s="44" t="str">
        <f>IFERROR(__xludf.DUMMYFUNCTION("""COMPUTED_VALUE"""),"seguranca@ufcat.edu.br")</f>
        <v>seguranca@ufcat.edu.br</v>
      </c>
      <c r="D594" s="45" t="str">
        <f>IFERROR(__xludf.DUMMYFUNCTION("""COMPUTED_VALUE"""),"Maria Duarte")</f>
        <v>Maria Duarte</v>
      </c>
      <c r="E594" s="47">
        <f>IFERROR(__xludf.DUMMYFUNCTION("""COMPUTED_VALUE"""),5318.0)</f>
        <v>5318</v>
      </c>
      <c r="F594" s="45" t="str">
        <f>IFERROR(__xludf.DUMMYFUNCTION("""COMPUTED_VALUE"""),"CENTRAL DE OPERAÇÕES VIGILÂNCIA")</f>
        <v>CENTRAL DE OPERAÇÕES VIGILÂNCIA</v>
      </c>
      <c r="G594" s="45" t="str">
        <f>IFERROR(__xludf.DUMMYFUNCTION("""COMPUTED_VALUE"""),"Monitoramento")</f>
        <v>Monitoramento</v>
      </c>
      <c r="H594" s="46" t="str">
        <f>IFERROR(__xludf.DUMMYFUNCTION("""COMPUTED_VALUE"""),"Sala Central de Operações")</f>
        <v>Sala Central de Operações</v>
      </c>
      <c r="I594" s="7" t="str">
        <f>IFERROR(__xludf.DUMMYFUNCTION("""COMPUTED_VALUE"""),"Instalações e/ou Manutenção em Cabeamento de Rede")</f>
        <v>Instalações e/ou Manutenção em Cabeamento de Rede</v>
      </c>
      <c r="J594" s="13" t="str">
        <f>IFERROR(__xludf.DUMMYFUNCTION("""COMPUTED_VALUE"""),"05 Telecomunicações / 38 - Cabeamento de Rede (PRAZO DE ATÉ 15 DIAS PARA ATENDIMENTO)")</f>
        <v>05 Telecomunicações / 38 - Cabeamento de Rede (PRAZO DE ATÉ 15 DIAS PARA ATENDIMENTO)</v>
      </c>
      <c r="K594" s="13"/>
      <c r="L594" s="13" t="str">
        <f>IFERROR(__xludf.DUMMYFUNCTION("""COMPUTED_VALUE"""),"Solicitamos que seja feito um cabo de Rede (Internet) novo para a Central, pois tem um que está desgastado, e com isso pode parar de funcionar a qualquer momento. ")</f>
        <v>Solicitamos que seja feito um cabo de Rede (Internet) novo para a Central, pois tem um que está desgastado, e com isso pode parar de funcionar a qualquer momento. </v>
      </c>
      <c r="M594" s="20"/>
      <c r="N594" s="26" t="str">
        <f>IFERROR(__xludf.DUMMYFUNCTION("""COMPUTED_VALUE"""),"Realizado")</f>
        <v>Realizado</v>
      </c>
      <c r="O594" s="11">
        <f>IFERROR(__xludf.DUMMYFUNCTION("""COMPUTED_VALUE"""),45378.0)</f>
        <v>45378</v>
      </c>
      <c r="P594" s="11"/>
    </row>
    <row r="595" ht="27.0" customHeight="1">
      <c r="A595" s="20" t="str">
        <f>IFERROR(__xludf.DUMMYFUNCTION("""COMPUTED_VALUE"""),"593/2024")</f>
        <v>593/2024</v>
      </c>
      <c r="B595" s="8">
        <f>IFERROR(__xludf.DUMMYFUNCTION("""COMPUTED_VALUE"""),45377.65623759259)</f>
        <v>45377.65624</v>
      </c>
      <c r="C595" s="44" t="str">
        <f>IFERROR(__xludf.DUMMYFUNCTION("""COMPUTED_VALUE"""),"diretoria.iel@ufcat.edu.br")</f>
        <v>diretoria.iel@ufcat.edu.br</v>
      </c>
      <c r="D595" s="45" t="str">
        <f>IFERROR(__xludf.DUMMYFUNCTION("""COMPUTED_VALUE"""),"Thiago Fernandes Borges")</f>
        <v>Thiago Fernandes Borges</v>
      </c>
      <c r="E595" s="47">
        <f>IFERROR(__xludf.DUMMYFUNCTION("""COMPUTED_VALUE"""),5304.0)</f>
        <v>5304</v>
      </c>
      <c r="F595" s="45" t="str">
        <f>IFERROR(__xludf.DUMMYFUNCTION("""COMPUTED_VALUE"""),"IEL")</f>
        <v>IEL</v>
      </c>
      <c r="G595" s="45" t="str">
        <f>IFERROR(__xludf.DUMMYFUNCTION("""COMPUTED_VALUE"""),"Bloco G")</f>
        <v>Bloco G</v>
      </c>
      <c r="H595" s="46">
        <f>IFERROR(__xludf.DUMMYFUNCTION("""COMPUTED_VALUE"""),2.0)</f>
        <v>2</v>
      </c>
      <c r="I595" s="7" t="str">
        <f>IFERROR(__xludf.DUMMYFUNCTION("""COMPUTED_VALUE"""),"Vidraçaria")</f>
        <v>Vidraçaria</v>
      </c>
      <c r="J595" s="13" t="str">
        <f>IFERROR(__xludf.DUMMYFUNCTION("""COMPUTED_VALUE"""),"07 Vidraçaria / 48 - Vidro de Janela (PRAZO DE ATÉ 60 DIAS PARA ATENDIMENTO)")</f>
        <v>07 Vidraçaria / 48 - Vidro de Janela (PRAZO DE ATÉ 60 DIAS PARA ATENDIMENTO)</v>
      </c>
      <c r="K595" s="13"/>
      <c r="L595" s="13" t="str">
        <f>IFERROR(__xludf.DUMMYFUNCTION("""COMPUTED_VALUE"""),"Na reforma do bloco G foi quebrado um dos vidros da janela da sala 2 do bloco G, precisamos que seja colocado um novo.")</f>
        <v>Na reforma do bloco G foi quebrado um dos vidros da janela da sala 2 do bloco G, precisamos que seja colocado um novo.</v>
      </c>
      <c r="M595" s="20"/>
      <c r="N595" s="26" t="str">
        <f>IFERROR(__xludf.DUMMYFUNCTION("""COMPUTED_VALUE"""),"Realizado")</f>
        <v>Realizado</v>
      </c>
      <c r="O595" s="11">
        <f>IFERROR(__xludf.DUMMYFUNCTION("""COMPUTED_VALUE"""),45383.0)</f>
        <v>45383</v>
      </c>
      <c r="P595" s="11"/>
    </row>
    <row r="596" ht="27.0" customHeight="1">
      <c r="A596" s="20" t="str">
        <f>IFERROR(__xludf.DUMMYFUNCTION("""COMPUTED_VALUE"""),"594/2024")</f>
        <v>594/2024</v>
      </c>
      <c r="B596" s="8">
        <f>IFERROR(__xludf.DUMMYFUNCTION("""COMPUTED_VALUE"""),45378.2648977662)</f>
        <v>45378.2649</v>
      </c>
      <c r="C596" s="44" t="str">
        <f>IFERROR(__xludf.DUMMYFUNCTION("""COMPUTED_VALUE"""),"seguranca@ufcat.edu.br")</f>
        <v>seguranca@ufcat.edu.br</v>
      </c>
      <c r="D596" s="45" t="str">
        <f>IFERROR(__xludf.DUMMYFUNCTION("""COMPUTED_VALUE"""),"APARECIDA ")</f>
        <v>APARECIDA </v>
      </c>
      <c r="E596" s="47">
        <f>IFERROR(__xludf.DUMMYFUNCTION("""COMPUTED_VALUE"""),5318.0)</f>
        <v>5318</v>
      </c>
      <c r="F596" s="45" t="str">
        <f>IFERROR(__xludf.DUMMYFUNCTION("""COMPUTED_VALUE"""),"CENTRAL DE OPERAÇÕES VIGILÂNCIA")</f>
        <v>CENTRAL DE OPERAÇÕES VIGILÂNCIA</v>
      </c>
      <c r="G596" s="45" t="str">
        <f>IFERROR(__xludf.DUMMYFUNCTION("""COMPUTED_VALUE"""),"Bloco M")</f>
        <v>Bloco M</v>
      </c>
      <c r="H596" s="46" t="str">
        <f>IFERROR(__xludf.DUMMYFUNCTION("""COMPUTED_VALUE"""),"BLOCO M , CÂMERA SPEED ")</f>
        <v>BLOCO M , CÂMERA SPEED </v>
      </c>
      <c r="I596" s="7" t="str">
        <f>IFERROR(__xludf.DUMMYFUNCTION("""COMPUTED_VALUE"""),"Instalações e/ou Manutenção em Cabeamento de Rede")</f>
        <v>Instalações e/ou Manutenção em Cabeamento de Rede</v>
      </c>
      <c r="J596" s="13" t="str">
        <f>IFERROR(__xludf.DUMMYFUNCTION("""COMPUTED_VALUE"""),"05 Telecomunicações / 39 - CFTV (PRAZO DE ATÉ 15 DIAS PARA ATENDIMENTO)")</f>
        <v>05 Telecomunicações / 39 - CFTV (PRAZO DE ATÉ 15 DIAS PARA ATENDIMENTO)</v>
      </c>
      <c r="K596" s="13"/>
      <c r="L596" s="13" t="str">
        <f>IFERROR(__xludf.DUMMYFUNCTION("""COMPUTED_VALUE"""),"CÂMERA SPEED DOMI EMBAÇADA")</f>
        <v>CÂMERA SPEED DOMI EMBAÇADA</v>
      </c>
      <c r="M596" s="20"/>
      <c r="N596" s="26" t="str">
        <f>IFERROR(__xludf.DUMMYFUNCTION("""COMPUTED_VALUE"""),"Realizado")</f>
        <v>Realizado</v>
      </c>
      <c r="O596" s="11">
        <f>IFERROR(__xludf.DUMMYFUNCTION("""COMPUTED_VALUE"""),45378.0)</f>
        <v>45378</v>
      </c>
      <c r="P596" s="11"/>
    </row>
    <row r="597" ht="27.0" customHeight="1">
      <c r="A597" s="20" t="str">
        <f>IFERROR(__xludf.DUMMYFUNCTION("""COMPUTED_VALUE"""),"595/2024")</f>
        <v>595/2024</v>
      </c>
      <c r="B597" s="8">
        <f>IFERROR(__xludf.DUMMYFUNCTION("""COMPUTED_VALUE"""),45378.36946972222)</f>
        <v>45378.36947</v>
      </c>
      <c r="C597" s="44" t="str">
        <f>IFERROR(__xludf.DUMMYFUNCTION("""COMPUTED_VALUE"""),"muc.prpe@ufcat.edu.br")</f>
        <v>muc.prpe@ufcat.edu.br</v>
      </c>
      <c r="D597" s="45" t="str">
        <f>IFERROR(__xludf.DUMMYFUNCTION("""COMPUTED_VALUE"""),"Ludmila")</f>
        <v>Ludmila</v>
      </c>
      <c r="E597" s="47">
        <f>IFERROR(__xludf.DUMMYFUNCTION("""COMPUTED_VALUE"""),5333.0)</f>
        <v>5333</v>
      </c>
      <c r="F597" s="45" t="str">
        <f>IFERROR(__xludf.DUMMYFUNCTION("""COMPUTED_VALUE"""),"PRPE")</f>
        <v>PRPE</v>
      </c>
      <c r="G597" s="45" t="str">
        <f>IFERROR(__xludf.DUMMYFUNCTION("""COMPUTED_VALUE"""),"MUC")</f>
        <v>MUC</v>
      </c>
      <c r="H597" s="46" t="str">
        <f>IFERROR(__xludf.DUMMYFUNCTION("""COMPUTED_VALUE"""),"DML")</f>
        <v>DML</v>
      </c>
      <c r="I597" s="7" t="str">
        <f>IFERROR(__xludf.DUMMYFUNCTION("""COMPUTED_VALUE"""),"Instalações Hidrossanitárias")</f>
        <v>Instalações Hidrossanitárias</v>
      </c>
      <c r="J597" s="13" t="str">
        <f>IFERROR(__xludf.DUMMYFUNCTION("""COMPUTED_VALUE"""),"02 Hidráulica / 21 - Troca de filtro de bebedouros (PRAZO DE 15 a 60 DIAS PARA ATENDIMENTO)")</f>
        <v>02 Hidráulica / 21 - Troca de filtro de bebedouros (PRAZO DE 15 a 60 DIAS PARA ATENDIMENTO)</v>
      </c>
      <c r="K597" s="13"/>
      <c r="L597" s="13" t="str">
        <f>IFERROR(__xludf.DUMMYFUNCTION("""COMPUTED_VALUE"""),"Trocar e instalar novo bebedouro")</f>
        <v>Trocar e instalar novo bebedouro</v>
      </c>
      <c r="M597" s="20"/>
      <c r="N597" s="26" t="str">
        <f>IFERROR(__xludf.DUMMYFUNCTION("""COMPUTED_VALUE"""),"Realizado")</f>
        <v>Realizado</v>
      </c>
      <c r="O597" s="11">
        <f>IFERROR(__xludf.DUMMYFUNCTION("""COMPUTED_VALUE"""),45383.0)</f>
        <v>45383</v>
      </c>
      <c r="P597" s="11"/>
    </row>
    <row r="598" ht="27.0" customHeight="1">
      <c r="A598" s="20" t="str">
        <f>IFERROR(__xludf.DUMMYFUNCTION("""COMPUTED_VALUE"""),"596/2024")</f>
        <v>596/2024</v>
      </c>
      <c r="B598" s="8">
        <f>IFERROR(__xludf.DUMMYFUNCTION("""COMPUTED_VALUE"""),45378.38511984954)</f>
        <v>45378.38512</v>
      </c>
      <c r="C598" s="44" t="str">
        <f>IFERROR(__xludf.DUMMYFUNCTION("""COMPUTED_VALUE"""),"iana.abrantes@ufcat.edu.br")</f>
        <v>iana.abrantes@ufcat.edu.br</v>
      </c>
      <c r="D598" s="45" t="str">
        <f>IFERROR(__xludf.DUMMYFUNCTION("""COMPUTED_VALUE"""),"Iana")</f>
        <v>Iana</v>
      </c>
      <c r="E598" s="47" t="str">
        <f>IFERROR(__xludf.DUMMYFUNCTION("""COMPUTED_VALUE"""),"62 9 8331-8743")</f>
        <v>62 9 8331-8743</v>
      </c>
      <c r="F598" s="45" t="str">
        <f>IFERROR(__xludf.DUMMYFUNCTION("""COMPUTED_VALUE"""),"FENG - Engenharia Civil")</f>
        <v>FENG - Engenharia Civil</v>
      </c>
      <c r="G598" s="45" t="str">
        <f>IFERROR(__xludf.DUMMYFUNCTION("""COMPUTED_VALUE"""),"Bloco O")</f>
        <v>Bloco O</v>
      </c>
      <c r="H598" s="46" t="str">
        <f>IFERROR(__xludf.DUMMYFUNCTION("""COMPUTED_VALUE"""),"Sala dos Técnicos - andar da Eng. de Minas")</f>
        <v>Sala dos Técnicos - andar da Eng. de Minas</v>
      </c>
      <c r="I598" s="7" t="str">
        <f>IFERROR(__xludf.DUMMYFUNCTION("""COMPUTED_VALUE"""),"Instalações elétricas")</f>
        <v>Instalações elétricas</v>
      </c>
      <c r="J598" s="13" t="str">
        <f>IFERROR(__xludf.DUMMYFUNCTION("""COMPUTED_VALUE"""),"04 Elétrica / 34 - Tomada Uso Geral (PRAZO DE ATÉ 15 DIAS PARA ATENDIMENTO)")</f>
        <v>04 Elétrica / 34 - Tomada Uso Geral (PRAZO DE ATÉ 15 DIAS PARA ATENDIMENTO)</v>
      </c>
      <c r="K598" s="13"/>
      <c r="L598" s="13" t="str">
        <f>IFERROR(__xludf.DUMMYFUNCTION("""COMPUTED_VALUE"""),"Recentemente foi feita a troca de duas tomadas na sala dos técnicos, hoje as tomadas estão com problema de mal contato.")</f>
        <v>Recentemente foi feita a troca de duas tomadas na sala dos técnicos, hoje as tomadas estão com problema de mal contato.</v>
      </c>
      <c r="M598" s="20"/>
      <c r="N598" s="26" t="str">
        <f>IFERROR(__xludf.DUMMYFUNCTION("""COMPUTED_VALUE"""),"Realizado")</f>
        <v>Realizado</v>
      </c>
      <c r="O598" s="11">
        <f>IFERROR(__xludf.DUMMYFUNCTION("""COMPUTED_VALUE"""),45384.0)</f>
        <v>45384</v>
      </c>
      <c r="P598" s="11"/>
    </row>
    <row r="599" ht="27.0" customHeight="1">
      <c r="A599" s="20" t="str">
        <f>IFERROR(__xludf.DUMMYFUNCTION("""COMPUTED_VALUE"""),"597/2024")</f>
        <v>597/2024</v>
      </c>
      <c r="B599" s="8">
        <f>IFERROR(__xludf.DUMMYFUNCTION("""COMPUTED_VALUE"""),45378.46302094907)</f>
        <v>45378.46302</v>
      </c>
      <c r="C599" s="44" t="str">
        <f>IFERROR(__xludf.DUMMYFUNCTION("""COMPUTED_VALUE"""),"mariaeduarda.borges@ufcat.edu.br")</f>
        <v>mariaeduarda.borges@ufcat.edu.br</v>
      </c>
      <c r="D599" s="45" t="str">
        <f>IFERROR(__xludf.DUMMYFUNCTION("""COMPUTED_VALUE"""),"Maria Eduarda Silva Borges ")</f>
        <v>Maria Eduarda Silva Borges </v>
      </c>
      <c r="E599" s="47">
        <f>IFERROR(__xludf.DUMMYFUNCTION("""COMPUTED_VALUE"""),5340.0)</f>
        <v>5340</v>
      </c>
      <c r="F599" s="45" t="str">
        <f>IFERROR(__xludf.DUMMYFUNCTION("""COMPUTED_VALUE"""),"PREF")</f>
        <v>PREF</v>
      </c>
      <c r="G599" s="45" t="str">
        <f>IFERROR(__xludf.DUMMYFUNCTION("""COMPUTED_VALUE"""),"Monitoramento")</f>
        <v>Monitoramento</v>
      </c>
      <c r="H599" s="46" t="str">
        <f>IFERROR(__xludf.DUMMYFUNCTION("""COMPUTED_VALUE"""),"PRÓXIMO A CENTRAL DE MONITORAMENTO.")</f>
        <v>PRÓXIMO A CENTRAL DE MONITORAMENTO.</v>
      </c>
      <c r="I599" s="7" t="str">
        <f>IFERROR(__xludf.DUMMYFUNCTION("""COMPUTED_VALUE"""),"Instalações elétricas")</f>
        <v>Instalações elétricas</v>
      </c>
      <c r="J599" s="13" t="str">
        <f>IFERROR(__xludf.DUMMYFUNCTION("""COMPUTED_VALUE"""),"04 Elétrica / 31 - Iluminação Externa (PRAZO DE ATÉ 15 DIAS PARA ATENDIMENTO)")</f>
        <v>04 Elétrica / 31 - Iluminação Externa (PRAZO DE ATÉ 15 DIAS PARA ATENDIMENTO)</v>
      </c>
      <c r="K599" s="13"/>
      <c r="L599" s="13" t="str">
        <f>IFERROR(__xludf.DUMMYFUNCTION("""COMPUTED_VALUE"""),"A lâmpada do poste está queimada.")</f>
        <v>A lâmpada do poste está queimada.</v>
      </c>
      <c r="M599" s="20"/>
      <c r="N599" s="26" t="str">
        <f>IFERROR(__xludf.DUMMYFUNCTION("""COMPUTED_VALUE"""),"Realizado")</f>
        <v>Realizado</v>
      </c>
      <c r="O599" s="11">
        <f>IFERROR(__xludf.DUMMYFUNCTION("""COMPUTED_VALUE"""),45378.0)</f>
        <v>45378</v>
      </c>
      <c r="P599" s="11"/>
    </row>
    <row r="600" ht="27.0" customHeight="1">
      <c r="A600" s="20" t="str">
        <f>IFERROR(__xludf.DUMMYFUNCTION("""COMPUTED_VALUE"""),"598/2024")</f>
        <v>598/2024</v>
      </c>
      <c r="B600" s="8">
        <f>IFERROR(__xludf.DUMMYFUNCTION("""COMPUTED_VALUE"""),45378.46635894676)</f>
        <v>45378.46636</v>
      </c>
      <c r="C600" s="44" t="str">
        <f>IFERROR(__xludf.DUMMYFUNCTION("""COMPUTED_VALUE"""),"mariaeduarda.borges@ufcat.edu.br")</f>
        <v>mariaeduarda.borges@ufcat.edu.br</v>
      </c>
      <c r="D600" s="45" t="str">
        <f>IFERROR(__xludf.DUMMYFUNCTION("""COMPUTED_VALUE"""),"Maria Eduarda Silva Borges ")</f>
        <v>Maria Eduarda Silva Borges </v>
      </c>
      <c r="E600" s="47">
        <f>IFERROR(__xludf.DUMMYFUNCTION("""COMPUTED_VALUE"""),5340.0)</f>
        <v>5340</v>
      </c>
      <c r="F600" s="45" t="str">
        <f>IFERROR(__xludf.DUMMYFUNCTION("""COMPUTED_VALUE"""),"PREF")</f>
        <v>PREF</v>
      </c>
      <c r="G600" s="45" t="str">
        <f>IFERROR(__xludf.DUMMYFUNCTION("""COMPUTED_VALUE"""),"Bloco F")</f>
        <v>Bloco F</v>
      </c>
      <c r="H600" s="46" t="str">
        <f>IFERROR(__xludf.DUMMYFUNCTION("""COMPUTED_VALUE"""),"BANHEIRO MASCULINO BLOCO F")</f>
        <v>BANHEIRO MASCULINO BLOCO F</v>
      </c>
      <c r="I600" s="7" t="str">
        <f>IFERROR(__xludf.DUMMYFUNCTION("""COMPUTED_VALUE"""),"Reparos (alvenaria, piso, forro e telhado)")</f>
        <v>Reparos (alvenaria, piso, forro e telhado)</v>
      </c>
      <c r="J600" s="13" t="str">
        <f>IFERROR(__xludf.DUMMYFUNCTION("""COMPUTED_VALUE"""),"01 Alvenaria / 06 - Outros (PRAZO DE ATÉ 60 DIAS PARA ATENDIMENTO)")</f>
        <v>01 Alvenaria / 06 - Outros (PRAZO DE ATÉ 60 DIAS PARA ATENDIMENTO)</v>
      </c>
      <c r="K600" s="13"/>
      <c r="L600" s="13" t="str">
        <f>IFERROR(__xludf.DUMMYFUNCTION("""COMPUTED_VALUE""")," Furos com goteiras no teto masculino.")</f>
        <v> Furos com goteiras no teto masculino.</v>
      </c>
      <c r="M600" s="20"/>
      <c r="N600" s="26" t="str">
        <f>IFERROR(__xludf.DUMMYFUNCTION("""COMPUTED_VALUE"""),"Realizado")</f>
        <v>Realizado</v>
      </c>
      <c r="O600" s="11">
        <f>IFERROR(__xludf.DUMMYFUNCTION("""COMPUTED_VALUE"""),45384.0)</f>
        <v>45384</v>
      </c>
      <c r="P600" s="11"/>
    </row>
    <row r="601" ht="27.0" customHeight="1">
      <c r="A601" s="20" t="str">
        <f>IFERROR(__xludf.DUMMYFUNCTION("""COMPUTED_VALUE"""),"599/2024")</f>
        <v>599/2024</v>
      </c>
      <c r="B601" s="8">
        <f>IFERROR(__xludf.DUMMYFUNCTION("""COMPUTED_VALUE"""),45378.598421365736)</f>
        <v>45378.59842</v>
      </c>
      <c r="C601" s="44" t="str">
        <f>IFERROR(__xludf.DUMMYFUNCTION("""COMPUTED_VALUE"""),"ceapsi.ufcat@gmail.com")</f>
        <v>ceapsi.ufcat@gmail.com</v>
      </c>
      <c r="D601" s="45" t="str">
        <f>IFERROR(__xludf.DUMMYFUNCTION("""COMPUTED_VALUE"""),"JACQUELINE")</f>
        <v>JACQUELINE</v>
      </c>
      <c r="E601" s="47">
        <f>IFERROR(__xludf.DUMMYFUNCTION("""COMPUTED_VALUE"""),5349.0)</f>
        <v>5349</v>
      </c>
      <c r="F601" s="45" t="str">
        <f>IFERROR(__xludf.DUMMYFUNCTION("""COMPUTED_VALUE"""),"IBIOTEC  - Psicologia")</f>
        <v>IBIOTEC  - Psicologia</v>
      </c>
      <c r="G601" s="45" t="str">
        <f>IFERROR(__xludf.DUMMYFUNCTION("""COMPUTED_VALUE"""),"Bloco M")</f>
        <v>Bloco M</v>
      </c>
      <c r="H601" s="46" t="str">
        <f>IFERROR(__xludf.DUMMYFUNCTION("""COMPUTED_VALUE"""),"Entrada para recepção do CEAPSI")</f>
        <v>Entrada para recepção do CEAPSI</v>
      </c>
      <c r="I601" s="7" t="str">
        <f>IFERROR(__xludf.DUMMYFUNCTION("""COMPUTED_VALUE"""),"Instalações Hidrossanitárias")</f>
        <v>Instalações Hidrossanitárias</v>
      </c>
      <c r="J601" s="13" t="str">
        <f>IFERROR(__xludf.DUMMYFUNCTION("""COMPUTED_VALUE"""),"02 Hidráulica / 22 - Outros (PRAZO DE 15 a 60 DIAS PARA ATENDIMENTO)")</f>
        <v>02 Hidráulica / 22 - Outros (PRAZO DE 15 a 60 DIAS PARA ATENDIMENTO)</v>
      </c>
      <c r="K601" s="13"/>
      <c r="L601" s="13" t="str">
        <f>IFERROR(__xludf.DUMMYFUNCTION("""COMPUTED_VALUE"""),"Avaliação para solução do problema de não escoamento da água, na entrada para recepção do CEAPSI")</f>
        <v>Avaliação para solução do problema de não escoamento da água, na entrada para recepção do CEAPSI</v>
      </c>
      <c r="M601" s="20"/>
      <c r="N601" s="26" t="str">
        <f>IFERROR(__xludf.DUMMYFUNCTION("""COMPUTED_VALUE"""),"Aguardando análise")</f>
        <v>Aguardando análise</v>
      </c>
      <c r="O601" s="11"/>
      <c r="P601" s="11"/>
    </row>
    <row r="602" ht="27.0" customHeight="1">
      <c r="A602" s="20" t="str">
        <f>IFERROR(__xludf.DUMMYFUNCTION("""COMPUTED_VALUE"""),"600/2024")</f>
        <v>600/2024</v>
      </c>
      <c r="B602" s="8">
        <f>IFERROR(__xludf.DUMMYFUNCTION("""COMPUTED_VALUE"""),45378.63986251157)</f>
        <v>45378.63986</v>
      </c>
      <c r="C602" s="44" t="str">
        <f>IFERROR(__xludf.DUMMYFUNCTION("""COMPUTED_VALUE"""),"seguranca@ufcat.edu.br")</f>
        <v>seguranca@ufcat.edu.br</v>
      </c>
      <c r="D602" s="45" t="str">
        <f>IFERROR(__xludf.DUMMYFUNCTION("""COMPUTED_VALUE"""),"Carla Braz")</f>
        <v>Carla Braz</v>
      </c>
      <c r="E602" s="47">
        <f>IFERROR(__xludf.DUMMYFUNCTION("""COMPUTED_VALUE"""),5318.0)</f>
        <v>5318</v>
      </c>
      <c r="F602" s="45" t="str">
        <f>IFERROR(__xludf.DUMMYFUNCTION("""COMPUTED_VALUE"""),"CENTRAL DE OPERAÇÕES VIGILÂNCIA")</f>
        <v>CENTRAL DE OPERAÇÕES VIGILÂNCIA</v>
      </c>
      <c r="G602" s="45" t="str">
        <f>IFERROR(__xludf.DUMMYFUNCTION("""COMPUTED_VALUE"""),"Bloco O")</f>
        <v>Bloco O</v>
      </c>
      <c r="H602" s="46" t="str">
        <f>IFERROR(__xludf.DUMMYFUNCTION("""COMPUTED_VALUE"""),"Sala Rack")</f>
        <v>Sala Rack</v>
      </c>
      <c r="I602" s="7" t="str">
        <f>IFERROR(__xludf.DUMMYFUNCTION("""COMPUTED_VALUE"""),"Instalações e/ou Manutenção em Cabeamento de Rede")</f>
        <v>Instalações e/ou Manutenção em Cabeamento de Rede</v>
      </c>
      <c r="J602" s="13" t="str">
        <f>IFERROR(__xludf.DUMMYFUNCTION("""COMPUTED_VALUE"""),"05 Telecomunicações / 39 - CFTV (PRAZO DE ATÉ 15 DIAS PARA ATENDIMENTO)")</f>
        <v>05 Telecomunicações / 39 - CFTV (PRAZO DE ATÉ 15 DIAS PARA ATENDIMENTO)</v>
      </c>
      <c r="K602" s="13"/>
      <c r="L602" s="13" t="str">
        <f>IFERROR(__xludf.DUMMYFUNCTION("""COMPUTED_VALUE"""),"DVR DESCONECTADO")</f>
        <v>DVR DESCONECTADO</v>
      </c>
      <c r="M602" s="20"/>
      <c r="N602" s="26" t="str">
        <f>IFERROR(__xludf.DUMMYFUNCTION("""COMPUTED_VALUE"""),"Realizado")</f>
        <v>Realizado</v>
      </c>
      <c r="O602" s="11">
        <f>IFERROR(__xludf.DUMMYFUNCTION("""COMPUTED_VALUE"""),45384.0)</f>
        <v>45384</v>
      </c>
      <c r="P602" s="11"/>
    </row>
    <row r="603" ht="27.0" customHeight="1">
      <c r="A603" s="20" t="str">
        <f>IFERROR(__xludf.DUMMYFUNCTION("""COMPUTED_VALUE"""),"601/2024")</f>
        <v>601/2024</v>
      </c>
      <c r="B603" s="8">
        <f>IFERROR(__xludf.DUMMYFUNCTION("""COMPUTED_VALUE"""),45383.55387667824)</f>
        <v>45383.55388</v>
      </c>
      <c r="C603" s="44" t="str">
        <f>IFERROR(__xludf.DUMMYFUNCTION("""COMPUTED_VALUE"""),"gulbion@ufcat.edu.br")</f>
        <v>gulbion@ufcat.edu.br</v>
      </c>
      <c r="D603" s="45" t="str">
        <f>IFERROR(__xludf.DUMMYFUNCTION("""COMPUTED_VALUE"""),"Gúlbion Souza")</f>
        <v>Gúlbion Souza</v>
      </c>
      <c r="E603" s="47" t="str">
        <f>IFERROR(__xludf.DUMMYFUNCTION("""COMPUTED_VALUE"""),"34 99228-4005/ 5353")</f>
        <v>34 99228-4005/ 5353</v>
      </c>
      <c r="F603" s="45" t="str">
        <f>IFERROR(__xludf.DUMMYFUNCTION("""COMPUTED_VALUE"""),"PROPESQ")</f>
        <v>PROPESQ</v>
      </c>
      <c r="G603" s="45" t="str">
        <f>IFERROR(__xludf.DUMMYFUNCTION("""COMPUTED_VALUE"""),"Bloco L")</f>
        <v>Bloco L</v>
      </c>
      <c r="H603" s="46" t="str">
        <f>IFERROR(__xludf.DUMMYFUNCTION("""COMPUTED_VALUE"""),"Sala 105 - CEI ATHENAS")</f>
        <v>Sala 105 - CEI ATHENAS</v>
      </c>
      <c r="I603" s="7" t="str">
        <f>IFERROR(__xludf.DUMMYFUNCTION("""COMPUTED_VALUE"""),"Pequenos serviços de reparos em Marcenaria")</f>
        <v>Pequenos serviços de reparos em Marcenaria</v>
      </c>
      <c r="J603" s="13" t="str">
        <f>IFERROR(__xludf.DUMMYFUNCTION("""COMPUTED_VALUE"""),"03 Marcenaria / 29 - Outros (PRAZO DE ACORDO COM A DEMANDA)")</f>
        <v>03 Marcenaria / 29 - Outros (PRAZO DE ACORDO COM A DEMANDA)</v>
      </c>
      <c r="K603" s="13"/>
      <c r="L603" s="13" t="str">
        <f>IFERROR(__xludf.DUMMYFUNCTION("""COMPUTED_VALUE"""),"Porta de acesso à sala 105 está fechada de forma que não é possível a abertura utilizando as chaves (imagem anexa)")</f>
        <v>Porta de acesso à sala 105 está fechada de forma que não é possível a abertura utilizando as chaves (imagem anexa)</v>
      </c>
      <c r="M603" s="20"/>
      <c r="N603" s="26" t="str">
        <f>IFERROR(__xludf.DUMMYFUNCTION("""COMPUTED_VALUE"""),"Realizado")</f>
        <v>Realizado</v>
      </c>
      <c r="O603" s="11">
        <f>IFERROR(__xludf.DUMMYFUNCTION("""COMPUTED_VALUE"""),45384.0)</f>
        <v>45384</v>
      </c>
      <c r="P603" s="11"/>
    </row>
    <row r="604" ht="27.0" customHeight="1">
      <c r="A604" s="20" t="str">
        <f>IFERROR(__xludf.DUMMYFUNCTION("""COMPUTED_VALUE"""),"602/2024")</f>
        <v>602/2024</v>
      </c>
      <c r="B604" s="8">
        <f>IFERROR(__xludf.DUMMYFUNCTION("""COMPUTED_VALUE"""),45383.572267662035)</f>
        <v>45383.57227</v>
      </c>
      <c r="C604" s="44" t="str">
        <f>IFERROR(__xludf.DUMMYFUNCTION("""COMPUTED_VALUE"""),"mariaeduarda.borges@ufcat.edu.br")</f>
        <v>mariaeduarda.borges@ufcat.edu.br</v>
      </c>
      <c r="D604" s="45" t="str">
        <f>IFERROR(__xludf.DUMMYFUNCTION("""COMPUTED_VALUE"""),"Maria Eduarda Silva Borges ")</f>
        <v>Maria Eduarda Silva Borges </v>
      </c>
      <c r="E604" s="47">
        <f>IFERROR(__xludf.DUMMYFUNCTION("""COMPUTED_VALUE"""),5340.0)</f>
        <v>5340</v>
      </c>
      <c r="F604" s="45" t="str">
        <f>IFERROR(__xludf.DUMMYFUNCTION("""COMPUTED_VALUE"""),"PREF")</f>
        <v>PREF</v>
      </c>
      <c r="G604" s="45" t="str">
        <f>IFERROR(__xludf.DUMMYFUNCTION("""COMPUTED_VALUE"""),"Bloco A")</f>
        <v>Bloco A</v>
      </c>
      <c r="H604" s="46" t="str">
        <f>IFERROR(__xludf.DUMMYFUNCTION("""COMPUTED_VALUE"""),"BLOCO A")</f>
        <v>BLOCO A</v>
      </c>
      <c r="I604" s="7" t="str">
        <f>IFERROR(__xludf.DUMMYFUNCTION("""COMPUTED_VALUE"""),"Instalações elétricas")</f>
        <v>Instalações elétricas</v>
      </c>
      <c r="J604" s="13" t="str">
        <f>IFERROR(__xludf.DUMMYFUNCTION("""COMPUTED_VALUE"""),"04 Elétrica / 31 - Iluminação Externa (PRAZO DE ATÉ 15 DIAS PARA ATENDIMENTO)")</f>
        <v>04 Elétrica / 31 - Iluminação Externa (PRAZO DE ATÉ 15 DIAS PARA ATENDIMENTO)</v>
      </c>
      <c r="K604" s="13"/>
      <c r="L604" s="13" t="str">
        <f>IFERROR(__xludf.DUMMYFUNCTION("""COMPUTED_VALUE""")," Bloco A são três refletores o do meio está queimado.")</f>
        <v> Bloco A são três refletores o do meio está queimado.</v>
      </c>
      <c r="M604" s="20" t="str">
        <f>IFERROR(__xludf.DUMMYFUNCTION("""COMPUTED_VALUE"""),"Refletor ")</f>
        <v>Refletor </v>
      </c>
      <c r="N604" s="26" t="str">
        <f>IFERROR(__xludf.DUMMYFUNCTION("""COMPUTED_VALUE"""),"Aguardando Mat./Equipam.")</f>
        <v>Aguardando Mat./Equipam.</v>
      </c>
      <c r="O604" s="11"/>
      <c r="P604" s="11"/>
    </row>
    <row r="605" ht="27.0" customHeight="1">
      <c r="A605" s="20" t="str">
        <f>IFERROR(__xludf.DUMMYFUNCTION("""COMPUTED_VALUE"""),"603/2024")</f>
        <v>603/2024</v>
      </c>
      <c r="B605" s="8">
        <f>IFERROR(__xludf.DUMMYFUNCTION("""COMPUTED_VALUE"""),45383.57552458333)</f>
        <v>45383.57552</v>
      </c>
      <c r="C605" s="44" t="str">
        <f>IFERROR(__xludf.DUMMYFUNCTION("""COMPUTED_VALUE"""),"mariaeduarda.borges@ufcat.edu.br")</f>
        <v>mariaeduarda.borges@ufcat.edu.br</v>
      </c>
      <c r="D605" s="45" t="str">
        <f>IFERROR(__xludf.DUMMYFUNCTION("""COMPUTED_VALUE"""),"Maria Eduarda Silva Borges ")</f>
        <v>Maria Eduarda Silva Borges </v>
      </c>
      <c r="E605" s="47">
        <f>IFERROR(__xludf.DUMMYFUNCTION("""COMPUTED_VALUE"""),5340.0)</f>
        <v>5340</v>
      </c>
      <c r="F605" s="45" t="str">
        <f>IFERROR(__xludf.DUMMYFUNCTION("""COMPUTED_VALUE"""),"PREF")</f>
        <v>PREF</v>
      </c>
      <c r="G605" s="45" t="str">
        <f>IFERROR(__xludf.DUMMYFUNCTION("""COMPUTED_VALUE"""),"Bloco L")</f>
        <v>Bloco L</v>
      </c>
      <c r="H605" s="46" t="str">
        <f>IFERROR(__xludf.DUMMYFUNCTION("""COMPUTED_VALUE"""),"SALA 105")</f>
        <v>SALA 105</v>
      </c>
      <c r="I605" s="7" t="str">
        <f>IFERROR(__xludf.DUMMYFUNCTION("""COMPUTED_VALUE"""),"Pequenos serviços de reparos em Marcenaria")</f>
        <v>Pequenos serviços de reparos em Marcenaria</v>
      </c>
      <c r="J605" s="13" t="str">
        <f>IFERROR(__xludf.DUMMYFUNCTION("""COMPUTED_VALUE"""),"03 Marcenaria / 29 - Outros (PRAZO DE ACORDO COM A DEMANDA)")</f>
        <v>03 Marcenaria / 29 - Outros (PRAZO DE ACORDO COM A DEMANDA)</v>
      </c>
      <c r="K605" s="13"/>
      <c r="L605" s="13" t="str">
        <f>IFERROR(__xludf.DUMMYFUNCTION("""COMPUTED_VALUE"""),"A porta da sala 105 do Bloco L, se encontra trancada de uma forma errada, pois ficou trancada com a fechadura para dentro da porta, a vigia informou que não conseguiu destrancar a porta para trancar da forma correta, está trancada e emperrada para dentro "&amp;"da porta.")</f>
        <v>A porta da sala 105 do Bloco L, se encontra trancada de uma forma errada, pois ficou trancada com a fechadura para dentro da porta, a vigia informou que não conseguiu destrancar a porta para trancar da forma correta, está trancada e emperrada para dentro da porta.</v>
      </c>
      <c r="M605" s="20"/>
      <c r="N605" s="26" t="str">
        <f>IFERROR(__xludf.DUMMYFUNCTION("""COMPUTED_VALUE"""),"Realizado")</f>
        <v>Realizado</v>
      </c>
      <c r="O605" s="11">
        <f>IFERROR(__xludf.DUMMYFUNCTION("""COMPUTED_VALUE"""),45384.0)</f>
        <v>45384</v>
      </c>
      <c r="P605" s="11"/>
    </row>
    <row r="606" ht="27.0" customHeight="1">
      <c r="A606" s="20" t="str">
        <f>IFERROR(__xludf.DUMMYFUNCTION("""COMPUTED_VALUE"""),"604/2024")</f>
        <v>604/2024</v>
      </c>
      <c r="B606" s="8">
        <f>IFERROR(__xludf.DUMMYFUNCTION("""COMPUTED_VALUE"""),45383.60169199074)</f>
        <v>45383.60169</v>
      </c>
      <c r="C606" s="44" t="str">
        <f>IFERROR(__xludf.DUMMYFUNCTION("""COMPUTED_VALUE"""),"ceapsi.ufcat@gmail.com")</f>
        <v>ceapsi.ufcat@gmail.com</v>
      </c>
      <c r="D606" s="45" t="str">
        <f>IFERROR(__xludf.DUMMYFUNCTION("""COMPUTED_VALUE"""),"Jacqueline")</f>
        <v>Jacqueline</v>
      </c>
      <c r="E606" s="47">
        <f>IFERROR(__xludf.DUMMYFUNCTION("""COMPUTED_VALUE"""),5349.0)</f>
        <v>5349</v>
      </c>
      <c r="F606" s="45" t="str">
        <f>IFERROR(__xludf.DUMMYFUNCTION("""COMPUTED_VALUE"""),"IBIOTEC  - Psicologia")</f>
        <v>IBIOTEC  - Psicologia</v>
      </c>
      <c r="G606" s="45" t="str">
        <f>IFERROR(__xludf.DUMMYFUNCTION("""COMPUTED_VALUE"""),"Bloco M")</f>
        <v>Bloco M</v>
      </c>
      <c r="H606" s="46" t="str">
        <f>IFERROR(__xludf.DUMMYFUNCTION("""COMPUTED_VALUE"""),"Recepção CEAPSI e Consultórios: 1, 2 e 3")</f>
        <v>Recepção CEAPSI e Consultórios: 1, 2 e 3</v>
      </c>
      <c r="I606" s="7" t="str">
        <f>IFERROR(__xludf.DUMMYFUNCTION("""COMPUTED_VALUE"""),"Pintura")</f>
        <v>Pintura</v>
      </c>
      <c r="J606" s="13" t="str">
        <f>IFERROR(__xludf.DUMMYFUNCTION("""COMPUTED_VALUE"""),"06 Pintura / 47 - Outros (PRAZO DE ACORDO COM A DEMANDA)")</f>
        <v>06 Pintura / 47 - Outros (PRAZO DE ACORDO COM A DEMANDA)</v>
      </c>
      <c r="K606" s="13"/>
      <c r="L606" s="13" t="str">
        <f>IFERROR(__xludf.DUMMYFUNCTION("""COMPUTED_VALUE"""),"Infiltração nas paredes")</f>
        <v>Infiltração nas paredes</v>
      </c>
      <c r="M606" s="20"/>
      <c r="N606" s="26" t="str">
        <f>IFERROR(__xludf.DUMMYFUNCTION("""COMPUTED_VALUE"""),"Aguardando análise")</f>
        <v>Aguardando análise</v>
      </c>
      <c r="O606" s="11"/>
      <c r="P606" s="11"/>
    </row>
    <row r="607" ht="27.0" customHeight="1">
      <c r="A607" s="20" t="str">
        <f>IFERROR(__xludf.DUMMYFUNCTION("""COMPUTED_VALUE"""),"605/2024")</f>
        <v>605/2024</v>
      </c>
      <c r="B607" s="8">
        <f>IFERROR(__xludf.DUMMYFUNCTION("""COMPUTED_VALUE"""),45383.611352141204)</f>
        <v>45383.61135</v>
      </c>
      <c r="C607" s="44" t="str">
        <f>IFERROR(__xludf.DUMMYFUNCTION("""COMPUTED_VALUE"""),"propesq@ufcat.edu.br")</f>
        <v>propesq@ufcat.edu.br</v>
      </c>
      <c r="D607" s="45" t="str">
        <f>IFERROR(__xludf.DUMMYFUNCTION("""COMPUTED_VALUE"""),"Ludimila Oliveira de Campos")</f>
        <v>Ludimila Oliveira de Campos</v>
      </c>
      <c r="E607" s="47">
        <f>IFERROR(__xludf.DUMMYFUNCTION("""COMPUTED_VALUE"""),5302.0)</f>
        <v>5302</v>
      </c>
      <c r="F607" s="45" t="str">
        <f>IFERROR(__xludf.DUMMYFUNCTION("""COMPUTED_VALUE"""),"PROPESQ")</f>
        <v>PROPESQ</v>
      </c>
      <c r="G607" s="45" t="str">
        <f>IFERROR(__xludf.DUMMYFUNCTION("""COMPUTED_VALUE"""),"Bloco L")</f>
        <v>Bloco L</v>
      </c>
      <c r="H607" s="46" t="str">
        <f>IFERROR(__xludf.DUMMYFUNCTION("""COMPUTED_VALUE"""),"Terraço")</f>
        <v>Terraço</v>
      </c>
      <c r="I607" s="7" t="str">
        <f>IFERROR(__xludf.DUMMYFUNCTION("""COMPUTED_VALUE"""),"Instalações Hidrossanitárias")</f>
        <v>Instalações Hidrossanitárias</v>
      </c>
      <c r="J607" s="13" t="str">
        <f>IFERROR(__xludf.DUMMYFUNCTION("""COMPUTED_VALUE"""),"02 Hidráulica / 07 - Desentupimento (PRAZO DE 1 ATÉ 5 DIAS PARA ATENDIMENTO)")</f>
        <v>02 Hidráulica / 07 - Desentupimento (PRAZO DE 1 ATÉ 5 DIAS PARA ATENDIMENTO)</v>
      </c>
      <c r="K607" s="13"/>
      <c r="L607" s="13" t="str">
        <f>IFERROR(__xludf.DUMMYFUNCTION("""COMPUTED_VALUE"""),"Desentupimento de ralo do terraço. (Com as chuvas está alagando também o hall do 2º andar). ")</f>
        <v>Desentupimento de ralo do terraço. (Com as chuvas está alagando também o hall do 2º andar). </v>
      </c>
      <c r="M607" s="20"/>
      <c r="N607" s="26" t="str">
        <f>IFERROR(__xludf.DUMMYFUNCTION("""COMPUTED_VALUE"""),"Realizado")</f>
        <v>Realizado</v>
      </c>
      <c r="O607" s="11">
        <f>IFERROR(__xludf.DUMMYFUNCTION("""COMPUTED_VALUE"""),45398.0)</f>
        <v>45398</v>
      </c>
      <c r="P607" s="11"/>
    </row>
    <row r="608" ht="27.0" customHeight="1">
      <c r="A608" s="20" t="str">
        <f>IFERROR(__xludf.DUMMYFUNCTION("""COMPUTED_VALUE"""),"606/2024")</f>
        <v>606/2024</v>
      </c>
      <c r="B608" s="8">
        <f>IFERROR(__xludf.DUMMYFUNCTION("""COMPUTED_VALUE"""),45383.61462700232)</f>
        <v>45383.61463</v>
      </c>
      <c r="C608" s="44" t="str">
        <f>IFERROR(__xludf.DUMMYFUNCTION("""COMPUTED_VALUE"""),"propesq@ufcat.edu.br")</f>
        <v>propesq@ufcat.edu.br</v>
      </c>
      <c r="D608" s="45" t="str">
        <f>IFERROR(__xludf.DUMMYFUNCTION("""COMPUTED_VALUE"""),"Ludimila Oliveira de Campos")</f>
        <v>Ludimila Oliveira de Campos</v>
      </c>
      <c r="E608" s="47">
        <f>IFERROR(__xludf.DUMMYFUNCTION("""COMPUTED_VALUE"""),5302.0)</f>
        <v>5302</v>
      </c>
      <c r="F608" s="45" t="str">
        <f>IFERROR(__xludf.DUMMYFUNCTION("""COMPUTED_VALUE"""),"PROPESQ")</f>
        <v>PROPESQ</v>
      </c>
      <c r="G608" s="45" t="str">
        <f>IFERROR(__xludf.DUMMYFUNCTION("""COMPUTED_VALUE"""),"Bloco L")</f>
        <v>Bloco L</v>
      </c>
      <c r="H608" s="46" t="str">
        <f>IFERROR(__xludf.DUMMYFUNCTION("""COMPUTED_VALUE"""),"Corredor de acesso a sala 107 - 1º Andar")</f>
        <v>Corredor de acesso a sala 107 - 1º Andar</v>
      </c>
      <c r="I608" s="7" t="str">
        <f>IFERROR(__xludf.DUMMYFUNCTION("""COMPUTED_VALUE"""),"Reparos (alvenaria, piso, forro e telhado)")</f>
        <v>Reparos (alvenaria, piso, forro e telhado)</v>
      </c>
      <c r="J608" s="13" t="str">
        <f>IFERROR(__xludf.DUMMYFUNCTION("""COMPUTED_VALUE"""),"01 Alvenaria / 06 - Outros (PRAZO DE ATÉ 60 DIAS PARA ATENDIMENTO)")</f>
        <v>01 Alvenaria / 06 - Outros (PRAZO DE ATÉ 60 DIAS PARA ATENDIMENTO)</v>
      </c>
      <c r="K608" s="13"/>
      <c r="L608" s="13" t="str">
        <f>IFERROR(__xludf.DUMMYFUNCTION("""COMPUTED_VALUE"""),"Reparo em goteira ")</f>
        <v>Reparo em goteira </v>
      </c>
      <c r="M608" s="20"/>
      <c r="N608" s="26" t="str">
        <f>IFERROR(__xludf.DUMMYFUNCTION("""COMPUTED_VALUE"""),"Realizado")</f>
        <v>Realizado</v>
      </c>
      <c r="O608" s="11">
        <f>IFERROR(__xludf.DUMMYFUNCTION("""COMPUTED_VALUE"""),45398.0)</f>
        <v>45398</v>
      </c>
      <c r="P608" s="11"/>
    </row>
    <row r="609" ht="27.0" customHeight="1">
      <c r="A609" s="20" t="str">
        <f>IFERROR(__xludf.DUMMYFUNCTION("""COMPUTED_VALUE"""),"607/2024")</f>
        <v>607/2024</v>
      </c>
      <c r="B609" s="8">
        <f>IFERROR(__xludf.DUMMYFUNCTION("""COMPUTED_VALUE"""),45383.61924321759)</f>
        <v>45383.61924</v>
      </c>
      <c r="C609" s="44" t="str">
        <f>IFERROR(__xludf.DUMMYFUNCTION("""COMPUTED_VALUE"""),"propesq@ufcat.edu.br")</f>
        <v>propesq@ufcat.edu.br</v>
      </c>
      <c r="D609" s="45" t="str">
        <f>IFERROR(__xludf.DUMMYFUNCTION("""COMPUTED_VALUE"""),"Ludimila Oliveira de Campos")</f>
        <v>Ludimila Oliveira de Campos</v>
      </c>
      <c r="E609" s="47">
        <f>IFERROR(__xludf.DUMMYFUNCTION("""COMPUTED_VALUE"""),5302.0)</f>
        <v>5302</v>
      </c>
      <c r="F609" s="45" t="str">
        <f>IFERROR(__xludf.DUMMYFUNCTION("""COMPUTED_VALUE"""),"PROPESQ")</f>
        <v>PROPESQ</v>
      </c>
      <c r="G609" s="45" t="str">
        <f>IFERROR(__xludf.DUMMYFUNCTION("""COMPUTED_VALUE"""),"Bloco L")</f>
        <v>Bloco L</v>
      </c>
      <c r="H609" s="46" t="str">
        <f>IFERROR(__xludf.DUMMYFUNCTION("""COMPUTED_VALUE"""),"Hall do 2° Andar")</f>
        <v>Hall do 2° Andar</v>
      </c>
      <c r="I609" s="7" t="str">
        <f>IFERROR(__xludf.DUMMYFUNCTION("""COMPUTED_VALUE"""),"Reparos (alvenaria, piso, forro e telhado)")</f>
        <v>Reparos (alvenaria, piso, forro e telhado)</v>
      </c>
      <c r="J609" s="13" t="str">
        <f>IFERROR(__xludf.DUMMYFUNCTION("""COMPUTED_VALUE"""),"01 Alvenaria / 06 - Outros (PRAZO DE ATÉ 60 DIAS PARA ATENDIMENTO)")</f>
        <v>01 Alvenaria / 06 - Outros (PRAZO DE ATÉ 60 DIAS PARA ATENDIMENTO)</v>
      </c>
      <c r="K609" s="13"/>
      <c r="L609" s="13" t="str">
        <f>IFERROR(__xludf.DUMMYFUNCTION("""COMPUTED_VALUE"""),"Reparo em goteira")</f>
        <v>Reparo em goteira</v>
      </c>
      <c r="M609" s="20"/>
      <c r="N609" s="26" t="str">
        <f>IFERROR(__xludf.DUMMYFUNCTION("""COMPUTED_VALUE"""),"Realizado")</f>
        <v>Realizado</v>
      </c>
      <c r="O609" s="11">
        <f>IFERROR(__xludf.DUMMYFUNCTION("""COMPUTED_VALUE"""),45398.0)</f>
        <v>45398</v>
      </c>
      <c r="P609" s="11"/>
    </row>
    <row r="610" ht="27.0" customHeight="1">
      <c r="A610" s="20" t="str">
        <f>IFERROR(__xludf.DUMMYFUNCTION("""COMPUTED_VALUE"""),"608/2024")</f>
        <v>608/2024</v>
      </c>
      <c r="B610" s="8">
        <f>IFERROR(__xludf.DUMMYFUNCTION("""COMPUTED_VALUE"""),45383.63357384259)</f>
        <v>45383.63357</v>
      </c>
      <c r="C610" s="44" t="str">
        <f>IFERROR(__xludf.DUMMYFUNCTION("""COMPUTED_VALUE"""),"propesq@ufcat.edu.br")</f>
        <v>propesq@ufcat.edu.br</v>
      </c>
      <c r="D610" s="45" t="str">
        <f>IFERROR(__xludf.DUMMYFUNCTION("""COMPUTED_VALUE"""),"Ludimila Oliveira de Campos")</f>
        <v>Ludimila Oliveira de Campos</v>
      </c>
      <c r="E610" s="47">
        <f>IFERROR(__xludf.DUMMYFUNCTION("""COMPUTED_VALUE"""),5302.0)</f>
        <v>5302</v>
      </c>
      <c r="F610" s="45" t="str">
        <f>IFERROR(__xludf.DUMMYFUNCTION("""COMPUTED_VALUE"""),"PROPESQ")</f>
        <v>PROPESQ</v>
      </c>
      <c r="G610" s="45" t="str">
        <f>IFERROR(__xludf.DUMMYFUNCTION("""COMPUTED_VALUE"""),"Bloco L")</f>
        <v>Bloco L</v>
      </c>
      <c r="H610" s="46" t="str">
        <f>IFERROR(__xludf.DUMMYFUNCTION("""COMPUTED_VALUE"""),"Miniauditório Congadas ")</f>
        <v>Miniauditório Congadas </v>
      </c>
      <c r="I610" s="7" t="str">
        <f>IFERROR(__xludf.DUMMYFUNCTION("""COMPUTED_VALUE"""),"Reparos (alvenaria, piso, forro e telhado)")</f>
        <v>Reparos (alvenaria, piso, forro e telhado)</v>
      </c>
      <c r="J610" s="13" t="str">
        <f>IFERROR(__xludf.DUMMYFUNCTION("""COMPUTED_VALUE"""),"01 Alvenaria / 06 - Outros (PRAZO DE ATÉ 60 DIAS PARA ATENDIMENTO)")</f>
        <v>01 Alvenaria / 06 - Outros (PRAZO DE ATÉ 60 DIAS PARA ATENDIMENTO)</v>
      </c>
      <c r="K610" s="13"/>
      <c r="L610" s="13" t="str">
        <f>IFERROR(__xludf.DUMMYFUNCTION("""COMPUTED_VALUE"""),"Reparo em goteira")</f>
        <v>Reparo em goteira</v>
      </c>
      <c r="M610" s="20"/>
      <c r="N610" s="26" t="str">
        <f>IFERROR(__xludf.DUMMYFUNCTION("""COMPUTED_VALUE"""),"Realizado")</f>
        <v>Realizado</v>
      </c>
      <c r="O610" s="11">
        <f>IFERROR(__xludf.DUMMYFUNCTION("""COMPUTED_VALUE"""),45398.0)</f>
        <v>45398</v>
      </c>
      <c r="P610" s="11"/>
    </row>
    <row r="611" ht="27.0" customHeight="1">
      <c r="A611" s="20" t="str">
        <f>IFERROR(__xludf.DUMMYFUNCTION("""COMPUTED_VALUE"""),"609/2024")</f>
        <v>609/2024</v>
      </c>
      <c r="B611" s="8">
        <f>IFERROR(__xludf.DUMMYFUNCTION("""COMPUTED_VALUE"""),45383.63568348379)</f>
        <v>45383.63568</v>
      </c>
      <c r="C611" s="44" t="str">
        <f>IFERROR(__xludf.DUMMYFUNCTION("""COMPUTED_VALUE"""),"elaine_carbonero@ufcat.edu.br")</f>
        <v>elaine_carbonero@ufcat.edu.br</v>
      </c>
      <c r="D611" s="45" t="str">
        <f>IFERROR(__xludf.DUMMYFUNCTION("""COMPUTED_VALUE"""),"Elaine R Carbonero")</f>
        <v>Elaine R Carbonero</v>
      </c>
      <c r="E611" s="47" t="str">
        <f>IFERROR(__xludf.DUMMYFUNCTION("""COMPUTED_VALUE"""),"64 981321757")</f>
        <v>64 981321757</v>
      </c>
      <c r="F611" s="45" t="str">
        <f>IFERROR(__xludf.DUMMYFUNCTION("""COMPUTED_VALUE"""),"IQ")</f>
        <v>IQ</v>
      </c>
      <c r="G611" s="45" t="str">
        <f>IFERROR(__xludf.DUMMYFUNCTION("""COMPUTED_VALUE"""),"Bloco K")</f>
        <v>Bloco K</v>
      </c>
      <c r="H611" s="46" t="str">
        <f>IFERROR(__xludf.DUMMYFUNCTION("""COMPUTED_VALUE"""),"Sala onde fica nobreak- ao lado do LAPAM (sala 11)")</f>
        <v>Sala onde fica nobreak- ao lado do LAPAM (sala 11)</v>
      </c>
      <c r="I611" s="7" t="str">
        <f>IFERROR(__xludf.DUMMYFUNCTION("""COMPUTED_VALUE"""),"Instalações elétricas")</f>
        <v>Instalações elétricas</v>
      </c>
      <c r="J611" s="13" t="str">
        <f>IFERROR(__xludf.DUMMYFUNCTION("""COMPUTED_VALUE"""),"04 Elétrica / 30 - Falta de Energia (PRAZO DE 1 a 5 DIAS PARA ATENDIMENTO)")</f>
        <v>04 Elétrica / 30 - Falta de Energia (PRAZO DE 1 a 5 DIAS PARA ATENDIMENTO)</v>
      </c>
      <c r="K611" s="13"/>
      <c r="L611" s="13" t="str">
        <f>IFERROR(__xludf.DUMMYFUNCTION("""COMPUTED_VALUE"""),"Falta de energia estabilizada para o uso de equipamentos")</f>
        <v>Falta de energia estabilizada para o uso de equipamentos</v>
      </c>
      <c r="M611" s="20"/>
      <c r="N611" s="26" t="str">
        <f>IFERROR(__xludf.DUMMYFUNCTION("""COMPUTED_VALUE"""),"Realizado")</f>
        <v>Realizado</v>
      </c>
      <c r="O611" s="11">
        <f>IFERROR(__xludf.DUMMYFUNCTION("""COMPUTED_VALUE"""),45384.0)</f>
        <v>45384</v>
      </c>
      <c r="P611" s="11"/>
    </row>
    <row r="612" ht="27.0" customHeight="1">
      <c r="A612" s="20" t="str">
        <f>IFERROR(__xludf.DUMMYFUNCTION("""COMPUTED_VALUE"""),"610/2024")</f>
        <v>610/2024</v>
      </c>
      <c r="B612" s="8">
        <f>IFERROR(__xludf.DUMMYFUNCTION("""COMPUTED_VALUE"""),45383.678141446755)</f>
        <v>45383.67814</v>
      </c>
      <c r="C612" s="44" t="str">
        <f>IFERROR(__xludf.DUMMYFUNCTION("""COMPUTED_VALUE"""),"berenicevieira@ufcat.edu.br")</f>
        <v>berenicevieira@ufcat.edu.br</v>
      </c>
      <c r="D612" s="45" t="str">
        <f>IFERROR(__xludf.DUMMYFUNCTION("""COMPUTED_VALUE"""),"Berenice")</f>
        <v>Berenice</v>
      </c>
      <c r="E612" s="47">
        <f>IFERROR(__xludf.DUMMYFUNCTION("""COMPUTED_VALUE"""),5341.0)</f>
        <v>5341</v>
      </c>
      <c r="F612" s="45" t="str">
        <f>IFERROR(__xludf.DUMMYFUNCTION("""COMPUTED_VALUE"""),"SERVIÇO DE LIMPEZA")</f>
        <v>SERVIÇO DE LIMPEZA</v>
      </c>
      <c r="G612" s="45" t="str">
        <f>IFERROR(__xludf.DUMMYFUNCTION("""COMPUTED_VALUE"""),"Didático II")</f>
        <v>Didático II</v>
      </c>
      <c r="H612" s="46" t="str">
        <f>IFERROR(__xludf.DUMMYFUNCTION("""COMPUTED_VALUE"""),"Sala 201")</f>
        <v>Sala 201</v>
      </c>
      <c r="I612" s="7" t="str">
        <f>IFERROR(__xludf.DUMMYFUNCTION("""COMPUTED_VALUE"""),"Pequenos serviços de reparos em Marcenaria")</f>
        <v>Pequenos serviços de reparos em Marcenaria</v>
      </c>
      <c r="J612" s="13" t="str">
        <f>IFERROR(__xludf.DUMMYFUNCTION("""COMPUTED_VALUE"""),"03 Marcenaria / 28 -Troca de Fechaduras (PRAZO DE ATÉ 15 DIAS PARA ATENDIMENTO)")</f>
        <v>03 Marcenaria / 28 -Troca de Fechaduras (PRAZO DE ATÉ 15 DIAS PARA ATENDIMENTO)</v>
      </c>
      <c r="K612" s="13"/>
      <c r="L612" s="13" t="str">
        <f>IFERROR(__xludf.DUMMYFUNCTION("""COMPUTED_VALUE"""),"Fechadura danifivada")</f>
        <v>Fechadura danifivada</v>
      </c>
      <c r="M612" s="20"/>
      <c r="N612" s="26" t="str">
        <f>IFERROR(__xludf.DUMMYFUNCTION("""COMPUTED_VALUE"""),"Realizado")</f>
        <v>Realizado</v>
      </c>
      <c r="O612" s="11">
        <f>IFERROR(__xludf.DUMMYFUNCTION("""COMPUTED_VALUE"""),45384.0)</f>
        <v>45384</v>
      </c>
      <c r="P612" s="11"/>
    </row>
    <row r="613" ht="27.0" customHeight="1">
      <c r="A613" s="20" t="str">
        <f>IFERROR(__xludf.DUMMYFUNCTION("""COMPUTED_VALUE"""),"611/2024")</f>
        <v>611/2024</v>
      </c>
      <c r="B613" s="8">
        <f>IFERROR(__xludf.DUMMYFUNCTION("""COMPUTED_VALUE"""),45383.69064402778)</f>
        <v>45383.69064</v>
      </c>
      <c r="C613" s="44" t="str">
        <f>IFERROR(__xludf.DUMMYFUNCTION("""COMPUTED_VALUE"""),"ccs@ufcat.edu.br")</f>
        <v>ccs@ufcat.edu.br</v>
      </c>
      <c r="D613" s="45" t="str">
        <f>IFERROR(__xludf.DUMMYFUNCTION("""COMPUTED_VALUE"""),"Welliton dos Reis Alves")</f>
        <v>Welliton dos Reis Alves</v>
      </c>
      <c r="E613" s="47">
        <f>IFERROR(__xludf.DUMMYFUNCTION("""COMPUTED_VALUE"""),5345.0)</f>
        <v>5345</v>
      </c>
      <c r="F613" s="45" t="str">
        <f>IFERROR(__xludf.DUMMYFUNCTION("""COMPUTED_VALUE"""),"CCS")</f>
        <v>CCS</v>
      </c>
      <c r="G613" s="45" t="str">
        <f>IFERROR(__xludf.DUMMYFUNCTION("""COMPUTED_VALUE"""),"Bloco Administrativo")</f>
        <v>Bloco Administrativo</v>
      </c>
      <c r="H613" s="46">
        <f>IFERROR(__xludf.DUMMYFUNCTION("""COMPUTED_VALUE"""),111.0)</f>
        <v>111</v>
      </c>
      <c r="I613" s="7" t="str">
        <f>IFERROR(__xludf.DUMMYFUNCTION("""COMPUTED_VALUE"""),"Ar Condicionado ")</f>
        <v>Ar Condicionado </v>
      </c>
      <c r="J613" s="13"/>
      <c r="K613" s="13"/>
      <c r="L613" s="13" t="str">
        <f>IFERROR(__xludf.DUMMYFUNCTION("""COMPUTED_VALUE"""),"Limpeza e higienização do aparelho de ar condicionado do setor")</f>
        <v>Limpeza e higienização do aparelho de ar condicionado do setor</v>
      </c>
      <c r="M613" s="20"/>
      <c r="N613" s="26" t="str">
        <f>IFERROR(__xludf.DUMMYFUNCTION("""COMPUTED_VALUE"""),"Aguardando análise")</f>
        <v>Aguardando análise</v>
      </c>
      <c r="O613" s="11"/>
      <c r="P613" s="11"/>
    </row>
    <row r="614" ht="27.0" customHeight="1">
      <c r="A614" s="20" t="str">
        <f>IFERROR(__xludf.DUMMYFUNCTION("""COMPUTED_VALUE"""),"612/2024")</f>
        <v>612/2024</v>
      </c>
      <c r="B614" s="8">
        <f>IFERROR(__xludf.DUMMYFUNCTION("""COMPUTED_VALUE"""),45383.7141065162)</f>
        <v>45383.71411</v>
      </c>
      <c r="C614" s="44" t="str">
        <f>IFERROR(__xludf.DUMMYFUNCTION("""COMPUTED_VALUE"""),"logistica.dlt@ufcat.edu.br")</f>
        <v>logistica.dlt@ufcat.edu.br</v>
      </c>
      <c r="D614" s="45" t="str">
        <f>IFERROR(__xludf.DUMMYFUNCTION("""COMPUTED_VALUE"""),"Beatriz")</f>
        <v>Beatriz</v>
      </c>
      <c r="E614" s="47">
        <f>IFERROR(__xludf.DUMMYFUNCTION("""COMPUTED_VALUE"""),5369.0)</f>
        <v>5369</v>
      </c>
      <c r="F614" s="45" t="str">
        <f>IFERROR(__xludf.DUMMYFUNCTION("""COMPUTED_VALUE"""),"DLT")</f>
        <v>DLT</v>
      </c>
      <c r="G614" s="45" t="str">
        <f>IFERROR(__xludf.DUMMYFUNCTION("""COMPUTED_VALUE"""),"Bloco P")</f>
        <v>Bloco P</v>
      </c>
      <c r="H614" s="46" t="str">
        <f>IFERROR(__xludf.DUMMYFUNCTION("""COMPUTED_VALUE"""),"Alojamento Motoristas")</f>
        <v>Alojamento Motoristas</v>
      </c>
      <c r="I614" s="7" t="str">
        <f>IFERROR(__xludf.DUMMYFUNCTION("""COMPUTED_VALUE"""),"Pequenos serviços de reparos em Marcenaria")</f>
        <v>Pequenos serviços de reparos em Marcenaria</v>
      </c>
      <c r="J614" s="13" t="str">
        <f>IFERROR(__xludf.DUMMYFUNCTION("""COMPUTED_VALUE"""),"03 Marcenaria / 29 - Outros (PRAZO DE ACORDO COM A DEMANDA)")</f>
        <v>03 Marcenaria / 29 - Outros (PRAZO DE ACORDO COM A DEMANDA)</v>
      </c>
      <c r="K614" s="13"/>
      <c r="L614" s="13" t="str">
        <f>IFERROR(__xludf.DUMMYFUNCTION("""COMPUTED_VALUE"""),"Confeccionar escadas para as beliches do alojamento")</f>
        <v>Confeccionar escadas para as beliches do alojamento</v>
      </c>
      <c r="M614" s="20"/>
      <c r="N614" s="26" t="str">
        <f>IFERROR(__xludf.DUMMYFUNCTION("""COMPUTED_VALUE"""),"Realizado")</f>
        <v>Realizado</v>
      </c>
      <c r="O614" s="11">
        <f>IFERROR(__xludf.DUMMYFUNCTION("""COMPUTED_VALUE"""),45390.0)</f>
        <v>45390</v>
      </c>
      <c r="P614" s="11"/>
    </row>
    <row r="615" ht="27.0" customHeight="1">
      <c r="A615" s="20" t="str">
        <f>IFERROR(__xludf.DUMMYFUNCTION("""COMPUTED_VALUE"""),"613/2024")</f>
        <v>613/2024</v>
      </c>
      <c r="B615" s="8">
        <f>IFERROR(__xludf.DUMMYFUNCTION("""COMPUTED_VALUE"""),45383.7141065162)</f>
        <v>45383.71411</v>
      </c>
      <c r="C615" s="44" t="str">
        <f>IFERROR(__xludf.DUMMYFUNCTION("""COMPUTED_VALUE"""),"seguranca@ufcat.edu.br")</f>
        <v>seguranca@ufcat.edu.br</v>
      </c>
      <c r="D615" s="45" t="str">
        <f>IFERROR(__xludf.DUMMYFUNCTION("""COMPUTED_VALUE"""),"Maria Duarte")</f>
        <v>Maria Duarte</v>
      </c>
      <c r="E615" s="47">
        <f>IFERROR(__xludf.DUMMYFUNCTION("""COMPUTED_VALUE"""),5318.0)</f>
        <v>5318</v>
      </c>
      <c r="F615" s="45" t="str">
        <f>IFERROR(__xludf.DUMMYFUNCTION("""COMPUTED_VALUE"""),"CENTRAL DE OPERAÇÕES VIGILÂNCIA")</f>
        <v>CENTRAL DE OPERAÇÕES VIGILÂNCIA</v>
      </c>
      <c r="G615" s="45" t="str">
        <f>IFERROR(__xludf.DUMMYFUNCTION("""COMPUTED_VALUE"""),"Bloco Administrativo")</f>
        <v>Bloco Administrativo</v>
      </c>
      <c r="H615" s="46" t="str">
        <f>IFERROR(__xludf.DUMMYFUNCTION("""COMPUTED_VALUE"""),"DVR do Bloco ADM")</f>
        <v>DVR do Bloco ADM</v>
      </c>
      <c r="I615" s="7" t="str">
        <f>IFERROR(__xludf.DUMMYFUNCTION("""COMPUTED_VALUE"""),"Instalações e/ou Manutenção em Cabeamento de Rede")</f>
        <v>Instalações e/ou Manutenção em Cabeamento de Rede</v>
      </c>
      <c r="J615" s="13" t="str">
        <f>IFERROR(__xludf.DUMMYFUNCTION("""COMPUTED_VALUE"""),"05 Telecomunicações / 39 - CFTV (PRAZO DE ATÉ 15 DIAS PARA ATENDIMENTO)")</f>
        <v>05 Telecomunicações / 39 - CFTV (PRAZO DE ATÉ 15 DIAS PARA ATENDIMENTO)</v>
      </c>
      <c r="K615" s="13"/>
      <c r="L615" s="13" t="str">
        <f>IFERROR(__xludf.DUMMYFUNCTION("""COMPUTED_VALUE"""),"DVR do Bloco Administrativo está com o horário e a data incorreto devido a um mal funcionamento de energia que houve hoje.")</f>
        <v>DVR do Bloco Administrativo está com o horário e a data incorreto devido a um mal funcionamento de energia que houve hoje.</v>
      </c>
      <c r="M615" s="20"/>
      <c r="N615" s="26" t="str">
        <f>IFERROR(__xludf.DUMMYFUNCTION("""COMPUTED_VALUE"""),"Realizado")</f>
        <v>Realizado</v>
      </c>
      <c r="O615" s="11">
        <f>IFERROR(__xludf.DUMMYFUNCTION("""COMPUTED_VALUE"""),45384.0)</f>
        <v>45384</v>
      </c>
      <c r="P615" s="11"/>
    </row>
    <row r="616" ht="27.0" customHeight="1">
      <c r="A616" s="20" t="str">
        <f>IFERROR(__xludf.DUMMYFUNCTION("""COMPUTED_VALUE"""),"614/2024")</f>
        <v>614/2024</v>
      </c>
      <c r="B616" s="8">
        <f>IFERROR(__xludf.DUMMYFUNCTION("""COMPUTED_VALUE"""),45383.7141065162)</f>
        <v>45383.71411</v>
      </c>
      <c r="C616" s="44" t="str">
        <f>IFERROR(__xludf.DUMMYFUNCTION("""COMPUTED_VALUE"""),"seguranca@ufcat.edu.br")</f>
        <v>seguranca@ufcat.edu.br</v>
      </c>
      <c r="D616" s="45" t="str">
        <f>IFERROR(__xludf.DUMMYFUNCTION("""COMPUTED_VALUE"""),"Maria Duarte")</f>
        <v>Maria Duarte</v>
      </c>
      <c r="E616" s="47">
        <f>IFERROR(__xludf.DUMMYFUNCTION("""COMPUTED_VALUE"""),5318.0)</f>
        <v>5318</v>
      </c>
      <c r="F616" s="45" t="str">
        <f>IFERROR(__xludf.DUMMYFUNCTION("""COMPUTED_VALUE"""),"CENTRAL DE OPERAÇÕES VIGILÂNCIA")</f>
        <v>CENTRAL DE OPERAÇÕES VIGILÂNCIA</v>
      </c>
      <c r="G616" s="45" t="str">
        <f>IFERROR(__xludf.DUMMYFUNCTION("""COMPUTED_VALUE"""),"Bloco L")</f>
        <v>Bloco L</v>
      </c>
      <c r="H616" s="46" t="str">
        <f>IFERROR(__xludf.DUMMYFUNCTION("""COMPUTED_VALUE"""),"DVR do Bloco L")</f>
        <v>DVR do Bloco L</v>
      </c>
      <c r="I616" s="7" t="str">
        <f>IFERROR(__xludf.DUMMYFUNCTION("""COMPUTED_VALUE"""),"Instalações e/ou Manutenção em Cabeamento de Rede")</f>
        <v>Instalações e/ou Manutenção em Cabeamento de Rede</v>
      </c>
      <c r="J616" s="13" t="str">
        <f>IFERROR(__xludf.DUMMYFUNCTION("""COMPUTED_VALUE"""),"05 Telecomunicações / 39 - CFTV (PRAZO DE ATÉ 15 DIAS PARA ATENDIMENTO)")</f>
        <v>05 Telecomunicações / 39 - CFTV (PRAZO DE ATÉ 15 DIAS PARA ATENDIMENTO)</v>
      </c>
      <c r="K616" s="13"/>
      <c r="L616" s="13" t="str">
        <f>IFERROR(__xludf.DUMMYFUNCTION("""COMPUTED_VALUE"""),"DVR do Bloco L, está com horário e a data incorreto devido a queda de energia que houve no Campus.")</f>
        <v>DVR do Bloco L, está com horário e a data incorreto devido a queda de energia que houve no Campus.</v>
      </c>
      <c r="M616" s="20"/>
      <c r="N616" s="26" t="str">
        <f>IFERROR(__xludf.DUMMYFUNCTION("""COMPUTED_VALUE"""),"Realizado")</f>
        <v>Realizado</v>
      </c>
      <c r="O616" s="11">
        <f>IFERROR(__xludf.DUMMYFUNCTION("""COMPUTED_VALUE"""),45384.0)</f>
        <v>45384</v>
      </c>
      <c r="P616" s="11"/>
    </row>
    <row r="617" ht="27.0" customHeight="1">
      <c r="A617" s="20" t="str">
        <f>IFERROR(__xludf.DUMMYFUNCTION("""COMPUTED_VALUE"""),"615/2024")</f>
        <v>615/2024</v>
      </c>
      <c r="B617" s="8">
        <f>IFERROR(__xludf.DUMMYFUNCTION("""COMPUTED_VALUE"""),45383.7141065162)</f>
        <v>45383.71411</v>
      </c>
      <c r="C617" s="44" t="str">
        <f>IFERROR(__xludf.DUMMYFUNCTION("""COMPUTED_VALUE"""),"seguranca@ufcat.edu.br")</f>
        <v>seguranca@ufcat.edu.br</v>
      </c>
      <c r="D617" s="45" t="str">
        <f>IFERROR(__xludf.DUMMYFUNCTION("""COMPUTED_VALUE"""),"Maria Duarte")</f>
        <v>Maria Duarte</v>
      </c>
      <c r="E617" s="47">
        <f>IFERROR(__xludf.DUMMYFUNCTION("""COMPUTED_VALUE"""),5318.0)</f>
        <v>5318</v>
      </c>
      <c r="F617" s="45" t="str">
        <f>IFERROR(__xludf.DUMMYFUNCTION("""COMPUTED_VALUE"""),"CENTRAL DE OPERAÇÕES VIGILÂNCIA")</f>
        <v>CENTRAL DE OPERAÇÕES VIGILÂNCIA</v>
      </c>
      <c r="G617" s="45" t="str">
        <f>IFERROR(__xludf.DUMMYFUNCTION("""COMPUTED_VALUE"""),"Bloco N")</f>
        <v>Bloco N</v>
      </c>
      <c r="H617" s="46" t="str">
        <f>IFERROR(__xludf.DUMMYFUNCTION("""COMPUTED_VALUE"""),"DVR do Bloco N")</f>
        <v>DVR do Bloco N</v>
      </c>
      <c r="I617" s="7" t="str">
        <f>IFERROR(__xludf.DUMMYFUNCTION("""COMPUTED_VALUE"""),"Instalações e/ou Manutenção em Cabeamento de Rede")</f>
        <v>Instalações e/ou Manutenção em Cabeamento de Rede</v>
      </c>
      <c r="J617" s="13" t="str">
        <f>IFERROR(__xludf.DUMMYFUNCTION("""COMPUTED_VALUE"""),"05 Telecomunicações / 39 - CFTV (PRAZO DE ATÉ 15 DIAS PARA ATENDIMENTO)")</f>
        <v>05 Telecomunicações / 39 - CFTV (PRAZO DE ATÉ 15 DIAS PARA ATENDIMENTO)</v>
      </c>
      <c r="K617" s="13"/>
      <c r="L617" s="13" t="str">
        <f>IFERROR(__xludf.DUMMYFUNCTION("""COMPUTED_VALUE"""),"O DVR do Bloco N, está com o horário atrasado (16 minutos). OBS: Somente o horário está atrasado. ")</f>
        <v>O DVR do Bloco N, está com o horário atrasado (16 minutos). OBS: Somente o horário está atrasado. </v>
      </c>
      <c r="M617" s="20"/>
      <c r="N617" s="26" t="str">
        <f>IFERROR(__xludf.DUMMYFUNCTION("""COMPUTED_VALUE"""),"Realizado")</f>
        <v>Realizado</v>
      </c>
      <c r="O617" s="11">
        <f>IFERROR(__xludf.DUMMYFUNCTION("""COMPUTED_VALUE"""),45384.0)</f>
        <v>45384</v>
      </c>
      <c r="P617" s="11"/>
    </row>
    <row r="618" ht="27.0" customHeight="1">
      <c r="A618" s="20" t="str">
        <f>IFERROR(__xludf.DUMMYFUNCTION("""COMPUTED_VALUE"""),"616/2024")</f>
        <v>616/2024</v>
      </c>
      <c r="B618" s="8">
        <f>IFERROR(__xludf.DUMMYFUNCTION("""COMPUTED_VALUE"""),45383.7141065162)</f>
        <v>45383.71411</v>
      </c>
      <c r="C618" s="44" t="str">
        <f>IFERROR(__xludf.DUMMYFUNCTION("""COMPUTED_VALUE"""),"seguranca@ufcat.edu.br")</f>
        <v>seguranca@ufcat.edu.br</v>
      </c>
      <c r="D618" s="45" t="str">
        <f>IFERROR(__xludf.DUMMYFUNCTION("""COMPUTED_VALUE"""),"Carla Braz")</f>
        <v>Carla Braz</v>
      </c>
      <c r="E618" s="47">
        <f>IFERROR(__xludf.DUMMYFUNCTION("""COMPUTED_VALUE"""),5318.0)</f>
        <v>5318</v>
      </c>
      <c r="F618" s="45" t="str">
        <f>IFERROR(__xludf.DUMMYFUNCTION("""COMPUTED_VALUE"""),"CENTRAL DE OPERAÇÕES VIGILÂNCIA")</f>
        <v>CENTRAL DE OPERAÇÕES VIGILÂNCIA</v>
      </c>
      <c r="G618" s="45" t="str">
        <f>IFERROR(__xludf.DUMMYFUNCTION("""COMPUTED_VALUE"""),"Auditório Paulo de Bastos")</f>
        <v>Auditório Paulo de Bastos</v>
      </c>
      <c r="H618" s="46" t="str">
        <f>IFERROR(__xludf.DUMMYFUNCTION("""COMPUTED_VALUE"""),"Rack")</f>
        <v>Rack</v>
      </c>
      <c r="I618" s="7" t="str">
        <f>IFERROR(__xludf.DUMMYFUNCTION("""COMPUTED_VALUE"""),"Instalações e/ou Manutenção em Cabeamento de Rede")</f>
        <v>Instalações e/ou Manutenção em Cabeamento de Rede</v>
      </c>
      <c r="J618" s="13" t="str">
        <f>IFERROR(__xludf.DUMMYFUNCTION("""COMPUTED_VALUE"""),"05 Telecomunicações / 39 - CFTV (PRAZO DE ATÉ 15 DIAS PARA ATENDIMENTO)")</f>
        <v>05 Telecomunicações / 39 - CFTV (PRAZO DE ATÉ 15 DIAS PARA ATENDIMENTO)</v>
      </c>
      <c r="K618" s="13"/>
      <c r="L618" s="13" t="str">
        <f>IFERROR(__xludf.DUMMYFUNCTION("""COMPUTED_VALUE"""),"Configurações na tela da câmera ""LATERAL AUDITÓRIO"" ")</f>
        <v>Configurações na tela da câmera "LATERAL AUDITÓRIO" </v>
      </c>
      <c r="M618" s="20"/>
      <c r="N618" s="26" t="str">
        <f>IFERROR(__xludf.DUMMYFUNCTION("""COMPUTED_VALUE"""),"Realizado")</f>
        <v>Realizado</v>
      </c>
      <c r="O618" s="11">
        <f>IFERROR(__xludf.DUMMYFUNCTION("""COMPUTED_VALUE"""),45384.0)</f>
        <v>45384</v>
      </c>
      <c r="P618" s="11"/>
    </row>
    <row r="619" ht="27.0" customHeight="1">
      <c r="A619" s="20" t="str">
        <f>IFERROR(__xludf.DUMMYFUNCTION("""COMPUTED_VALUE"""),"617/2024")</f>
        <v>617/2024</v>
      </c>
      <c r="B619" s="8">
        <f>IFERROR(__xludf.DUMMYFUNCTION("""COMPUTED_VALUE"""),45384.36723516203)</f>
        <v>45384.36724</v>
      </c>
      <c r="C619" s="44" t="str">
        <f>IFERROR(__xludf.DUMMYFUNCTION("""COMPUTED_VALUE"""),"alberth@ufcat.edu.br")</f>
        <v>alberth@ufcat.edu.br</v>
      </c>
      <c r="D619" s="45" t="str">
        <f>IFERROR(__xludf.DUMMYFUNCTION("""COMPUTED_VALUE"""),"Alberth de Figueiredo")</f>
        <v>Alberth de Figueiredo</v>
      </c>
      <c r="E619" s="47" t="str">
        <f>IFERROR(__xludf.DUMMYFUNCTION("""COMPUTED_VALUE"""),"64 98144-0129")</f>
        <v>64 98144-0129</v>
      </c>
      <c r="F619" s="45" t="str">
        <f>IFERROR(__xludf.DUMMYFUNCTION("""COMPUTED_VALUE"""),"IQ")</f>
        <v>IQ</v>
      </c>
      <c r="G619" s="45" t="str">
        <f>IFERROR(__xludf.DUMMYFUNCTION("""COMPUTED_VALUE"""),"Bloco K")</f>
        <v>Bloco K</v>
      </c>
      <c r="H619" s="46">
        <f>IFERROR(__xludf.DUMMYFUNCTION("""COMPUTED_VALUE"""),8.0)</f>
        <v>8</v>
      </c>
      <c r="I619" s="7" t="str">
        <f>IFERROR(__xludf.DUMMYFUNCTION("""COMPUTED_VALUE"""),"Pequenos serviços de reparos em Marcenaria")</f>
        <v>Pequenos serviços de reparos em Marcenaria</v>
      </c>
      <c r="J619" s="13" t="str">
        <f>IFERROR(__xludf.DUMMYFUNCTION("""COMPUTED_VALUE"""),"03 Marcenaria / 28 -Troca de Fechaduras (PRAZO DE ATÉ 15 DIAS PARA ATENDIMENTO)")</f>
        <v>03 Marcenaria / 28 -Troca de Fechaduras (PRAZO DE ATÉ 15 DIAS PARA ATENDIMENTO)</v>
      </c>
      <c r="K619" s="13"/>
      <c r="L619" s="13" t="str">
        <f>IFERROR(__xludf.DUMMYFUNCTION("""COMPUTED_VALUE"""),"Retornar configuração da porta de acesso da sala 8")</f>
        <v>Retornar configuração da porta de acesso da sala 8</v>
      </c>
      <c r="M619" s="20"/>
      <c r="N619" s="26" t="str">
        <f>IFERROR(__xludf.DUMMYFUNCTION("""COMPUTED_VALUE"""),"Realizado")</f>
        <v>Realizado</v>
      </c>
      <c r="O619" s="11">
        <f>IFERROR(__xludf.DUMMYFUNCTION("""COMPUTED_VALUE"""),45384.0)</f>
        <v>45384</v>
      </c>
      <c r="P619" s="11"/>
    </row>
    <row r="620" ht="27.0" customHeight="1">
      <c r="A620" s="20" t="str">
        <f>IFERROR(__xludf.DUMMYFUNCTION("""COMPUTED_VALUE"""),"618/2024")</f>
        <v>618/2024</v>
      </c>
      <c r="B620" s="8">
        <f>IFERROR(__xludf.DUMMYFUNCTION("""COMPUTED_VALUE"""),45384.36842730324)</f>
        <v>45384.36843</v>
      </c>
      <c r="C620" s="44" t="str">
        <f>IFERROR(__xludf.DUMMYFUNCTION("""COMPUTED_VALUE"""),"alberth@ufcat.edu.br")</f>
        <v>alberth@ufcat.edu.br</v>
      </c>
      <c r="D620" s="45" t="str">
        <f>IFERROR(__xludf.DUMMYFUNCTION("""COMPUTED_VALUE"""),"Alberth de Figueiredo")</f>
        <v>Alberth de Figueiredo</v>
      </c>
      <c r="E620" s="47" t="str">
        <f>IFERROR(__xludf.DUMMYFUNCTION("""COMPUTED_VALUE"""),"64 98144-0129")</f>
        <v>64 98144-0129</v>
      </c>
      <c r="F620" s="45" t="str">
        <f>IFERROR(__xludf.DUMMYFUNCTION("""COMPUTED_VALUE"""),"IQ")</f>
        <v>IQ</v>
      </c>
      <c r="G620" s="45" t="str">
        <f>IFERROR(__xludf.DUMMYFUNCTION("""COMPUTED_VALUE"""),"Bloco K")</f>
        <v>Bloco K</v>
      </c>
      <c r="H620" s="46">
        <f>IFERROR(__xludf.DUMMYFUNCTION("""COMPUTED_VALUE"""),8.0)</f>
        <v>8</v>
      </c>
      <c r="I620" s="7" t="str">
        <f>IFERROR(__xludf.DUMMYFUNCTION("""COMPUTED_VALUE"""),"Instalações Hidrossanitárias")</f>
        <v>Instalações Hidrossanitárias</v>
      </c>
      <c r="J620" s="13" t="str">
        <f>IFERROR(__xludf.DUMMYFUNCTION("""COMPUTED_VALUE"""),"02 Hidráulica / 09 - Vazamento de Pia (PRAZO DE 15 a 60 DIAS PARA ATENDIMENTO)")</f>
        <v>02 Hidráulica / 09 - Vazamento de Pia (PRAZO DE 15 a 60 DIAS PARA ATENDIMENTO)</v>
      </c>
      <c r="K620" s="13"/>
      <c r="L620" s="13" t="str">
        <f>IFERROR(__xludf.DUMMYFUNCTION("""COMPUTED_VALUE"""),"problemas no encanamento de esgoto da pia.")</f>
        <v>problemas no encanamento de esgoto da pia.</v>
      </c>
      <c r="M620" s="20"/>
      <c r="N620" s="26" t="str">
        <f>IFERROR(__xludf.DUMMYFUNCTION("""COMPUTED_VALUE"""),"Realizado")</f>
        <v>Realizado</v>
      </c>
      <c r="O620" s="11">
        <f>IFERROR(__xludf.DUMMYFUNCTION("""COMPUTED_VALUE"""),45385.0)</f>
        <v>45385</v>
      </c>
      <c r="P620" s="11"/>
    </row>
    <row r="621" ht="27.0" customHeight="1">
      <c r="A621" s="20" t="str">
        <f>IFERROR(__xludf.DUMMYFUNCTION("""COMPUTED_VALUE"""),"619/2024")</f>
        <v>619/2024</v>
      </c>
      <c r="B621" s="8">
        <f>IFERROR(__xludf.DUMMYFUNCTION("""COMPUTED_VALUE"""),45384.37427277778)</f>
        <v>45384.37427</v>
      </c>
      <c r="C621" s="44" t="str">
        <f>IFERROR(__xludf.DUMMYFUNCTION("""COMPUTED_VALUE"""),"dimasjunior2022@gmail.com")</f>
        <v>dimasjunior2022@gmail.com</v>
      </c>
      <c r="D621" s="45" t="str">
        <f>IFERROR(__xludf.DUMMYFUNCTION("""COMPUTED_VALUE"""),"Dimas Antonio Rosa Junior")</f>
        <v>Dimas Antonio Rosa Junior</v>
      </c>
      <c r="E621" s="47" t="str">
        <f>IFERROR(__xludf.DUMMYFUNCTION("""COMPUTED_VALUE"""),"64 9 96134145")</f>
        <v>64 9 96134145</v>
      </c>
      <c r="F621" s="45" t="str">
        <f>IFERROR(__xludf.DUMMYFUNCTION("""COMPUTED_VALUE"""),"FENG - Engenharia de Minas")</f>
        <v>FENG - Engenharia de Minas</v>
      </c>
      <c r="G621" s="45" t="str">
        <f>IFERROR(__xludf.DUMMYFUNCTION("""COMPUTED_VALUE"""),"Bloco O")</f>
        <v>Bloco O</v>
      </c>
      <c r="H621" s="46" t="str">
        <f>IFERROR(__xludf.DUMMYFUNCTION("""COMPUTED_VALUE"""),"Laboratorio de Projeto e Planejamento")</f>
        <v>Laboratorio de Projeto e Planejamento</v>
      </c>
      <c r="I621" s="7" t="str">
        <f>IFERROR(__xludf.DUMMYFUNCTION("""COMPUTED_VALUE"""),"Instalações elétricas")</f>
        <v>Instalações elétricas</v>
      </c>
      <c r="J621" s="13" t="str">
        <f>IFERROR(__xludf.DUMMYFUNCTION("""COMPUTED_VALUE"""),"04 Elétrica / 34 - Tomada Uso Geral (PRAZO DE ATÉ 15 DIAS PARA ATENDIMENTO)")</f>
        <v>04 Elétrica / 34 - Tomada Uso Geral (PRAZO DE ATÉ 15 DIAS PARA ATENDIMENTO)</v>
      </c>
      <c r="K621" s="13"/>
      <c r="L621" s="13" t="str">
        <f>IFERROR(__xludf.DUMMYFUNCTION("""COMPUTED_VALUE"""),"Nenhuma tomada funcionando, provavelmente problema no disjuntor")</f>
        <v>Nenhuma tomada funcionando, provavelmente problema no disjuntor</v>
      </c>
      <c r="M621" s="20"/>
      <c r="N621" s="26" t="str">
        <f>IFERROR(__xludf.DUMMYFUNCTION("""COMPUTED_VALUE"""),"Realizado")</f>
        <v>Realizado</v>
      </c>
      <c r="O621" s="11">
        <f>IFERROR(__xludf.DUMMYFUNCTION("""COMPUTED_VALUE"""),45384.0)</f>
        <v>45384</v>
      </c>
      <c r="P621" s="11"/>
    </row>
    <row r="622" ht="27.0" customHeight="1">
      <c r="A622" s="20" t="str">
        <f>IFERROR(__xludf.DUMMYFUNCTION("""COMPUTED_VALUE"""),"620/2024")</f>
        <v>620/2024</v>
      </c>
      <c r="B622" s="8">
        <f>IFERROR(__xludf.DUMMYFUNCTION("""COMPUTED_VALUE"""),45384.38889069445)</f>
        <v>45384.38889</v>
      </c>
      <c r="C622" s="44" t="str">
        <f>IFERROR(__xludf.DUMMYFUNCTION("""COMPUTED_VALUE"""),"patriciafmatos@ufcat.edu.br")</f>
        <v>patriciafmatos@ufcat.edu.br</v>
      </c>
      <c r="D622" s="45" t="str">
        <f>IFERROR(__xludf.DUMMYFUNCTION("""COMPUTED_VALUE"""),"Patrícia Francisca de Matos")</f>
        <v>Patrícia Francisca de Matos</v>
      </c>
      <c r="E622" s="47">
        <f>IFERROR(__xludf.DUMMYFUNCTION("""COMPUTED_VALUE"""),5305.0)</f>
        <v>5305</v>
      </c>
      <c r="F622" s="45" t="str">
        <f>IFERROR(__xludf.DUMMYFUNCTION("""COMPUTED_VALUE"""),"IGEO")</f>
        <v>IGEO</v>
      </c>
      <c r="G622" s="45" t="str">
        <f>IFERROR(__xludf.DUMMYFUNCTION("""COMPUTED_VALUE"""),"Bloco A")</f>
        <v>Bloco A</v>
      </c>
      <c r="H622" s="46" t="str">
        <f>IFERROR(__xludf.DUMMYFUNCTION("""COMPUTED_VALUE"""),"Trocar lâmpadas queimadas do corredor do bloco A")</f>
        <v>Trocar lâmpadas queimadas do corredor do bloco A</v>
      </c>
      <c r="I622" s="7" t="str">
        <f>IFERROR(__xludf.DUMMYFUNCTION("""COMPUTED_VALUE"""),"Instalações elétricas")</f>
        <v>Instalações elétricas</v>
      </c>
      <c r="J622" s="13" t="str">
        <f>IFERROR(__xludf.DUMMYFUNCTION("""COMPUTED_VALUE"""),"04 Elétrica / 35 - Troca de Lâmpadas (PRAZO DE ATÉ 15 DIAS PARA ATENDIMENTO)")</f>
        <v>04 Elétrica / 35 - Troca de Lâmpadas (PRAZO DE ATÉ 15 DIAS PARA ATENDIMENTO)</v>
      </c>
      <c r="K622" s="13"/>
      <c r="L622" s="13" t="str">
        <f>IFERROR(__xludf.DUMMYFUNCTION("""COMPUTED_VALUE"""),"TROCAR LÂMPADAS DO CORREDOR DO BLOCO A")</f>
        <v>TROCAR LÂMPADAS DO CORREDOR DO BLOCO A</v>
      </c>
      <c r="M622" s="20"/>
      <c r="N622" s="26" t="str">
        <f>IFERROR(__xludf.DUMMYFUNCTION("""COMPUTED_VALUE"""),"Realizado")</f>
        <v>Realizado</v>
      </c>
      <c r="O622" s="11">
        <f>IFERROR(__xludf.DUMMYFUNCTION("""COMPUTED_VALUE"""),45384.0)</f>
        <v>45384</v>
      </c>
      <c r="P622" s="11"/>
    </row>
    <row r="623" ht="27.0" customHeight="1">
      <c r="A623" s="20" t="str">
        <f>IFERROR(__xludf.DUMMYFUNCTION("""COMPUTED_VALUE"""),"621/2024")</f>
        <v>621/2024</v>
      </c>
      <c r="B623" s="8">
        <f>IFERROR(__xludf.DUMMYFUNCTION("""COMPUTED_VALUE"""),45384.40052912037)</f>
        <v>45384.40053</v>
      </c>
      <c r="C623" s="44" t="str">
        <f>IFERROR(__xludf.DUMMYFUNCTION("""COMPUTED_VALUE"""),"patriciafmatos@ufcat.edu.br")</f>
        <v>patriciafmatos@ufcat.edu.br</v>
      </c>
      <c r="D623" s="45" t="str">
        <f>IFERROR(__xludf.DUMMYFUNCTION("""COMPUTED_VALUE"""),"Patrícia Francisca de Matos")</f>
        <v>Patrícia Francisca de Matos</v>
      </c>
      <c r="E623" s="47">
        <f>IFERROR(__xludf.DUMMYFUNCTION("""COMPUTED_VALUE"""),5305.0)</f>
        <v>5305</v>
      </c>
      <c r="F623" s="45" t="str">
        <f>IFERROR(__xludf.DUMMYFUNCTION("""COMPUTED_VALUE"""),"IGEO")</f>
        <v>IGEO</v>
      </c>
      <c r="G623" s="45" t="str">
        <f>IFERROR(__xludf.DUMMYFUNCTION("""COMPUTED_VALUE"""),"Bloco B")</f>
        <v>Bloco B</v>
      </c>
      <c r="H623" s="46" t="str">
        <f>IFERROR(__xludf.DUMMYFUNCTION("""COMPUTED_VALUE"""),"Corredor")</f>
        <v>Corredor</v>
      </c>
      <c r="I623" s="7" t="str">
        <f>IFERROR(__xludf.DUMMYFUNCTION("""COMPUTED_VALUE"""),"Pintura")</f>
        <v>Pintura</v>
      </c>
      <c r="J623" s="13" t="str">
        <f>IFERROR(__xludf.DUMMYFUNCTION("""COMPUTED_VALUE"""),"06 Pintura / 47 - Outros (PRAZO DE ACORDO COM A DEMANDA)")</f>
        <v>06 Pintura / 47 - Outros (PRAZO DE ACORDO COM A DEMANDA)</v>
      </c>
      <c r="K623" s="13"/>
      <c r="L623" s="13" t="str">
        <f>IFERROR(__xludf.DUMMYFUNCTION("""COMPUTED_VALUE"""),"Pintura de dois bancos de cimento em frente o Laboratório de Cartografia. ")</f>
        <v>Pintura de dois bancos de cimento em frente o Laboratório de Cartografia. </v>
      </c>
      <c r="M623" s="20"/>
      <c r="N623" s="26" t="str">
        <f>IFERROR(__xludf.DUMMYFUNCTION("""COMPUTED_VALUE"""),"Realizado")</f>
        <v>Realizado</v>
      </c>
      <c r="O623" s="11">
        <f>IFERROR(__xludf.DUMMYFUNCTION("""COMPUTED_VALUE"""),45392.0)</f>
        <v>45392</v>
      </c>
      <c r="P623" s="11"/>
    </row>
    <row r="624" ht="27.0" customHeight="1">
      <c r="A624" s="20" t="str">
        <f>IFERROR(__xludf.DUMMYFUNCTION("""COMPUTED_VALUE"""),"622/2024")</f>
        <v>622/2024</v>
      </c>
      <c r="B624" s="8">
        <f>IFERROR(__xludf.DUMMYFUNCTION("""COMPUTED_VALUE"""),45384.402462604165)</f>
        <v>45384.40246</v>
      </c>
      <c r="C624" s="44" t="str">
        <f>IFERROR(__xludf.DUMMYFUNCTION("""COMPUTED_VALUE"""),"patriciafmatos@ufcat.edu.br")</f>
        <v>patriciafmatos@ufcat.edu.br</v>
      </c>
      <c r="D624" s="45" t="str">
        <f>IFERROR(__xludf.DUMMYFUNCTION("""COMPUTED_VALUE"""),"PATRÍCIA FRANCISCA DE MATOS")</f>
        <v>PATRÍCIA FRANCISCA DE MATOS</v>
      </c>
      <c r="E624" s="47">
        <f>IFERROR(__xludf.DUMMYFUNCTION("""COMPUTED_VALUE"""),5305.0)</f>
        <v>5305</v>
      </c>
      <c r="F624" s="45" t="str">
        <f>IFERROR(__xludf.DUMMYFUNCTION("""COMPUTED_VALUE"""),"IGEO")</f>
        <v>IGEO</v>
      </c>
      <c r="G624" s="45" t="str">
        <f>IFERROR(__xludf.DUMMYFUNCTION("""COMPUTED_VALUE"""),"Bloco B")</f>
        <v>Bloco B</v>
      </c>
      <c r="H624" s="46" t="str">
        <f>IFERROR(__xludf.DUMMYFUNCTION("""COMPUTED_VALUE"""),"Pintar as letras de identificação do bloco")</f>
        <v>Pintar as letras de identificação do bloco</v>
      </c>
      <c r="I624" s="7" t="str">
        <f>IFERROR(__xludf.DUMMYFUNCTION("""COMPUTED_VALUE"""),"Pintura")</f>
        <v>Pintura</v>
      </c>
      <c r="J624" s="13" t="str">
        <f>IFERROR(__xludf.DUMMYFUNCTION("""COMPUTED_VALUE"""),"06 Pintura / 47 - Outros (PRAZO DE ACORDO COM A DEMANDA)")</f>
        <v>06 Pintura / 47 - Outros (PRAZO DE ACORDO COM A DEMANDA)</v>
      </c>
      <c r="K624" s="13"/>
      <c r="L624" s="13" t="str">
        <f>IFERROR(__xludf.DUMMYFUNCTION("""COMPUTED_VALUE"""),"Pintar as letras de identificação do bloco")</f>
        <v>Pintar as letras de identificação do bloco</v>
      </c>
      <c r="M624" s="20"/>
      <c r="N624" s="26" t="str">
        <f>IFERROR(__xludf.DUMMYFUNCTION("""COMPUTED_VALUE"""),"Realizado")</f>
        <v>Realizado</v>
      </c>
      <c r="O624" s="11">
        <f>IFERROR(__xludf.DUMMYFUNCTION("""COMPUTED_VALUE"""),45393.0)</f>
        <v>45393</v>
      </c>
      <c r="P624" s="11"/>
    </row>
    <row r="625" ht="27.0" customHeight="1">
      <c r="A625" s="20" t="str">
        <f>IFERROR(__xludf.DUMMYFUNCTION("""COMPUTED_VALUE"""),"623/2024")</f>
        <v>623/2024</v>
      </c>
      <c r="B625" s="8">
        <f>IFERROR(__xludf.DUMMYFUNCTION("""COMPUTED_VALUE"""),45384.42587627315)</f>
        <v>45384.42588</v>
      </c>
      <c r="C625" s="44" t="str">
        <f>IFERROR(__xludf.DUMMYFUNCTION("""COMPUTED_VALUE"""),"sga.arquim@ufcat.edu.br")</f>
        <v>sga.arquim@ufcat.edu.br</v>
      </c>
      <c r="D625" s="45" t="str">
        <f>IFERROR(__xludf.DUMMYFUNCTION("""COMPUTED_VALUE"""),"Andréa")</f>
        <v>Andréa</v>
      </c>
      <c r="E625" s="47">
        <f>IFERROR(__xludf.DUMMYFUNCTION("""COMPUTED_VALUE"""),5335.0)</f>
        <v>5335</v>
      </c>
      <c r="F625" s="45" t="str">
        <f>IFERROR(__xludf.DUMMYFUNCTION("""COMPUTED_VALUE"""),"CIDARQ")</f>
        <v>CIDARQ</v>
      </c>
      <c r="G625" s="45" t="str">
        <f>IFERROR(__xludf.DUMMYFUNCTION("""COMPUTED_VALUE"""),"Bloco Administrativo")</f>
        <v>Bloco Administrativo</v>
      </c>
      <c r="H625" s="46" t="str">
        <f>IFERROR(__xludf.DUMMYFUNCTION("""COMPUTED_VALUE"""),"Sala 06")</f>
        <v>Sala 06</v>
      </c>
      <c r="I625" s="7" t="str">
        <f>IFERROR(__xludf.DUMMYFUNCTION("""COMPUTED_VALUE"""),"Reparos (alvenaria, piso, forro e telhado)")</f>
        <v>Reparos (alvenaria, piso, forro e telhado)</v>
      </c>
      <c r="J625" s="13" t="str">
        <f>IFERROR(__xludf.DUMMYFUNCTION("""COMPUTED_VALUE"""),"01 Alvenaria / 06 - Outros (PRAZO DE ATÉ 60 DIAS PARA ATENDIMENTO)")</f>
        <v>01 Alvenaria / 06 - Outros (PRAZO DE ATÉ 60 DIAS PARA ATENDIMENTO)</v>
      </c>
      <c r="K625" s="13"/>
      <c r="L625" s="13" t="str">
        <f>IFERROR(__xludf.DUMMYFUNCTION("""COMPUTED_VALUE"""),"Com a forte chuva da semana passada, em 27/03/2024, houve vazamento de água atrás do aparelho de ar-condicionado, molhando a parede e o papel fixado em uma das folhas da janela de correr com 4 folhas de vidro.")</f>
        <v>Com a forte chuva da semana passada, em 27/03/2024, houve vazamento de água atrás do aparelho de ar-condicionado, molhando a parede e o papel fixado em uma das folhas da janela de correr com 4 folhas de vidro.</v>
      </c>
      <c r="M625" s="20"/>
      <c r="N625" s="26" t="str">
        <f>IFERROR(__xludf.DUMMYFUNCTION("""COMPUTED_VALUE"""),"Realizado")</f>
        <v>Realizado</v>
      </c>
      <c r="O625" s="11">
        <f>IFERROR(__xludf.DUMMYFUNCTION("""COMPUTED_VALUE"""),45387.0)</f>
        <v>45387</v>
      </c>
      <c r="P625" s="11"/>
    </row>
    <row r="626" ht="27.0" customHeight="1">
      <c r="A626" s="20" t="str">
        <f>IFERROR(__xludf.DUMMYFUNCTION("""COMPUTED_VALUE"""),"624/2024")</f>
        <v>624/2024</v>
      </c>
      <c r="B626" s="8">
        <f>IFERROR(__xludf.DUMMYFUNCTION("""COMPUTED_VALUE"""),45384.437928680556)</f>
        <v>45384.43793</v>
      </c>
      <c r="C626" s="44" t="str">
        <f>IFERROR(__xludf.DUMMYFUNCTION("""COMPUTED_VALUE"""),"cpatri.proaf@ufcat.edu.br")</f>
        <v>cpatri.proaf@ufcat.edu.br</v>
      </c>
      <c r="D626" s="45" t="str">
        <f>IFERROR(__xludf.DUMMYFUNCTION("""COMPUTED_VALUE"""),"Fábio Gonçalves")</f>
        <v>Fábio Gonçalves</v>
      </c>
      <c r="E626" s="47">
        <f>IFERROR(__xludf.DUMMYFUNCTION("""COMPUTED_VALUE"""),5343.0)</f>
        <v>5343</v>
      </c>
      <c r="F626" s="45" t="str">
        <f>IFERROR(__xludf.DUMMYFUNCTION("""COMPUTED_VALUE"""),"CPATRI")</f>
        <v>CPATRI</v>
      </c>
      <c r="G626" s="45" t="str">
        <f>IFERROR(__xludf.DUMMYFUNCTION("""COMPUTED_VALUE"""),"Estacionamento")</f>
        <v>Estacionamento</v>
      </c>
      <c r="H626" s="46" t="str">
        <f>IFERROR(__xludf.DUMMYFUNCTION("""COMPUTED_VALUE"""),"tendas da cpatri")</f>
        <v>tendas da cpatri</v>
      </c>
      <c r="I626" s="7" t="str">
        <f>IFERROR(__xludf.DUMMYFUNCTION("""COMPUTED_VALUE"""),"Reparos (alvenaria, piso, forro e telhado)")</f>
        <v>Reparos (alvenaria, piso, forro e telhado)</v>
      </c>
      <c r="J626" s="13" t="str">
        <f>IFERROR(__xludf.DUMMYFUNCTION("""COMPUTED_VALUE"""),"01 Alvenaria / 05 - Piso (PRAZO DE ATÉ 60 DIAS PARA ATENDIMENTO)")</f>
        <v>01 Alvenaria / 05 - Piso (PRAZO DE ATÉ 60 DIAS PARA ATENDIMENTO)</v>
      </c>
      <c r="K626" s="13"/>
      <c r="L626" s="13" t="str">
        <f>IFERROR(__xludf.DUMMYFUNCTION("""COMPUTED_VALUE"""),"Foi solicitado ao senhor Geraldo dos Reis que fizesse uma limpesa nas tendas do pessoal do Cpatri, o serviço ja foi executado. Apenas enviando essa ordem se serviço para registro da prefeitura.")</f>
        <v>Foi solicitado ao senhor Geraldo dos Reis que fizesse uma limpesa nas tendas do pessoal do Cpatri, o serviço ja foi executado. Apenas enviando essa ordem se serviço para registro da prefeitura.</v>
      </c>
      <c r="M626" s="20"/>
      <c r="N626" s="26" t="str">
        <f>IFERROR(__xludf.DUMMYFUNCTION("""COMPUTED_VALUE"""),"Realizado")</f>
        <v>Realizado</v>
      </c>
      <c r="O626" s="11">
        <f>IFERROR(__xludf.DUMMYFUNCTION("""COMPUTED_VALUE"""),45385.0)</f>
        <v>45385</v>
      </c>
      <c r="P626" s="11"/>
    </row>
    <row r="627" ht="27.0" customHeight="1">
      <c r="A627" s="20" t="str">
        <f>IFERROR(__xludf.DUMMYFUNCTION("""COMPUTED_VALUE"""),"625/2024")</f>
        <v>625/2024</v>
      </c>
      <c r="B627" s="8">
        <f>IFERROR(__xludf.DUMMYFUNCTION("""COMPUTED_VALUE"""),45384.43823546296)</f>
        <v>45384.43824</v>
      </c>
      <c r="C627" s="44" t="str">
        <f>IFERROR(__xludf.DUMMYFUNCTION("""COMPUTED_VALUE"""),"sga.arquim@ufcat.edu.br")</f>
        <v>sga.arquim@ufcat.edu.br</v>
      </c>
      <c r="D627" s="45" t="str">
        <f>IFERROR(__xludf.DUMMYFUNCTION("""COMPUTED_VALUE"""),"Andréa")</f>
        <v>Andréa</v>
      </c>
      <c r="E627" s="47">
        <f>IFERROR(__xludf.DUMMYFUNCTION("""COMPUTED_VALUE"""),5335.0)</f>
        <v>5335</v>
      </c>
      <c r="F627" s="45" t="str">
        <f>IFERROR(__xludf.DUMMYFUNCTION("""COMPUTED_VALUE"""),"CIDARQ")</f>
        <v>CIDARQ</v>
      </c>
      <c r="G627" s="45" t="str">
        <f>IFERROR(__xludf.DUMMYFUNCTION("""COMPUTED_VALUE"""),"Bloco Administrativo")</f>
        <v>Bloco Administrativo</v>
      </c>
      <c r="H627" s="46" t="str">
        <f>IFERROR(__xludf.DUMMYFUNCTION("""COMPUTED_VALUE"""),"Salas 06, 07 e 23")</f>
        <v>Salas 06, 07 e 23</v>
      </c>
      <c r="I627" s="7" t="str">
        <f>IFERROR(__xludf.DUMMYFUNCTION("""COMPUTED_VALUE"""),"Vidraçaria")</f>
        <v>Vidraçaria</v>
      </c>
      <c r="J627" s="13" t="str">
        <f>IFERROR(__xludf.DUMMYFUNCTION("""COMPUTED_VALUE"""),"07 Vidraçaria / 50 - Trava interna janela (PRAZO DE ATÉ 60 DIAS PARA ATENDIMENTO)")</f>
        <v>07 Vidraçaria / 50 - Trava interna janela (PRAZO DE ATÉ 60 DIAS PARA ATENDIMENTO)</v>
      </c>
      <c r="K627" s="13"/>
      <c r="L627" s="13" t="str">
        <f>IFERROR(__xludf.DUMMYFUNCTION("""COMPUTED_VALUE"""),"Reforçar janelas de correr 4 folhas de vidro com travas de segurança interna, de acordo com o especificado a seguir:
sala 06: 4 janelas 
sala 07: 1 janela e
sala 23: 1 janela. ")</f>
        <v>Reforçar janelas de correr 4 folhas de vidro com travas de segurança interna, de acordo com o especificado a seguir:
sala 06: 4 janelas 
sala 07: 1 janela e
sala 23: 1 janela. </v>
      </c>
      <c r="M627" s="20" t="str">
        <f>IFERROR(__xludf.DUMMYFUNCTION("""COMPUTED_VALUE"""),"Trinca ")</f>
        <v>Trinca </v>
      </c>
      <c r="N627" s="26" t="str">
        <f>IFERROR(__xludf.DUMMYFUNCTION("""COMPUTED_VALUE"""),"Aguardando Mat./Equipam.")</f>
        <v>Aguardando Mat./Equipam.</v>
      </c>
      <c r="O627" s="11"/>
      <c r="P627" s="11"/>
    </row>
    <row r="628" ht="27.0" customHeight="1">
      <c r="A628" s="20" t="str">
        <f>IFERROR(__xludf.DUMMYFUNCTION("""COMPUTED_VALUE"""),"626/2024")</f>
        <v>626/2024</v>
      </c>
      <c r="B628" s="8">
        <f>IFERROR(__xludf.DUMMYFUNCTION("""COMPUTED_VALUE"""),45384.475994085646)</f>
        <v>45384.47599</v>
      </c>
      <c r="C628" s="44" t="str">
        <f>IFERROR(__xludf.DUMMYFUNCTION("""COMPUTED_VALUE"""),"rafael.pereira@ufcat.edu.br")</f>
        <v>rafael.pereira@ufcat.edu.br</v>
      </c>
      <c r="D628" s="45" t="str">
        <f>IFERROR(__xludf.DUMMYFUNCTION("""COMPUTED_VALUE"""),"Rafael Pereira")</f>
        <v>Rafael Pereira</v>
      </c>
      <c r="E628" s="47">
        <f>IFERROR(__xludf.DUMMYFUNCTION("""COMPUTED_VALUE"""),7620.0)</f>
        <v>7620</v>
      </c>
      <c r="F628" s="45" t="str">
        <f>IFERROR(__xludf.DUMMYFUNCTION("""COMPUTED_VALUE"""),"REITORIA")</f>
        <v>REITORIA</v>
      </c>
      <c r="G628" s="45" t="str">
        <f>IFERROR(__xludf.DUMMYFUNCTION("""COMPUTED_VALUE"""),"Bloco Administrativo")</f>
        <v>Bloco Administrativo</v>
      </c>
      <c r="H628" s="46">
        <f>IFERROR(__xludf.DUMMYFUNCTION("""COMPUTED_VALUE"""),122.0)</f>
        <v>122</v>
      </c>
      <c r="I628" s="7" t="str">
        <f>IFERROR(__xludf.DUMMYFUNCTION("""COMPUTED_VALUE"""),"Pequenos serviços de reparos em Marcenaria")</f>
        <v>Pequenos serviços de reparos em Marcenaria</v>
      </c>
      <c r="J628" s="13" t="str">
        <f>IFERROR(__xludf.DUMMYFUNCTION("""COMPUTED_VALUE"""),"03 Marcenaria / 29 - Outros (PRAZO DE ACORDO COM A DEMANDA)")</f>
        <v>03 Marcenaria / 29 - Outros (PRAZO DE ACORDO COM A DEMANDA)</v>
      </c>
      <c r="K628" s="13"/>
      <c r="L628" s="13" t="str">
        <f>IFERROR(__xludf.DUMMYFUNCTION("""COMPUTED_VALUE"""),"Instalação de quadro branco, 120x200mm, moldura alumínio")</f>
        <v>Instalação de quadro branco, 120x200mm, moldura alumínio</v>
      </c>
      <c r="M628" s="20"/>
      <c r="N628" s="26" t="str">
        <f>IFERROR(__xludf.DUMMYFUNCTION("""COMPUTED_VALUE"""),"Realizado")</f>
        <v>Realizado</v>
      </c>
      <c r="O628" s="11">
        <f>IFERROR(__xludf.DUMMYFUNCTION("""COMPUTED_VALUE"""),45385.0)</f>
        <v>45385</v>
      </c>
      <c r="P628" s="11"/>
    </row>
    <row r="629" ht="27.0" customHeight="1">
      <c r="A629" s="20" t="str">
        <f>IFERROR(__xludf.DUMMYFUNCTION("""COMPUTED_VALUE"""),"627/2024")</f>
        <v>627/2024</v>
      </c>
      <c r="B629" s="8">
        <f>IFERROR(__xludf.DUMMYFUNCTION("""COMPUTED_VALUE"""),45385.3300508449)</f>
        <v>45385.33005</v>
      </c>
      <c r="C629" s="44" t="str">
        <f>IFERROR(__xludf.DUMMYFUNCTION("""COMPUTED_VALUE"""),"amanda.lopes@ufcat.edu.br")</f>
        <v>amanda.lopes@ufcat.edu.br</v>
      </c>
      <c r="D629" s="45" t="str">
        <f>IFERROR(__xludf.DUMMYFUNCTION("""COMPUTED_VALUE"""),"Amanda Matos ")</f>
        <v>Amanda Matos </v>
      </c>
      <c r="E629" s="47">
        <f>IFERROR(__xludf.DUMMYFUNCTION("""COMPUTED_VALUE"""),5340.0)</f>
        <v>5340</v>
      </c>
      <c r="F629" s="45" t="str">
        <f>IFERROR(__xludf.DUMMYFUNCTION("""COMPUTED_VALUE"""),"PREF")</f>
        <v>PREF</v>
      </c>
      <c r="G629" s="45" t="str">
        <f>IFERROR(__xludf.DUMMYFUNCTION("""COMPUTED_VALUE"""),"Bloco P")</f>
        <v>Bloco P</v>
      </c>
      <c r="H629" s="46" t="str">
        <f>IFERROR(__xludf.DUMMYFUNCTION("""COMPUTED_VALUE"""),"caixa de força ")</f>
        <v>caixa de força </v>
      </c>
      <c r="I629" s="7" t="str">
        <f>IFERROR(__xludf.DUMMYFUNCTION("""COMPUTED_VALUE"""),"Instalações elétricas")</f>
        <v>Instalações elétricas</v>
      </c>
      <c r="J629" s="13" t="str">
        <f>IFERROR(__xludf.DUMMYFUNCTION("""COMPUTED_VALUE"""),"04 Elétrica / 37 - Outros (PRAZO DE ACORDO COM A DEMANDA)")</f>
        <v>04 Elétrica / 37 - Outros (PRAZO DE ACORDO COM A DEMANDA)</v>
      </c>
      <c r="K629" s="13"/>
      <c r="L629" s="13" t="str">
        <f>IFERROR(__xludf.DUMMYFUNCTION("""COMPUTED_VALUE"""),"Manutenção de cabine de força parte elétrica e impermeabilização ")</f>
        <v>Manutenção de cabine de força parte elétrica e impermeabilização </v>
      </c>
      <c r="M629" s="20"/>
      <c r="N629" s="26" t="str">
        <f>IFERROR(__xludf.DUMMYFUNCTION("""COMPUTED_VALUE"""),"Realizado")</f>
        <v>Realizado</v>
      </c>
      <c r="O629" s="11">
        <f>IFERROR(__xludf.DUMMYFUNCTION("""COMPUTED_VALUE"""),45386.0)</f>
        <v>45386</v>
      </c>
      <c r="P629" s="11"/>
    </row>
    <row r="630" ht="27.0" customHeight="1">
      <c r="A630" s="20" t="str">
        <f>IFERROR(__xludf.DUMMYFUNCTION("""COMPUTED_VALUE"""),"628/2024")</f>
        <v>628/2024</v>
      </c>
      <c r="B630" s="8">
        <f>IFERROR(__xludf.DUMMYFUNCTION("""COMPUTED_VALUE"""),45385.335090312496)</f>
        <v>45385.33509</v>
      </c>
      <c r="C630" s="44" t="str">
        <f>IFERROR(__xludf.DUMMYFUNCTION("""COMPUTED_VALUE"""),"amanda.lopes@ufcat.edu.br")</f>
        <v>amanda.lopes@ufcat.edu.br</v>
      </c>
      <c r="D630" s="45" t="str">
        <f>IFERROR(__xludf.DUMMYFUNCTION("""COMPUTED_VALUE"""),"Amanda Matos ")</f>
        <v>Amanda Matos </v>
      </c>
      <c r="E630" s="47">
        <f>IFERROR(__xludf.DUMMYFUNCTION("""COMPUTED_VALUE"""),5340.0)</f>
        <v>5340</v>
      </c>
      <c r="F630" s="45" t="str">
        <f>IFERROR(__xludf.DUMMYFUNCTION("""COMPUTED_VALUE"""),"PREF")</f>
        <v>PREF</v>
      </c>
      <c r="G630" s="45" t="str">
        <f>IFERROR(__xludf.DUMMYFUNCTION("""COMPUTED_VALUE"""),"Bloco O")</f>
        <v>Bloco O</v>
      </c>
      <c r="H630" s="46" t="str">
        <f>IFERROR(__xludf.DUMMYFUNCTION("""COMPUTED_VALUE"""),"Corredor interno ")</f>
        <v>Corredor interno </v>
      </c>
      <c r="I630" s="7" t="str">
        <f>IFERROR(__xludf.DUMMYFUNCTION("""COMPUTED_VALUE"""),"Instalações elétricas")</f>
        <v>Instalações elétricas</v>
      </c>
      <c r="J630" s="13" t="str">
        <f>IFERROR(__xludf.DUMMYFUNCTION("""COMPUTED_VALUE"""),"04 Elétrica / 35 - Troca de Lâmpadas (PRAZO DE ATÉ 15 DIAS PARA ATENDIMENTO)")</f>
        <v>04 Elétrica / 35 - Troca de Lâmpadas (PRAZO DE ATÉ 15 DIAS PARA ATENDIMENTO)</v>
      </c>
      <c r="K630" s="13"/>
      <c r="L630" s="13" t="str">
        <f>IFERROR(__xludf.DUMMYFUNCTION("""COMPUTED_VALUE"""),"Revisão de iluminação ")</f>
        <v>Revisão de iluminação </v>
      </c>
      <c r="M630" s="20"/>
      <c r="N630" s="26" t="str">
        <f>IFERROR(__xludf.DUMMYFUNCTION("""COMPUTED_VALUE"""),"Realizado")</f>
        <v>Realizado</v>
      </c>
      <c r="O630" s="11">
        <f>IFERROR(__xludf.DUMMYFUNCTION("""COMPUTED_VALUE"""),45386.0)</f>
        <v>45386</v>
      </c>
      <c r="P630" s="11"/>
    </row>
    <row r="631" ht="27.0" customHeight="1">
      <c r="A631" s="20" t="str">
        <f>IFERROR(__xludf.DUMMYFUNCTION("""COMPUTED_VALUE"""),"629/2024")</f>
        <v>629/2024</v>
      </c>
      <c r="B631" s="8">
        <f>IFERROR(__xludf.DUMMYFUNCTION("""COMPUTED_VALUE"""),45385.33567836805)</f>
        <v>45385.33568</v>
      </c>
      <c r="C631" s="44" t="str">
        <f>IFERROR(__xludf.DUMMYFUNCTION("""COMPUTED_VALUE"""),"amanda.lopes@ufcat.edu.br")</f>
        <v>amanda.lopes@ufcat.edu.br</v>
      </c>
      <c r="D631" s="45" t="str">
        <f>IFERROR(__xludf.DUMMYFUNCTION("""COMPUTED_VALUE"""),"Amanda Matos ")</f>
        <v>Amanda Matos </v>
      </c>
      <c r="E631" s="47">
        <f>IFERROR(__xludf.DUMMYFUNCTION("""COMPUTED_VALUE"""),5340.0)</f>
        <v>5340</v>
      </c>
      <c r="F631" s="45" t="str">
        <f>IFERROR(__xludf.DUMMYFUNCTION("""COMPUTED_VALUE"""),"PREF")</f>
        <v>PREF</v>
      </c>
      <c r="G631" s="45" t="str">
        <f>IFERROR(__xludf.DUMMYFUNCTION("""COMPUTED_VALUE"""),"Didatico I")</f>
        <v>Didatico I</v>
      </c>
      <c r="H631" s="46" t="str">
        <f>IFERROR(__xludf.DUMMYFUNCTION("""COMPUTED_VALUE"""),"Todo o predio ")</f>
        <v>Todo o predio </v>
      </c>
      <c r="I631" s="7" t="str">
        <f>IFERROR(__xludf.DUMMYFUNCTION("""COMPUTED_VALUE"""),"Instalações elétricas")</f>
        <v>Instalações elétricas</v>
      </c>
      <c r="J631" s="13" t="str">
        <f>IFERROR(__xludf.DUMMYFUNCTION("""COMPUTED_VALUE"""),"04 Elétrica / 35 - Troca de Lâmpadas (PRAZO DE ATÉ 15 DIAS PARA ATENDIMENTO)")</f>
        <v>04 Elétrica / 35 - Troca de Lâmpadas (PRAZO DE ATÉ 15 DIAS PARA ATENDIMENTO)</v>
      </c>
      <c r="K631" s="13"/>
      <c r="L631" s="13" t="str">
        <f>IFERROR(__xludf.DUMMYFUNCTION("""COMPUTED_VALUE"""),"Revisão de iluminação ")</f>
        <v>Revisão de iluminação </v>
      </c>
      <c r="M631" s="20"/>
      <c r="N631" s="26" t="str">
        <f>IFERROR(__xludf.DUMMYFUNCTION("""COMPUTED_VALUE"""),"Realizado")</f>
        <v>Realizado</v>
      </c>
      <c r="O631" s="11">
        <f>IFERROR(__xludf.DUMMYFUNCTION("""COMPUTED_VALUE"""),45386.0)</f>
        <v>45386</v>
      </c>
      <c r="P631" s="11"/>
    </row>
    <row r="632" ht="27.0" customHeight="1">
      <c r="A632" s="20" t="str">
        <f>IFERROR(__xludf.DUMMYFUNCTION("""COMPUTED_VALUE"""),"630/2024")</f>
        <v>630/2024</v>
      </c>
      <c r="B632" s="8">
        <f>IFERROR(__xludf.DUMMYFUNCTION("""COMPUTED_VALUE"""),45385.3363478588)</f>
        <v>45385.33635</v>
      </c>
      <c r="C632" s="44" t="str">
        <f>IFERROR(__xludf.DUMMYFUNCTION("""COMPUTED_VALUE"""),"amanda.lopes@ufcat.edu.br")</f>
        <v>amanda.lopes@ufcat.edu.br</v>
      </c>
      <c r="D632" s="45" t="str">
        <f>IFERROR(__xludf.DUMMYFUNCTION("""COMPUTED_VALUE"""),"Amanda Matos ")</f>
        <v>Amanda Matos </v>
      </c>
      <c r="E632" s="47">
        <f>IFERROR(__xludf.DUMMYFUNCTION("""COMPUTED_VALUE"""),5340.0)</f>
        <v>5340</v>
      </c>
      <c r="F632" s="45" t="str">
        <f>IFERROR(__xludf.DUMMYFUNCTION("""COMPUTED_VALUE"""),"PREF")</f>
        <v>PREF</v>
      </c>
      <c r="G632" s="45" t="str">
        <f>IFERROR(__xludf.DUMMYFUNCTION("""COMPUTED_VALUE"""),"Didático II")</f>
        <v>Didático II</v>
      </c>
      <c r="H632" s="46" t="str">
        <f>IFERROR(__xludf.DUMMYFUNCTION("""COMPUTED_VALUE"""),"Todo o predio ")</f>
        <v>Todo o predio </v>
      </c>
      <c r="I632" s="7" t="str">
        <f>IFERROR(__xludf.DUMMYFUNCTION("""COMPUTED_VALUE"""),"Instalações elétricas")</f>
        <v>Instalações elétricas</v>
      </c>
      <c r="J632" s="13" t="str">
        <f>IFERROR(__xludf.DUMMYFUNCTION("""COMPUTED_VALUE"""),"04 Elétrica / 35 - Troca de Lâmpadas (PRAZO DE ATÉ 15 DIAS PARA ATENDIMENTO)")</f>
        <v>04 Elétrica / 35 - Troca de Lâmpadas (PRAZO DE ATÉ 15 DIAS PARA ATENDIMENTO)</v>
      </c>
      <c r="K632" s="13"/>
      <c r="L632" s="13" t="str">
        <f>IFERROR(__xludf.DUMMYFUNCTION("""COMPUTED_VALUE"""),"Revisão de iluminação ")</f>
        <v>Revisão de iluminação </v>
      </c>
      <c r="M632" s="20"/>
      <c r="N632" s="26" t="str">
        <f>IFERROR(__xludf.DUMMYFUNCTION("""COMPUTED_VALUE"""),"Realizado")</f>
        <v>Realizado</v>
      </c>
      <c r="O632" s="11">
        <f>IFERROR(__xludf.DUMMYFUNCTION("""COMPUTED_VALUE"""),45386.0)</f>
        <v>45386</v>
      </c>
      <c r="P632" s="11"/>
    </row>
    <row r="633" ht="27.0" customHeight="1">
      <c r="A633" s="20" t="str">
        <f>IFERROR(__xludf.DUMMYFUNCTION("""COMPUTED_VALUE"""),"631/2024")</f>
        <v>631/2024</v>
      </c>
      <c r="B633" s="8">
        <f>IFERROR(__xludf.DUMMYFUNCTION("""COMPUTED_VALUE"""),45385.35993695602)</f>
        <v>45385.35994</v>
      </c>
      <c r="C633" s="44" t="str">
        <f>IFERROR(__xludf.DUMMYFUNCTION("""COMPUTED_VALUE"""),"mariaeduarda.borges@ufcat.edu.br")</f>
        <v>mariaeduarda.borges@ufcat.edu.br</v>
      </c>
      <c r="D633" s="45" t="str">
        <f>IFERROR(__xludf.DUMMYFUNCTION("""COMPUTED_VALUE"""),"Maria Eduarda Silva Borges ")</f>
        <v>Maria Eduarda Silva Borges </v>
      </c>
      <c r="E633" s="47">
        <f>IFERROR(__xludf.DUMMYFUNCTION("""COMPUTED_VALUE"""),5340.0)</f>
        <v>5340</v>
      </c>
      <c r="F633" s="45" t="str">
        <f>IFERROR(__xludf.DUMMYFUNCTION("""COMPUTED_VALUE"""),"PREF")</f>
        <v>PREF</v>
      </c>
      <c r="G633" s="45" t="str">
        <f>IFERROR(__xludf.DUMMYFUNCTION("""COMPUTED_VALUE"""),"Bloco M")</f>
        <v>Bloco M</v>
      </c>
      <c r="H633" s="46" t="str">
        <f>IFERROR(__xludf.DUMMYFUNCTION("""COMPUTED_VALUE"""),"BANHEIRO MASCULINO TÉRREO")</f>
        <v>BANHEIRO MASCULINO TÉRREO</v>
      </c>
      <c r="I633" s="7" t="str">
        <f>IFERROR(__xludf.DUMMYFUNCTION("""COMPUTED_VALUE"""),"Instalações elétricas")</f>
        <v>Instalações elétricas</v>
      </c>
      <c r="J633" s="13" t="str">
        <f>IFERROR(__xludf.DUMMYFUNCTION("""COMPUTED_VALUE"""),"04 Elétrica / 35 - Troca de Lâmpadas (PRAZO DE ATÉ 15 DIAS PARA ATENDIMENTO)")</f>
        <v>04 Elétrica / 35 - Troca de Lâmpadas (PRAZO DE ATÉ 15 DIAS PARA ATENDIMENTO)</v>
      </c>
      <c r="K633" s="13"/>
      <c r="L633" s="13" t="str">
        <f>IFERROR(__xludf.DUMMYFUNCTION("""COMPUTED_VALUE"""),"A lâmpada do banheiro masculino térreo do Bloco M, está queimada.")</f>
        <v>A lâmpada do banheiro masculino térreo do Bloco M, está queimada.</v>
      </c>
      <c r="M633" s="20"/>
      <c r="N633" s="26" t="str">
        <f>IFERROR(__xludf.DUMMYFUNCTION("""COMPUTED_VALUE"""),"Realizado")</f>
        <v>Realizado</v>
      </c>
      <c r="O633" s="11">
        <f>IFERROR(__xludf.DUMMYFUNCTION("""COMPUTED_VALUE"""),45386.0)</f>
        <v>45386</v>
      </c>
      <c r="P633" s="11"/>
    </row>
    <row r="634" ht="27.0" customHeight="1">
      <c r="A634" s="20" t="str">
        <f>IFERROR(__xludf.DUMMYFUNCTION("""COMPUTED_VALUE"""),"632/2024")</f>
        <v>632/2024</v>
      </c>
      <c r="B634" s="8">
        <f>IFERROR(__xludf.DUMMYFUNCTION("""COMPUTED_VALUE"""),45385.367022465274)</f>
        <v>45385.36702</v>
      </c>
      <c r="C634" s="44" t="str">
        <f>IFERROR(__xludf.DUMMYFUNCTION("""COMPUTED_VALUE"""),"dimas.junior@ufcat.edu.br")</f>
        <v>dimas.junior@ufcat.edu.br</v>
      </c>
      <c r="D634" s="45" t="str">
        <f>IFERROR(__xludf.DUMMYFUNCTION("""COMPUTED_VALUE"""),"Dimas Antonio Rosa Junior")</f>
        <v>Dimas Antonio Rosa Junior</v>
      </c>
      <c r="E634" s="47" t="str">
        <f>IFERROR(__xludf.DUMMYFUNCTION("""COMPUTED_VALUE"""),"64 9 96134145")</f>
        <v>64 9 96134145</v>
      </c>
      <c r="F634" s="45" t="str">
        <f>IFERROR(__xludf.DUMMYFUNCTION("""COMPUTED_VALUE"""),"FENG - Engenharia de Minas")</f>
        <v>FENG - Engenharia de Minas</v>
      </c>
      <c r="G634" s="45" t="str">
        <f>IFERROR(__xludf.DUMMYFUNCTION("""COMPUTED_VALUE"""),"Bloco O")</f>
        <v>Bloco O</v>
      </c>
      <c r="H634" s="46" t="str">
        <f>IFERROR(__xludf.DUMMYFUNCTION("""COMPUTED_VALUE"""),"Laboratorio de Projetos e Planejamento, sala 21")</f>
        <v>Laboratorio de Projetos e Planejamento, sala 21</v>
      </c>
      <c r="I634" s="7" t="str">
        <f>IFERROR(__xludf.DUMMYFUNCTION("""COMPUTED_VALUE"""),"Instalações elétricas")</f>
        <v>Instalações elétricas</v>
      </c>
      <c r="J634" s="13" t="str">
        <f>IFERROR(__xludf.DUMMYFUNCTION("""COMPUTED_VALUE"""),"04 Elétrica / 34 - Tomada Uso Geral (PRAZO DE ATÉ 15 DIAS PARA ATENDIMENTO)")</f>
        <v>04 Elétrica / 34 - Tomada Uso Geral (PRAZO DE ATÉ 15 DIAS PARA ATENDIMENTO)</v>
      </c>
      <c r="K634" s="13"/>
      <c r="L634" s="13" t="str">
        <f>IFERROR(__xludf.DUMMYFUNCTION("""COMPUTED_VALUE"""),"Sala 21 e sala do switch de TI sem energia nas tomadas")</f>
        <v>Sala 21 e sala do switch de TI sem energia nas tomadas</v>
      </c>
      <c r="M634" s="20"/>
      <c r="N634" s="26" t="str">
        <f>IFERROR(__xludf.DUMMYFUNCTION("""COMPUTED_VALUE"""),"Realizado")</f>
        <v>Realizado</v>
      </c>
      <c r="O634" s="11">
        <f>IFERROR(__xludf.DUMMYFUNCTION("""COMPUTED_VALUE"""),45385.0)</f>
        <v>45385</v>
      </c>
      <c r="P634" s="11"/>
    </row>
    <row r="635" ht="27.0" customHeight="1">
      <c r="A635" s="20" t="str">
        <f>IFERROR(__xludf.DUMMYFUNCTION("""COMPUTED_VALUE"""),"633/2024")</f>
        <v>633/2024</v>
      </c>
      <c r="B635" s="8">
        <f>IFERROR(__xludf.DUMMYFUNCTION("""COMPUTED_VALUE"""),45385.386532488425)</f>
        <v>45385.38653</v>
      </c>
      <c r="C635" s="44" t="str">
        <f>IFERROR(__xludf.DUMMYFUNCTION("""COMPUTED_VALUE"""),"deusmarsilva@ufcat.edu.br")</f>
        <v>deusmarsilva@ufcat.edu.br</v>
      </c>
      <c r="D635" s="45" t="str">
        <f>IFERROR(__xludf.DUMMYFUNCTION("""COMPUTED_VALUE"""),"Deusmar Machado da Silva")</f>
        <v>Deusmar Machado da Silva</v>
      </c>
      <c r="E635" s="47" t="str">
        <f>IFERROR(__xludf.DUMMYFUNCTION("""COMPUTED_VALUE"""),"00")</f>
        <v>00</v>
      </c>
      <c r="F635" s="45" t="str">
        <f>IFERROR(__xludf.DUMMYFUNCTION("""COMPUTED_VALUE"""),"IBIOTEC - Medicina")</f>
        <v>IBIOTEC - Medicina</v>
      </c>
      <c r="G635" s="45" t="str">
        <f>IFERROR(__xludf.DUMMYFUNCTION("""COMPUTED_VALUE"""),"Campus II")</f>
        <v>Campus II</v>
      </c>
      <c r="H635" s="46" t="str">
        <f>IFERROR(__xludf.DUMMYFUNCTION("""COMPUTED_VALUE"""),"Corredor de acesso aos laboratórios didáticos e salas de cubas.")</f>
        <v>Corredor de acesso aos laboratórios didáticos e salas de cubas.</v>
      </c>
      <c r="I635" s="7" t="str">
        <f>IFERROR(__xludf.DUMMYFUNCTION("""COMPUTED_VALUE"""),"Instalações Hidrossanitárias")</f>
        <v>Instalações Hidrossanitárias</v>
      </c>
      <c r="J635" s="13"/>
      <c r="K635" s="13"/>
      <c r="L635" s="13" t="str">
        <f>IFERROR(__xludf.DUMMYFUNCTION("""COMPUTED_VALUE"""),"Tirar vazamento de água do climatizador de ar, pois está danificando o gesso do teto e mofando o mesmo, gerando risco biológico no ambiente de trabalho.")</f>
        <v>Tirar vazamento de água do climatizador de ar, pois está danificando o gesso do teto e mofando o mesmo, gerando risco biológico no ambiente de trabalho.</v>
      </c>
      <c r="M635" s="20"/>
      <c r="N635" s="26" t="str">
        <f>IFERROR(__xludf.DUMMYFUNCTION("""COMPUTED_VALUE"""),"Aguardando análise")</f>
        <v>Aguardando análise</v>
      </c>
      <c r="O635" s="11"/>
      <c r="P635" s="11"/>
    </row>
    <row r="636" ht="27.0" customHeight="1">
      <c r="A636" s="20" t="str">
        <f>IFERROR(__xludf.DUMMYFUNCTION("""COMPUTED_VALUE"""),"634/2024")</f>
        <v>634/2024</v>
      </c>
      <c r="B636" s="8">
        <f>IFERROR(__xludf.DUMMYFUNCTION("""COMPUTED_VALUE"""),45385.42967125)</f>
        <v>45385.42967</v>
      </c>
      <c r="C636" s="44" t="str">
        <f>IFERROR(__xludf.DUMMYFUNCTION("""COMPUTED_VALUE"""),"cpatri.proaf@ufcat.edu.br")</f>
        <v>cpatri.proaf@ufcat.edu.br</v>
      </c>
      <c r="D636" s="45" t="str">
        <f>IFERROR(__xludf.DUMMYFUNCTION("""COMPUTED_VALUE"""),"Fábio Gonçalves")</f>
        <v>Fábio Gonçalves</v>
      </c>
      <c r="E636" s="47">
        <f>IFERROR(__xludf.DUMMYFUNCTION("""COMPUTED_VALUE"""),5343.0)</f>
        <v>5343</v>
      </c>
      <c r="F636" s="45" t="str">
        <f>IFERROR(__xludf.DUMMYFUNCTION("""COMPUTED_VALUE"""),"CPATRI")</f>
        <v>CPATRI</v>
      </c>
      <c r="G636" s="45" t="str">
        <f>IFERROR(__xludf.DUMMYFUNCTION("""COMPUTED_VALUE"""),"Bloco Administrativo")</f>
        <v>Bloco Administrativo</v>
      </c>
      <c r="H636" s="46" t="str">
        <f>IFERROR(__xludf.DUMMYFUNCTION("""COMPUTED_VALUE"""),"almoxarifado")</f>
        <v>almoxarifado</v>
      </c>
      <c r="I636" s="7" t="str">
        <f>IFERROR(__xludf.DUMMYFUNCTION("""COMPUTED_VALUE"""),"Instalações elétricas")</f>
        <v>Instalações elétricas</v>
      </c>
      <c r="J636" s="13" t="str">
        <f>IFERROR(__xludf.DUMMYFUNCTION("""COMPUTED_VALUE"""),"04 Elétrica / 37 - Outros (PRAZO DE ACORDO COM A DEMANDA)")</f>
        <v>04 Elétrica / 37 - Outros (PRAZO DE ACORDO COM A DEMANDA)</v>
      </c>
      <c r="K636" s="13"/>
      <c r="L636" s="13" t="str">
        <f>IFERROR(__xludf.DUMMYFUNCTION("""COMPUTED_VALUE"""),"trocar rj do cabo de rede")</f>
        <v>trocar rj do cabo de rede</v>
      </c>
      <c r="M636" s="20"/>
      <c r="N636" s="26" t="str">
        <f>IFERROR(__xludf.DUMMYFUNCTION("""COMPUTED_VALUE"""),"Realizado")</f>
        <v>Realizado</v>
      </c>
      <c r="O636" s="11">
        <f>IFERROR(__xludf.DUMMYFUNCTION("""COMPUTED_VALUE"""),45387.0)</f>
        <v>45387</v>
      </c>
      <c r="P636" s="11"/>
    </row>
    <row r="637" ht="27.0" customHeight="1">
      <c r="A637" s="20" t="str">
        <f>IFERROR(__xludf.DUMMYFUNCTION("""COMPUTED_VALUE"""),"635/2024")</f>
        <v>635/2024</v>
      </c>
      <c r="B637" s="8">
        <f>IFERROR(__xludf.DUMMYFUNCTION("""COMPUTED_VALUE"""),45385.44924016204)</f>
        <v>45385.44924</v>
      </c>
      <c r="C637" s="44" t="str">
        <f>IFERROR(__xludf.DUMMYFUNCTION("""COMPUTED_VALUE"""),"sga.arquim@ufcat.edu.br")</f>
        <v>sga.arquim@ufcat.edu.br</v>
      </c>
      <c r="D637" s="45" t="str">
        <f>IFERROR(__xludf.DUMMYFUNCTION("""COMPUTED_VALUE"""),"Andréa")</f>
        <v>Andréa</v>
      </c>
      <c r="E637" s="47">
        <f>IFERROR(__xludf.DUMMYFUNCTION("""COMPUTED_VALUE"""),5335.0)</f>
        <v>5335</v>
      </c>
      <c r="F637" s="45" t="str">
        <f>IFERROR(__xludf.DUMMYFUNCTION("""COMPUTED_VALUE"""),"CIDARQ")</f>
        <v>CIDARQ</v>
      </c>
      <c r="G637" s="45" t="str">
        <f>IFERROR(__xludf.DUMMYFUNCTION("""COMPUTED_VALUE"""),"Bloco Administrativo")</f>
        <v>Bloco Administrativo</v>
      </c>
      <c r="H637" s="46" t="str">
        <f>IFERROR(__xludf.DUMMYFUNCTION("""COMPUTED_VALUE"""),"Salas 06, 07 e 23")</f>
        <v>Salas 06, 07 e 23</v>
      </c>
      <c r="I637" s="7" t="str">
        <f>IFERROR(__xludf.DUMMYFUNCTION("""COMPUTED_VALUE"""),"Instalações Hidrossanitárias")</f>
        <v>Instalações Hidrossanitárias</v>
      </c>
      <c r="J637" s="13" t="str">
        <f>IFERROR(__xludf.DUMMYFUNCTION("""COMPUTED_VALUE"""),"02 Hidráulica / 22 - Outros (PRAZO DE 15 a 60 DIAS PARA ATENDIMENTO)")</f>
        <v>02 Hidráulica / 22 - Outros (PRAZO DE 15 a 60 DIAS PARA ATENDIMENTO)</v>
      </c>
      <c r="K637" s="13"/>
      <c r="L637" s="13" t="str">
        <f>IFERROR(__xludf.DUMMYFUNCTION("""COMPUTED_VALUE"""),"Aplicar selante nas janelas das salas 06 (e, se necessário, nas janelas das salas 07 e 23).")</f>
        <v>Aplicar selante nas janelas das salas 06 (e, se necessário, nas janelas das salas 07 e 23).</v>
      </c>
      <c r="M637" s="20"/>
      <c r="N637" s="26" t="str">
        <f>IFERROR(__xludf.DUMMYFUNCTION("""COMPUTED_VALUE"""),"Realizado")</f>
        <v>Realizado</v>
      </c>
      <c r="O637" s="11">
        <f>IFERROR(__xludf.DUMMYFUNCTION("""COMPUTED_VALUE"""),45386.0)</f>
        <v>45386</v>
      </c>
      <c r="P637" s="11"/>
    </row>
    <row r="638" ht="27.0" customHeight="1">
      <c r="A638" s="20" t="str">
        <f>IFERROR(__xludf.DUMMYFUNCTION("""COMPUTED_VALUE"""),"636/2024")</f>
        <v>636/2024</v>
      </c>
      <c r="B638" s="8">
        <f>IFERROR(__xludf.DUMMYFUNCTION("""COMPUTED_VALUE"""),45385.71415962963)</f>
        <v>45385.71416</v>
      </c>
      <c r="C638" s="44" t="str">
        <f>IFERROR(__xludf.DUMMYFUNCTION("""COMPUTED_VALUE"""),"seguranca@ufcat.edu.br")</f>
        <v>seguranca@ufcat.edu.br</v>
      </c>
      <c r="D638" s="45" t="str">
        <f>IFERROR(__xludf.DUMMYFUNCTION("""COMPUTED_VALUE"""),"Maria Duarte")</f>
        <v>Maria Duarte</v>
      </c>
      <c r="E638" s="47">
        <f>IFERROR(__xludf.DUMMYFUNCTION("""COMPUTED_VALUE"""),5318.0)</f>
        <v>5318</v>
      </c>
      <c r="F638" s="45" t="str">
        <f>IFERROR(__xludf.DUMMYFUNCTION("""COMPUTED_VALUE"""),"CENTRAL DE OPERAÇÕES VIGILÂNCIA")</f>
        <v>CENTRAL DE OPERAÇÕES VIGILÂNCIA</v>
      </c>
      <c r="G638" s="45" t="str">
        <f>IFERROR(__xludf.DUMMYFUNCTION("""COMPUTED_VALUE"""),"Bloco O")</f>
        <v>Bloco O</v>
      </c>
      <c r="H638" s="46" t="str">
        <f>IFERROR(__xludf.DUMMYFUNCTION("""COMPUTED_VALUE"""),"DVR do Bloco O")</f>
        <v>DVR do Bloco O</v>
      </c>
      <c r="I638" s="7" t="str">
        <f>IFERROR(__xludf.DUMMYFUNCTION("""COMPUTED_VALUE"""),"Instalações e/ou Manutenção em Cabeamento de Rede")</f>
        <v>Instalações e/ou Manutenção em Cabeamento de Rede</v>
      </c>
      <c r="J638" s="13" t="str">
        <f>IFERROR(__xludf.DUMMYFUNCTION("""COMPUTED_VALUE"""),"05 Telecomunicações / 39 - CFTV (PRAZO DE ATÉ 15 DIAS PARA ATENDIMENTO)")</f>
        <v>05 Telecomunicações / 39 - CFTV (PRAZO DE ATÉ 15 DIAS PARA ATENDIMENTO)</v>
      </c>
      <c r="K638" s="13"/>
      <c r="L638" s="13" t="str">
        <f>IFERROR(__xludf.DUMMYFUNCTION("""COMPUTED_VALUE"""),"DVR do Bloco O está desconectado durante todo o dia. ")</f>
        <v>DVR do Bloco O está desconectado durante todo o dia. </v>
      </c>
      <c r="M638" s="20"/>
      <c r="N638" s="26" t="str">
        <f>IFERROR(__xludf.DUMMYFUNCTION("""COMPUTED_VALUE"""),"Realizado")</f>
        <v>Realizado</v>
      </c>
      <c r="O638" s="11">
        <f>IFERROR(__xludf.DUMMYFUNCTION("""COMPUTED_VALUE"""),45386.0)</f>
        <v>45386</v>
      </c>
      <c r="P638" s="11"/>
    </row>
    <row r="639" ht="27.0" customHeight="1">
      <c r="A639" s="20" t="str">
        <f>IFERROR(__xludf.DUMMYFUNCTION("""COMPUTED_VALUE"""),"637/2024")</f>
        <v>637/2024</v>
      </c>
      <c r="B639" s="8">
        <f>IFERROR(__xludf.DUMMYFUNCTION("""COMPUTED_VALUE"""),45385.72881850695)</f>
        <v>45385.72882</v>
      </c>
      <c r="C639" s="44" t="str">
        <f>IFERROR(__xludf.DUMMYFUNCTION("""COMPUTED_VALUE"""),"seguranca@ufcat.edu.br")</f>
        <v>seguranca@ufcat.edu.br</v>
      </c>
      <c r="D639" s="45" t="str">
        <f>IFERROR(__xludf.DUMMYFUNCTION("""COMPUTED_VALUE"""),"Maria Duarte")</f>
        <v>Maria Duarte</v>
      </c>
      <c r="E639" s="47">
        <f>IFERROR(__xludf.DUMMYFUNCTION("""COMPUTED_VALUE"""),5318.0)</f>
        <v>5318</v>
      </c>
      <c r="F639" s="45" t="str">
        <f>IFERROR(__xludf.DUMMYFUNCTION("""COMPUTED_VALUE"""),"CENTRAL DE OPERAÇÕES VIGILÂNCIA")</f>
        <v>CENTRAL DE OPERAÇÕES VIGILÂNCIA</v>
      </c>
      <c r="G639" s="45" t="str">
        <f>IFERROR(__xludf.DUMMYFUNCTION("""COMPUTED_VALUE"""),"Bloco Administrativo")</f>
        <v>Bloco Administrativo</v>
      </c>
      <c r="H639" s="46" t="str">
        <f>IFERROR(__xludf.DUMMYFUNCTION("""COMPUTED_VALUE"""),"DVR do Bloco Administrativo ")</f>
        <v>DVR do Bloco Administrativo </v>
      </c>
      <c r="I639" s="7" t="str">
        <f>IFERROR(__xludf.DUMMYFUNCTION("""COMPUTED_VALUE"""),"Instalações e/ou Manutenção em Cabeamento de Rede")</f>
        <v>Instalações e/ou Manutenção em Cabeamento de Rede</v>
      </c>
      <c r="J639" s="13" t="str">
        <f>IFERROR(__xludf.DUMMYFUNCTION("""COMPUTED_VALUE"""),"05 Telecomunicações / 39 - CFTV (PRAZO DE ATÉ 15 DIAS PARA ATENDIMENTO)")</f>
        <v>05 Telecomunicações / 39 - CFTV (PRAZO DE ATÉ 15 DIAS PARA ATENDIMENTO)</v>
      </c>
      <c r="K639" s="13"/>
      <c r="L639" s="13" t="str">
        <f>IFERROR(__xludf.DUMMYFUNCTION("""COMPUTED_VALUE"""),"O DVR do Bloco Administrativo se encontra com o horário e a data incorreta. ")</f>
        <v>O DVR do Bloco Administrativo se encontra com o horário e a data incorreta. </v>
      </c>
      <c r="M639" s="20"/>
      <c r="N639" s="26" t="str">
        <f>IFERROR(__xludf.DUMMYFUNCTION("""COMPUTED_VALUE"""),"Realizado")</f>
        <v>Realizado</v>
      </c>
      <c r="O639" s="11">
        <f>IFERROR(__xludf.DUMMYFUNCTION("""COMPUTED_VALUE"""),45386.0)</f>
        <v>45386</v>
      </c>
      <c r="P639" s="11"/>
    </row>
    <row r="640" ht="27.0" customHeight="1">
      <c r="A640" s="20" t="str">
        <f>IFERROR(__xludf.DUMMYFUNCTION("""COMPUTED_VALUE"""),"638/2024")</f>
        <v>638/2024</v>
      </c>
      <c r="B640" s="8">
        <f>IFERROR(__xludf.DUMMYFUNCTION("""COMPUTED_VALUE"""),45385.729949305554)</f>
        <v>45385.72995</v>
      </c>
      <c r="C640" s="44" t="str">
        <f>IFERROR(__xludf.DUMMYFUNCTION("""COMPUTED_VALUE"""),"seguranca@ufcat.edu.br")</f>
        <v>seguranca@ufcat.edu.br</v>
      </c>
      <c r="D640" s="45" t="str">
        <f>IFERROR(__xludf.DUMMYFUNCTION("""COMPUTED_VALUE"""),"Maria Duarte")</f>
        <v>Maria Duarte</v>
      </c>
      <c r="E640" s="47">
        <f>IFERROR(__xludf.DUMMYFUNCTION("""COMPUTED_VALUE"""),5318.0)</f>
        <v>5318</v>
      </c>
      <c r="F640" s="45" t="str">
        <f>IFERROR(__xludf.DUMMYFUNCTION("""COMPUTED_VALUE"""),"CENTRAL DE OPERAÇÕES VIGILÂNCIA")</f>
        <v>CENTRAL DE OPERAÇÕES VIGILÂNCIA</v>
      </c>
      <c r="G640" s="45" t="str">
        <f>IFERROR(__xludf.DUMMYFUNCTION("""COMPUTED_VALUE"""),"Bloco L")</f>
        <v>Bloco L</v>
      </c>
      <c r="H640" s="46" t="str">
        <f>IFERROR(__xludf.DUMMYFUNCTION("""COMPUTED_VALUE"""),"DVR do Bloco L")</f>
        <v>DVR do Bloco L</v>
      </c>
      <c r="I640" s="7" t="str">
        <f>IFERROR(__xludf.DUMMYFUNCTION("""COMPUTED_VALUE"""),"Instalações e/ou Manutenção em Cabeamento de Rede")</f>
        <v>Instalações e/ou Manutenção em Cabeamento de Rede</v>
      </c>
      <c r="J640" s="13" t="str">
        <f>IFERROR(__xludf.DUMMYFUNCTION("""COMPUTED_VALUE"""),"05 Telecomunicações / 39 - CFTV (PRAZO DE ATÉ 15 DIAS PARA ATENDIMENTO)")</f>
        <v>05 Telecomunicações / 39 - CFTV (PRAZO DE ATÉ 15 DIAS PARA ATENDIMENTO)</v>
      </c>
      <c r="K640" s="13"/>
      <c r="L640" s="13" t="str">
        <f>IFERROR(__xludf.DUMMYFUNCTION("""COMPUTED_VALUE"""),"O DVR do Bloco L se encontra com o horário e a data incorreta.")</f>
        <v>O DVR do Bloco L se encontra com o horário e a data incorreta.</v>
      </c>
      <c r="M640" s="20"/>
      <c r="N640" s="26" t="str">
        <f>IFERROR(__xludf.DUMMYFUNCTION("""COMPUTED_VALUE"""),"Realizado")</f>
        <v>Realizado</v>
      </c>
      <c r="O640" s="11">
        <f>IFERROR(__xludf.DUMMYFUNCTION("""COMPUTED_VALUE"""),45386.0)</f>
        <v>45386</v>
      </c>
      <c r="P640" s="11"/>
    </row>
    <row r="641" ht="27.0" customHeight="1">
      <c r="A641" s="20" t="str">
        <f>IFERROR(__xludf.DUMMYFUNCTION("""COMPUTED_VALUE"""),"639/2024")</f>
        <v>639/2024</v>
      </c>
      <c r="B641" s="8">
        <f>IFERROR(__xludf.DUMMYFUNCTION("""COMPUTED_VALUE"""),45385.76326144676)</f>
        <v>45385.76326</v>
      </c>
      <c r="C641" s="44" t="str">
        <f>IFERROR(__xludf.DUMMYFUNCTION("""COMPUTED_VALUE"""),"seguranca@ufcat.edu.br")</f>
        <v>seguranca@ufcat.edu.br</v>
      </c>
      <c r="D641" s="45" t="str">
        <f>IFERROR(__xludf.DUMMYFUNCTION("""COMPUTED_VALUE"""),"Maria Duarte")</f>
        <v>Maria Duarte</v>
      </c>
      <c r="E641" s="47">
        <f>IFERROR(__xludf.DUMMYFUNCTION("""COMPUTED_VALUE"""),5318.0)</f>
        <v>5318</v>
      </c>
      <c r="F641" s="45" t="str">
        <f>IFERROR(__xludf.DUMMYFUNCTION("""COMPUTED_VALUE"""),"CENTRAL DE OPERAÇÕES VIGILÂNCIA")</f>
        <v>CENTRAL DE OPERAÇÕES VIGILÂNCIA</v>
      </c>
      <c r="G641" s="45" t="str">
        <f>IFERROR(__xludf.DUMMYFUNCTION("""COMPUTED_VALUE"""),"Bloco P")</f>
        <v>Bloco P</v>
      </c>
      <c r="H641" s="46" t="str">
        <f>IFERROR(__xludf.DUMMYFUNCTION("""COMPUTED_VALUE"""),"DVR da Prefeitura ")</f>
        <v>DVR da Prefeitura </v>
      </c>
      <c r="I641" s="7" t="str">
        <f>IFERROR(__xludf.DUMMYFUNCTION("""COMPUTED_VALUE"""),"Instalações e/ou Manutenção em Cabeamento de Rede")</f>
        <v>Instalações e/ou Manutenção em Cabeamento de Rede</v>
      </c>
      <c r="J641" s="13" t="str">
        <f>IFERROR(__xludf.DUMMYFUNCTION("""COMPUTED_VALUE"""),"05 Telecomunicações / 39 - CFTV (PRAZO DE ATÉ 15 DIAS PARA ATENDIMENTO)")</f>
        <v>05 Telecomunicações / 39 - CFTV (PRAZO DE ATÉ 15 DIAS PARA ATENDIMENTO)</v>
      </c>
      <c r="K641" s="13"/>
      <c r="L641" s="13" t="str">
        <f>IFERROR(__xludf.DUMMYFUNCTION("""COMPUTED_VALUE"""),"O DVR da Prefeitura se encontra com o horário de 3 horas atrasado. ")</f>
        <v>O DVR da Prefeitura se encontra com o horário de 3 horas atrasado. </v>
      </c>
      <c r="M641" s="20"/>
      <c r="N641" s="26" t="str">
        <f>IFERROR(__xludf.DUMMYFUNCTION("""COMPUTED_VALUE"""),"Realizado")</f>
        <v>Realizado</v>
      </c>
      <c r="O641" s="11">
        <f>IFERROR(__xludf.DUMMYFUNCTION("""COMPUTED_VALUE"""),45386.0)</f>
        <v>45386</v>
      </c>
      <c r="P641" s="11"/>
    </row>
    <row r="642" ht="27.0" customHeight="1">
      <c r="A642" s="20" t="str">
        <f>IFERROR(__xludf.DUMMYFUNCTION("""COMPUTED_VALUE"""),"640/2024")</f>
        <v>640/2024</v>
      </c>
      <c r="B642" s="8">
        <f>IFERROR(__xludf.DUMMYFUNCTION("""COMPUTED_VALUE"""),45385.76420106481)</f>
        <v>45385.7642</v>
      </c>
      <c r="C642" s="44" t="str">
        <f>IFERROR(__xludf.DUMMYFUNCTION("""COMPUTED_VALUE"""),"seguranca@ufcat.edu.br")</f>
        <v>seguranca@ufcat.edu.br</v>
      </c>
      <c r="D642" s="45" t="str">
        <f>IFERROR(__xludf.DUMMYFUNCTION("""COMPUTED_VALUE"""),"Maria Duarte")</f>
        <v>Maria Duarte</v>
      </c>
      <c r="E642" s="47">
        <f>IFERROR(__xludf.DUMMYFUNCTION("""COMPUTED_VALUE"""),5318.0)</f>
        <v>5318</v>
      </c>
      <c r="F642" s="45" t="str">
        <f>IFERROR(__xludf.DUMMYFUNCTION("""COMPUTED_VALUE"""),"CENTRAL DE OPERAÇÕES VIGILÂNCIA")</f>
        <v>CENTRAL DE OPERAÇÕES VIGILÂNCIA</v>
      </c>
      <c r="G642" s="45" t="str">
        <f>IFERROR(__xludf.DUMMYFUNCTION("""COMPUTED_VALUE"""),"Bloco N")</f>
        <v>Bloco N</v>
      </c>
      <c r="H642" s="46" t="str">
        <f>IFERROR(__xludf.DUMMYFUNCTION("""COMPUTED_VALUE"""),"DVR do Bloco N")</f>
        <v>DVR do Bloco N</v>
      </c>
      <c r="I642" s="7" t="str">
        <f>IFERROR(__xludf.DUMMYFUNCTION("""COMPUTED_VALUE"""),"Instalações e/ou Manutenção em Cabeamento de Rede")</f>
        <v>Instalações e/ou Manutenção em Cabeamento de Rede</v>
      </c>
      <c r="J642" s="13" t="str">
        <f>IFERROR(__xludf.DUMMYFUNCTION("""COMPUTED_VALUE"""),"05 Telecomunicações / 39 - CFTV (PRAZO DE ATÉ 15 DIAS PARA ATENDIMENTO)")</f>
        <v>05 Telecomunicações / 39 - CFTV (PRAZO DE ATÉ 15 DIAS PARA ATENDIMENTO)</v>
      </c>
      <c r="K642" s="13"/>
      <c r="L642" s="13" t="str">
        <f>IFERROR(__xludf.DUMMYFUNCTION("""COMPUTED_VALUE"""),"O DVR do Bloco N se encontra com o horário de 3 horas atrasado. ")</f>
        <v>O DVR do Bloco N se encontra com o horário de 3 horas atrasado. </v>
      </c>
      <c r="M642" s="20"/>
      <c r="N642" s="26" t="str">
        <f>IFERROR(__xludf.DUMMYFUNCTION("""COMPUTED_VALUE"""),"Realizado")</f>
        <v>Realizado</v>
      </c>
      <c r="O642" s="11">
        <f>IFERROR(__xludf.DUMMYFUNCTION("""COMPUTED_VALUE"""),45386.0)</f>
        <v>45386</v>
      </c>
      <c r="P642" s="11"/>
    </row>
    <row r="643" ht="27.0" customHeight="1">
      <c r="A643" s="20" t="str">
        <f>IFERROR(__xludf.DUMMYFUNCTION("""COMPUTED_VALUE"""),"641/2024")</f>
        <v>641/2024</v>
      </c>
      <c r="B643" s="8">
        <f>IFERROR(__xludf.DUMMYFUNCTION("""COMPUTED_VALUE"""),45386.347765370374)</f>
        <v>45386.34777</v>
      </c>
      <c r="C643" s="44" t="str">
        <f>IFERROR(__xludf.DUMMYFUNCTION("""COMPUTED_VALUE"""),"mariaeduarda.borges@ufcat.edu.br")</f>
        <v>mariaeduarda.borges@ufcat.edu.br</v>
      </c>
      <c r="D643" s="45" t="str">
        <f>IFERROR(__xludf.DUMMYFUNCTION("""COMPUTED_VALUE"""),"Maria Eduarda Silva Borges ")</f>
        <v>Maria Eduarda Silva Borges </v>
      </c>
      <c r="E643" s="47">
        <f>IFERROR(__xludf.DUMMYFUNCTION("""COMPUTED_VALUE"""),5340.0)</f>
        <v>5340</v>
      </c>
      <c r="F643" s="45" t="str">
        <f>IFERROR(__xludf.DUMMYFUNCTION("""COMPUTED_VALUE"""),"PREF")</f>
        <v>PREF</v>
      </c>
      <c r="G643" s="45" t="str">
        <f>IFERROR(__xludf.DUMMYFUNCTION("""COMPUTED_VALUE"""),"Didatico I")</f>
        <v>Didatico I</v>
      </c>
      <c r="H643" s="46" t="str">
        <f>IFERROR(__xludf.DUMMYFUNCTION("""COMPUTED_VALUE"""),"BANHEIRO FEMININO")</f>
        <v>BANHEIRO FEMININO</v>
      </c>
      <c r="I643" s="7" t="str">
        <f>IFERROR(__xludf.DUMMYFUNCTION("""COMPUTED_VALUE"""),"Instalações Hidrossanitárias")</f>
        <v>Instalações Hidrossanitárias</v>
      </c>
      <c r="J643" s="13" t="str">
        <f>IFERROR(__xludf.DUMMYFUNCTION("""COMPUTED_VALUE"""),"02 Hidráulica / 22 - Outros (PRAZO DE 15 a 60 DIAS PARA ATENDIMENTO)")</f>
        <v>02 Hidráulica / 22 - Outros (PRAZO DE 15 a 60 DIAS PARA ATENDIMENTO)</v>
      </c>
      <c r="K643" s="13"/>
      <c r="L643" s="13" t="str">
        <f>IFERROR(__xludf.DUMMYFUNCTION("""COMPUTED_VALUE"""),"A válvula de descarga do banheiro feminino do Bloco Didático I, não está funcionando.")</f>
        <v>A válvula de descarga do banheiro feminino do Bloco Didático I, não está funcionando.</v>
      </c>
      <c r="M643" s="20"/>
      <c r="N643" s="26" t="str">
        <f>IFERROR(__xludf.DUMMYFUNCTION("""COMPUTED_VALUE"""),"Realizado")</f>
        <v>Realizado</v>
      </c>
      <c r="O643" s="11">
        <f>IFERROR(__xludf.DUMMYFUNCTION("""COMPUTED_VALUE"""),45386.0)</f>
        <v>45386</v>
      </c>
      <c r="P643" s="11"/>
    </row>
    <row r="644" ht="27.0" customHeight="1">
      <c r="A644" s="20" t="str">
        <f>IFERROR(__xludf.DUMMYFUNCTION("""COMPUTED_VALUE"""),"642/2024")</f>
        <v>642/2024</v>
      </c>
      <c r="B644" s="8">
        <f>IFERROR(__xludf.DUMMYFUNCTION("""COMPUTED_VALUE"""),45386.356303078705)</f>
        <v>45386.3563</v>
      </c>
      <c r="C644" s="44" t="str">
        <f>IFERROR(__xludf.DUMMYFUNCTION("""COMPUTED_VALUE"""),"mariaeduarda.borges@ufcat.edu.br")</f>
        <v>mariaeduarda.borges@ufcat.edu.br</v>
      </c>
      <c r="D644" s="45" t="str">
        <f>IFERROR(__xludf.DUMMYFUNCTION("""COMPUTED_VALUE"""),"Maria Eduarda Silva Borges ")</f>
        <v>Maria Eduarda Silva Borges </v>
      </c>
      <c r="E644" s="47">
        <f>IFERROR(__xludf.DUMMYFUNCTION("""COMPUTED_VALUE"""),5340.0)</f>
        <v>5340</v>
      </c>
      <c r="F644" s="45" t="str">
        <f>IFERROR(__xludf.DUMMYFUNCTION("""COMPUTED_VALUE"""),"PREF")</f>
        <v>PREF</v>
      </c>
      <c r="G644" s="45" t="str">
        <f>IFERROR(__xludf.DUMMYFUNCTION("""COMPUTED_VALUE"""),"Didatico I")</f>
        <v>Didatico I</v>
      </c>
      <c r="H644" s="46" t="str">
        <f>IFERROR(__xludf.DUMMYFUNCTION("""COMPUTED_VALUE"""),"LÂMPADAS DOS POSTES EXTERNOS")</f>
        <v>LÂMPADAS DOS POSTES EXTERNOS</v>
      </c>
      <c r="I644" s="7" t="str">
        <f>IFERROR(__xludf.DUMMYFUNCTION("""COMPUTED_VALUE"""),"Instalações elétricas")</f>
        <v>Instalações elétricas</v>
      </c>
      <c r="J644" s="13" t="str">
        <f>IFERROR(__xludf.DUMMYFUNCTION("""COMPUTED_VALUE"""),"04 Elétrica / 31 - Iluminação Externa (PRAZO DE ATÉ 15 DIAS PARA ATENDIMENTO)")</f>
        <v>04 Elétrica / 31 - Iluminação Externa (PRAZO DE ATÉ 15 DIAS PARA ATENDIMENTO)</v>
      </c>
      <c r="K644" s="13"/>
      <c r="L644" s="13" t="str">
        <f>IFERROR(__xludf.DUMMYFUNCTION("""COMPUTED_VALUE"""),"Há dois postes com lâmpadas queimadas, do lado externo do Bloco Didático I.")</f>
        <v>Há dois postes com lâmpadas queimadas, do lado externo do Bloco Didático I.</v>
      </c>
      <c r="M644" s="20"/>
      <c r="N644" s="26" t="str">
        <f>IFERROR(__xludf.DUMMYFUNCTION("""COMPUTED_VALUE"""),"Realizado")</f>
        <v>Realizado</v>
      </c>
      <c r="O644" s="11">
        <f>IFERROR(__xludf.DUMMYFUNCTION("""COMPUTED_VALUE"""),45387.0)</f>
        <v>45387</v>
      </c>
      <c r="P644" s="11"/>
    </row>
    <row r="645" ht="27.0" customHeight="1">
      <c r="A645" s="20" t="str">
        <f>IFERROR(__xludf.DUMMYFUNCTION("""COMPUTED_VALUE"""),"643/2024")</f>
        <v>643/2024</v>
      </c>
      <c r="B645" s="8">
        <f>IFERROR(__xludf.DUMMYFUNCTION("""COMPUTED_VALUE"""),45386.365149108795)</f>
        <v>45386.36515</v>
      </c>
      <c r="C645" s="44" t="str">
        <f>IFERROR(__xludf.DUMMYFUNCTION("""COMPUTED_VALUE"""),"secretariafae@ufcat.edu.br")</f>
        <v>secretariafae@ufcat.edu.br</v>
      </c>
      <c r="D645" s="45" t="str">
        <f>IFERROR(__xludf.DUMMYFUNCTION("""COMPUTED_VALUE"""),"Bárbara")</f>
        <v>Bárbara</v>
      </c>
      <c r="E645" s="47">
        <f>IFERROR(__xludf.DUMMYFUNCTION("""COMPUTED_VALUE"""),5308.0)</f>
        <v>5308</v>
      </c>
      <c r="F645" s="45" t="str">
        <f>IFERROR(__xludf.DUMMYFUNCTION("""COMPUTED_VALUE"""),"FAE")</f>
        <v>FAE</v>
      </c>
      <c r="G645" s="45" t="str">
        <f>IFERROR(__xludf.DUMMYFUNCTION("""COMPUTED_VALUE"""),"Bloco H")</f>
        <v>Bloco H</v>
      </c>
      <c r="H645" s="46" t="str">
        <f>IFERROR(__xludf.DUMMYFUNCTION("""COMPUTED_VALUE"""),"Laboratório de Ciências")</f>
        <v>Laboratório de Ciências</v>
      </c>
      <c r="I645" s="7" t="str">
        <f>IFERROR(__xludf.DUMMYFUNCTION("""COMPUTED_VALUE"""),"Pintura")</f>
        <v>Pintura</v>
      </c>
      <c r="J645" s="13" t="str">
        <f>IFERROR(__xludf.DUMMYFUNCTION("""COMPUTED_VALUE"""),"06 Pintura / 44 - Pintura de Teto (PRAZO DE ATÉ 60 DIAS PARA ATENDIMENTO)")</f>
        <v>06 Pintura / 44 - Pintura de Teto (PRAZO DE ATÉ 60 DIAS PARA ATENDIMENTO)</v>
      </c>
      <c r="K645" s="13"/>
      <c r="L645" s="13" t="str">
        <f>IFERROR(__xludf.DUMMYFUNCTION("""COMPUTED_VALUE"""),"O teto do laboratório de Ciências está muito mofado, precisamos com urgência arruma-lo. ")</f>
        <v>O teto do laboratório de Ciências está muito mofado, precisamos com urgência arruma-lo. </v>
      </c>
      <c r="M645" s="20"/>
      <c r="N645" s="26" t="str">
        <f>IFERROR(__xludf.DUMMYFUNCTION("""COMPUTED_VALUE"""),"Aguardando análise")</f>
        <v>Aguardando análise</v>
      </c>
      <c r="O645" s="11"/>
      <c r="P645" s="11"/>
    </row>
    <row r="646" ht="27.0" customHeight="1">
      <c r="A646" s="20" t="str">
        <f>IFERROR(__xludf.DUMMYFUNCTION("""COMPUTED_VALUE"""),"644/2024")</f>
        <v>644/2024</v>
      </c>
      <c r="B646" s="8">
        <f>IFERROR(__xludf.DUMMYFUNCTION("""COMPUTED_VALUE"""),45386.403296261575)</f>
        <v>45386.4033</v>
      </c>
      <c r="C646" s="44" t="str">
        <f>IFERROR(__xludf.DUMMYFUNCTION("""COMPUTED_VALUE"""),"bruno.almeida@ufcat.edu.br")</f>
        <v>bruno.almeida@ufcat.edu.br</v>
      </c>
      <c r="D646" s="45" t="str">
        <f>IFERROR(__xludf.DUMMYFUNCTION("""COMPUTED_VALUE"""),"Bruno Henrique Martins de Almeida")</f>
        <v>Bruno Henrique Martins de Almeida</v>
      </c>
      <c r="E646" s="47">
        <f>IFERROR(__xludf.DUMMYFUNCTION("""COMPUTED_VALUE"""),6.498457644E10)</f>
        <v>64984576440</v>
      </c>
      <c r="F646" s="45" t="str">
        <f>IFERROR(__xludf.DUMMYFUNCTION("""COMPUTED_VALUE"""),"REITORIA")</f>
        <v>REITORIA</v>
      </c>
      <c r="G646" s="45" t="str">
        <f>IFERROR(__xludf.DUMMYFUNCTION("""COMPUTED_VALUE"""),"Bloco Administrativo")</f>
        <v>Bloco Administrativo</v>
      </c>
      <c r="H646" s="46">
        <f>IFERROR(__xludf.DUMMYFUNCTION("""COMPUTED_VALUE"""),108.0)</f>
        <v>108</v>
      </c>
      <c r="I646" s="7" t="str">
        <f>IFERROR(__xludf.DUMMYFUNCTION("""COMPUTED_VALUE"""),"Pequenos serviços de reparos em Marcenaria")</f>
        <v>Pequenos serviços de reparos em Marcenaria</v>
      </c>
      <c r="J646" s="13" t="str">
        <f>IFERROR(__xludf.DUMMYFUNCTION("""COMPUTED_VALUE"""),"03 Marcenaria / 24 - Conserto de Móveis (PRAZO DE ATÉ 60 DIAS PARA ATENDIMENTO)")</f>
        <v>03 Marcenaria / 24 - Conserto de Móveis (PRAZO DE ATÉ 60 DIAS PARA ATENDIMENTO)</v>
      </c>
      <c r="K646" s="13"/>
      <c r="L646" s="13" t="str">
        <f>IFERROR(__xludf.DUMMYFUNCTION("""COMPUTED_VALUE"""),"Apertar os braços de uma cadeira.")</f>
        <v>Apertar os braços de uma cadeira.</v>
      </c>
      <c r="M646" s="20"/>
      <c r="N646" s="26" t="str">
        <f>IFERROR(__xludf.DUMMYFUNCTION("""COMPUTED_VALUE"""),"Realizado")</f>
        <v>Realizado</v>
      </c>
      <c r="O646" s="11">
        <f>IFERROR(__xludf.DUMMYFUNCTION("""COMPUTED_VALUE"""),45387.0)</f>
        <v>45387</v>
      </c>
      <c r="P646" s="11"/>
    </row>
    <row r="647" ht="27.0" customHeight="1">
      <c r="A647" s="20" t="str">
        <f>IFERROR(__xludf.DUMMYFUNCTION("""COMPUTED_VALUE"""),"645/2024")</f>
        <v>645/2024</v>
      </c>
      <c r="B647" s="8">
        <f>IFERROR(__xludf.DUMMYFUNCTION("""COMPUTED_VALUE"""),45386.43167371528)</f>
        <v>45386.43167</v>
      </c>
      <c r="C647" s="44" t="str">
        <f>IFERROR(__xludf.DUMMYFUNCTION("""COMPUTED_VALUE"""),"elaine_carbonero@ufcat.edu.br")</f>
        <v>elaine_carbonero@ufcat.edu.br</v>
      </c>
      <c r="D647" s="45" t="str">
        <f>IFERROR(__xludf.DUMMYFUNCTION("""COMPUTED_VALUE"""),"Elaine R Carbonero")</f>
        <v>Elaine R Carbonero</v>
      </c>
      <c r="E647" s="47" t="str">
        <f>IFERROR(__xludf.DUMMYFUNCTION("""COMPUTED_VALUE"""),"64 981321757")</f>
        <v>64 981321757</v>
      </c>
      <c r="F647" s="45" t="str">
        <f>IFERROR(__xludf.DUMMYFUNCTION("""COMPUTED_VALUE"""),"IQ")</f>
        <v>IQ</v>
      </c>
      <c r="G647" s="45" t="str">
        <f>IFERROR(__xludf.DUMMYFUNCTION("""COMPUTED_VALUE"""),"Bloco K")</f>
        <v>Bloco K</v>
      </c>
      <c r="H647" s="46" t="str">
        <f>IFERROR(__xludf.DUMMYFUNCTION("""COMPUTED_VALUE"""),"Sala 12")</f>
        <v>Sala 12</v>
      </c>
      <c r="I647" s="7" t="str">
        <f>IFERROR(__xludf.DUMMYFUNCTION("""COMPUTED_VALUE"""),"Instalações elétricas")</f>
        <v>Instalações elétricas</v>
      </c>
      <c r="J647" s="13"/>
      <c r="K647" s="13"/>
      <c r="L647" s="13" t="str">
        <f>IFERROR(__xludf.DUMMYFUNCTION("""COMPUTED_VALUE"""),"Nobreak desligado em função da interrupção de energia no dia 03/04")</f>
        <v>Nobreak desligado em função da interrupção de energia no dia 03/04</v>
      </c>
      <c r="M647" s="20"/>
      <c r="N647" s="26" t="str">
        <f>IFERROR(__xludf.DUMMYFUNCTION("""COMPUTED_VALUE"""),"Realizado")</f>
        <v>Realizado</v>
      </c>
      <c r="O647" s="11">
        <f>IFERROR(__xludf.DUMMYFUNCTION("""COMPUTED_VALUE"""),45386.0)</f>
        <v>45386</v>
      </c>
      <c r="P647" s="11"/>
    </row>
    <row r="648" ht="27.0" customHeight="1">
      <c r="A648" s="20" t="str">
        <f>IFERROR(__xludf.DUMMYFUNCTION("""COMPUTED_VALUE"""),"646/2024")</f>
        <v>646/2024</v>
      </c>
      <c r="B648" s="8">
        <f>IFERROR(__xludf.DUMMYFUNCTION("""COMPUTED_VALUE"""),45386.470702673614)</f>
        <v>45386.4707</v>
      </c>
      <c r="C648" s="44" t="str">
        <f>IFERROR(__xludf.DUMMYFUNCTION("""COMPUTED_VALUE"""),"welington_silva@ufcat.edu.br")</f>
        <v>welington_silva@ufcat.edu.br</v>
      </c>
      <c r="D648" s="45" t="str">
        <f>IFERROR(__xludf.DUMMYFUNCTION("""COMPUTED_VALUE"""),"Welington Cesar Silva ")</f>
        <v>Welington Cesar Silva </v>
      </c>
      <c r="E648" s="47">
        <f>IFERROR(__xludf.DUMMYFUNCTION("""COMPUTED_VALUE"""),5311.0)</f>
        <v>5311</v>
      </c>
      <c r="F648" s="45" t="str">
        <f>IFERROR(__xludf.DUMMYFUNCTION("""COMPUTED_VALUE"""),"IBIOTEC  - Educação Física")</f>
        <v>IBIOTEC  - Educação Física</v>
      </c>
      <c r="G648" s="45" t="str">
        <f>IFERROR(__xludf.DUMMYFUNCTION("""COMPUTED_VALUE"""),"Bloco D")</f>
        <v>Bloco D</v>
      </c>
      <c r="H648" s="46" t="str">
        <f>IFERROR(__xludf.DUMMYFUNCTION("""COMPUTED_VALUE"""),"Vestiário feminino da piscina.")</f>
        <v>Vestiário feminino da piscina.</v>
      </c>
      <c r="I648" s="7" t="str">
        <f>IFERROR(__xludf.DUMMYFUNCTION("""COMPUTED_VALUE"""),"Instalações elétricas")</f>
        <v>Instalações elétricas</v>
      </c>
      <c r="J648" s="13" t="str">
        <f>IFERROR(__xludf.DUMMYFUNCTION("""COMPUTED_VALUE"""),"04 Elétrica / 37 - Outros (PRAZO DE ACORDO COM A DEMANDA)")</f>
        <v>04 Elétrica / 37 - Outros (PRAZO DE ACORDO COM A DEMANDA)</v>
      </c>
      <c r="K648" s="13"/>
      <c r="L648" s="13" t="str">
        <f>IFERROR(__xludf.DUMMYFUNCTION("""COMPUTED_VALUE"""),"Foi deixado uma luminária em cima dos chuveiros do vestiário feminino da piscina, solicitamos que a luminária seja retirada e instalada em local adequado. ")</f>
        <v>Foi deixado uma luminária em cima dos chuveiros do vestiário feminino da piscina, solicitamos que a luminária seja retirada e instalada em local adequado. </v>
      </c>
      <c r="M648" s="20"/>
      <c r="N648" s="26" t="str">
        <f>IFERROR(__xludf.DUMMYFUNCTION("""COMPUTED_VALUE"""),"Realizado")</f>
        <v>Realizado</v>
      </c>
      <c r="O648" s="11">
        <f>IFERROR(__xludf.DUMMYFUNCTION("""COMPUTED_VALUE"""),45387.0)</f>
        <v>45387</v>
      </c>
      <c r="P648" s="11"/>
    </row>
    <row r="649" ht="27.0" customHeight="1">
      <c r="A649" s="20" t="str">
        <f>IFERROR(__xludf.DUMMYFUNCTION("""COMPUTED_VALUE"""),"647/2024")</f>
        <v>647/2024</v>
      </c>
      <c r="B649" s="8">
        <f>IFERROR(__xludf.DUMMYFUNCTION("""COMPUTED_VALUE"""),45386.47308982639)</f>
        <v>45386.47309</v>
      </c>
      <c r="C649" s="44" t="str">
        <f>IFERROR(__xludf.DUMMYFUNCTION("""COMPUTED_VALUE"""),"welington_silva@ufcat.edu.br")</f>
        <v>welington_silva@ufcat.edu.br</v>
      </c>
      <c r="D649" s="45" t="str">
        <f>IFERROR(__xludf.DUMMYFUNCTION("""COMPUTED_VALUE"""),"Welington Cesar Silva")</f>
        <v>Welington Cesar Silva</v>
      </c>
      <c r="E649" s="47">
        <f>IFERROR(__xludf.DUMMYFUNCTION("""COMPUTED_VALUE"""),5311.0)</f>
        <v>5311</v>
      </c>
      <c r="F649" s="45" t="str">
        <f>IFERROR(__xludf.DUMMYFUNCTION("""COMPUTED_VALUE"""),"IBIOTEC  - Educação Física")</f>
        <v>IBIOTEC  - Educação Física</v>
      </c>
      <c r="G649" s="45" t="str">
        <f>IFERROR(__xludf.DUMMYFUNCTION("""COMPUTED_VALUE"""),"Bloco D")</f>
        <v>Bloco D</v>
      </c>
      <c r="H649" s="46" t="str">
        <f>IFERROR(__xludf.DUMMYFUNCTION("""COMPUTED_VALUE"""),"Campo de futebol ")</f>
        <v>Campo de futebol </v>
      </c>
      <c r="I649" s="7" t="str">
        <f>IFERROR(__xludf.DUMMYFUNCTION("""COMPUTED_VALUE"""),"Serralheria")</f>
        <v>Serralheria</v>
      </c>
      <c r="J649" s="13" t="str">
        <f>IFERROR(__xludf.DUMMYFUNCTION("""COMPUTED_VALUE"""),"08 Serralheria / 56 - Outros (PRAZO DE ACORDO COM A DEMANDA)")</f>
        <v>08 Serralheria / 56 - Outros (PRAZO DE ACORDO COM A DEMANDA)</v>
      </c>
      <c r="K649" s="13"/>
      <c r="L649" s="13" t="str">
        <f>IFERROR(__xludf.DUMMYFUNCTION("""COMPUTED_VALUE"""),"Solicitamos que se faça uma abertura nos pinos de encaixe de rede dos gols do campo de futebol. ")</f>
        <v>Solicitamos que se faça uma abertura nos pinos de encaixe de rede dos gols do campo de futebol. </v>
      </c>
      <c r="M649" s="20"/>
      <c r="N649" s="26" t="str">
        <f>IFERROR(__xludf.DUMMYFUNCTION("""COMPUTED_VALUE"""),"Realizado")</f>
        <v>Realizado</v>
      </c>
      <c r="O649" s="11">
        <f>IFERROR(__xludf.DUMMYFUNCTION("""COMPUTED_VALUE"""),45401.0)</f>
        <v>45401</v>
      </c>
      <c r="P649" s="11"/>
    </row>
    <row r="650" ht="27.0" customHeight="1">
      <c r="A650" s="20" t="str">
        <f>IFERROR(__xludf.DUMMYFUNCTION("""COMPUTED_VALUE"""),"648/2024")</f>
        <v>648/2024</v>
      </c>
      <c r="B650" s="8">
        <f>IFERROR(__xludf.DUMMYFUNCTION("""COMPUTED_VALUE"""),45386.536051585645)</f>
        <v>45386.53605</v>
      </c>
      <c r="C650" s="44" t="str">
        <f>IFERROR(__xludf.DUMMYFUNCTION("""COMPUTED_VALUE"""),"muc.prpe@ufcat.edu.br")</f>
        <v>muc.prpe@ufcat.edu.br</v>
      </c>
      <c r="D650" s="45" t="str">
        <f>IFERROR(__xludf.DUMMYFUNCTION("""COMPUTED_VALUE"""),"DANIEL DOS REIS SIMÕES")</f>
        <v>DANIEL DOS REIS SIMÕES</v>
      </c>
      <c r="E650" s="47">
        <f>IFERROR(__xludf.DUMMYFUNCTION("""COMPUTED_VALUE"""),5333.0)</f>
        <v>5333</v>
      </c>
      <c r="F650" s="45" t="str">
        <f>IFERROR(__xludf.DUMMYFUNCTION("""COMPUTED_VALUE"""),"PRPE")</f>
        <v>PRPE</v>
      </c>
      <c r="G650" s="45" t="str">
        <f>IFERROR(__xludf.DUMMYFUNCTION("""COMPUTED_VALUE"""),"MUC")</f>
        <v>MUC</v>
      </c>
      <c r="H650" s="46" t="str">
        <f>IFERROR(__xludf.DUMMYFUNCTION("""COMPUTED_VALUE"""),"Apto 103")</f>
        <v>Apto 103</v>
      </c>
      <c r="I650" s="7" t="str">
        <f>IFERROR(__xludf.DUMMYFUNCTION("""COMPUTED_VALUE"""),"Pequenos serviços de reparos em Marcenaria")</f>
        <v>Pequenos serviços de reparos em Marcenaria</v>
      </c>
      <c r="J650" s="13" t="str">
        <f>IFERROR(__xludf.DUMMYFUNCTION("""COMPUTED_VALUE"""),"03 Marcenaria / 28 -Troca de Fechaduras (PRAZO DE ATÉ 15 DIAS PARA ATENDIMENTO)")</f>
        <v>03 Marcenaria / 28 -Troca de Fechaduras (PRAZO DE ATÉ 15 DIAS PARA ATENDIMENTO)</v>
      </c>
      <c r="K650" s="13"/>
      <c r="L650" s="13" t="str">
        <f>IFERROR(__xludf.DUMMYFUNCTION("""COMPUTED_VALUE"""),"Trocar a maçaneta da porta de entrada do apto 103.")</f>
        <v>Trocar a maçaneta da porta de entrada do apto 103.</v>
      </c>
      <c r="M650" s="20"/>
      <c r="N650" s="26" t="str">
        <f>IFERROR(__xludf.DUMMYFUNCTION("""COMPUTED_VALUE"""),"Realizado")</f>
        <v>Realizado</v>
      </c>
      <c r="O650" s="11">
        <f>IFERROR(__xludf.DUMMYFUNCTION("""COMPUTED_VALUE"""),45392.0)</f>
        <v>45392</v>
      </c>
      <c r="P650" s="11"/>
    </row>
    <row r="651" ht="27.0" customHeight="1">
      <c r="A651" s="20" t="str">
        <f>IFERROR(__xludf.DUMMYFUNCTION("""COMPUTED_VALUE"""),"649/2024")</f>
        <v>649/2024</v>
      </c>
      <c r="B651" s="8">
        <f>IFERROR(__xludf.DUMMYFUNCTION("""COMPUTED_VALUE"""),45386.54920871528)</f>
        <v>45386.54921</v>
      </c>
      <c r="C651" s="44" t="str">
        <f>IFERROR(__xludf.DUMMYFUNCTION("""COMPUTED_VALUE"""),"pamela.assis@ufcat.edu.br")</f>
        <v>pamela.assis@ufcat.edu.br</v>
      </c>
      <c r="D651" s="45" t="str">
        <f>IFERROR(__xludf.DUMMYFUNCTION("""COMPUTED_VALUE"""),"Pâmela Camila Assis ")</f>
        <v>Pâmela Camila Assis </v>
      </c>
      <c r="E651" s="47">
        <f>IFERROR(__xludf.DUMMYFUNCTION("""COMPUTED_VALUE"""),6.2994410481E10)</f>
        <v>62994410481</v>
      </c>
      <c r="F651" s="45" t="str">
        <f>IFERROR(__xludf.DUMMYFUNCTION("""COMPUTED_VALUE"""),"IGEO")</f>
        <v>IGEO</v>
      </c>
      <c r="G651" s="45" t="str">
        <f>IFERROR(__xludf.DUMMYFUNCTION("""COMPUTED_VALUE"""),"Bloco A")</f>
        <v>Bloco A</v>
      </c>
      <c r="H651" s="46" t="str">
        <f>IFERROR(__xludf.DUMMYFUNCTION("""COMPUTED_VALUE"""),"Sala 02 / Sala 27")</f>
        <v>Sala 02 / Sala 27</v>
      </c>
      <c r="I651" s="7" t="str">
        <f>IFERROR(__xludf.DUMMYFUNCTION("""COMPUTED_VALUE"""),"Instalações elétricas")</f>
        <v>Instalações elétricas</v>
      </c>
      <c r="J651" s="13" t="str">
        <f>IFERROR(__xludf.DUMMYFUNCTION("""COMPUTED_VALUE"""),"04 Elétrica / 36 - Instalação de Aparelhos em geral (PRAZO DE ATÉ 15 DIAS PARA ATENDIMENTO)")</f>
        <v>04 Elétrica / 36 - Instalação de Aparelhos em geral (PRAZO DE ATÉ 15 DIAS PARA ATENDIMENTO)</v>
      </c>
      <c r="K651" s="13"/>
      <c r="L651" s="13" t="str">
        <f>IFERROR(__xludf.DUMMYFUNCTION("""COMPUTED_VALUE"""),"Prezados, Boa tarde!
Como Técnica do Laboratório de Geoprocessamento (LABGEO) do Instituto de Geografia, e com o aval da Diretora Prof.ª Patrícia Matos, gostaria de solicitar o retorno deste laboratório para sua antiga sala (Sala 02 - Bloco A).
O motivo"&amp;" da solicitação se dá em função dos riscos aos equipamentos e estrutura danificada da sala 27 (Bloco A). As últimas chuvas resultaram em goteiras e água escorrendo pelas paredes da sala, deixando o chão encharcado. 
Salienta-se a necessidade de transport"&amp;"e dos equipamentos, mesas e cadeiras, bem como a preparação da fiação elétrica e rede de internet.
Como estamos no inicio do semestre, essa atividade é de caráter urgente, uma vez que as disciplinas  necessitarão da estrutura do laboratório.
Aguardo ret"&amp;"orno.
Atenciosamente,
Pâmela Camila Assis ")</f>
        <v>Prezados, Boa tarde!
Como Técnica do Laboratório de Geoprocessamento (LABGEO) do Instituto de Geografia, e com o aval da Diretora Prof.ª Patrícia Matos, gostaria de solicitar o retorno deste laboratório para sua antiga sala (Sala 02 - Bloco A).
O motivo da solicitação se dá em função dos riscos aos equipamentos e estrutura danificada da sala 27 (Bloco A). As últimas chuvas resultaram em goteiras e água escorrendo pelas paredes da sala, deixando o chão encharcado. 
Salienta-se a necessidade de transporte dos equipamentos, mesas e cadeiras, bem como a preparação da fiação elétrica e rede de internet.
Como estamos no inicio do semestre, essa atividade é de caráter urgente, uma vez que as disciplinas  necessitarão da estrutura do laboratório.
Aguardo retorno.
Atenciosamente,
Pâmela Camila Assis </v>
      </c>
      <c r="M651" s="20"/>
      <c r="N651" s="26" t="str">
        <f>IFERROR(__xludf.DUMMYFUNCTION("""COMPUTED_VALUE"""),"Realizado")</f>
        <v>Realizado</v>
      </c>
      <c r="O651" s="11">
        <f>IFERROR(__xludf.DUMMYFUNCTION("""COMPUTED_VALUE"""),45404.0)</f>
        <v>45404</v>
      </c>
      <c r="P651" s="11"/>
    </row>
    <row r="652" ht="27.0" customHeight="1">
      <c r="A652" s="20" t="str">
        <f>IFERROR(__xludf.DUMMYFUNCTION("""COMPUTED_VALUE"""),"650/2024")</f>
        <v>650/2024</v>
      </c>
      <c r="B652" s="8">
        <f>IFERROR(__xludf.DUMMYFUNCTION("""COMPUTED_VALUE"""),45386.58956315972)</f>
        <v>45386.58956</v>
      </c>
      <c r="C652" s="44" t="str">
        <f>IFERROR(__xludf.DUMMYFUNCTION("""COMPUTED_VALUE"""),"amanda.lopes@ufcat.edu.br")</f>
        <v>amanda.lopes@ufcat.edu.br</v>
      </c>
      <c r="D652" s="45" t="str">
        <f>IFERROR(__xludf.DUMMYFUNCTION("""COMPUTED_VALUE"""),"Amanda Matos ")</f>
        <v>Amanda Matos </v>
      </c>
      <c r="E652" s="47">
        <f>IFERROR(__xludf.DUMMYFUNCTION("""COMPUTED_VALUE"""),5340.0)</f>
        <v>5340</v>
      </c>
      <c r="F652" s="45" t="str">
        <f>IFERROR(__xludf.DUMMYFUNCTION("""COMPUTED_VALUE"""),"PREF")</f>
        <v>PREF</v>
      </c>
      <c r="G652" s="45" t="str">
        <f>IFERROR(__xludf.DUMMYFUNCTION("""COMPUTED_VALUE"""),"Bloco K")</f>
        <v>Bloco K</v>
      </c>
      <c r="H652" s="46" t="str">
        <f>IFERROR(__xludf.DUMMYFUNCTION("""COMPUTED_VALUE"""),"Sala 08")</f>
        <v>Sala 08</v>
      </c>
      <c r="I652" s="7" t="str">
        <f>IFERROR(__xludf.DUMMYFUNCTION("""COMPUTED_VALUE"""),"Pequenos serviços de reparos em Marcenaria")</f>
        <v>Pequenos serviços de reparos em Marcenaria</v>
      </c>
      <c r="J652" s="13" t="str">
        <f>IFERROR(__xludf.DUMMYFUNCTION("""COMPUTED_VALUE"""),"03 Marcenaria / 28 -Troca de Fechaduras (PRAZO DE ATÉ 15 DIAS PARA ATENDIMENTO)")</f>
        <v>03 Marcenaria / 28 -Troca de Fechaduras (PRAZO DE ATÉ 15 DIAS PARA ATENDIMENTO)</v>
      </c>
      <c r="K652" s="13"/>
      <c r="L652" s="13" t="str">
        <f>IFERROR(__xludf.DUMMYFUNCTION("""COMPUTED_VALUE"""),"troca ou manutenção de fechadura ")</f>
        <v>troca ou manutenção de fechadura </v>
      </c>
      <c r="M652" s="20"/>
      <c r="N652" s="26" t="str">
        <f>IFERROR(__xludf.DUMMYFUNCTION("""COMPUTED_VALUE"""),"Realizado")</f>
        <v>Realizado</v>
      </c>
      <c r="O652" s="11">
        <f>IFERROR(__xludf.DUMMYFUNCTION("""COMPUTED_VALUE"""),45386.0)</f>
        <v>45386</v>
      </c>
      <c r="P652" s="11"/>
    </row>
    <row r="653" ht="27.0" customHeight="1">
      <c r="A653" s="20" t="str">
        <f>IFERROR(__xludf.DUMMYFUNCTION("""COMPUTED_VALUE"""),"651/2024")</f>
        <v>651/2024</v>
      </c>
      <c r="B653" s="8">
        <f>IFERROR(__xludf.DUMMYFUNCTION("""COMPUTED_VALUE"""),45386.62969003472)</f>
        <v>45386.62969</v>
      </c>
      <c r="C653" s="44" t="str">
        <f>IFERROR(__xludf.DUMMYFUNCTION("""COMPUTED_VALUE"""),"muc.prpe@ufcat.edu.br")</f>
        <v>muc.prpe@ufcat.edu.br</v>
      </c>
      <c r="D653" s="45" t="str">
        <f>IFERROR(__xludf.DUMMYFUNCTION("""COMPUTED_VALUE"""),"DANIEL DOS REIS SIMÕES")</f>
        <v>DANIEL DOS REIS SIMÕES</v>
      </c>
      <c r="E653" s="47">
        <f>IFERROR(__xludf.DUMMYFUNCTION("""COMPUTED_VALUE"""),5333.0)</f>
        <v>5333</v>
      </c>
      <c r="F653" s="45" t="str">
        <f>IFERROR(__xludf.DUMMYFUNCTION("""COMPUTED_VALUE"""),"PRPE")</f>
        <v>PRPE</v>
      </c>
      <c r="G653" s="45" t="str">
        <f>IFERROR(__xludf.DUMMYFUNCTION("""COMPUTED_VALUE"""),"MUC")</f>
        <v>MUC</v>
      </c>
      <c r="H653" s="46" t="str">
        <f>IFERROR(__xludf.DUMMYFUNCTION("""COMPUTED_VALUE"""),"Apto 201")</f>
        <v>Apto 201</v>
      </c>
      <c r="I653" s="7" t="str">
        <f>IFERROR(__xludf.DUMMYFUNCTION("""COMPUTED_VALUE"""),"Instalações elétricas")</f>
        <v>Instalações elétricas</v>
      </c>
      <c r="J653" s="13" t="str">
        <f>IFERROR(__xludf.DUMMYFUNCTION("""COMPUTED_VALUE"""),"04 Elétrica / 37 - Outros (PRAZO DE ACORDO COM A DEMANDA)")</f>
        <v>04 Elétrica / 37 - Outros (PRAZO DE ACORDO COM A DEMANDA)</v>
      </c>
      <c r="K653" s="13"/>
      <c r="L653" s="13" t="str">
        <f>IFERROR(__xludf.DUMMYFUNCTION("""COMPUTED_VALUE"""),"Ventilador do quarto B, apto 201, parou de funcionar. ")</f>
        <v>Ventilador do quarto B, apto 201, parou de funcionar. </v>
      </c>
      <c r="M653" s="20" t="str">
        <f>IFERROR(__xludf.DUMMYFUNCTION("""COMPUTED_VALUE"""),"Ventilador com defeito, deverá realizar a troca do mesmo ")</f>
        <v>Ventilador com defeito, deverá realizar a troca do mesmo </v>
      </c>
      <c r="N653" s="26" t="str">
        <f>IFERROR(__xludf.DUMMYFUNCTION("""COMPUTED_VALUE"""),"Realizado")</f>
        <v>Realizado</v>
      </c>
      <c r="O653" s="11">
        <f>IFERROR(__xludf.DUMMYFUNCTION("""COMPUTED_VALUE"""),45392.0)</f>
        <v>45392</v>
      </c>
      <c r="P653" s="11"/>
    </row>
    <row r="654" ht="27.0" customHeight="1">
      <c r="A654" s="20" t="str">
        <f>IFERROR(__xludf.DUMMYFUNCTION("""COMPUTED_VALUE"""),"652/2024")</f>
        <v>652/2024</v>
      </c>
      <c r="B654" s="8">
        <f>IFERROR(__xludf.DUMMYFUNCTION("""COMPUTED_VALUE"""),45386.69927210648)</f>
        <v>45386.69927</v>
      </c>
      <c r="C654" s="44" t="str">
        <f>IFERROR(__xludf.DUMMYFUNCTION("""COMPUTED_VALUE"""),"ismar.costa@ufcat.edu.br")</f>
        <v>ismar.costa@ufcat.edu.br</v>
      </c>
      <c r="D654" s="45" t="str">
        <f>IFERROR(__xludf.DUMMYFUNCTION("""COMPUTED_VALUE"""),"Ismar da Silva Costa")</f>
        <v>Ismar da Silva Costa</v>
      </c>
      <c r="E654" s="47" t="str">
        <f>IFERROR(__xludf.DUMMYFUNCTION("""COMPUTED_VALUE"""),"64 999321966 ramal da PROEC 5347")</f>
        <v>64 999321966 ramal da PROEC 5347</v>
      </c>
      <c r="F654" s="45" t="str">
        <f>IFERROR(__xludf.DUMMYFUNCTION("""COMPUTED_VALUE"""),"PROEC")</f>
        <v>PROEC</v>
      </c>
      <c r="G654" s="45" t="str">
        <f>IFERROR(__xludf.DUMMYFUNCTION("""COMPUTED_VALUE"""),"Auditório Paulo de Bastos")</f>
        <v>Auditório Paulo de Bastos</v>
      </c>
      <c r="H654" s="46" t="str">
        <f>IFERROR(__xludf.DUMMYFUNCTION("""COMPUTED_VALUE"""),"portal de saída de emergência lateral ")</f>
        <v>portal de saída de emergência lateral </v>
      </c>
      <c r="I654" s="7" t="str">
        <f>IFERROR(__xludf.DUMMYFUNCTION("""COMPUTED_VALUE"""),"Pequenos serviços de reparos em Marcenaria")</f>
        <v>Pequenos serviços de reparos em Marcenaria</v>
      </c>
      <c r="J654" s="13" t="str">
        <f>IFERROR(__xludf.DUMMYFUNCTION("""COMPUTED_VALUE"""),"03 Marcenaria / 29 - Outros (PRAZO DE ACORDO COM A DEMANDA)")</f>
        <v>03 Marcenaria / 29 - Outros (PRAZO DE ACORDO COM A DEMANDA)</v>
      </c>
      <c r="K654" s="13"/>
      <c r="L654" s="13" t="str">
        <f>IFERROR(__xludf.DUMMYFUNCTION("""COMPUTED_VALUE"""),"Colar forro do portal da lateral  porta de emergência sentido Prefeitura da Universidade")</f>
        <v>Colar forro do portal da lateral  porta de emergência sentido Prefeitura da Universidade</v>
      </c>
      <c r="M654" s="20"/>
      <c r="N654" s="26" t="str">
        <f>IFERROR(__xludf.DUMMYFUNCTION("""COMPUTED_VALUE"""),"Realizado")</f>
        <v>Realizado</v>
      </c>
      <c r="O654" s="11">
        <f>IFERROR(__xludf.DUMMYFUNCTION("""COMPUTED_VALUE"""),45387.0)</f>
        <v>45387</v>
      </c>
      <c r="P654" s="11"/>
    </row>
    <row r="655" ht="27.0" customHeight="1">
      <c r="A655" s="20" t="str">
        <f>IFERROR(__xludf.DUMMYFUNCTION("""COMPUTED_VALUE"""),"653/2024")</f>
        <v>653/2024</v>
      </c>
      <c r="B655" s="8">
        <f>IFERROR(__xludf.DUMMYFUNCTION("""COMPUTED_VALUE"""),45386.70566825231)</f>
        <v>45386.70567</v>
      </c>
      <c r="C655" s="44" t="str">
        <f>IFERROR(__xludf.DUMMYFUNCTION("""COMPUTED_VALUE"""),"ismar.costa@ufcat.edu.br")</f>
        <v>ismar.costa@ufcat.edu.br</v>
      </c>
      <c r="D655" s="45" t="str">
        <f>IFERROR(__xludf.DUMMYFUNCTION("""COMPUTED_VALUE"""),"Ismar da Silva Costa")</f>
        <v>Ismar da Silva Costa</v>
      </c>
      <c r="E655" s="47" t="str">
        <f>IFERROR(__xludf.DUMMYFUNCTION("""COMPUTED_VALUE"""),"64 999321966 Ramal 5347")</f>
        <v>64 999321966 Ramal 5347</v>
      </c>
      <c r="F655" s="45" t="str">
        <f>IFERROR(__xludf.DUMMYFUNCTION("""COMPUTED_VALUE"""),"PROEC")</f>
        <v>PROEC</v>
      </c>
      <c r="G655" s="45" t="str">
        <f>IFERROR(__xludf.DUMMYFUNCTION("""COMPUTED_VALUE"""),"Auditório Paulo de Bastos")</f>
        <v>Auditório Paulo de Bastos</v>
      </c>
      <c r="H655" s="46" t="str">
        <f>IFERROR(__xludf.DUMMYFUNCTION("""COMPUTED_VALUE"""),"Sala 09")</f>
        <v>Sala 09</v>
      </c>
      <c r="I655" s="7" t="str">
        <f>IFERROR(__xludf.DUMMYFUNCTION("""COMPUTED_VALUE"""),"Pintura")</f>
        <v>Pintura</v>
      </c>
      <c r="J655" s="13" t="str">
        <f>IFERROR(__xludf.DUMMYFUNCTION("""COMPUTED_VALUE"""),"06 Pintura / 43 - Pintura de Parede (PRAZO DE ATÉ 60 DIAS PARA ATENDIMENTO)")</f>
        <v>06 Pintura / 43 - Pintura de Parede (PRAZO DE ATÉ 60 DIAS PARA ATENDIMENTO)</v>
      </c>
      <c r="K655" s="13"/>
      <c r="L655" s="13" t="str">
        <f>IFERROR(__xludf.DUMMYFUNCTION("""COMPUTED_VALUE"""),"Reparo pintura de fundo da sala 08 ( cobrir remendo de reboco)")</f>
        <v>Reparo pintura de fundo da sala 08 ( cobrir remendo de reboco)</v>
      </c>
      <c r="M655" s="20"/>
      <c r="N655" s="26" t="str">
        <f>IFERROR(__xludf.DUMMYFUNCTION("""COMPUTED_VALUE"""),"Realizado")</f>
        <v>Realizado</v>
      </c>
      <c r="O655" s="11">
        <f>IFERROR(__xludf.DUMMYFUNCTION("""COMPUTED_VALUE"""),45387.0)</f>
        <v>45387</v>
      </c>
      <c r="P655" s="11"/>
    </row>
    <row r="656" ht="27.0" customHeight="1">
      <c r="A656" s="20" t="str">
        <f>IFERROR(__xludf.DUMMYFUNCTION("""COMPUTED_VALUE"""),"654/2024")</f>
        <v>654/2024</v>
      </c>
      <c r="B656" s="8">
        <f>IFERROR(__xludf.DUMMYFUNCTION("""COMPUTED_VALUE"""),45386.70942759259)</f>
        <v>45386.70943</v>
      </c>
      <c r="C656" s="44" t="str">
        <f>IFERROR(__xludf.DUMMYFUNCTION("""COMPUTED_VALUE"""),"ismar.costa@ufcat.edu.br")</f>
        <v>ismar.costa@ufcat.edu.br</v>
      </c>
      <c r="D656" s="45" t="str">
        <f>IFERROR(__xludf.DUMMYFUNCTION("""COMPUTED_VALUE"""),"Ismar da Silva Costa")</f>
        <v>Ismar da Silva Costa</v>
      </c>
      <c r="E656" s="47" t="str">
        <f>IFERROR(__xludf.DUMMYFUNCTION("""COMPUTED_VALUE"""),"64 999321966 Ramal: 5347")</f>
        <v>64 999321966 Ramal: 5347</v>
      </c>
      <c r="F656" s="45" t="str">
        <f>IFERROR(__xludf.DUMMYFUNCTION("""COMPUTED_VALUE"""),"PROEC")</f>
        <v>PROEC</v>
      </c>
      <c r="G656" s="45" t="str">
        <f>IFERROR(__xludf.DUMMYFUNCTION("""COMPUTED_VALUE"""),"Auditório Paulo de Bastos")</f>
        <v>Auditório Paulo de Bastos</v>
      </c>
      <c r="H656" s="46" t="str">
        <f>IFERROR(__xludf.DUMMYFUNCTION("""COMPUTED_VALUE"""),"Camarins Masculino e Feminino")</f>
        <v>Camarins Masculino e Feminino</v>
      </c>
      <c r="I656" s="7" t="str">
        <f>IFERROR(__xludf.DUMMYFUNCTION("""COMPUTED_VALUE"""),"Instalações Hidrossanitárias")</f>
        <v>Instalações Hidrossanitárias</v>
      </c>
      <c r="J656" s="13" t="str">
        <f>IFERROR(__xludf.DUMMYFUNCTION("""COMPUTED_VALUE"""),"02 Hidráulica / 22 - Outros (PRAZO DE 15 a 60 DIAS PARA ATENDIMENTO)")</f>
        <v>02 Hidráulica / 22 - Outros (PRAZO DE 15 a 60 DIAS PARA ATENDIMENTO)</v>
      </c>
      <c r="K656" s="13"/>
      <c r="L656" s="13" t="str">
        <f>IFERROR(__xludf.DUMMYFUNCTION("""COMPUTED_VALUE"""),"Manutenção dos Chuveiros, torneiras e vasos sanitários dos dois camarins")</f>
        <v>Manutenção dos Chuveiros, torneiras e vasos sanitários dos dois camarins</v>
      </c>
      <c r="M656" s="20"/>
      <c r="N656" s="26" t="str">
        <f>IFERROR(__xludf.DUMMYFUNCTION("""COMPUTED_VALUE"""),"Realizado")</f>
        <v>Realizado</v>
      </c>
      <c r="O656" s="11">
        <f>IFERROR(__xludf.DUMMYFUNCTION("""COMPUTED_VALUE"""),45387.0)</f>
        <v>45387</v>
      </c>
      <c r="P656" s="11"/>
    </row>
    <row r="657" ht="27.0" customHeight="1">
      <c r="A657" s="20" t="str">
        <f>IFERROR(__xludf.DUMMYFUNCTION("""COMPUTED_VALUE"""),"655/2024")</f>
        <v>655/2024</v>
      </c>
      <c r="B657" s="8">
        <f>IFERROR(__xludf.DUMMYFUNCTION("""COMPUTED_VALUE"""),45386.71279708333)</f>
        <v>45386.7128</v>
      </c>
      <c r="C657" s="44" t="str">
        <f>IFERROR(__xludf.DUMMYFUNCTION("""COMPUTED_VALUE"""),"ismar.costa@ufcat.edu.br")</f>
        <v>ismar.costa@ufcat.edu.br</v>
      </c>
      <c r="D657" s="45" t="str">
        <f>IFERROR(__xludf.DUMMYFUNCTION("""COMPUTED_VALUE"""),"Ismar da Silva Costa")</f>
        <v>Ismar da Silva Costa</v>
      </c>
      <c r="E657" s="47" t="str">
        <f>IFERROR(__xludf.DUMMYFUNCTION("""COMPUTED_VALUE"""),"64 999321966  Ramal 5347")</f>
        <v>64 999321966  Ramal 5347</v>
      </c>
      <c r="F657" s="45" t="str">
        <f>IFERROR(__xludf.DUMMYFUNCTION("""COMPUTED_VALUE"""),"PROEC")</f>
        <v>PROEC</v>
      </c>
      <c r="G657" s="45" t="str">
        <f>IFERROR(__xludf.DUMMYFUNCTION("""COMPUTED_VALUE"""),"Auditório Paulo de Bastos")</f>
        <v>Auditório Paulo de Bastos</v>
      </c>
      <c r="H657" s="46" t="str">
        <f>IFERROR(__xludf.DUMMYFUNCTION("""COMPUTED_VALUE"""),"Camarins Masculino e Feminino")</f>
        <v>Camarins Masculino e Feminino</v>
      </c>
      <c r="I657" s="7" t="str">
        <f>IFERROR(__xludf.DUMMYFUNCTION("""COMPUTED_VALUE"""),"Instalações elétricas")</f>
        <v>Instalações elétricas</v>
      </c>
      <c r="J657" s="13" t="str">
        <f>IFERROR(__xludf.DUMMYFUNCTION("""COMPUTED_VALUE"""),"04 Elétrica / 35 - Troca de Lâmpadas (PRAZO DE ATÉ 15 DIAS PARA ATENDIMENTO)")</f>
        <v>04 Elétrica / 35 - Troca de Lâmpadas (PRAZO DE ATÉ 15 DIAS PARA ATENDIMENTO)</v>
      </c>
      <c r="K657" s="13"/>
      <c r="L657" s="13" t="str">
        <f>IFERROR(__xludf.DUMMYFUNCTION("""COMPUTED_VALUE"""),"Colocar lâmpadas e bocais nas bancadas dos camarins")</f>
        <v>Colocar lâmpadas e bocais nas bancadas dos camarins</v>
      </c>
      <c r="M657" s="20"/>
      <c r="N657" s="26" t="str">
        <f>IFERROR(__xludf.DUMMYFUNCTION("""COMPUTED_VALUE"""),"Realizado")</f>
        <v>Realizado</v>
      </c>
      <c r="O657" s="11">
        <f>IFERROR(__xludf.DUMMYFUNCTION("""COMPUTED_VALUE"""),45388.0)</f>
        <v>45388</v>
      </c>
      <c r="P657" s="11"/>
    </row>
    <row r="658" ht="27.0" customHeight="1">
      <c r="A658" s="20" t="str">
        <f>IFERROR(__xludf.DUMMYFUNCTION("""COMPUTED_VALUE"""),"656/2024")</f>
        <v>656/2024</v>
      </c>
      <c r="B658" s="8">
        <f>IFERROR(__xludf.DUMMYFUNCTION("""COMPUTED_VALUE"""),45386.72825068287)</f>
        <v>45386.72825</v>
      </c>
      <c r="C658" s="44" t="str">
        <f>IFERROR(__xludf.DUMMYFUNCTION("""COMPUTED_VALUE"""),"propesq@ufcat.edu.br")</f>
        <v>propesq@ufcat.edu.br</v>
      </c>
      <c r="D658" s="45" t="str">
        <f>IFERROR(__xludf.DUMMYFUNCTION("""COMPUTED_VALUE"""),"Moisés Fernandes Lemos / Ludimila Campos")</f>
        <v>Moisés Fernandes Lemos / Ludimila Campos</v>
      </c>
      <c r="E658" s="47">
        <f>IFERROR(__xludf.DUMMYFUNCTION("""COMPUTED_VALUE"""),5302.0)</f>
        <v>5302</v>
      </c>
      <c r="F658" s="45" t="str">
        <f>IFERROR(__xludf.DUMMYFUNCTION("""COMPUTED_VALUE"""),"PROPESQ")</f>
        <v>PROPESQ</v>
      </c>
      <c r="G658" s="45" t="str">
        <f>IFERROR(__xludf.DUMMYFUNCTION("""COMPUTED_VALUE"""),"Bloco L")</f>
        <v>Bloco L</v>
      </c>
      <c r="H658" s="46" t="str">
        <f>IFERROR(__xludf.DUMMYFUNCTION("""COMPUTED_VALUE"""),"Sala 102")</f>
        <v>Sala 102</v>
      </c>
      <c r="I658" s="7" t="str">
        <f>IFERROR(__xludf.DUMMYFUNCTION("""COMPUTED_VALUE"""),"Pequenos serviços de reparos em Marcenaria")</f>
        <v>Pequenos serviços de reparos em Marcenaria</v>
      </c>
      <c r="J658" s="13" t="str">
        <f>IFERROR(__xludf.DUMMYFUNCTION("""COMPUTED_VALUE"""),"03 Marcenaria / 29 - Outros (PRAZO DE ACORDO COM A DEMANDA)")</f>
        <v>03 Marcenaria / 29 - Outros (PRAZO DE ACORDO COM A DEMANDA)</v>
      </c>
      <c r="K658" s="13"/>
      <c r="L658" s="13" t="str">
        <f>IFERROR(__xludf.DUMMYFUNCTION("""COMPUTED_VALUE"""),"Lixar e pintar mesa de madeira")</f>
        <v>Lixar e pintar mesa de madeira</v>
      </c>
      <c r="M658" s="20"/>
      <c r="N658" s="26" t="str">
        <f>IFERROR(__xludf.DUMMYFUNCTION("""COMPUTED_VALUE"""),"Aguardando análise")</f>
        <v>Aguardando análise</v>
      </c>
      <c r="O658" s="11"/>
      <c r="P658" s="11"/>
    </row>
    <row r="659" ht="27.0" customHeight="1">
      <c r="A659" s="20" t="str">
        <f>IFERROR(__xludf.DUMMYFUNCTION("""COMPUTED_VALUE"""),"657/2024")</f>
        <v>657/2024</v>
      </c>
      <c r="B659" s="8">
        <f>IFERROR(__xludf.DUMMYFUNCTION("""COMPUTED_VALUE"""),45387.29919730324)</f>
        <v>45387.2992</v>
      </c>
      <c r="C659" s="44" t="str">
        <f>IFERROR(__xludf.DUMMYFUNCTION("""COMPUTED_VALUE"""),"amanda.lopes@ufcat.edu.br")</f>
        <v>amanda.lopes@ufcat.edu.br</v>
      </c>
      <c r="D659" s="45" t="str">
        <f>IFERROR(__xludf.DUMMYFUNCTION("""COMPUTED_VALUE"""),"Amanda Matos ")</f>
        <v>Amanda Matos </v>
      </c>
      <c r="E659" s="47">
        <f>IFERROR(__xludf.DUMMYFUNCTION("""COMPUTED_VALUE"""),5340.0)</f>
        <v>5340</v>
      </c>
      <c r="F659" s="45" t="str">
        <f>IFERROR(__xludf.DUMMYFUNCTION("""COMPUTED_VALUE"""),"PREF")</f>
        <v>PREF</v>
      </c>
      <c r="G659" s="45" t="str">
        <f>IFERROR(__xludf.DUMMYFUNCTION("""COMPUTED_VALUE"""),"Bloco Administrativo")</f>
        <v>Bloco Administrativo</v>
      </c>
      <c r="H659" s="46" t="str">
        <f>IFERROR(__xludf.DUMMYFUNCTION("""COMPUTED_VALUE"""),"Banheiro feminino 1° andar ")</f>
        <v>Banheiro feminino 1° andar </v>
      </c>
      <c r="I659" s="7" t="str">
        <f>IFERROR(__xludf.DUMMYFUNCTION("""COMPUTED_VALUE"""),"Instalações Hidrossanitárias")</f>
        <v>Instalações Hidrossanitárias</v>
      </c>
      <c r="J659" s="13" t="str">
        <f>IFERROR(__xludf.DUMMYFUNCTION("""COMPUTED_VALUE"""),"02 Hidráulica / 22 - Outros (PRAZO DE 15 a 60 DIAS PARA ATENDIMENTO)")</f>
        <v>02 Hidráulica / 22 - Outros (PRAZO DE 15 a 60 DIAS PARA ATENDIMENTO)</v>
      </c>
      <c r="K659" s="13"/>
      <c r="L659" s="13" t="str">
        <f>IFERROR(__xludf.DUMMYFUNCTION("""COMPUTED_VALUE"""),"Recolocação de cuba na pia ")</f>
        <v>Recolocação de cuba na pia </v>
      </c>
      <c r="M659" s="20"/>
      <c r="N659" s="26" t="str">
        <f>IFERROR(__xludf.DUMMYFUNCTION("""COMPUTED_VALUE"""),"Realizado")</f>
        <v>Realizado</v>
      </c>
      <c r="O659" s="11">
        <f>IFERROR(__xludf.DUMMYFUNCTION("""COMPUTED_VALUE"""),45390.0)</f>
        <v>45390</v>
      </c>
      <c r="P659" s="11"/>
    </row>
    <row r="660" ht="27.0" customHeight="1">
      <c r="A660" s="20" t="str">
        <f>IFERROR(__xludf.DUMMYFUNCTION("""COMPUTED_VALUE"""),"658/2024")</f>
        <v>658/2024</v>
      </c>
      <c r="B660" s="8">
        <f>IFERROR(__xludf.DUMMYFUNCTION("""COMPUTED_VALUE"""),45387.29972886574)</f>
        <v>45387.29973</v>
      </c>
      <c r="C660" s="44" t="str">
        <f>IFERROR(__xludf.DUMMYFUNCTION("""COMPUTED_VALUE"""),"amanda.lopes@ufcat.edu.br")</f>
        <v>amanda.lopes@ufcat.edu.br</v>
      </c>
      <c r="D660" s="45" t="str">
        <f>IFERROR(__xludf.DUMMYFUNCTION("""COMPUTED_VALUE"""),"Amanda Matos ")</f>
        <v>Amanda Matos </v>
      </c>
      <c r="E660" s="47">
        <f>IFERROR(__xludf.DUMMYFUNCTION("""COMPUTED_VALUE"""),5340.0)</f>
        <v>5340</v>
      </c>
      <c r="F660" s="45" t="str">
        <f>IFERROR(__xludf.DUMMYFUNCTION("""COMPUTED_VALUE"""),"PREF")</f>
        <v>PREF</v>
      </c>
      <c r="G660" s="45" t="str">
        <f>IFERROR(__xludf.DUMMYFUNCTION("""COMPUTED_VALUE"""),"Auditório Paulo de Bastos")</f>
        <v>Auditório Paulo de Bastos</v>
      </c>
      <c r="H660" s="46" t="str">
        <f>IFERROR(__xludf.DUMMYFUNCTION("""COMPUTED_VALUE"""),"Sala 08")</f>
        <v>Sala 08</v>
      </c>
      <c r="I660" s="7" t="str">
        <f>IFERROR(__xludf.DUMMYFUNCTION("""COMPUTED_VALUE"""),"Pequenos serviços de reparos em Marcenaria")</f>
        <v>Pequenos serviços de reparos em Marcenaria</v>
      </c>
      <c r="J660" s="13" t="str">
        <f>IFERROR(__xludf.DUMMYFUNCTION("""COMPUTED_VALUE"""),"03 Marcenaria / 28 -Troca de Fechaduras (PRAZO DE ATÉ 15 DIAS PARA ATENDIMENTO)")</f>
        <v>03 Marcenaria / 28 -Troca de Fechaduras (PRAZO DE ATÉ 15 DIAS PARA ATENDIMENTO)</v>
      </c>
      <c r="K660" s="13"/>
      <c r="L660" s="13" t="str">
        <f>IFERROR(__xludf.DUMMYFUNCTION("""COMPUTED_VALUE"""),"Reparo da fechadura ")</f>
        <v>Reparo da fechadura </v>
      </c>
      <c r="M660" s="20"/>
      <c r="N660" s="26" t="str">
        <f>IFERROR(__xludf.DUMMYFUNCTION("""COMPUTED_VALUE"""),"Realizado")</f>
        <v>Realizado</v>
      </c>
      <c r="O660" s="11">
        <f>IFERROR(__xludf.DUMMYFUNCTION("""COMPUTED_VALUE"""),45387.0)</f>
        <v>45387</v>
      </c>
      <c r="P660" s="11"/>
    </row>
    <row r="661" ht="27.0" customHeight="1">
      <c r="A661" s="20" t="str">
        <f>IFERROR(__xludf.DUMMYFUNCTION("""COMPUTED_VALUE"""),"659/2024")</f>
        <v>659/2024</v>
      </c>
      <c r="B661" s="8">
        <f>IFERROR(__xludf.DUMMYFUNCTION("""COMPUTED_VALUE"""),45387.30254539352)</f>
        <v>45387.30255</v>
      </c>
      <c r="C661" s="44" t="str">
        <f>IFERROR(__xludf.DUMMYFUNCTION("""COMPUTED_VALUE"""),"seguranca@ufcat.edu.br")</f>
        <v>seguranca@ufcat.edu.br</v>
      </c>
      <c r="D661" s="45" t="str">
        <f>IFERROR(__xludf.DUMMYFUNCTION("""COMPUTED_VALUE"""),"Maria Duarte")</f>
        <v>Maria Duarte</v>
      </c>
      <c r="E661" s="47">
        <f>IFERROR(__xludf.DUMMYFUNCTION("""COMPUTED_VALUE"""),5318.0)</f>
        <v>5318</v>
      </c>
      <c r="F661" s="45" t="str">
        <f>IFERROR(__xludf.DUMMYFUNCTION("""COMPUTED_VALUE"""),"CENTRAL DE OPERAÇÕES VIGILÂNCIA")</f>
        <v>CENTRAL DE OPERAÇÕES VIGILÂNCIA</v>
      </c>
      <c r="G661" s="45" t="str">
        <f>IFERROR(__xludf.DUMMYFUNCTION("""COMPUTED_VALUE"""),"Bloco C")</f>
        <v>Bloco C</v>
      </c>
      <c r="H661" s="46" t="str">
        <f>IFERROR(__xludf.DUMMYFUNCTION("""COMPUTED_VALUE"""),"DVR do Bloco C")</f>
        <v>DVR do Bloco C</v>
      </c>
      <c r="I661" s="7" t="str">
        <f>IFERROR(__xludf.DUMMYFUNCTION("""COMPUTED_VALUE"""),"Instalações e/ou Manutenção em Cabeamento de Rede")</f>
        <v>Instalações e/ou Manutenção em Cabeamento de Rede</v>
      </c>
      <c r="J661" s="13" t="str">
        <f>IFERROR(__xludf.DUMMYFUNCTION("""COMPUTED_VALUE"""),"05 Telecomunicações / 39 - CFTV (PRAZO DE ATÉ 15 DIAS PARA ATENDIMENTO)")</f>
        <v>05 Telecomunicações / 39 - CFTV (PRAZO DE ATÉ 15 DIAS PARA ATENDIMENTO)</v>
      </c>
      <c r="K661" s="13"/>
      <c r="L661" s="13" t="str">
        <f>IFERROR(__xludf.DUMMYFUNCTION("""COMPUTED_VALUE"""),"O DVR do Bloco C está com todas as câmeras com a imagem escura, sem visualização de imagens, todas as câmeras estão totalmente ''ESCURAS''. Desde às 02:40 da madrugada, e até o momento não retornou ao normal.")</f>
        <v>O DVR do Bloco C está com todas as câmeras com a imagem escura, sem visualização de imagens, todas as câmeras estão totalmente ''ESCURAS''. Desde às 02:40 da madrugada, e até o momento não retornou ao normal.</v>
      </c>
      <c r="M661" s="20"/>
      <c r="N661" s="26" t="str">
        <f>IFERROR(__xludf.DUMMYFUNCTION("""COMPUTED_VALUE"""),"Realizado")</f>
        <v>Realizado</v>
      </c>
      <c r="O661" s="11">
        <f>IFERROR(__xludf.DUMMYFUNCTION("""COMPUTED_VALUE"""),45387.0)</f>
        <v>45387</v>
      </c>
      <c r="P661" s="11"/>
    </row>
    <row r="662" ht="27.0" customHeight="1">
      <c r="A662" s="20" t="str">
        <f>IFERROR(__xludf.DUMMYFUNCTION("""COMPUTED_VALUE"""),"660/2024")</f>
        <v>660/2024</v>
      </c>
      <c r="B662" s="8">
        <f>IFERROR(__xludf.DUMMYFUNCTION("""COMPUTED_VALUE"""),45387.41322587963)</f>
        <v>45387.41323</v>
      </c>
      <c r="C662" s="44" t="str">
        <f>IFERROR(__xludf.DUMMYFUNCTION("""COMPUTED_VALUE"""),"amanda.lopes@ufcat.edu.br")</f>
        <v>amanda.lopes@ufcat.edu.br</v>
      </c>
      <c r="D662" s="45" t="str">
        <f>IFERROR(__xludf.DUMMYFUNCTION("""COMPUTED_VALUE"""),"Amanda Matos ")</f>
        <v>Amanda Matos </v>
      </c>
      <c r="E662" s="47">
        <f>IFERROR(__xludf.DUMMYFUNCTION("""COMPUTED_VALUE"""),5340.0)</f>
        <v>5340</v>
      </c>
      <c r="F662" s="45" t="str">
        <f>IFERROR(__xludf.DUMMYFUNCTION("""COMPUTED_VALUE"""),"PREF")</f>
        <v>PREF</v>
      </c>
      <c r="G662" s="45" t="str">
        <f>IFERROR(__xludf.DUMMYFUNCTION("""COMPUTED_VALUE"""),"Bloco P")</f>
        <v>Bloco P</v>
      </c>
      <c r="H662" s="46" t="str">
        <f>IFERROR(__xludf.DUMMYFUNCTION("""COMPUTED_VALUE"""),"Banheiro masculino ")</f>
        <v>Banheiro masculino </v>
      </c>
      <c r="I662" s="7" t="str">
        <f>IFERROR(__xludf.DUMMYFUNCTION("""COMPUTED_VALUE"""),"Instalações Hidrossanitárias")</f>
        <v>Instalações Hidrossanitárias</v>
      </c>
      <c r="J662" s="13" t="str">
        <f>IFERROR(__xludf.DUMMYFUNCTION("""COMPUTED_VALUE"""),"02 Hidráulica / 22 - Outros (PRAZO DE 15 a 60 DIAS PARA ATENDIMENTO)")</f>
        <v>02 Hidráulica / 22 - Outros (PRAZO DE 15 a 60 DIAS PARA ATENDIMENTO)</v>
      </c>
      <c r="K662" s="13"/>
      <c r="L662" s="13" t="str">
        <f>IFERROR(__xludf.DUMMYFUNCTION("""COMPUTED_VALUE"""),"Instalação de torneira de jardim ")</f>
        <v>Instalação de torneira de jardim </v>
      </c>
      <c r="M662" s="20"/>
      <c r="N662" s="26" t="str">
        <f>IFERROR(__xludf.DUMMYFUNCTION("""COMPUTED_VALUE"""),"Realizado")</f>
        <v>Realizado</v>
      </c>
      <c r="O662" s="11">
        <f>IFERROR(__xludf.DUMMYFUNCTION("""COMPUTED_VALUE"""),45387.0)</f>
        <v>45387</v>
      </c>
      <c r="P662" s="11"/>
    </row>
    <row r="663" ht="27.0" customHeight="1">
      <c r="A663" s="20" t="str">
        <f>IFERROR(__xludf.DUMMYFUNCTION("""COMPUTED_VALUE"""),"661/2024")</f>
        <v>661/2024</v>
      </c>
      <c r="B663" s="8">
        <f>IFERROR(__xludf.DUMMYFUNCTION("""COMPUTED_VALUE"""),45387.414889629625)</f>
        <v>45387.41489</v>
      </c>
      <c r="C663" s="44" t="str">
        <f>IFERROR(__xludf.DUMMYFUNCTION("""COMPUTED_VALUE"""),"sga.arquim@ufcat.edu.br")</f>
        <v>sga.arquim@ufcat.edu.br</v>
      </c>
      <c r="D663" s="45" t="str">
        <f>IFERROR(__xludf.DUMMYFUNCTION("""COMPUTED_VALUE"""),"Andréa")</f>
        <v>Andréa</v>
      </c>
      <c r="E663" s="47">
        <f>IFERROR(__xludf.DUMMYFUNCTION("""COMPUTED_VALUE"""),5335.0)</f>
        <v>5335</v>
      </c>
      <c r="F663" s="45" t="str">
        <f>IFERROR(__xludf.DUMMYFUNCTION("""COMPUTED_VALUE"""),"CIDARQ")</f>
        <v>CIDARQ</v>
      </c>
      <c r="G663" s="45" t="str">
        <f>IFERROR(__xludf.DUMMYFUNCTION("""COMPUTED_VALUE"""),"Bloco Administrativo")</f>
        <v>Bloco Administrativo</v>
      </c>
      <c r="H663" s="46" t="str">
        <f>IFERROR(__xludf.DUMMYFUNCTION("""COMPUTED_VALUE"""),"Salas 06 e 23")</f>
        <v>Salas 06 e 23</v>
      </c>
      <c r="I663" s="7" t="str">
        <f>IFERROR(__xludf.DUMMYFUNCTION("""COMPUTED_VALUE"""),"Serralheria")</f>
        <v>Serralheria</v>
      </c>
      <c r="J663" s="13" t="str">
        <f>IFERROR(__xludf.DUMMYFUNCTION("""COMPUTED_VALUE"""),"08 Serralheria / 56 - Outros (PRAZO DE ACORDO COM A DEMANDA)")</f>
        <v>08 Serralheria / 56 - Outros (PRAZO DE ACORDO COM A DEMANDA)</v>
      </c>
      <c r="K663" s="13"/>
      <c r="L663" s="13" t="str">
        <f>IFERROR(__xludf.DUMMYFUNCTION("""COMPUTED_VALUE"""),"- Realizar a vistoria de 3 armários de aço c/ 2 portas;
- Instalar e trocar (quando necessário) fechadura (c/chave) nos referidos armários; ou
- Instalar dobradiça (ou fecho lingueta) porta-cadeado de aço nos armários mencionados, a fim de que permita m"&amp;"antê-los fechados e trancados.")</f>
        <v>- Realizar a vistoria de 3 armários de aço c/ 2 portas;
- Instalar e trocar (quando necessário) fechadura (c/chave) nos referidos armários; ou
- Instalar dobradiça (ou fecho lingueta) porta-cadeado de aço nos armários mencionados, a fim de que permita mantê-los fechados e trancados.</v>
      </c>
      <c r="M663" s="20"/>
      <c r="N663" s="26" t="str">
        <f>IFERROR(__xludf.DUMMYFUNCTION("""COMPUTED_VALUE"""),"Realizado")</f>
        <v>Realizado</v>
      </c>
      <c r="O663" s="11">
        <f>IFERROR(__xludf.DUMMYFUNCTION("""COMPUTED_VALUE"""),45404.0)</f>
        <v>45404</v>
      </c>
      <c r="P663" s="11"/>
    </row>
    <row r="664" ht="27.0" customHeight="1">
      <c r="A664" s="20" t="str">
        <f>IFERROR(__xludf.DUMMYFUNCTION("""COMPUTED_VALUE"""),"662/2024")</f>
        <v>662/2024</v>
      </c>
      <c r="B664" s="8">
        <f>IFERROR(__xludf.DUMMYFUNCTION("""COMPUTED_VALUE"""),45387.486443981485)</f>
        <v>45387.48644</v>
      </c>
      <c r="C664" s="44" t="str">
        <f>IFERROR(__xludf.DUMMYFUNCTION("""COMPUTED_VALUE"""),"cpatri.proaf@ufcat.edu.br")</f>
        <v>cpatri.proaf@ufcat.edu.br</v>
      </c>
      <c r="D664" s="45" t="str">
        <f>IFERROR(__xludf.DUMMYFUNCTION("""COMPUTED_VALUE"""),"Fábio Gonçalves")</f>
        <v>Fábio Gonçalves</v>
      </c>
      <c r="E664" s="47">
        <f>IFERROR(__xludf.DUMMYFUNCTION("""COMPUTED_VALUE"""),5343.0)</f>
        <v>5343</v>
      </c>
      <c r="F664" s="45" t="str">
        <f>IFERROR(__xludf.DUMMYFUNCTION("""COMPUTED_VALUE"""),"CPATRI")</f>
        <v>CPATRI</v>
      </c>
      <c r="G664" s="45" t="str">
        <f>IFERROR(__xludf.DUMMYFUNCTION("""COMPUTED_VALUE"""),"Bloco Administrativo")</f>
        <v>Bloco Administrativo</v>
      </c>
      <c r="H664" s="46" t="str">
        <f>IFERROR(__xludf.DUMMYFUNCTION("""COMPUTED_VALUE"""),"almoxarifado")</f>
        <v>almoxarifado</v>
      </c>
      <c r="I664" s="7" t="str">
        <f>IFERROR(__xludf.DUMMYFUNCTION("""COMPUTED_VALUE"""),"Pequenos serviços de reparos em Marcenaria")</f>
        <v>Pequenos serviços de reparos em Marcenaria</v>
      </c>
      <c r="J664" s="13" t="str">
        <f>IFERROR(__xludf.DUMMYFUNCTION("""COMPUTED_VALUE"""),"03 Marcenaria / 29 - Outros (PRAZO DE ACORDO COM A DEMANDA)")</f>
        <v>03 Marcenaria / 29 - Outros (PRAZO DE ACORDO COM A DEMANDA)</v>
      </c>
      <c r="K664" s="13"/>
      <c r="L664" s="13" t="str">
        <f>IFERROR(__xludf.DUMMYFUNCTION("""COMPUTED_VALUE"""),"Foi visto juntamente ao seu Balbino a montagem de armarios, que estão no Ginasio de esportes, pedimos a montagem de um dos mesmo ja mencionado!")</f>
        <v>Foi visto juntamente ao seu Balbino a montagem de armarios, que estão no Ginasio de esportes, pedimos a montagem de um dos mesmo ja mencionado!</v>
      </c>
      <c r="M664" s="20"/>
      <c r="N664" s="26" t="str">
        <f>IFERROR(__xludf.DUMMYFUNCTION("""COMPUTED_VALUE"""),"Realizado")</f>
        <v>Realizado</v>
      </c>
      <c r="O664" s="11">
        <f>IFERROR(__xludf.DUMMYFUNCTION("""COMPUTED_VALUE"""),45391.0)</f>
        <v>45391</v>
      </c>
      <c r="P664" s="11"/>
    </row>
    <row r="665" ht="27.0" customHeight="1">
      <c r="A665" s="20" t="str">
        <f>IFERROR(__xludf.DUMMYFUNCTION("""COMPUTED_VALUE"""),"663/2024")</f>
        <v>663/2024</v>
      </c>
      <c r="B665" s="8">
        <f>IFERROR(__xludf.DUMMYFUNCTION("""COMPUTED_VALUE"""),45387.49912030093)</f>
        <v>45387.49912</v>
      </c>
      <c r="C665" s="44" t="str">
        <f>IFERROR(__xludf.DUMMYFUNCTION("""COMPUTED_VALUE"""),"mayani@ufcat.edu.br")</f>
        <v>mayani@ufcat.edu.br</v>
      </c>
      <c r="D665" s="45" t="str">
        <f>IFERROR(__xludf.DUMMYFUNCTION("""COMPUTED_VALUE"""),"Mayani thais lopes")</f>
        <v>Mayani thais lopes</v>
      </c>
      <c r="E665" s="47">
        <f>IFERROR(__xludf.DUMMYFUNCTION("""COMPUTED_VALUE"""),3.4999071369E10)</f>
        <v>34999071369</v>
      </c>
      <c r="F665" s="45" t="str">
        <f>IFERROR(__xludf.DUMMYFUNCTION("""COMPUTED_VALUE"""),"IBIOTEC - Enfermagem")</f>
        <v>IBIOTEC - Enfermagem</v>
      </c>
      <c r="G665" s="45" t="str">
        <f>IFERROR(__xludf.DUMMYFUNCTION("""COMPUTED_VALUE"""),"Bloco M")</f>
        <v>Bloco M</v>
      </c>
      <c r="H665" s="46" t="str">
        <f>IFERROR(__xludf.DUMMYFUNCTION("""COMPUTED_VALUE"""),"Corredor ")</f>
        <v>Corredor </v>
      </c>
      <c r="I665" s="7" t="str">
        <f>IFERROR(__xludf.DUMMYFUNCTION("""COMPUTED_VALUE"""),"Pequenos serviços de reparos em Marcenaria")</f>
        <v>Pequenos serviços de reparos em Marcenaria</v>
      </c>
      <c r="J665" s="13" t="str">
        <f>IFERROR(__xludf.DUMMYFUNCTION("""COMPUTED_VALUE"""),"03 Marcenaria / 24 - Conserto de Móveis (PRAZO DE ATÉ 60 DIAS PARA ATENDIMENTO)")</f>
        <v>03 Marcenaria / 24 - Conserto de Móveis (PRAZO DE ATÉ 60 DIAS PARA ATENDIMENTO)</v>
      </c>
      <c r="K665" s="13"/>
      <c r="L665" s="13" t="str">
        <f>IFERROR(__xludf.DUMMYFUNCTION("""COMPUTED_VALUE"""),"Apertar os parafusos da longarina de cadeiras que está no corredor de enfermagem. Os bancos estão soltos. Fica em frente ao escaninho e impressora do corredor")</f>
        <v>Apertar os parafusos da longarina de cadeiras que está no corredor de enfermagem. Os bancos estão soltos. Fica em frente ao escaninho e impressora do corredor</v>
      </c>
      <c r="M665" s="20"/>
      <c r="N665" s="26" t="str">
        <f>IFERROR(__xludf.DUMMYFUNCTION("""COMPUTED_VALUE"""),"Realizado")</f>
        <v>Realizado</v>
      </c>
      <c r="O665" s="11">
        <f>IFERROR(__xludf.DUMMYFUNCTION("""COMPUTED_VALUE"""),45404.0)</f>
        <v>45404</v>
      </c>
      <c r="P665" s="11"/>
    </row>
    <row r="666" ht="27.0" customHeight="1">
      <c r="A666" s="20" t="str">
        <f>IFERROR(__xludf.DUMMYFUNCTION("""COMPUTED_VALUE"""),"664/2024")</f>
        <v>664/2024</v>
      </c>
      <c r="B666" s="8">
        <f>IFERROR(__xludf.DUMMYFUNCTION("""COMPUTED_VALUE"""),45387.58867696759)</f>
        <v>45387.58868</v>
      </c>
      <c r="C666" s="44" t="str">
        <f>IFERROR(__xludf.DUMMYFUNCTION("""COMPUTED_VALUE"""),"proec@ufcat.edu.br")</f>
        <v>proec@ufcat.edu.br</v>
      </c>
      <c r="D666" s="45" t="str">
        <f>IFERROR(__xludf.DUMMYFUNCTION("""COMPUTED_VALUE"""),"Jackeline Rezende")</f>
        <v>Jackeline Rezende</v>
      </c>
      <c r="E666" s="47" t="str">
        <f>IFERROR(__xludf.DUMMYFUNCTION("""COMPUTED_VALUE"""),"64 9 81346868")</f>
        <v>64 9 81346868</v>
      </c>
      <c r="F666" s="45" t="str">
        <f>IFERROR(__xludf.DUMMYFUNCTION("""COMPUTED_VALUE"""),"PROEC")</f>
        <v>PROEC</v>
      </c>
      <c r="G666" s="45" t="str">
        <f>IFERROR(__xludf.DUMMYFUNCTION("""COMPUTED_VALUE"""),"Quadra/Campo")</f>
        <v>Quadra/Campo</v>
      </c>
      <c r="H666" s="46" t="str">
        <f>IFERROR(__xludf.DUMMYFUNCTION("""COMPUTED_VALUE"""),"Quadra Educação Física (Calourada 2024)")</f>
        <v>Quadra Educação Física (Calourada 2024)</v>
      </c>
      <c r="I666" s="7" t="str">
        <f>IFERROR(__xludf.DUMMYFUNCTION("""COMPUTED_VALUE"""),"Instalações Hidrossanitárias")</f>
        <v>Instalações Hidrossanitárias</v>
      </c>
      <c r="J666" s="13" t="str">
        <f>IFERROR(__xludf.DUMMYFUNCTION("""COMPUTED_VALUE"""),"02 Hidráulica / 22 - Outros (PRAZO DE 15 a 60 DIAS PARA ATENDIMENTO)")</f>
        <v>02 Hidráulica / 22 - Outros (PRAZO DE 15 a 60 DIAS PARA ATENDIMENTO)</v>
      </c>
      <c r="K666" s="13"/>
      <c r="L666" s="13" t="str">
        <f>IFERROR(__xludf.DUMMYFUNCTION("""COMPUTED_VALUE"""),"Serão realizadas atividades da Calourada na quadra entre os dias 08 e 12/04. Solicitamos que no dia 08/04 sejam montados bebedouros no local (como feito na feira das profissões). ")</f>
        <v>Serão realizadas atividades da Calourada na quadra entre os dias 08 e 12/04. Solicitamos que no dia 08/04 sejam montados bebedouros no local (como feito na feira das profissões). </v>
      </c>
      <c r="M666" s="20"/>
      <c r="N666" s="26" t="str">
        <f>IFERROR(__xludf.DUMMYFUNCTION("""COMPUTED_VALUE"""),"Realizado")</f>
        <v>Realizado</v>
      </c>
      <c r="O666" s="11">
        <f>IFERROR(__xludf.DUMMYFUNCTION("""COMPUTED_VALUE"""),45390.0)</f>
        <v>45390</v>
      </c>
      <c r="P666" s="11"/>
    </row>
    <row r="667" ht="27.0" customHeight="1">
      <c r="A667" s="20" t="str">
        <f>IFERROR(__xludf.DUMMYFUNCTION("""COMPUTED_VALUE"""),"665/2024")</f>
        <v>665/2024</v>
      </c>
      <c r="B667" s="8">
        <f>IFERROR(__xludf.DUMMYFUNCTION("""COMPUTED_VALUE"""),45387.59570194445)</f>
        <v>45387.5957</v>
      </c>
      <c r="C667" s="44" t="str">
        <f>IFERROR(__xludf.DUMMYFUNCTION("""COMPUTED_VALUE"""),"proec@ufcat.edu.br")</f>
        <v>proec@ufcat.edu.br</v>
      </c>
      <c r="D667" s="45" t="str">
        <f>IFERROR(__xludf.DUMMYFUNCTION("""COMPUTED_VALUE"""),"Jackeline Rezende/Heloisa Vitoria de Castro Paula")</f>
        <v>Jackeline Rezende/Heloisa Vitoria de Castro Paula</v>
      </c>
      <c r="E667" s="47" t="str">
        <f>IFERROR(__xludf.DUMMYFUNCTION("""COMPUTED_VALUE"""),"64 9 81346868")</f>
        <v>64 9 81346868</v>
      </c>
      <c r="F667" s="45" t="str">
        <f>IFERROR(__xludf.DUMMYFUNCTION("""COMPUTED_VALUE"""),"PROEC")</f>
        <v>PROEC</v>
      </c>
      <c r="G667" s="45" t="str">
        <f>IFERROR(__xludf.DUMMYFUNCTION("""COMPUTED_VALUE"""),"Quadra/Campo")</f>
        <v>Quadra/Campo</v>
      </c>
      <c r="H667" s="46" t="str">
        <f>IFERROR(__xludf.DUMMYFUNCTION("""COMPUTED_VALUE"""),"Quadra da Educação Física (Calourada 2024)")</f>
        <v>Quadra da Educação Física (Calourada 2024)</v>
      </c>
      <c r="I667" s="7" t="str">
        <f>IFERROR(__xludf.DUMMYFUNCTION("""COMPUTED_VALUE"""),"Instalações elétricas")</f>
        <v>Instalações elétricas</v>
      </c>
      <c r="J667" s="13" t="str">
        <f>IFERROR(__xludf.DUMMYFUNCTION("""COMPUTED_VALUE"""),"04 Elétrica / 34 - Tomada Uso Geral (PRAZO DE ATÉ 15 DIAS PARA ATENDIMENTO)")</f>
        <v>04 Elétrica / 34 - Tomada Uso Geral (PRAZO DE ATÉ 15 DIAS PARA ATENDIMENTO)</v>
      </c>
      <c r="K667" s="13"/>
      <c r="L667" s="13" t="str">
        <f>IFERROR(__xludf.DUMMYFUNCTION("""COMPUTED_VALUE"""),"Pontos de energia para ligar equipamentos de som. O palco já está instalado na quadra. ")</f>
        <v>Pontos de energia para ligar equipamentos de som. O palco já está instalado na quadra. </v>
      </c>
      <c r="M667" s="20"/>
      <c r="N667" s="26" t="str">
        <f>IFERROR(__xludf.DUMMYFUNCTION("""COMPUTED_VALUE"""),"Realizado")</f>
        <v>Realizado</v>
      </c>
      <c r="O667" s="11">
        <f>IFERROR(__xludf.DUMMYFUNCTION("""COMPUTED_VALUE"""),45390.0)</f>
        <v>45390</v>
      </c>
      <c r="P667" s="11"/>
    </row>
    <row r="668" ht="27.0" customHeight="1">
      <c r="A668" s="20" t="str">
        <f>IFERROR(__xludf.DUMMYFUNCTION("""COMPUTED_VALUE"""),"666/2024")</f>
        <v>666/2024</v>
      </c>
      <c r="B668" s="8">
        <f>IFERROR(__xludf.DUMMYFUNCTION("""COMPUTED_VALUE"""),45387.680167812505)</f>
        <v>45387.68017</v>
      </c>
      <c r="C668" s="44" t="str">
        <f>IFERROR(__xludf.DUMMYFUNCTION("""COMPUTED_VALUE"""),"lailton_ribeiro@ufcat.edu.br")</f>
        <v>lailton_ribeiro@ufcat.edu.br</v>
      </c>
      <c r="D668" s="45" t="str">
        <f>IFERROR(__xludf.DUMMYFUNCTION("""COMPUTED_VALUE"""),"Lailton Martins Ribeiro")</f>
        <v>Lailton Martins Ribeiro</v>
      </c>
      <c r="E668" s="47" t="str">
        <f>IFERROR(__xludf.DUMMYFUNCTION("""COMPUTED_VALUE"""),"64 981218674")</f>
        <v>64 981218674</v>
      </c>
      <c r="F668" s="45" t="str">
        <f>IFERROR(__xludf.DUMMYFUNCTION("""COMPUTED_VALUE"""),"PRPE")</f>
        <v>PRPE</v>
      </c>
      <c r="G668" s="45" t="str">
        <f>IFERROR(__xludf.DUMMYFUNCTION("""COMPUTED_VALUE"""),"Quadra/Campo")</f>
        <v>Quadra/Campo</v>
      </c>
      <c r="H668" s="46" t="str">
        <f>IFERROR(__xludf.DUMMYFUNCTION("""COMPUTED_VALUE"""),"Quadra")</f>
        <v>Quadra</v>
      </c>
      <c r="I668" s="7" t="str">
        <f>IFERROR(__xludf.DUMMYFUNCTION("""COMPUTED_VALUE"""),"Pequenos serviços de reparos em Marcenaria")</f>
        <v>Pequenos serviços de reparos em Marcenaria</v>
      </c>
      <c r="J668" s="13" t="str">
        <f>IFERROR(__xludf.DUMMYFUNCTION("""COMPUTED_VALUE"""),"03 Marcenaria / 29 - Outros (PRAZO DE ACORDO COM A DEMANDA)")</f>
        <v>03 Marcenaria / 29 - Outros (PRAZO DE ACORDO COM A DEMANDA)</v>
      </c>
      <c r="K668" s="13"/>
      <c r="L668" s="13" t="str">
        <f>IFERROR(__xludf.DUMMYFUNCTION("""COMPUTED_VALUE"""),"Apoio na montagem de duas tendas 3x3")</f>
        <v>Apoio na montagem de duas tendas 3x3</v>
      </c>
      <c r="M668" s="20" t="str">
        <f>IFERROR(__xludf.DUMMYFUNCTION("""COMPUTED_VALUE"""),"Cancelada pelo solicitante ")</f>
        <v>Cancelada pelo solicitante </v>
      </c>
      <c r="N668" s="26" t="str">
        <f>IFERROR(__xludf.DUMMYFUNCTION("""COMPUTED_VALUE"""),"Cancelada pelo solicitante")</f>
        <v>Cancelada pelo solicitante</v>
      </c>
      <c r="O668" s="11">
        <f>IFERROR(__xludf.DUMMYFUNCTION("""COMPUTED_VALUE"""),45390.0)</f>
        <v>45390</v>
      </c>
      <c r="P668" s="11"/>
    </row>
    <row r="669" ht="27.0" customHeight="1">
      <c r="A669" s="20" t="str">
        <f>IFERROR(__xludf.DUMMYFUNCTION("""COMPUTED_VALUE"""),"667/2024")</f>
        <v>667/2024</v>
      </c>
      <c r="B669" s="8">
        <f>IFERROR(__xludf.DUMMYFUNCTION("""COMPUTED_VALUE"""),45390.331502256944)</f>
        <v>45390.3315</v>
      </c>
      <c r="C669" s="44" t="str">
        <f>IFERROR(__xludf.DUMMYFUNCTION("""COMPUTED_VALUE"""),"mariaeduarda.borges@ufcat.edu.br")</f>
        <v>mariaeduarda.borges@ufcat.edu.br</v>
      </c>
      <c r="D669" s="45" t="str">
        <f>IFERROR(__xludf.DUMMYFUNCTION("""COMPUTED_VALUE"""),"Maria Eduarda Silva Borges")</f>
        <v>Maria Eduarda Silva Borges</v>
      </c>
      <c r="E669" s="47">
        <f>IFERROR(__xludf.DUMMYFUNCTION("""COMPUTED_VALUE"""),5340.0)</f>
        <v>5340</v>
      </c>
      <c r="F669" s="45" t="str">
        <f>IFERROR(__xludf.DUMMYFUNCTION("""COMPUTED_VALUE"""),"PREF")</f>
        <v>PREF</v>
      </c>
      <c r="G669" s="45" t="str">
        <f>IFERROR(__xludf.DUMMYFUNCTION("""COMPUTED_VALUE"""),"Bloco K")</f>
        <v>Bloco K</v>
      </c>
      <c r="H669" s="46" t="str">
        <f>IFERROR(__xludf.DUMMYFUNCTION("""COMPUTED_VALUE"""),"PORTA DE ENTRADA BLOCO K.")</f>
        <v>PORTA DE ENTRADA BLOCO K.</v>
      </c>
      <c r="I669" s="7" t="str">
        <f>IFERROR(__xludf.DUMMYFUNCTION("""COMPUTED_VALUE"""),"Pequenos serviços de reparos em Marcenaria")</f>
        <v>Pequenos serviços de reparos em Marcenaria</v>
      </c>
      <c r="J669" s="13" t="str">
        <f>IFERROR(__xludf.DUMMYFUNCTION("""COMPUTED_VALUE"""),"03 Marcenaria / 29 - Outros (PRAZO DE ACORDO COM A DEMANDA)")</f>
        <v>03 Marcenaria / 29 - Outros (PRAZO DE ACORDO COM A DEMANDA)</v>
      </c>
      <c r="K669" s="13"/>
      <c r="L669" s="13" t="str">
        <f>IFERROR(__xludf.DUMMYFUNCTION("""COMPUTED_VALUE"""),"A porta do Bloco K está aberta e não tá trancando pois está estragada.")</f>
        <v>A porta do Bloco K está aberta e não tá trancando pois está estragada.</v>
      </c>
      <c r="M669" s="20"/>
      <c r="N669" s="26" t="str">
        <f>IFERROR(__xludf.DUMMYFUNCTION("""COMPUTED_VALUE"""),"Realizado")</f>
        <v>Realizado</v>
      </c>
      <c r="O669" s="11">
        <f>IFERROR(__xludf.DUMMYFUNCTION("""COMPUTED_VALUE"""),45390.0)</f>
        <v>45390</v>
      </c>
      <c r="P669" s="11"/>
    </row>
    <row r="670" ht="26.25" customHeight="1">
      <c r="A670" s="20" t="str">
        <f>IFERROR(__xludf.DUMMYFUNCTION("""COMPUTED_VALUE"""),"668/2024")</f>
        <v>668/2024</v>
      </c>
      <c r="B670" s="8">
        <f>IFERROR(__xludf.DUMMYFUNCTION("""COMPUTED_VALUE"""),45390.33791043982)</f>
        <v>45390.33791</v>
      </c>
      <c r="C670" s="44" t="str">
        <f>IFERROR(__xludf.DUMMYFUNCTION("""COMPUTED_VALUE"""),"mariaeduarda.borges@ufcat.edu.br")</f>
        <v>mariaeduarda.borges@ufcat.edu.br</v>
      </c>
      <c r="D670" s="45" t="str">
        <f>IFERROR(__xludf.DUMMYFUNCTION("""COMPUTED_VALUE"""),"Maria Eduarda Silva Borges ")</f>
        <v>Maria Eduarda Silva Borges </v>
      </c>
      <c r="E670" s="47">
        <f>IFERROR(__xludf.DUMMYFUNCTION("""COMPUTED_VALUE"""),5340.0)</f>
        <v>5340</v>
      </c>
      <c r="F670" s="45" t="str">
        <f>IFERROR(__xludf.DUMMYFUNCTION("""COMPUTED_VALUE"""),"PREF")</f>
        <v>PREF</v>
      </c>
      <c r="G670" s="45" t="str">
        <f>IFERROR(__xludf.DUMMYFUNCTION("""COMPUTED_VALUE"""),"Didático II")</f>
        <v>Didático II</v>
      </c>
      <c r="H670" s="46" t="str">
        <f>IFERROR(__xludf.DUMMYFUNCTION("""COMPUTED_VALUE"""),"SALA DE APOIO VIGILANTES")</f>
        <v>SALA DE APOIO VIGILANTES</v>
      </c>
      <c r="I670" s="7" t="str">
        <f>IFERROR(__xludf.DUMMYFUNCTION("""COMPUTED_VALUE"""),"Pequenos serviços de reparos em Marcenaria")</f>
        <v>Pequenos serviços de reparos em Marcenaria</v>
      </c>
      <c r="J670" s="13" t="str">
        <f>IFERROR(__xludf.DUMMYFUNCTION("""COMPUTED_VALUE"""),"03 Marcenaria / 29 - Outros (PRAZO DE ACORDO COM A DEMANDA)")</f>
        <v>03 Marcenaria / 29 - Outros (PRAZO DE ACORDO COM A DEMANDA)</v>
      </c>
      <c r="K670" s="13"/>
      <c r="L670" s="13" t="str">
        <f>IFERROR(__xludf.DUMMYFUNCTION("""COMPUTED_VALUE"""),"A porta da Sala de Apoio dos vigilantes do Bloco Didático ll, está com defeito na fechadura.")</f>
        <v>A porta da Sala de Apoio dos vigilantes do Bloco Didático ll, está com defeito na fechadura.</v>
      </c>
      <c r="M670" s="20"/>
      <c r="N670" s="26" t="str">
        <f>IFERROR(__xludf.DUMMYFUNCTION("""COMPUTED_VALUE"""),"Realizado")</f>
        <v>Realizado</v>
      </c>
      <c r="O670" s="11">
        <f>IFERROR(__xludf.DUMMYFUNCTION("""COMPUTED_VALUE"""),45390.0)</f>
        <v>45390</v>
      </c>
      <c r="P670" s="11"/>
    </row>
    <row r="671" ht="27.0" customHeight="1">
      <c r="A671" s="20" t="str">
        <f>IFERROR(__xludf.DUMMYFUNCTION("""COMPUTED_VALUE"""),"669/2024")</f>
        <v>669/2024</v>
      </c>
      <c r="B671" s="8">
        <f>IFERROR(__xludf.DUMMYFUNCTION("""COMPUTED_VALUE"""),45390.37918103009)</f>
        <v>45390.37918</v>
      </c>
      <c r="C671" s="44" t="str">
        <f>IFERROR(__xludf.DUMMYFUNCTION("""COMPUTED_VALUE"""),"ceapsi.ufcat@gmail.com")</f>
        <v>ceapsi.ufcat@gmail.com</v>
      </c>
      <c r="D671" s="45" t="str">
        <f>IFERROR(__xludf.DUMMYFUNCTION("""COMPUTED_VALUE"""),"Jacqueline")</f>
        <v>Jacqueline</v>
      </c>
      <c r="E671" s="47">
        <f>IFERROR(__xludf.DUMMYFUNCTION("""COMPUTED_VALUE"""),5349.0)</f>
        <v>5349</v>
      </c>
      <c r="F671" s="45" t="str">
        <f>IFERROR(__xludf.DUMMYFUNCTION("""COMPUTED_VALUE"""),"IBIOTEC  - Psicologia")</f>
        <v>IBIOTEC  - Psicologia</v>
      </c>
      <c r="G671" s="45" t="str">
        <f>IFERROR(__xludf.DUMMYFUNCTION("""COMPUTED_VALUE"""),"Bloco M")</f>
        <v>Bloco M</v>
      </c>
      <c r="H671" s="46" t="str">
        <f>IFERROR(__xludf.DUMMYFUNCTION("""COMPUTED_VALUE"""),"Sala 5 - Consultório Infantil")</f>
        <v>Sala 5 - Consultório Infantil</v>
      </c>
      <c r="I671" s="7" t="str">
        <f>IFERROR(__xludf.DUMMYFUNCTION("""COMPUTED_VALUE"""),"Pequenos serviços de reparos em Marcenaria")</f>
        <v>Pequenos serviços de reparos em Marcenaria</v>
      </c>
      <c r="J671" s="13" t="str">
        <f>IFERROR(__xludf.DUMMYFUNCTION("""COMPUTED_VALUE"""),"03 Marcenaria / 29 - Outros (PRAZO DE ACORDO COM A DEMANDA)")</f>
        <v>03 Marcenaria / 29 - Outros (PRAZO DE ACORDO COM A DEMANDA)</v>
      </c>
      <c r="K671" s="13"/>
      <c r="L671" s="13" t="str">
        <f>IFERROR(__xludf.DUMMYFUNCTION("""COMPUTED_VALUE"""),"Maçaneta está soltando da fechadura")</f>
        <v>Maçaneta está soltando da fechadura</v>
      </c>
      <c r="M671" s="20"/>
      <c r="N671" s="26" t="str">
        <f>IFERROR(__xludf.DUMMYFUNCTION("""COMPUTED_VALUE"""),"Realizado")</f>
        <v>Realizado</v>
      </c>
      <c r="O671" s="11">
        <f>IFERROR(__xludf.DUMMYFUNCTION("""COMPUTED_VALUE"""),45391.0)</f>
        <v>45391</v>
      </c>
      <c r="P671" s="11"/>
    </row>
    <row r="672" ht="27.0" customHeight="1">
      <c r="A672" s="20" t="str">
        <f>IFERROR(__xludf.DUMMYFUNCTION("""COMPUTED_VALUE"""),"670/2024")</f>
        <v>670/2024</v>
      </c>
      <c r="B672" s="8">
        <f>IFERROR(__xludf.DUMMYFUNCTION("""COMPUTED_VALUE"""),45390.40212434028)</f>
        <v>45390.40212</v>
      </c>
      <c r="C672" s="44" t="str">
        <f>IFERROR(__xludf.DUMMYFUNCTION("""COMPUTED_VALUE"""),"proec@ufcat.edu.br")</f>
        <v>proec@ufcat.edu.br</v>
      </c>
      <c r="D672" s="45" t="str">
        <f>IFERROR(__xludf.DUMMYFUNCTION("""COMPUTED_VALUE"""),"Dione Alvares")</f>
        <v>Dione Alvares</v>
      </c>
      <c r="E672" s="47">
        <f>IFERROR(__xludf.DUMMYFUNCTION("""COMPUTED_VALUE"""),5347.0)</f>
        <v>5347</v>
      </c>
      <c r="F672" s="45" t="str">
        <f>IFERROR(__xludf.DUMMYFUNCTION("""COMPUTED_VALUE"""),"PROEC")</f>
        <v>PROEC</v>
      </c>
      <c r="G672" s="45" t="str">
        <f>IFERROR(__xludf.DUMMYFUNCTION("""COMPUTED_VALUE"""),"Auditório Paulo de Bastos")</f>
        <v>Auditório Paulo de Bastos</v>
      </c>
      <c r="H672" s="46" t="str">
        <f>IFERROR(__xludf.DUMMYFUNCTION("""COMPUTED_VALUE"""),"Sala 9, tomadas não funcionam. precisamos com urgência devido as demandas da Calourada")</f>
        <v>Sala 9, tomadas não funcionam. precisamos com urgência devido as demandas da Calourada</v>
      </c>
      <c r="I672" s="7" t="str">
        <f>IFERROR(__xludf.DUMMYFUNCTION("""COMPUTED_VALUE"""),"Instalações elétricas")</f>
        <v>Instalações elétricas</v>
      </c>
      <c r="J672" s="13" t="str">
        <f>IFERROR(__xludf.DUMMYFUNCTION("""COMPUTED_VALUE"""),"04 Elétrica / 34 - Tomada Uso Geral (PRAZO DE ATÉ 15 DIAS PARA ATENDIMENTO)")</f>
        <v>04 Elétrica / 34 - Tomada Uso Geral (PRAZO DE ATÉ 15 DIAS PARA ATENDIMENTO)</v>
      </c>
      <c r="K672" s="13"/>
      <c r="L672" s="13" t="str">
        <f>IFERROR(__xludf.DUMMYFUNCTION("""COMPUTED_VALUE"""),"Tomadas na sala 9 não funcionam")</f>
        <v>Tomadas na sala 9 não funcionam</v>
      </c>
      <c r="M672" s="20"/>
      <c r="N672" s="26" t="str">
        <f>IFERROR(__xludf.DUMMYFUNCTION("""COMPUTED_VALUE"""),"Realizado")</f>
        <v>Realizado</v>
      </c>
      <c r="O672" s="11">
        <f>IFERROR(__xludf.DUMMYFUNCTION("""COMPUTED_VALUE"""),45390.0)</f>
        <v>45390</v>
      </c>
      <c r="P672" s="11"/>
    </row>
    <row r="673" ht="27.0" customHeight="1">
      <c r="A673" s="20" t="str">
        <f>IFERROR(__xludf.DUMMYFUNCTION("""COMPUTED_VALUE"""),"671/2024")</f>
        <v>671/2024</v>
      </c>
      <c r="B673" s="8">
        <f>IFERROR(__xludf.DUMMYFUNCTION("""COMPUTED_VALUE"""),45390.41859800926)</f>
        <v>45390.4186</v>
      </c>
      <c r="C673" s="44" t="str">
        <f>IFERROR(__xludf.DUMMYFUNCTION("""COMPUTED_VALUE"""),"dimas.junior@ufcat.edu.br")</f>
        <v>dimas.junior@ufcat.edu.br</v>
      </c>
      <c r="D673" s="45" t="str">
        <f>IFERROR(__xludf.DUMMYFUNCTION("""COMPUTED_VALUE"""),"Dimas Antonio Rosa Junior")</f>
        <v>Dimas Antonio Rosa Junior</v>
      </c>
      <c r="E673" s="47">
        <f>IFERROR(__xludf.DUMMYFUNCTION("""COMPUTED_VALUE"""),6.4996134145E10)</f>
        <v>64996134145</v>
      </c>
      <c r="F673" s="45" t="str">
        <f>IFERROR(__xludf.DUMMYFUNCTION("""COMPUTED_VALUE"""),"FENG - Engenharia de Minas")</f>
        <v>FENG - Engenharia de Minas</v>
      </c>
      <c r="G673" s="45" t="str">
        <f>IFERROR(__xludf.DUMMYFUNCTION("""COMPUTED_VALUE"""),"Bloco O")</f>
        <v>Bloco O</v>
      </c>
      <c r="H673" s="46" t="str">
        <f>IFERROR(__xludf.DUMMYFUNCTION("""COMPUTED_VALUE"""),"Laboratorio de Projetos e Planejamento - 18/21")</f>
        <v>Laboratorio de Projetos e Planejamento - 18/21</v>
      </c>
      <c r="I673" s="7" t="str">
        <f>IFERROR(__xludf.DUMMYFUNCTION("""COMPUTED_VALUE"""),"Instalações elétricas")</f>
        <v>Instalações elétricas</v>
      </c>
      <c r="J673" s="13" t="str">
        <f>IFERROR(__xludf.DUMMYFUNCTION("""COMPUTED_VALUE"""),"04 Elétrica / 30 - Falta de Energia (PRAZO DE 1 a 5 DIAS PARA ATENDIMENTO)")</f>
        <v>04 Elétrica / 30 - Falta de Energia (PRAZO DE 1 a 5 DIAS PARA ATENDIMENTO)</v>
      </c>
      <c r="K673" s="13"/>
      <c r="L673" s="13" t="str">
        <f>IFERROR(__xludf.DUMMYFUNCTION("""COMPUTED_VALUE"""),"Estamos sem luz elétrica no Laboratório de Projetos e Planejamento")</f>
        <v>Estamos sem luz elétrica no Laboratório de Projetos e Planejamento</v>
      </c>
      <c r="M673" s="20"/>
      <c r="N673" s="26" t="str">
        <f>IFERROR(__xludf.DUMMYFUNCTION("""COMPUTED_VALUE"""),"Realizado")</f>
        <v>Realizado</v>
      </c>
      <c r="O673" s="11">
        <f>IFERROR(__xludf.DUMMYFUNCTION("""COMPUTED_VALUE"""),45390.0)</f>
        <v>45390</v>
      </c>
      <c r="P673" s="11"/>
    </row>
    <row r="674" ht="27.0" customHeight="1">
      <c r="A674" s="20" t="str">
        <f>IFERROR(__xludf.DUMMYFUNCTION("""COMPUTED_VALUE"""),"672/2024")</f>
        <v>672/2024</v>
      </c>
      <c r="B674" s="8">
        <f>IFERROR(__xludf.DUMMYFUNCTION("""COMPUTED_VALUE"""),45390.43699940972)</f>
        <v>45390.437</v>
      </c>
      <c r="C674" s="44" t="str">
        <f>IFERROR(__xludf.DUMMYFUNCTION("""COMPUTED_VALUE"""),"amanda.lopes@ufcat.edu.br")</f>
        <v>amanda.lopes@ufcat.edu.br</v>
      </c>
      <c r="D674" s="45" t="str">
        <f>IFERROR(__xludf.DUMMYFUNCTION("""COMPUTED_VALUE"""),"Amanda Matos ")</f>
        <v>Amanda Matos </v>
      </c>
      <c r="E674" s="47">
        <f>IFERROR(__xludf.DUMMYFUNCTION("""COMPUTED_VALUE"""),5340.0)</f>
        <v>5340</v>
      </c>
      <c r="F674" s="45" t="str">
        <f>IFERROR(__xludf.DUMMYFUNCTION("""COMPUTED_VALUE"""),"PREF")</f>
        <v>PREF</v>
      </c>
      <c r="G674" s="45" t="str">
        <f>IFERROR(__xludf.DUMMYFUNCTION("""COMPUTED_VALUE"""),"Bloco P")</f>
        <v>Bloco P</v>
      </c>
      <c r="H674" s="46" t="str">
        <f>IFERROR(__xludf.DUMMYFUNCTION("""COMPUTED_VALUE"""),"Copa")</f>
        <v>Copa</v>
      </c>
      <c r="I674" s="7" t="str">
        <f>IFERROR(__xludf.DUMMYFUNCTION("""COMPUTED_VALUE"""),"Instalações Hidrossanitárias")</f>
        <v>Instalações Hidrossanitárias</v>
      </c>
      <c r="J674" s="13" t="str">
        <f>IFERROR(__xludf.DUMMYFUNCTION("""COMPUTED_VALUE"""),"02 Hidráulica / 11 - Vazamento em Tubulação interna (PRAZO DE 15 a 60 DIAS PARA ATENDIMENTO)")</f>
        <v>02 Hidráulica / 11 - Vazamento em Tubulação interna (PRAZO DE 15 a 60 DIAS PARA ATENDIMENTO)</v>
      </c>
      <c r="K674" s="13"/>
      <c r="L674" s="13" t="str">
        <f>IFERROR(__xludf.DUMMYFUNCTION("""COMPUTED_VALUE"""),"Vazamento no bebedouro da copa ")</f>
        <v>Vazamento no bebedouro da copa </v>
      </c>
      <c r="M674" s="20"/>
      <c r="N674" s="26" t="str">
        <f>IFERROR(__xludf.DUMMYFUNCTION("""COMPUTED_VALUE"""),"Realizado")</f>
        <v>Realizado</v>
      </c>
      <c r="O674" s="11">
        <f>IFERROR(__xludf.DUMMYFUNCTION("""COMPUTED_VALUE"""),45391.0)</f>
        <v>45391</v>
      </c>
      <c r="P674" s="11"/>
    </row>
    <row r="675" ht="27.0" customHeight="1">
      <c r="A675" s="20" t="str">
        <f>IFERROR(__xludf.DUMMYFUNCTION("""COMPUTED_VALUE"""),"673/2024")</f>
        <v>673/2024</v>
      </c>
      <c r="B675" s="8">
        <f>IFERROR(__xludf.DUMMYFUNCTION("""COMPUTED_VALUE"""),45390.43848040509)</f>
        <v>45390.43848</v>
      </c>
      <c r="C675" s="44" t="str">
        <f>IFERROR(__xludf.DUMMYFUNCTION("""COMPUTED_VALUE"""),"lincolnromualdo@ufcat.edu.br")</f>
        <v>lincolnromualdo@ufcat.edu.br</v>
      </c>
      <c r="D675" s="45" t="str">
        <f>IFERROR(__xludf.DUMMYFUNCTION("""COMPUTED_VALUE"""),"Lincoln Lucilio Romualdo")</f>
        <v>Lincoln Lucilio Romualdo</v>
      </c>
      <c r="E675" s="47">
        <f>IFERROR(__xludf.DUMMYFUNCTION("""COMPUTED_VALUE"""),6.4981212068E10)</f>
        <v>64981212068</v>
      </c>
      <c r="F675" s="45" t="str">
        <f>IFERROR(__xludf.DUMMYFUNCTION("""COMPUTED_VALUE"""),"IQ")</f>
        <v>IQ</v>
      </c>
      <c r="G675" s="45" t="str">
        <f>IFERROR(__xludf.DUMMYFUNCTION("""COMPUTED_VALUE"""),"Bloco M")</f>
        <v>Bloco M</v>
      </c>
      <c r="H675" s="46" t="str">
        <f>IFERROR(__xludf.DUMMYFUNCTION("""COMPUTED_VALUE"""),"Banheiro 2o Pavimento (IQ/IF/CGEN/IHCS)")</f>
        <v>Banheiro 2o Pavimento (IQ/IF/CGEN/IHCS)</v>
      </c>
      <c r="I675" s="7" t="str">
        <f>IFERROR(__xludf.DUMMYFUNCTION("""COMPUTED_VALUE"""),"Instalações Hidrossanitárias")</f>
        <v>Instalações Hidrossanitárias</v>
      </c>
      <c r="J675" s="13" t="str">
        <f>IFERROR(__xludf.DUMMYFUNCTION("""COMPUTED_VALUE"""),"02 Hidráulica / 07 - Desentupimento (PRAZO DE 1 ATÉ 5 DIAS PARA ATENDIMENTO)")</f>
        <v>02 Hidráulica / 07 - Desentupimento (PRAZO DE 1 ATÉ 5 DIAS PARA ATENDIMENTO)</v>
      </c>
      <c r="K675" s="13"/>
      <c r="L675" s="13" t="str">
        <f>IFERROR(__xludf.DUMMYFUNCTION("""COMPUTED_VALUE"""),"Desentupimento de mictório localizado no banheiro do 2o pavimento do bloco M")</f>
        <v>Desentupimento de mictório localizado no banheiro do 2o pavimento do bloco M</v>
      </c>
      <c r="M675" s="20"/>
      <c r="N675" s="26" t="str">
        <f>IFERROR(__xludf.DUMMYFUNCTION("""COMPUTED_VALUE"""),"Realizado")</f>
        <v>Realizado</v>
      </c>
      <c r="O675" s="11">
        <f>IFERROR(__xludf.DUMMYFUNCTION("""COMPUTED_VALUE"""),45390.0)</f>
        <v>45390</v>
      </c>
      <c r="P675" s="11"/>
    </row>
    <row r="676" ht="27.0" customHeight="1">
      <c r="A676" s="20" t="str">
        <f>IFERROR(__xludf.DUMMYFUNCTION("""COMPUTED_VALUE"""),"674/2024")</f>
        <v>674/2024</v>
      </c>
      <c r="B676" s="8">
        <f>IFERROR(__xludf.DUMMYFUNCTION("""COMPUTED_VALUE"""),45390.439550104165)</f>
        <v>45390.43955</v>
      </c>
      <c r="C676" s="44" t="str">
        <f>IFERROR(__xludf.DUMMYFUNCTION("""COMPUTED_VALUE"""),"mariaeduarda.borges@ufcat.edu.br")</f>
        <v>mariaeduarda.borges@ufcat.edu.br</v>
      </c>
      <c r="D676" s="45" t="str">
        <f>IFERROR(__xludf.DUMMYFUNCTION("""COMPUTED_VALUE"""),"Maria Eduarda Silva Borges ")</f>
        <v>Maria Eduarda Silva Borges </v>
      </c>
      <c r="E676" s="47">
        <f>IFERROR(__xludf.DUMMYFUNCTION("""COMPUTED_VALUE"""),5340.0)</f>
        <v>5340</v>
      </c>
      <c r="F676" s="45" t="str">
        <f>IFERROR(__xludf.DUMMYFUNCTION("""COMPUTED_VALUE"""),"PREF")</f>
        <v>PREF</v>
      </c>
      <c r="G676" s="45" t="str">
        <f>IFERROR(__xludf.DUMMYFUNCTION("""COMPUTED_VALUE"""),"Didatico I")</f>
        <v>Didatico I</v>
      </c>
      <c r="H676" s="46" t="str">
        <f>IFERROR(__xludf.DUMMYFUNCTION("""COMPUTED_VALUE"""),"BEBEDOURO 2º PISO")</f>
        <v>BEBEDOURO 2º PISO</v>
      </c>
      <c r="I676" s="7" t="str">
        <f>IFERROR(__xludf.DUMMYFUNCTION("""COMPUTED_VALUE"""),"Instalações Hidrossanitárias")</f>
        <v>Instalações Hidrossanitárias</v>
      </c>
      <c r="J676" s="13" t="str">
        <f>IFERROR(__xludf.DUMMYFUNCTION("""COMPUTED_VALUE"""),"02 Hidráulica / 22 - Outros (PRAZO DE 15 a 60 DIAS PARA ATENDIMENTO)")</f>
        <v>02 Hidráulica / 22 - Outros (PRAZO DE 15 a 60 DIAS PARA ATENDIMENTO)</v>
      </c>
      <c r="K676" s="13"/>
      <c r="L676" s="13" t="str">
        <f>IFERROR(__xludf.DUMMYFUNCTION("""COMPUTED_VALUE"""),"O bebedouro 2º piso do Bloco Didático l, está danificado.")</f>
        <v>O bebedouro 2º piso do Bloco Didático l, está danificado.</v>
      </c>
      <c r="M676" s="20"/>
      <c r="N676" s="26" t="str">
        <f>IFERROR(__xludf.DUMMYFUNCTION("""COMPUTED_VALUE"""),"Realizado")</f>
        <v>Realizado</v>
      </c>
      <c r="O676" s="11">
        <f>IFERROR(__xludf.DUMMYFUNCTION("""COMPUTED_VALUE"""),45390.0)</f>
        <v>45390</v>
      </c>
      <c r="P676" s="11"/>
    </row>
    <row r="677" ht="27.0" customHeight="1">
      <c r="A677" s="20" t="str">
        <f>IFERROR(__xludf.DUMMYFUNCTION("""COMPUTED_VALUE"""),"675/2024")</f>
        <v>675/2024</v>
      </c>
      <c r="B677" s="8">
        <f>IFERROR(__xludf.DUMMYFUNCTION("""COMPUTED_VALUE"""),45390.44168282408)</f>
        <v>45390.44168</v>
      </c>
      <c r="C677" s="44" t="str">
        <f>IFERROR(__xludf.DUMMYFUNCTION("""COMPUTED_VALUE"""),"lincolnromualdo@ufcat.edu.br")</f>
        <v>lincolnromualdo@ufcat.edu.br</v>
      </c>
      <c r="D677" s="45" t="str">
        <f>IFERROR(__xludf.DUMMYFUNCTION("""COMPUTED_VALUE"""),"Lincoln Lucilio Romualdo")</f>
        <v>Lincoln Lucilio Romualdo</v>
      </c>
      <c r="E677" s="47">
        <f>IFERROR(__xludf.DUMMYFUNCTION("""COMPUTED_VALUE"""),6.4981212068E10)</f>
        <v>64981212068</v>
      </c>
      <c r="F677" s="45" t="str">
        <f>IFERROR(__xludf.DUMMYFUNCTION("""COMPUTED_VALUE"""),"IQ")</f>
        <v>IQ</v>
      </c>
      <c r="G677" s="45" t="str">
        <f>IFERROR(__xludf.DUMMYFUNCTION("""COMPUTED_VALUE"""),"Restaurante Universitário")</f>
        <v>Restaurante Universitário</v>
      </c>
      <c r="H677" s="46" t="str">
        <f>IFERROR(__xludf.DUMMYFUNCTION("""COMPUTED_VALUE"""),"Estação Meteorológica atrás do Restaurante Universitário")</f>
        <v>Estação Meteorológica atrás do Restaurante Universitário</v>
      </c>
      <c r="I677" s="7" t="str">
        <f>IFERROR(__xludf.DUMMYFUNCTION("""COMPUTED_VALUE"""),"Jardinagem")</f>
        <v>Jardinagem</v>
      </c>
      <c r="J677" s="13"/>
      <c r="K677" s="13"/>
      <c r="L677" s="13" t="str">
        <f>IFERROR(__xludf.DUMMYFUNCTION("""COMPUTED_VALUE"""),"Roçagem da grama da estação meteorológica do campus - localizada atrás do RU")</f>
        <v>Roçagem da grama da estação meteorológica do campus - localizada atrás do RU</v>
      </c>
      <c r="M677" s="20"/>
      <c r="N677" s="26" t="str">
        <f>IFERROR(__xludf.DUMMYFUNCTION("""COMPUTED_VALUE"""),"Aguardando análise")</f>
        <v>Aguardando análise</v>
      </c>
      <c r="O677" s="11"/>
      <c r="P677" s="11"/>
    </row>
    <row r="678" ht="27.0" customHeight="1">
      <c r="A678" s="20" t="str">
        <f>IFERROR(__xludf.DUMMYFUNCTION("""COMPUTED_VALUE"""),"676/2024")</f>
        <v>676/2024</v>
      </c>
      <c r="B678" s="8">
        <f>IFERROR(__xludf.DUMMYFUNCTION("""COMPUTED_VALUE"""),45390.45122346065)</f>
        <v>45390.45122</v>
      </c>
      <c r="C678" s="44" t="str">
        <f>IFERROR(__xludf.DUMMYFUNCTION("""COMPUTED_VALUE"""),"seaf@ufcat.edu.br")</f>
        <v>seaf@ufcat.edu.br</v>
      </c>
      <c r="D678" s="45" t="str">
        <f>IFERROR(__xludf.DUMMYFUNCTION("""COMPUTED_VALUE"""),"Alisson Lucas Alves Carvalho")</f>
        <v>Alisson Lucas Alves Carvalho</v>
      </c>
      <c r="E678" s="47" t="str">
        <f>IFERROR(__xludf.DUMMYFUNCTION("""COMPUTED_VALUE"""),"7610 / 981476396")</f>
        <v>7610 / 981476396</v>
      </c>
      <c r="F678" s="45" t="str">
        <f>IFERROR(__xludf.DUMMYFUNCTION("""COMPUTED_VALUE"""),"SEAF")</f>
        <v>SEAF</v>
      </c>
      <c r="G678" s="45" t="str">
        <f>IFERROR(__xludf.DUMMYFUNCTION("""COMPUTED_VALUE"""),"Estacionamento")</f>
        <v>Estacionamento</v>
      </c>
      <c r="H678" s="46" t="str">
        <f>IFERROR(__xludf.DUMMYFUNCTION("""COMPUTED_VALUE"""),"Estacionamento ao lado do Restaurante Universitário (R.U)")</f>
        <v>Estacionamento ao lado do Restaurante Universitário (R.U)</v>
      </c>
      <c r="I678" s="7" t="str">
        <f>IFERROR(__xludf.DUMMYFUNCTION("""COMPUTED_VALUE"""),"Instalações elétricas")</f>
        <v>Instalações elétricas</v>
      </c>
      <c r="J678" s="13" t="str">
        <f>IFERROR(__xludf.DUMMYFUNCTION("""COMPUTED_VALUE"""),"04 Elétrica / 31 - Iluminação Externa (PRAZO DE ATÉ 15 DIAS PARA ATENDIMENTO)")</f>
        <v>04 Elétrica / 31 - Iluminação Externa (PRAZO DE ATÉ 15 DIAS PARA ATENDIMENTO)</v>
      </c>
      <c r="K678" s="13"/>
      <c r="L678" s="13" t="str">
        <f>IFERROR(__xludf.DUMMYFUNCTION("""COMPUTED_VALUE"""),"A Secretaria de Ações Afirmativas (SEAF) solicita a interdição do estacionamento localizado ao lado do Restaurante Universitário no dia 15/04/2024 para a montagem de uma tenda 10m x10m. A tenda será montada no dia 16/04/2024 para realização do evento
Dia "&amp;"dos Povos Indígenas na UFCAT: Vidas e Vozes que Importam realizado no dia 17/04/2024. 
Instalação de 6 lâmpadas, 2 pontos de tomada de energia e 2 extensões.")</f>
        <v>A Secretaria de Ações Afirmativas (SEAF) solicita a interdição do estacionamento localizado ao lado do Restaurante Universitário no dia 15/04/2024 para a montagem de uma tenda 10m x10m. A tenda será montada no dia 16/04/2024 para realização do evento
Dia dos Povos Indígenas na UFCAT: Vidas e Vozes que Importam realizado no dia 17/04/2024. 
Instalação de 6 lâmpadas, 2 pontos de tomada de energia e 2 extensões.</v>
      </c>
      <c r="M678" s="20"/>
      <c r="N678" s="26" t="str">
        <f>IFERROR(__xludf.DUMMYFUNCTION("""COMPUTED_VALUE"""),"Cancelada pelo solicitante")</f>
        <v>Cancelada pelo solicitante</v>
      </c>
      <c r="O678" s="11">
        <f>IFERROR(__xludf.DUMMYFUNCTION("""COMPUTED_VALUE"""),45394.0)</f>
        <v>45394</v>
      </c>
      <c r="P678" s="11"/>
    </row>
    <row r="679" ht="27.0" customHeight="1">
      <c r="A679" s="20" t="str">
        <f>IFERROR(__xludf.DUMMYFUNCTION("""COMPUTED_VALUE"""),"677/2024")</f>
        <v>677/2024</v>
      </c>
      <c r="B679" s="8">
        <f>IFERROR(__xludf.DUMMYFUNCTION("""COMPUTED_VALUE"""),45390.477588842594)</f>
        <v>45390.47759</v>
      </c>
      <c r="C679" s="44" t="str">
        <f>IFERROR(__xludf.DUMMYFUNCTION("""COMPUTED_VALUE"""),"iago.ferreira@ufcat.edu.br")</f>
        <v>iago.ferreira@ufcat.edu.br</v>
      </c>
      <c r="D679" s="45" t="str">
        <f>IFERROR(__xludf.DUMMYFUNCTION("""COMPUTED_VALUE"""),"Iago Ferreira Lima")</f>
        <v>Iago Ferreira Lima</v>
      </c>
      <c r="E679" s="47">
        <f>IFERROR(__xludf.DUMMYFUNCTION("""COMPUTED_VALUE"""),7.7999477415E10)</f>
        <v>77999477415</v>
      </c>
      <c r="F679" s="45" t="str">
        <f>IFERROR(__xludf.DUMMYFUNCTION("""COMPUTED_VALUE"""),"FENG  - Engenharia de Produção")</f>
        <v>FENG  - Engenharia de Produção</v>
      </c>
      <c r="G679" s="45" t="str">
        <f>IFERROR(__xludf.DUMMYFUNCTION("""COMPUTED_VALUE"""),"Bloco O")</f>
        <v>Bloco O</v>
      </c>
      <c r="H679" s="46" t="str">
        <f>IFERROR(__xludf.DUMMYFUNCTION("""COMPUTED_VALUE"""),"Corredor dos professores - Eng. Produção")</f>
        <v>Corredor dos professores - Eng. Produção</v>
      </c>
      <c r="I679" s="7" t="str">
        <f>IFERROR(__xludf.DUMMYFUNCTION("""COMPUTED_VALUE"""),"Instalações elétricas")</f>
        <v>Instalações elétricas</v>
      </c>
      <c r="J679" s="13" t="str">
        <f>IFERROR(__xludf.DUMMYFUNCTION("""COMPUTED_VALUE"""),"04 Elétrica / 34 - Tomada Uso Geral (PRAZO DE ATÉ 15 DIAS PARA ATENDIMENTO)")</f>
        <v>04 Elétrica / 34 - Tomada Uso Geral (PRAZO DE ATÉ 15 DIAS PARA ATENDIMENTO)</v>
      </c>
      <c r="K679" s="13"/>
      <c r="L679" s="13" t="str">
        <f>IFERROR(__xludf.DUMMYFUNCTION("""COMPUTED_VALUE"""),"Troca da tomada. A mesma esta com folga, e as impressoras ligadas nela não permanecem ligadas.")</f>
        <v>Troca da tomada. A mesma esta com folga, e as impressoras ligadas nela não permanecem ligadas.</v>
      </c>
      <c r="M679" s="20"/>
      <c r="N679" s="26" t="str">
        <f>IFERROR(__xludf.DUMMYFUNCTION("""COMPUTED_VALUE"""),"Realizado")</f>
        <v>Realizado</v>
      </c>
      <c r="O679" s="11">
        <f>IFERROR(__xludf.DUMMYFUNCTION("""COMPUTED_VALUE"""),45390.0)</f>
        <v>45390</v>
      </c>
      <c r="P679" s="11"/>
    </row>
    <row r="680" ht="27.0" customHeight="1">
      <c r="A680" s="20" t="str">
        <f>IFERROR(__xludf.DUMMYFUNCTION("""COMPUTED_VALUE"""),"678/2024")</f>
        <v>678/2024</v>
      </c>
      <c r="B680" s="8">
        <f>IFERROR(__xludf.DUMMYFUNCTION("""COMPUTED_VALUE"""),45390.487367442125)</f>
        <v>45390.48737</v>
      </c>
      <c r="C680" s="44" t="str">
        <f>IFERROR(__xludf.DUMMYFUNCTION("""COMPUTED_VALUE"""),"daiane.prado@ufcat.edu.br")</f>
        <v>daiane.prado@ufcat.edu.br</v>
      </c>
      <c r="D680" s="45" t="str">
        <f>IFERROR(__xludf.DUMMYFUNCTION("""COMPUTED_VALUE"""),"Daiane ")</f>
        <v>Daiane </v>
      </c>
      <c r="E680" s="47">
        <f>IFERROR(__xludf.DUMMYFUNCTION("""COMPUTED_VALUE"""),5347.0)</f>
        <v>5347</v>
      </c>
      <c r="F680" s="45" t="str">
        <f>IFERROR(__xludf.DUMMYFUNCTION("""COMPUTED_VALUE"""),"PROEC")</f>
        <v>PROEC</v>
      </c>
      <c r="G680" s="45" t="str">
        <f>IFERROR(__xludf.DUMMYFUNCTION("""COMPUTED_VALUE"""),"Quadra/Campo")</f>
        <v>Quadra/Campo</v>
      </c>
      <c r="H680" s="46" t="str">
        <f>IFERROR(__xludf.DUMMYFUNCTION("""COMPUTED_VALUE"""),"Alambrado de entrada da quadra ao lado do prédio de educação física ")</f>
        <v>Alambrado de entrada da quadra ao lado do prédio de educação física </v>
      </c>
      <c r="I680" s="7" t="str">
        <f>IFERROR(__xludf.DUMMYFUNCTION("""COMPUTED_VALUE"""),"Reparos (alvenaria, piso, forro e telhado)")</f>
        <v>Reparos (alvenaria, piso, forro e telhado)</v>
      </c>
      <c r="J680" s="13" t="str">
        <f>IFERROR(__xludf.DUMMYFUNCTION("""COMPUTED_VALUE"""),"01 Alvenaria / 06 - Outros (PRAZO DE ATÉ 60 DIAS PARA ATENDIMENTO)")</f>
        <v>01 Alvenaria / 06 - Outros (PRAZO DE ATÉ 60 DIAS PARA ATENDIMENTO)</v>
      </c>
      <c r="K680" s="13"/>
      <c r="L680" s="13" t="str">
        <f>IFERROR(__xludf.DUMMYFUNCTION("""COMPUTED_VALUE"""),"Instalação de faixa Alambrado, entrada da rampa ao lado do prédio da educação física ")</f>
        <v>Instalação de faixa Alambrado, entrada da rampa ao lado do prédio da educação física </v>
      </c>
      <c r="M680" s="20"/>
      <c r="N680" s="26" t="str">
        <f>IFERROR(__xludf.DUMMYFUNCTION("""COMPUTED_VALUE"""),"Realizado")</f>
        <v>Realizado</v>
      </c>
      <c r="O680" s="11">
        <f>IFERROR(__xludf.DUMMYFUNCTION("""COMPUTED_VALUE"""),45390.0)</f>
        <v>45390</v>
      </c>
      <c r="P680" s="11"/>
    </row>
    <row r="681" ht="27.0" customHeight="1">
      <c r="A681" s="20" t="str">
        <f>IFERROR(__xludf.DUMMYFUNCTION("""COMPUTED_VALUE"""),"679/2024")</f>
        <v>679/2024</v>
      </c>
      <c r="B681" s="8">
        <f>IFERROR(__xludf.DUMMYFUNCTION("""COMPUTED_VALUE"""),45390.59534818287)</f>
        <v>45390.59535</v>
      </c>
      <c r="C681" s="44" t="str">
        <f>IFERROR(__xludf.DUMMYFUNCTION("""COMPUTED_VALUE"""),"muc.prpe@ufcat.edu.br")</f>
        <v>muc.prpe@ufcat.edu.br</v>
      </c>
      <c r="D681" s="45" t="str">
        <f>IFERROR(__xludf.DUMMYFUNCTION("""COMPUTED_VALUE"""),"DANIEL DOS REIS SIMÕES")</f>
        <v>DANIEL DOS REIS SIMÕES</v>
      </c>
      <c r="E681" s="47">
        <f>IFERROR(__xludf.DUMMYFUNCTION("""COMPUTED_VALUE"""),5333.0)</f>
        <v>5333</v>
      </c>
      <c r="F681" s="45" t="str">
        <f>IFERROR(__xludf.DUMMYFUNCTION("""COMPUTED_VALUE"""),"PRPE")</f>
        <v>PRPE</v>
      </c>
      <c r="G681" s="45" t="str">
        <f>IFERROR(__xludf.DUMMYFUNCTION("""COMPUTED_VALUE"""),"MUC")</f>
        <v>MUC</v>
      </c>
      <c r="H681" s="46" t="str">
        <f>IFERROR(__xludf.DUMMYFUNCTION("""COMPUTED_VALUE"""),"Apto 202")</f>
        <v>Apto 202</v>
      </c>
      <c r="I681" s="7" t="str">
        <f>IFERROR(__xludf.DUMMYFUNCTION("""COMPUTED_VALUE"""),"Instalações elétricas")</f>
        <v>Instalações elétricas</v>
      </c>
      <c r="J681" s="13" t="str">
        <f>IFERROR(__xludf.DUMMYFUNCTION("""COMPUTED_VALUE"""),"04 Elétrica / 37 - Outros (PRAZO DE ACORDO COM A DEMANDA)")</f>
        <v>04 Elétrica / 37 - Outros (PRAZO DE ACORDO COM A DEMANDA)</v>
      </c>
      <c r="K681" s="13"/>
      <c r="L681" s="13" t="str">
        <f>IFERROR(__xludf.DUMMYFUNCTION("""COMPUTED_VALUE"""),"Ventilador do quarto A, apto 202, com dificuldade em funcionar. ")</f>
        <v>Ventilador do quarto A, apto 202, com dificuldade em funcionar. </v>
      </c>
      <c r="M681" s="20"/>
      <c r="N681" s="26" t="str">
        <f>IFERROR(__xludf.DUMMYFUNCTION("""COMPUTED_VALUE"""),"Realizado")</f>
        <v>Realizado</v>
      </c>
      <c r="O681" s="11">
        <f>IFERROR(__xludf.DUMMYFUNCTION("""COMPUTED_VALUE"""),45392.0)</f>
        <v>45392</v>
      </c>
      <c r="P681" s="11"/>
    </row>
    <row r="682" ht="27.0" customHeight="1">
      <c r="A682" s="20" t="str">
        <f>IFERROR(__xludf.DUMMYFUNCTION("""COMPUTED_VALUE"""),"680/2024")</f>
        <v>680/2024</v>
      </c>
      <c r="B682" s="8">
        <f>IFERROR(__xludf.DUMMYFUNCTION("""COMPUTED_VALUE"""),45390.59946814815)</f>
        <v>45390.59947</v>
      </c>
      <c r="C682" s="44" t="str">
        <f>IFERROR(__xludf.DUMMYFUNCTION("""COMPUTED_VALUE"""),"dimas.junior@ufcat.edu.br")</f>
        <v>dimas.junior@ufcat.edu.br</v>
      </c>
      <c r="D682" s="45" t="str">
        <f>IFERROR(__xludf.DUMMYFUNCTION("""COMPUTED_VALUE"""),"Dimas Antonio Rosa Junior")</f>
        <v>Dimas Antonio Rosa Junior</v>
      </c>
      <c r="E682" s="47">
        <f>IFERROR(__xludf.DUMMYFUNCTION("""COMPUTED_VALUE"""),6.4996134145E10)</f>
        <v>64996134145</v>
      </c>
      <c r="F682" s="45" t="str">
        <f>IFERROR(__xludf.DUMMYFUNCTION("""COMPUTED_VALUE"""),"FENG - Engenharia de Minas")</f>
        <v>FENG - Engenharia de Minas</v>
      </c>
      <c r="G682" s="45" t="str">
        <f>IFERROR(__xludf.DUMMYFUNCTION("""COMPUTED_VALUE"""),"Bloco O")</f>
        <v>Bloco O</v>
      </c>
      <c r="H682" s="46" t="str">
        <f>IFERROR(__xludf.DUMMYFUNCTION("""COMPUTED_VALUE"""),"Laboratório de Geologia e Geoquímica")</f>
        <v>Laboratório de Geologia e Geoquímica</v>
      </c>
      <c r="I682" s="7" t="str">
        <f>IFERROR(__xludf.DUMMYFUNCTION("""COMPUTED_VALUE"""),"Instalações elétricas")</f>
        <v>Instalações elétricas</v>
      </c>
      <c r="J682" s="13" t="str">
        <f>IFERROR(__xludf.DUMMYFUNCTION("""COMPUTED_VALUE"""),"04 Elétrica / 35 - Troca de Lâmpadas (PRAZO DE ATÉ 15 DIAS PARA ATENDIMENTO)")</f>
        <v>04 Elétrica / 35 - Troca de Lâmpadas (PRAZO DE ATÉ 15 DIAS PARA ATENDIMENTO)</v>
      </c>
      <c r="K682" s="13"/>
      <c r="L682" s="13" t="str">
        <f>IFERROR(__xludf.DUMMYFUNCTION("""COMPUTED_VALUE"""),"2 lâmpadas queimadas no laboratório de geologia e geoquímica")</f>
        <v>2 lâmpadas queimadas no laboratório de geologia e geoquímica</v>
      </c>
      <c r="M682" s="20"/>
      <c r="N682" s="26" t="str">
        <f>IFERROR(__xludf.DUMMYFUNCTION("""COMPUTED_VALUE"""),"Realizado")</f>
        <v>Realizado</v>
      </c>
      <c r="O682" s="11">
        <f>IFERROR(__xludf.DUMMYFUNCTION("""COMPUTED_VALUE"""),45391.0)</f>
        <v>45391</v>
      </c>
      <c r="P682" s="11"/>
    </row>
    <row r="683" ht="27.0" customHeight="1">
      <c r="A683" s="20" t="str">
        <f>IFERROR(__xludf.DUMMYFUNCTION("""COMPUTED_VALUE"""),"681/2024")</f>
        <v>681/2024</v>
      </c>
      <c r="B683" s="8">
        <f>IFERROR(__xludf.DUMMYFUNCTION("""COMPUTED_VALUE"""),45390.61133042824)</f>
        <v>45390.61133</v>
      </c>
      <c r="C683" s="44" t="str">
        <f>IFERROR(__xludf.DUMMYFUNCTION("""COMPUTED_VALUE"""),"dae.prpe@ufcat.edu.br")</f>
        <v>dae.prpe@ufcat.edu.br</v>
      </c>
      <c r="D683" s="45" t="str">
        <f>IFERROR(__xludf.DUMMYFUNCTION("""COMPUTED_VALUE"""),"Leomar ")</f>
        <v>Leomar </v>
      </c>
      <c r="E683" s="47">
        <f>IFERROR(__xludf.DUMMYFUNCTION("""COMPUTED_VALUE"""),5321.0)</f>
        <v>5321</v>
      </c>
      <c r="F683" s="45" t="str">
        <f>IFERROR(__xludf.DUMMYFUNCTION("""COMPUTED_VALUE"""),"PRPE")</f>
        <v>PRPE</v>
      </c>
      <c r="G683" s="45" t="str">
        <f>IFERROR(__xludf.DUMMYFUNCTION("""COMPUTED_VALUE"""),"Bloco Administrativo")</f>
        <v>Bloco Administrativo</v>
      </c>
      <c r="H683" s="46" t="str">
        <f>IFERROR(__xludf.DUMMYFUNCTION("""COMPUTED_VALUE"""),"sala 103")</f>
        <v>sala 103</v>
      </c>
      <c r="I683" s="7" t="str">
        <f>IFERROR(__xludf.DUMMYFUNCTION("""COMPUTED_VALUE"""),"Ar Condicionado ")</f>
        <v>Ar Condicionado </v>
      </c>
      <c r="J683" s="13" t="str">
        <f>IFERROR(__xludf.DUMMYFUNCTION("""COMPUTED_VALUE"""),"04 Elétrica / 37 - Outros (PRAZO DE ACORDO COM A DEMANDA)")</f>
        <v>04 Elétrica / 37 - Outros (PRAZO DE ACORDO COM A DEMANDA)</v>
      </c>
      <c r="K683" s="13"/>
      <c r="L683" s="13" t="str">
        <f>IFERROR(__xludf.DUMMYFUNCTION("""COMPUTED_VALUE"""),"Ar Condicionado vazando água  dentro da sala após funcionamento. Risco de curto-circuito, pois a água escorre entre fios e tomadas ligadas a energia elétrica. ")</f>
        <v>Ar Condicionado vazando água  dentro da sala após funcionamento. Risco de curto-circuito, pois a água escorre entre fios e tomadas ligadas a energia elétrica. </v>
      </c>
      <c r="M683" s="20"/>
      <c r="N683" s="26" t="str">
        <f>IFERROR(__xludf.DUMMYFUNCTION("""COMPUTED_VALUE"""),"Aguardando análise")</f>
        <v>Aguardando análise</v>
      </c>
      <c r="O683" s="11"/>
      <c r="P683" s="11"/>
    </row>
    <row r="684" ht="27.0" customHeight="1">
      <c r="A684" s="20" t="str">
        <f>IFERROR(__xludf.DUMMYFUNCTION("""COMPUTED_VALUE"""),"682/2024")</f>
        <v>682/2024</v>
      </c>
      <c r="B684" s="8">
        <f>IFERROR(__xludf.DUMMYFUNCTION("""COMPUTED_VALUE"""),45390.65181736111)</f>
        <v>45390.65182</v>
      </c>
      <c r="C684" s="44" t="str">
        <f>IFERROR(__xludf.DUMMYFUNCTION("""COMPUTED_VALUE"""),"secretariafae@ufcat.edu.br")</f>
        <v>secretariafae@ufcat.edu.br</v>
      </c>
      <c r="D684" s="45" t="str">
        <f>IFERROR(__xludf.DUMMYFUNCTION("""COMPUTED_VALUE"""),"Bárbara")</f>
        <v>Bárbara</v>
      </c>
      <c r="E684" s="47">
        <f>IFERROR(__xludf.DUMMYFUNCTION("""COMPUTED_VALUE"""),5308.0)</f>
        <v>5308</v>
      </c>
      <c r="F684" s="45" t="str">
        <f>IFERROR(__xludf.DUMMYFUNCTION("""COMPUTED_VALUE"""),"FAE")</f>
        <v>FAE</v>
      </c>
      <c r="G684" s="45" t="str">
        <f>IFERROR(__xludf.DUMMYFUNCTION("""COMPUTED_VALUE"""),"Bloco H")</f>
        <v>Bloco H</v>
      </c>
      <c r="H684" s="46" t="str">
        <f>IFERROR(__xludf.DUMMYFUNCTION("""COMPUTED_VALUE"""),"Cozinha e Secretaria ")</f>
        <v>Cozinha e Secretaria </v>
      </c>
      <c r="I684" s="7" t="str">
        <f>IFERROR(__xludf.DUMMYFUNCTION("""COMPUTED_VALUE"""),"Pintura")</f>
        <v>Pintura</v>
      </c>
      <c r="J684" s="13" t="str">
        <f>IFERROR(__xludf.DUMMYFUNCTION("""COMPUTED_VALUE"""),"06 Pintura / 44 - Pintura de Teto (PRAZO DE ATÉ 60 DIAS PARA ATENDIMENTO)")</f>
        <v>06 Pintura / 44 - Pintura de Teto (PRAZO DE ATÉ 60 DIAS PARA ATENDIMENTO)</v>
      </c>
      <c r="K684" s="13"/>
      <c r="L684" s="13" t="str">
        <f>IFERROR(__xludf.DUMMYFUNCTION("""COMPUTED_VALUE"""),"Alguns lugares do teto estão com manchas de infiltrações ")</f>
        <v>Alguns lugares do teto estão com manchas de infiltrações </v>
      </c>
      <c r="M684" s="20"/>
      <c r="N684" s="26" t="str">
        <f>IFERROR(__xludf.DUMMYFUNCTION("""COMPUTED_VALUE"""),"Aguardando análise")</f>
        <v>Aguardando análise</v>
      </c>
      <c r="O684" s="11"/>
      <c r="P684" s="11"/>
    </row>
    <row r="685" ht="27.0" customHeight="1">
      <c r="A685" s="20" t="str">
        <f>IFERROR(__xludf.DUMMYFUNCTION("""COMPUTED_VALUE"""),"683/2024")</f>
        <v>683/2024</v>
      </c>
      <c r="B685" s="8">
        <f>IFERROR(__xludf.DUMMYFUNCTION("""COMPUTED_VALUE"""),45390.66521190973)</f>
        <v>45390.66521</v>
      </c>
      <c r="C685" s="44" t="str">
        <f>IFERROR(__xludf.DUMMYFUNCTION("""COMPUTED_VALUE"""),"dimas.junior@ufcat.edu.br")</f>
        <v>dimas.junior@ufcat.edu.br</v>
      </c>
      <c r="D685" s="45" t="str">
        <f>IFERROR(__xludf.DUMMYFUNCTION("""COMPUTED_VALUE"""),"Dimas Antonio Rosa Junior")</f>
        <v>Dimas Antonio Rosa Junior</v>
      </c>
      <c r="E685" s="47">
        <f>IFERROR(__xludf.DUMMYFUNCTION("""COMPUTED_VALUE"""),6.4996134145E10)</f>
        <v>64996134145</v>
      </c>
      <c r="F685" s="45" t="str">
        <f>IFERROR(__xludf.DUMMYFUNCTION("""COMPUTED_VALUE"""),"FENG - Engenharia de Minas")</f>
        <v>FENG - Engenharia de Minas</v>
      </c>
      <c r="G685" s="45" t="str">
        <f>IFERROR(__xludf.DUMMYFUNCTION("""COMPUTED_VALUE"""),"Bloco O")</f>
        <v>Bloco O</v>
      </c>
      <c r="H685" s="46" t="str">
        <f>IFERROR(__xludf.DUMMYFUNCTION("""COMPUTED_VALUE"""),"Laboratorio de Projetos e Planejamento - Sala 18")</f>
        <v>Laboratorio de Projetos e Planejamento - Sala 18</v>
      </c>
      <c r="I685" s="7" t="str">
        <f>IFERROR(__xludf.DUMMYFUNCTION("""COMPUTED_VALUE"""),"Instalações elétricas")</f>
        <v>Instalações elétricas</v>
      </c>
      <c r="J685" s="13" t="str">
        <f>IFERROR(__xludf.DUMMYFUNCTION("""COMPUTED_VALUE"""),"04 Elétrica / 35 - Troca de Lâmpadas (PRAZO DE ATÉ 15 DIAS PARA ATENDIMENTO)")</f>
        <v>04 Elétrica / 35 - Troca de Lâmpadas (PRAZO DE ATÉ 15 DIAS PARA ATENDIMENTO)</v>
      </c>
      <c r="K685" s="13"/>
      <c r="L685" s="13" t="str">
        <f>IFERROR(__xludf.DUMMYFUNCTION("""COMPUTED_VALUE"""),"Troca de 3 luminárias")</f>
        <v>Troca de 3 luminárias</v>
      </c>
      <c r="M685" s="20"/>
      <c r="N685" s="26" t="str">
        <f>IFERROR(__xludf.DUMMYFUNCTION("""COMPUTED_VALUE"""),"Realizado")</f>
        <v>Realizado</v>
      </c>
      <c r="O685" s="11">
        <f>IFERROR(__xludf.DUMMYFUNCTION("""COMPUTED_VALUE"""),45391.0)</f>
        <v>45391</v>
      </c>
      <c r="P685" s="11"/>
    </row>
    <row r="686" ht="27.0" customHeight="1">
      <c r="A686" s="20" t="str">
        <f>IFERROR(__xludf.DUMMYFUNCTION("""COMPUTED_VALUE"""),"684/2024")</f>
        <v>684/2024</v>
      </c>
      <c r="B686" s="8">
        <f>IFERROR(__xludf.DUMMYFUNCTION("""COMPUTED_VALUE"""),45390.66580483796)</f>
        <v>45390.6658</v>
      </c>
      <c r="C686" s="44" t="str">
        <f>IFERROR(__xludf.DUMMYFUNCTION("""COMPUTED_VALUE"""),"dimas.junior@ufcat.edu.br")</f>
        <v>dimas.junior@ufcat.edu.br</v>
      </c>
      <c r="D686" s="45" t="str">
        <f>IFERROR(__xludf.DUMMYFUNCTION("""COMPUTED_VALUE"""),"Dimas Antonio Rosa Junior")</f>
        <v>Dimas Antonio Rosa Junior</v>
      </c>
      <c r="E686" s="47">
        <f>IFERROR(__xludf.DUMMYFUNCTION("""COMPUTED_VALUE"""),6.4996134145E10)</f>
        <v>64996134145</v>
      </c>
      <c r="F686" s="45" t="str">
        <f>IFERROR(__xludf.DUMMYFUNCTION("""COMPUTED_VALUE"""),"FENG - Engenharia de Minas")</f>
        <v>FENG - Engenharia de Minas</v>
      </c>
      <c r="G686" s="45" t="str">
        <f>IFERROR(__xludf.DUMMYFUNCTION("""COMPUTED_VALUE"""),"Bloco O")</f>
        <v>Bloco O</v>
      </c>
      <c r="H686" s="46" t="str">
        <f>IFERROR(__xludf.DUMMYFUNCTION("""COMPUTED_VALUE"""),"Sala de Reunião")</f>
        <v>Sala de Reunião</v>
      </c>
      <c r="I686" s="7" t="str">
        <f>IFERROR(__xludf.DUMMYFUNCTION("""COMPUTED_VALUE"""),"Instalações elétricas")</f>
        <v>Instalações elétricas</v>
      </c>
      <c r="J686" s="13" t="str">
        <f>IFERROR(__xludf.DUMMYFUNCTION("""COMPUTED_VALUE"""),"04 Elétrica / 35 - Troca de Lâmpadas (PRAZO DE ATÉ 15 DIAS PARA ATENDIMENTO)")</f>
        <v>04 Elétrica / 35 - Troca de Lâmpadas (PRAZO DE ATÉ 15 DIAS PARA ATENDIMENTO)</v>
      </c>
      <c r="K686" s="13"/>
      <c r="L686" s="13" t="str">
        <f>IFERROR(__xludf.DUMMYFUNCTION("""COMPUTED_VALUE"""),"Troca de 5 luminárias")</f>
        <v>Troca de 5 luminárias</v>
      </c>
      <c r="M686" s="20"/>
      <c r="N686" s="26" t="str">
        <f>IFERROR(__xludf.DUMMYFUNCTION("""COMPUTED_VALUE"""),"Realizado")</f>
        <v>Realizado</v>
      </c>
      <c r="O686" s="11">
        <f>IFERROR(__xludf.DUMMYFUNCTION("""COMPUTED_VALUE"""),45391.0)</f>
        <v>45391</v>
      </c>
      <c r="P686" s="11"/>
    </row>
    <row r="687" ht="27.0" customHeight="1">
      <c r="A687" s="20" t="str">
        <f>IFERROR(__xludf.DUMMYFUNCTION("""COMPUTED_VALUE"""),"685/2024")</f>
        <v>685/2024</v>
      </c>
      <c r="B687" s="8">
        <f>IFERROR(__xludf.DUMMYFUNCTION("""COMPUTED_VALUE"""),45390.666375138884)</f>
        <v>45390.66638</v>
      </c>
      <c r="C687" s="44" t="str">
        <f>IFERROR(__xludf.DUMMYFUNCTION("""COMPUTED_VALUE"""),"dimas.junior@ufcat.edu.br")</f>
        <v>dimas.junior@ufcat.edu.br</v>
      </c>
      <c r="D687" s="45" t="str">
        <f>IFERROR(__xludf.DUMMYFUNCTION("""COMPUTED_VALUE"""),"Dimas Antonio Rosa Junior")</f>
        <v>Dimas Antonio Rosa Junior</v>
      </c>
      <c r="E687" s="47">
        <f>IFERROR(__xludf.DUMMYFUNCTION("""COMPUTED_VALUE"""),6.4996134145E10)</f>
        <v>64996134145</v>
      </c>
      <c r="F687" s="45" t="str">
        <f>IFERROR(__xludf.DUMMYFUNCTION("""COMPUTED_VALUE"""),"FENG - Engenharia de Minas")</f>
        <v>FENG - Engenharia de Minas</v>
      </c>
      <c r="G687" s="45" t="str">
        <f>IFERROR(__xludf.DUMMYFUNCTION("""COMPUTED_VALUE"""),"Bloco O")</f>
        <v>Bloco O</v>
      </c>
      <c r="H687" s="46" t="str">
        <f>IFERROR(__xludf.DUMMYFUNCTION("""COMPUTED_VALUE"""),"Laboratório de Geologia e Mineralogia")</f>
        <v>Laboratório de Geologia e Mineralogia</v>
      </c>
      <c r="I687" s="7" t="str">
        <f>IFERROR(__xludf.DUMMYFUNCTION("""COMPUTED_VALUE"""),"Instalações elétricas")</f>
        <v>Instalações elétricas</v>
      </c>
      <c r="J687" s="13" t="str">
        <f>IFERROR(__xludf.DUMMYFUNCTION("""COMPUTED_VALUE"""),"04 Elétrica / 35 - Troca de Lâmpadas (PRAZO DE ATÉ 15 DIAS PARA ATENDIMENTO)")</f>
        <v>04 Elétrica / 35 - Troca de Lâmpadas (PRAZO DE ATÉ 15 DIAS PARA ATENDIMENTO)</v>
      </c>
      <c r="K687" s="13"/>
      <c r="L687" s="13" t="str">
        <f>IFERROR(__xludf.DUMMYFUNCTION("""COMPUTED_VALUE"""),"Troca de 3 luminárias com lâmpadas queimadas")</f>
        <v>Troca de 3 luminárias com lâmpadas queimadas</v>
      </c>
      <c r="M687" s="20"/>
      <c r="N687" s="26" t="str">
        <f>IFERROR(__xludf.DUMMYFUNCTION("""COMPUTED_VALUE"""),"Realizado")</f>
        <v>Realizado</v>
      </c>
      <c r="O687" s="11">
        <f>IFERROR(__xludf.DUMMYFUNCTION("""COMPUTED_VALUE"""),45391.0)</f>
        <v>45391</v>
      </c>
      <c r="P687" s="11"/>
    </row>
    <row r="688" ht="27.0" customHeight="1">
      <c r="A688" s="20" t="str">
        <f>IFERROR(__xludf.DUMMYFUNCTION("""COMPUTED_VALUE"""),"686/2024")</f>
        <v>686/2024</v>
      </c>
      <c r="B688" s="8">
        <f>IFERROR(__xludf.DUMMYFUNCTION("""COMPUTED_VALUE"""),45390.687839039354)</f>
        <v>45390.68784</v>
      </c>
      <c r="C688" s="44" t="str">
        <f>IFERROR(__xludf.DUMMYFUNCTION("""COMPUTED_VALUE"""),"dimas.junior@ufcat.edu.br")</f>
        <v>dimas.junior@ufcat.edu.br</v>
      </c>
      <c r="D688" s="45" t="str">
        <f>IFERROR(__xludf.DUMMYFUNCTION("""COMPUTED_VALUE"""),"Dimas Antonio Rosa Junior")</f>
        <v>Dimas Antonio Rosa Junior</v>
      </c>
      <c r="E688" s="47">
        <f>IFERROR(__xludf.DUMMYFUNCTION("""COMPUTED_VALUE"""),6.4996134145E10)</f>
        <v>64996134145</v>
      </c>
      <c r="F688" s="45" t="str">
        <f>IFERROR(__xludf.DUMMYFUNCTION("""COMPUTED_VALUE"""),"FENG  - Engenharia de Produção")</f>
        <v>FENG  - Engenharia de Produção</v>
      </c>
      <c r="G688" s="45" t="str">
        <f>IFERROR(__xludf.DUMMYFUNCTION("""COMPUTED_VALUE"""),"Bloco O")</f>
        <v>Bloco O</v>
      </c>
      <c r="H688" s="46" t="str">
        <f>IFERROR(__xludf.DUMMYFUNCTION("""COMPUTED_VALUE"""),"Laboratorio de Metrologia")</f>
        <v>Laboratorio de Metrologia</v>
      </c>
      <c r="I688" s="7" t="str">
        <f>IFERROR(__xludf.DUMMYFUNCTION("""COMPUTED_VALUE"""),"Instalações elétricas")</f>
        <v>Instalações elétricas</v>
      </c>
      <c r="J688" s="13" t="str">
        <f>IFERROR(__xludf.DUMMYFUNCTION("""COMPUTED_VALUE"""),"04 Elétrica / 35 - Troca de Lâmpadas (PRAZO DE ATÉ 15 DIAS PARA ATENDIMENTO)")</f>
        <v>04 Elétrica / 35 - Troca de Lâmpadas (PRAZO DE ATÉ 15 DIAS PARA ATENDIMENTO)</v>
      </c>
      <c r="K688" s="13"/>
      <c r="L688" s="13" t="str">
        <f>IFERROR(__xludf.DUMMYFUNCTION("""COMPUTED_VALUE"""),"Troca de 2 luminarias queimadas")</f>
        <v>Troca de 2 luminarias queimadas</v>
      </c>
      <c r="M688" s="20"/>
      <c r="N688" s="26" t="str">
        <f>IFERROR(__xludf.DUMMYFUNCTION("""COMPUTED_VALUE"""),"Realizado")</f>
        <v>Realizado</v>
      </c>
      <c r="O688" s="11">
        <f>IFERROR(__xludf.DUMMYFUNCTION("""COMPUTED_VALUE"""),45391.0)</f>
        <v>45391</v>
      </c>
      <c r="P688" s="11"/>
    </row>
    <row r="689" ht="27.0" customHeight="1">
      <c r="A689" s="20" t="str">
        <f>IFERROR(__xludf.DUMMYFUNCTION("""COMPUTED_VALUE"""),"687/2024")</f>
        <v>687/2024</v>
      </c>
      <c r="B689" s="8">
        <f>IFERROR(__xludf.DUMMYFUNCTION("""COMPUTED_VALUE"""),45390.6883034375)</f>
        <v>45390.6883</v>
      </c>
      <c r="C689" s="44" t="str">
        <f>IFERROR(__xludf.DUMMYFUNCTION("""COMPUTED_VALUE"""),"dimas.junior@ufcat.edu.br")</f>
        <v>dimas.junior@ufcat.edu.br</v>
      </c>
      <c r="D689" s="45" t="str">
        <f>IFERROR(__xludf.DUMMYFUNCTION("""COMPUTED_VALUE"""),"Dimas Antonio Rosa Junior")</f>
        <v>Dimas Antonio Rosa Junior</v>
      </c>
      <c r="E689" s="47">
        <f>IFERROR(__xludf.DUMMYFUNCTION("""COMPUTED_VALUE"""),6.4996134145E10)</f>
        <v>64996134145</v>
      </c>
      <c r="F689" s="45" t="str">
        <f>IFERROR(__xludf.DUMMYFUNCTION("""COMPUTED_VALUE"""),"FENG  - Engenharia de Produção")</f>
        <v>FENG  - Engenharia de Produção</v>
      </c>
      <c r="G689" s="45" t="str">
        <f>IFERROR(__xludf.DUMMYFUNCTION("""COMPUTED_VALUE"""),"Bloco O")</f>
        <v>Bloco O</v>
      </c>
      <c r="H689" s="46" t="str">
        <f>IFERROR(__xludf.DUMMYFUNCTION("""COMPUTED_VALUE"""),"Laboratorio de Fabricação Mecanica")</f>
        <v>Laboratorio de Fabricação Mecanica</v>
      </c>
      <c r="I689" s="7" t="str">
        <f>IFERROR(__xludf.DUMMYFUNCTION("""COMPUTED_VALUE"""),"Instalações elétricas")</f>
        <v>Instalações elétricas</v>
      </c>
      <c r="J689" s="13" t="str">
        <f>IFERROR(__xludf.DUMMYFUNCTION("""COMPUTED_VALUE"""),"04 Elétrica / 35 - Troca de Lâmpadas (PRAZO DE ATÉ 15 DIAS PARA ATENDIMENTO)")</f>
        <v>04 Elétrica / 35 - Troca de Lâmpadas (PRAZO DE ATÉ 15 DIAS PARA ATENDIMENTO)</v>
      </c>
      <c r="K689" s="13"/>
      <c r="L689" s="13" t="str">
        <f>IFERROR(__xludf.DUMMYFUNCTION("""COMPUTED_VALUE"""),"Troca de 2 luminarias queimadas")</f>
        <v>Troca de 2 luminarias queimadas</v>
      </c>
      <c r="M689" s="20"/>
      <c r="N689" s="26" t="str">
        <f>IFERROR(__xludf.DUMMYFUNCTION("""COMPUTED_VALUE"""),"Realizado")</f>
        <v>Realizado</v>
      </c>
      <c r="O689" s="11">
        <f>IFERROR(__xludf.DUMMYFUNCTION("""COMPUTED_VALUE"""),45391.0)</f>
        <v>45391</v>
      </c>
      <c r="P689" s="11"/>
    </row>
    <row r="690" ht="27.0" customHeight="1">
      <c r="A690" s="20" t="str">
        <f>IFERROR(__xludf.DUMMYFUNCTION("""COMPUTED_VALUE"""),"688/2024")</f>
        <v>688/2024</v>
      </c>
      <c r="B690" s="8">
        <f>IFERROR(__xludf.DUMMYFUNCTION("""COMPUTED_VALUE"""),45391.376753136574)</f>
        <v>45391.37675</v>
      </c>
      <c r="C690" s="44" t="str">
        <f>IFERROR(__xludf.DUMMYFUNCTION("""COMPUTED_VALUE"""),"muc.prpe@ufcat.edu.br")</f>
        <v>muc.prpe@ufcat.edu.br</v>
      </c>
      <c r="D690" s="45" t="str">
        <f>IFERROR(__xludf.DUMMYFUNCTION("""COMPUTED_VALUE"""),"Ludmila")</f>
        <v>Ludmila</v>
      </c>
      <c r="E690" s="47">
        <f>IFERROR(__xludf.DUMMYFUNCTION("""COMPUTED_VALUE"""),5333.0)</f>
        <v>5333</v>
      </c>
      <c r="F690" s="45" t="str">
        <f>IFERROR(__xludf.DUMMYFUNCTION("""COMPUTED_VALUE"""),"PRPE")</f>
        <v>PRPE</v>
      </c>
      <c r="G690" s="45" t="str">
        <f>IFERROR(__xludf.DUMMYFUNCTION("""COMPUTED_VALUE"""),"MUC")</f>
        <v>MUC</v>
      </c>
      <c r="H690" s="46" t="str">
        <f>IFERROR(__xludf.DUMMYFUNCTION("""COMPUTED_VALUE"""),"DML")</f>
        <v>DML</v>
      </c>
      <c r="I690" s="7" t="str">
        <f>IFERROR(__xludf.DUMMYFUNCTION("""COMPUTED_VALUE"""),"Instalações Hidrossanitárias")</f>
        <v>Instalações Hidrossanitárias</v>
      </c>
      <c r="J690" s="13" t="str">
        <f>IFERROR(__xludf.DUMMYFUNCTION("""COMPUTED_VALUE"""),"02 Hidráulica / 20 - Vazamento em bebedouros (PRAZO DE 1 a 5 DIAS PARA ATENDIMENTO)")</f>
        <v>02 Hidráulica / 20 - Vazamento em bebedouros (PRAZO DE 1 a 5 DIAS PARA ATENDIMENTO)</v>
      </c>
      <c r="K690" s="13"/>
      <c r="L690" s="13" t="str">
        <f>IFERROR(__xludf.DUMMYFUNCTION("""COMPUTED_VALUE"""),"Vazamento na mangueira do bebedouro. Foi necessário fechar o registro, o que impede o uso do tanque e também do banheiro destinado aos funcionários. ")</f>
        <v>Vazamento na mangueira do bebedouro. Foi necessário fechar o registro, o que impede o uso do tanque e também do banheiro destinado aos funcionários. </v>
      </c>
      <c r="M690" s="20"/>
      <c r="N690" s="26" t="str">
        <f>IFERROR(__xludf.DUMMYFUNCTION("""COMPUTED_VALUE"""),"Realizado")</f>
        <v>Realizado</v>
      </c>
      <c r="O690" s="11">
        <f>IFERROR(__xludf.DUMMYFUNCTION("""COMPUTED_VALUE"""),45392.0)</f>
        <v>45392</v>
      </c>
      <c r="P690" s="11"/>
    </row>
    <row r="691" ht="27.0" customHeight="1">
      <c r="A691" s="20" t="str">
        <f>IFERROR(__xludf.DUMMYFUNCTION("""COMPUTED_VALUE"""),"689/2024")</f>
        <v>689/2024</v>
      </c>
      <c r="B691" s="8">
        <f>IFERROR(__xludf.DUMMYFUNCTION("""COMPUTED_VALUE"""),45391.62757923611)</f>
        <v>45391.62758</v>
      </c>
      <c r="C691" s="44" t="str">
        <f>IFERROR(__xludf.DUMMYFUNCTION("""COMPUTED_VALUE"""),"muc.prpe@ufcat.edu.br")</f>
        <v>muc.prpe@ufcat.edu.br</v>
      </c>
      <c r="D691" s="45" t="str">
        <f>IFERROR(__xludf.DUMMYFUNCTION("""COMPUTED_VALUE"""),"DANIEL DOS REIS SIMÕES")</f>
        <v>DANIEL DOS REIS SIMÕES</v>
      </c>
      <c r="E691" s="47">
        <f>IFERROR(__xludf.DUMMYFUNCTION("""COMPUTED_VALUE"""),5333.0)</f>
        <v>5333</v>
      </c>
      <c r="F691" s="45" t="str">
        <f>IFERROR(__xludf.DUMMYFUNCTION("""COMPUTED_VALUE"""),"PRPE")</f>
        <v>PRPE</v>
      </c>
      <c r="G691" s="45" t="str">
        <f>IFERROR(__xludf.DUMMYFUNCTION("""COMPUTED_VALUE"""),"MUC")</f>
        <v>MUC</v>
      </c>
      <c r="H691" s="46" t="str">
        <f>IFERROR(__xludf.DUMMYFUNCTION("""COMPUTED_VALUE"""),"Apto 404")</f>
        <v>Apto 404</v>
      </c>
      <c r="I691" s="7" t="str">
        <f>IFERROR(__xludf.DUMMYFUNCTION("""COMPUTED_VALUE"""),"Reparos (alvenaria, piso, forro e telhado)")</f>
        <v>Reparos (alvenaria, piso, forro e telhado)</v>
      </c>
      <c r="J691" s="13" t="str">
        <f>IFERROR(__xludf.DUMMYFUNCTION("""COMPUTED_VALUE"""),"01 Alvenaria / 06 - Outros")</f>
        <v>01 Alvenaria / 06 - Outros</v>
      </c>
      <c r="K691" s="13"/>
      <c r="L691" s="13" t="str">
        <f>IFERROR(__xludf.DUMMYFUNCTION("""COMPUTED_VALUE"""),"A janela não está abrindo.")</f>
        <v>A janela não está abrindo.</v>
      </c>
      <c r="M691" s="20"/>
      <c r="N691" s="26" t="str">
        <f>IFERROR(__xludf.DUMMYFUNCTION("""COMPUTED_VALUE"""),"Realizado")</f>
        <v>Realizado</v>
      </c>
      <c r="O691" s="11">
        <f>IFERROR(__xludf.DUMMYFUNCTION("""COMPUTED_VALUE"""),45392.0)</f>
        <v>45392</v>
      </c>
      <c r="P691" s="11"/>
    </row>
    <row r="692" ht="27.0" customHeight="1">
      <c r="A692" s="20" t="str">
        <f>IFERROR(__xludf.DUMMYFUNCTION("""COMPUTED_VALUE"""),"690/2024")</f>
        <v>690/2024</v>
      </c>
      <c r="B692" s="8">
        <f>IFERROR(__xludf.DUMMYFUNCTION("""COMPUTED_VALUE"""),45391.65900241898)</f>
        <v>45391.659</v>
      </c>
      <c r="C692" s="44" t="str">
        <f>IFERROR(__xludf.DUMMYFUNCTION("""COMPUTED_VALUE"""),"letras.ingles@ufcat.edu.br")</f>
        <v>letras.ingles@ufcat.edu.br</v>
      </c>
      <c r="D692" s="45" t="str">
        <f>IFERROR(__xludf.DUMMYFUNCTION("""COMPUTED_VALUE"""),"Rejane")</f>
        <v>Rejane</v>
      </c>
      <c r="E692" s="47">
        <f>IFERROR(__xludf.DUMMYFUNCTION("""COMPUTED_VALUE"""),5304.0)</f>
        <v>5304</v>
      </c>
      <c r="F692" s="45" t="str">
        <f>IFERROR(__xludf.DUMMYFUNCTION("""COMPUTED_VALUE"""),"IEL")</f>
        <v>IEL</v>
      </c>
      <c r="G692" s="45" t="str">
        <f>IFERROR(__xludf.DUMMYFUNCTION("""COMPUTED_VALUE"""),"Bloco G")</f>
        <v>Bloco G</v>
      </c>
      <c r="H692" s="46" t="str">
        <f>IFERROR(__xludf.DUMMYFUNCTION("""COMPUTED_VALUE"""),"Gabinete 04 B ")</f>
        <v>Gabinete 04 B </v>
      </c>
      <c r="I692" s="7" t="str">
        <f>IFERROR(__xludf.DUMMYFUNCTION("""COMPUTED_VALUE"""),"Instalações elétricas")</f>
        <v>Instalações elétricas</v>
      </c>
      <c r="J692" s="13" t="str">
        <f>IFERROR(__xludf.DUMMYFUNCTION("""COMPUTED_VALUE"""),"04 Elétrica / 34 - Tomada Uso Geral")</f>
        <v>04 Elétrica / 34 - Tomada Uso Geral</v>
      </c>
      <c r="K692" s="13"/>
      <c r="L692" s="13" t="str">
        <f>IFERROR(__xludf.DUMMYFUNCTION("""COMPUTED_VALUE"""),"Tomadas não estão funcionando")</f>
        <v>Tomadas não estão funcionando</v>
      </c>
      <c r="M692" s="20"/>
      <c r="N692" s="26" t="str">
        <f>IFERROR(__xludf.DUMMYFUNCTION("""COMPUTED_VALUE"""),"Realizado")</f>
        <v>Realizado</v>
      </c>
      <c r="O692" s="11">
        <f>IFERROR(__xludf.DUMMYFUNCTION("""COMPUTED_VALUE"""),45391.0)</f>
        <v>45391</v>
      </c>
      <c r="P692" s="11"/>
    </row>
    <row r="693" ht="27.0" customHeight="1">
      <c r="A693" s="20" t="str">
        <f>IFERROR(__xludf.DUMMYFUNCTION("""COMPUTED_VALUE"""),"691/2024")</f>
        <v>691/2024</v>
      </c>
      <c r="B693" s="8">
        <f>IFERROR(__xludf.DUMMYFUNCTION("""COMPUTED_VALUE"""),45391.66114736111)</f>
        <v>45391.66115</v>
      </c>
      <c r="C693" s="44" t="str">
        <f>IFERROR(__xludf.DUMMYFUNCTION("""COMPUTED_VALUE"""),"letras.ingles@ufcat.edu.br")</f>
        <v>letras.ingles@ufcat.edu.br</v>
      </c>
      <c r="D693" s="45" t="str">
        <f>IFERROR(__xludf.DUMMYFUNCTION("""COMPUTED_VALUE"""),"Rejane")</f>
        <v>Rejane</v>
      </c>
      <c r="E693" s="47">
        <f>IFERROR(__xludf.DUMMYFUNCTION("""COMPUTED_VALUE"""),5356.0)</f>
        <v>5356</v>
      </c>
      <c r="F693" s="45" t="str">
        <f>IFERROR(__xludf.DUMMYFUNCTION("""COMPUTED_VALUE"""),"IEL")</f>
        <v>IEL</v>
      </c>
      <c r="G693" s="45" t="str">
        <f>IFERROR(__xludf.DUMMYFUNCTION("""COMPUTED_VALUE"""),"Bloco E")</f>
        <v>Bloco E</v>
      </c>
      <c r="H693" s="46" t="str">
        <f>IFERROR(__xludf.DUMMYFUNCTION("""COMPUTED_VALUE"""),"Sala 02 - PPGEL")</f>
        <v>Sala 02 - PPGEL</v>
      </c>
      <c r="I693" s="7" t="str">
        <f>IFERROR(__xludf.DUMMYFUNCTION("""COMPUTED_VALUE"""),"Instalações elétricas")</f>
        <v>Instalações elétricas</v>
      </c>
      <c r="J693" s="13" t="str">
        <f>IFERROR(__xludf.DUMMYFUNCTION("""COMPUTED_VALUE"""),"04 Elétrica / 34 - Tomada Uso Geral")</f>
        <v>04 Elétrica / 34 - Tomada Uso Geral</v>
      </c>
      <c r="K693" s="13"/>
      <c r="L693" s="13" t="str">
        <f>IFERROR(__xludf.DUMMYFUNCTION("""COMPUTED_VALUE"""),"Tomadas não estão funcionando, algumas não estão segurando os aparelhos ao ligar. ")</f>
        <v>Tomadas não estão funcionando, algumas não estão segurando os aparelhos ao ligar. </v>
      </c>
      <c r="M693" s="20"/>
      <c r="N693" s="26" t="str">
        <f>IFERROR(__xludf.DUMMYFUNCTION("""COMPUTED_VALUE"""),"Realizado")</f>
        <v>Realizado</v>
      </c>
      <c r="O693" s="11">
        <f>IFERROR(__xludf.DUMMYFUNCTION("""COMPUTED_VALUE"""),45391.0)</f>
        <v>45391</v>
      </c>
      <c r="P693" s="11"/>
    </row>
    <row r="694" ht="27.0" customHeight="1">
      <c r="A694" s="20" t="str">
        <f>IFERROR(__xludf.DUMMYFUNCTION("""COMPUTED_VALUE"""),"692/2024")</f>
        <v>692/2024</v>
      </c>
      <c r="B694" s="8">
        <f>IFERROR(__xludf.DUMMYFUNCTION("""COMPUTED_VALUE"""),45391.71324725694)</f>
        <v>45391.71325</v>
      </c>
      <c r="C694" s="44" t="str">
        <f>IFERROR(__xludf.DUMMYFUNCTION("""COMPUTED_VALUE"""),"muc.prpe@ufcat.edu.br")</f>
        <v>muc.prpe@ufcat.edu.br</v>
      </c>
      <c r="D694" s="45" t="str">
        <f>IFERROR(__xludf.DUMMYFUNCTION("""COMPUTED_VALUE"""),"DANIEL DOS REIS SIMÕES")</f>
        <v>DANIEL DOS REIS SIMÕES</v>
      </c>
      <c r="E694" s="47">
        <f>IFERROR(__xludf.DUMMYFUNCTION("""COMPUTED_VALUE"""),5333.0)</f>
        <v>5333</v>
      </c>
      <c r="F694" s="45" t="str">
        <f>IFERROR(__xludf.DUMMYFUNCTION("""COMPUTED_VALUE"""),"PRPE")</f>
        <v>PRPE</v>
      </c>
      <c r="G694" s="45" t="str">
        <f>IFERROR(__xludf.DUMMYFUNCTION("""COMPUTED_VALUE"""),"MUC")</f>
        <v>MUC</v>
      </c>
      <c r="H694" s="46" t="str">
        <f>IFERROR(__xludf.DUMMYFUNCTION("""COMPUTED_VALUE"""),"Apto 103")</f>
        <v>Apto 103</v>
      </c>
      <c r="I694" s="7" t="str">
        <f>IFERROR(__xludf.DUMMYFUNCTION("""COMPUTED_VALUE"""),"Instalações Hidrossanitárias")</f>
        <v>Instalações Hidrossanitárias</v>
      </c>
      <c r="J694" s="13" t="str">
        <f>IFERROR(__xludf.DUMMYFUNCTION("""COMPUTED_VALUE"""),"02 Hidráulica / 22 - Outros")</f>
        <v>02 Hidráulica / 22 - Outros</v>
      </c>
      <c r="K694" s="13"/>
      <c r="L694" s="13" t="str">
        <f>IFERROR(__xludf.DUMMYFUNCTION("""COMPUTED_VALUE"""),"Verificar infiltrações nos dois quartos, apto 103.")</f>
        <v>Verificar infiltrações nos dois quartos, apto 103.</v>
      </c>
      <c r="M694" s="20"/>
      <c r="N694" s="26" t="str">
        <f>IFERROR(__xludf.DUMMYFUNCTION("""COMPUTED_VALUE"""),"Aguardando análise")</f>
        <v>Aguardando análise</v>
      </c>
      <c r="O694" s="11"/>
      <c r="P694" s="11"/>
    </row>
    <row r="695" ht="27.0" customHeight="1">
      <c r="A695" s="20" t="str">
        <f>IFERROR(__xludf.DUMMYFUNCTION("""COMPUTED_VALUE"""),"693/2024")</f>
        <v>693/2024</v>
      </c>
      <c r="B695" s="8">
        <f>IFERROR(__xludf.DUMMYFUNCTION("""COMPUTED_VALUE"""),45391.72422337963)</f>
        <v>45391.72422</v>
      </c>
      <c r="C695" s="44" t="str">
        <f>IFERROR(__xludf.DUMMYFUNCTION("""COMPUTED_VALUE"""),"muc.prpe@ufcat.edu.br")</f>
        <v>muc.prpe@ufcat.edu.br</v>
      </c>
      <c r="D695" s="45" t="str">
        <f>IFERROR(__xludf.DUMMYFUNCTION("""COMPUTED_VALUE"""),"DANIEL DOS REIS SIMÕES")</f>
        <v>DANIEL DOS REIS SIMÕES</v>
      </c>
      <c r="E695" s="47">
        <f>IFERROR(__xludf.DUMMYFUNCTION("""COMPUTED_VALUE"""),5333.0)</f>
        <v>5333</v>
      </c>
      <c r="F695" s="45" t="str">
        <f>IFERROR(__xludf.DUMMYFUNCTION("""COMPUTED_VALUE"""),"PRPE")</f>
        <v>PRPE</v>
      </c>
      <c r="G695" s="45" t="str">
        <f>IFERROR(__xludf.DUMMYFUNCTION("""COMPUTED_VALUE"""),"MUC")</f>
        <v>MUC</v>
      </c>
      <c r="H695" s="46" t="str">
        <f>IFERROR(__xludf.DUMMYFUNCTION("""COMPUTED_VALUE"""),"Apto 203")</f>
        <v>Apto 203</v>
      </c>
      <c r="I695" s="7" t="str">
        <f>IFERROR(__xludf.DUMMYFUNCTION("""COMPUTED_VALUE"""),"Instalações Hidrossanitárias")</f>
        <v>Instalações Hidrossanitárias</v>
      </c>
      <c r="J695" s="13" t="str">
        <f>IFERROR(__xludf.DUMMYFUNCTION("""COMPUTED_VALUE"""),"02 Hidráulica / 22 - Outros")</f>
        <v>02 Hidráulica / 22 - Outros</v>
      </c>
      <c r="K695" s="13"/>
      <c r="L695" s="13" t="str">
        <f>IFERROR(__xludf.DUMMYFUNCTION("""COMPUTED_VALUE"""),"O registro da água quente está soltando, apto 203.")</f>
        <v>O registro da água quente está soltando, apto 203.</v>
      </c>
      <c r="M695" s="20"/>
      <c r="N695" s="26" t="str">
        <f>IFERROR(__xludf.DUMMYFUNCTION("""COMPUTED_VALUE"""),"Realizado")</f>
        <v>Realizado</v>
      </c>
      <c r="O695" s="11">
        <f>IFERROR(__xludf.DUMMYFUNCTION("""COMPUTED_VALUE"""),45392.0)</f>
        <v>45392</v>
      </c>
      <c r="P695" s="11"/>
    </row>
    <row r="696" ht="27.0" customHeight="1">
      <c r="A696" s="20" t="str">
        <f>IFERROR(__xludf.DUMMYFUNCTION("""COMPUTED_VALUE"""),"694/2024")</f>
        <v>694/2024</v>
      </c>
      <c r="B696" s="8">
        <f>IFERROR(__xludf.DUMMYFUNCTION("""COMPUTED_VALUE"""),45391.726472546296)</f>
        <v>45391.72647</v>
      </c>
      <c r="C696" s="44" t="str">
        <f>IFERROR(__xludf.DUMMYFUNCTION("""COMPUTED_VALUE"""),"muc.prpe@ufcat.edu.br")</f>
        <v>muc.prpe@ufcat.edu.br</v>
      </c>
      <c r="D696" s="45" t="str">
        <f>IFERROR(__xludf.DUMMYFUNCTION("""COMPUTED_VALUE"""),"DANIEL DOS REIS SIMÕES")</f>
        <v>DANIEL DOS REIS SIMÕES</v>
      </c>
      <c r="E696" s="47">
        <f>IFERROR(__xludf.DUMMYFUNCTION("""COMPUTED_VALUE"""),5333.0)</f>
        <v>5333</v>
      </c>
      <c r="F696" s="45" t="str">
        <f>IFERROR(__xludf.DUMMYFUNCTION("""COMPUTED_VALUE"""),"PRPE")</f>
        <v>PRPE</v>
      </c>
      <c r="G696" s="45" t="str">
        <f>IFERROR(__xludf.DUMMYFUNCTION("""COMPUTED_VALUE"""),"MUC")</f>
        <v>MUC</v>
      </c>
      <c r="H696" s="46" t="str">
        <f>IFERROR(__xludf.DUMMYFUNCTION("""COMPUTED_VALUE"""),"Apto 206")</f>
        <v>Apto 206</v>
      </c>
      <c r="I696" s="7" t="str">
        <f>IFERROR(__xludf.DUMMYFUNCTION("""COMPUTED_VALUE"""),"Instalações Hidrossanitárias")</f>
        <v>Instalações Hidrossanitárias</v>
      </c>
      <c r="J696" s="13" t="str">
        <f>IFERROR(__xludf.DUMMYFUNCTION("""COMPUTED_VALUE"""),"02 Hidráulica / 22 - Outros")</f>
        <v>02 Hidráulica / 22 - Outros</v>
      </c>
      <c r="K696" s="13"/>
      <c r="L696" s="13" t="str">
        <f>IFERROR(__xludf.DUMMYFUNCTION("""COMPUTED_VALUE"""),"Substituir dois assentos sanitários que estão quebrados, apto 206.")</f>
        <v>Substituir dois assentos sanitários que estão quebrados, apto 206.</v>
      </c>
      <c r="M696" s="20"/>
      <c r="N696" s="26" t="str">
        <f>IFERROR(__xludf.DUMMYFUNCTION("""COMPUTED_VALUE"""),"Realizado")</f>
        <v>Realizado</v>
      </c>
      <c r="O696" s="11">
        <f>IFERROR(__xludf.DUMMYFUNCTION("""COMPUTED_VALUE"""),45392.0)</f>
        <v>45392</v>
      </c>
      <c r="P696" s="11"/>
    </row>
    <row r="697" ht="27.0" customHeight="1">
      <c r="A697" s="20" t="str">
        <f>IFERROR(__xludf.DUMMYFUNCTION("""COMPUTED_VALUE"""),"695/2024")</f>
        <v>695/2024</v>
      </c>
      <c r="B697" s="8">
        <f>IFERROR(__xludf.DUMMYFUNCTION("""COMPUTED_VALUE"""),45391.72815701389)</f>
        <v>45391.72816</v>
      </c>
      <c r="C697" s="44" t="str">
        <f>IFERROR(__xludf.DUMMYFUNCTION("""COMPUTED_VALUE"""),"muc.prpe@ufcat.edu.br")</f>
        <v>muc.prpe@ufcat.edu.br</v>
      </c>
      <c r="D697" s="45" t="str">
        <f>IFERROR(__xludf.DUMMYFUNCTION("""COMPUTED_VALUE"""),"DANIEL DOS REIS SIMÕES")</f>
        <v>DANIEL DOS REIS SIMÕES</v>
      </c>
      <c r="E697" s="47">
        <f>IFERROR(__xludf.DUMMYFUNCTION("""COMPUTED_VALUE"""),5333.0)</f>
        <v>5333</v>
      </c>
      <c r="F697" s="45" t="str">
        <f>IFERROR(__xludf.DUMMYFUNCTION("""COMPUTED_VALUE"""),"PRPE")</f>
        <v>PRPE</v>
      </c>
      <c r="G697" s="45" t="str">
        <f>IFERROR(__xludf.DUMMYFUNCTION("""COMPUTED_VALUE"""),"MUC")</f>
        <v>MUC</v>
      </c>
      <c r="H697" s="46" t="str">
        <f>IFERROR(__xludf.DUMMYFUNCTION("""COMPUTED_VALUE"""),"Apto 206")</f>
        <v>Apto 206</v>
      </c>
      <c r="I697" s="7" t="str">
        <f>IFERROR(__xludf.DUMMYFUNCTION("""COMPUTED_VALUE"""),"Instalações elétricas")</f>
        <v>Instalações elétricas</v>
      </c>
      <c r="J697" s="13" t="str">
        <f>IFERROR(__xludf.DUMMYFUNCTION("""COMPUTED_VALUE"""),"04 Elétrica / 37 - Outros")</f>
        <v>04 Elétrica / 37 - Outros</v>
      </c>
      <c r="K697" s="13"/>
      <c r="L697" s="13" t="str">
        <f>IFERROR(__xludf.DUMMYFUNCTION("""COMPUTED_VALUE"""),"As hélices do ventilador estão danificadas. Verificar o funcionamento do ventilador. Quarto C.")</f>
        <v>As hélices do ventilador estão danificadas. Verificar o funcionamento do ventilador. Quarto C.</v>
      </c>
      <c r="M697" s="20"/>
      <c r="N697" s="26" t="str">
        <f>IFERROR(__xludf.DUMMYFUNCTION("""COMPUTED_VALUE"""),"Realizado")</f>
        <v>Realizado</v>
      </c>
      <c r="O697" s="11">
        <f>IFERROR(__xludf.DUMMYFUNCTION("""COMPUTED_VALUE"""),45392.0)</f>
        <v>45392</v>
      </c>
      <c r="P697" s="11"/>
    </row>
    <row r="698" ht="27.0" customHeight="1">
      <c r="A698" s="20" t="str">
        <f>IFERROR(__xludf.DUMMYFUNCTION("""COMPUTED_VALUE"""),"696/2024")</f>
        <v>696/2024</v>
      </c>
      <c r="B698" s="8">
        <f>IFERROR(__xludf.DUMMYFUNCTION("""COMPUTED_VALUE"""),45391.759394594905)</f>
        <v>45391.75939</v>
      </c>
      <c r="C698" s="44" t="str">
        <f>IFERROR(__xludf.DUMMYFUNCTION("""COMPUTED_VALUE"""),"muc.prpe@ufcat.edu.br")</f>
        <v>muc.prpe@ufcat.edu.br</v>
      </c>
      <c r="D698" s="45" t="str">
        <f>IFERROR(__xludf.DUMMYFUNCTION("""COMPUTED_VALUE"""),"DANIEL DOS REIS SIMÕES")</f>
        <v>DANIEL DOS REIS SIMÕES</v>
      </c>
      <c r="E698" s="47">
        <f>IFERROR(__xludf.DUMMYFUNCTION("""COMPUTED_VALUE"""),5333.0)</f>
        <v>5333</v>
      </c>
      <c r="F698" s="45" t="str">
        <f>IFERROR(__xludf.DUMMYFUNCTION("""COMPUTED_VALUE"""),"PRPE")</f>
        <v>PRPE</v>
      </c>
      <c r="G698" s="45" t="str">
        <f>IFERROR(__xludf.DUMMYFUNCTION("""COMPUTED_VALUE"""),"MUC")</f>
        <v>MUC</v>
      </c>
      <c r="H698" s="46" t="str">
        <f>IFERROR(__xludf.DUMMYFUNCTION("""COMPUTED_VALUE"""),"103 e 203")</f>
        <v>103 e 203</v>
      </c>
      <c r="I698" s="7" t="str">
        <f>IFERROR(__xludf.DUMMYFUNCTION("""COMPUTED_VALUE"""),"Pequenos serviços de reparos em Marcenaria")</f>
        <v>Pequenos serviços de reparos em Marcenaria</v>
      </c>
      <c r="J698" s="13" t="str">
        <f>IFERROR(__xludf.DUMMYFUNCTION("""COMPUTED_VALUE"""),"03 Marcenaria / 29 - Outros")</f>
        <v>03 Marcenaria / 29 - Outros</v>
      </c>
      <c r="K698" s="13"/>
      <c r="L698" s="13" t="str">
        <f>IFERROR(__xludf.DUMMYFUNCTION("""COMPUTED_VALUE"""),"Portas com dificuldade em fechar. Apto 103 quarto B e porta de entrada do 203.")</f>
        <v>Portas com dificuldade em fechar. Apto 103 quarto B e porta de entrada do 203.</v>
      </c>
      <c r="M698" s="20"/>
      <c r="N698" s="26" t="str">
        <f>IFERROR(__xludf.DUMMYFUNCTION("""COMPUTED_VALUE"""),"Realizado")</f>
        <v>Realizado</v>
      </c>
      <c r="O698" s="11">
        <f>IFERROR(__xludf.DUMMYFUNCTION("""COMPUTED_VALUE"""),45392.0)</f>
        <v>45392</v>
      </c>
      <c r="P698" s="11"/>
    </row>
    <row r="699" ht="27.0" customHeight="1">
      <c r="A699" s="20" t="str">
        <f>IFERROR(__xludf.DUMMYFUNCTION("""COMPUTED_VALUE"""),"697/2024")</f>
        <v>697/2024</v>
      </c>
      <c r="B699" s="8">
        <f>IFERROR(__xludf.DUMMYFUNCTION("""COMPUTED_VALUE"""),45392.39655607639)</f>
        <v>45392.39656</v>
      </c>
      <c r="C699" s="44" t="str">
        <f>IFERROR(__xludf.DUMMYFUNCTION("""COMPUTED_VALUE"""),"jodoligeo@ufcat.edu.br")</f>
        <v>jodoligeo@ufcat.edu.br</v>
      </c>
      <c r="D699" s="45" t="str">
        <f>IFERROR(__xludf.DUMMYFUNCTION("""COMPUTED_VALUE"""),"João Donizete Lima")</f>
        <v>João Donizete Lima</v>
      </c>
      <c r="E699" s="47">
        <f>IFERROR(__xludf.DUMMYFUNCTION("""COMPUTED_VALUE"""),5305.0)</f>
        <v>5305</v>
      </c>
      <c r="F699" s="45" t="str">
        <f>IFERROR(__xludf.DUMMYFUNCTION("""COMPUTED_VALUE"""),"IGEO")</f>
        <v>IGEO</v>
      </c>
      <c r="G699" s="45" t="str">
        <f>IFERROR(__xludf.DUMMYFUNCTION("""COMPUTED_VALUE"""),"Bloco A")</f>
        <v>Bloco A</v>
      </c>
      <c r="H699" s="46" t="str">
        <f>IFERROR(__xludf.DUMMYFUNCTION("""COMPUTED_VALUE"""),"Sala 02")</f>
        <v>Sala 02</v>
      </c>
      <c r="I699" s="7" t="str">
        <f>IFERROR(__xludf.DUMMYFUNCTION("""COMPUTED_VALUE"""),"Pequenos serviços de reparos em Marcenaria")</f>
        <v>Pequenos serviços de reparos em Marcenaria</v>
      </c>
      <c r="J699" s="13" t="str">
        <f>IFERROR(__xludf.DUMMYFUNCTION("""COMPUTED_VALUE"""),"03 Marcenaria / 24 - Conserto de Móveis")</f>
        <v>03 Marcenaria / 24 - Conserto de Móveis</v>
      </c>
      <c r="K699" s="13"/>
      <c r="L699" s="13" t="str">
        <f>IFERROR(__xludf.DUMMYFUNCTION("""COMPUTED_VALUE"""),"Trocar o tampo de carteira danificada durante o conserto do telhado na sala 02")</f>
        <v>Trocar o tampo de carteira danificada durante o conserto do telhado na sala 02</v>
      </c>
      <c r="M699" s="20"/>
      <c r="N699" s="26" t="str">
        <f>IFERROR(__xludf.DUMMYFUNCTION("""COMPUTED_VALUE"""),"Realizado")</f>
        <v>Realizado</v>
      </c>
      <c r="O699" s="11">
        <f>IFERROR(__xludf.DUMMYFUNCTION("""COMPUTED_VALUE"""),45393.0)</f>
        <v>45393</v>
      </c>
      <c r="P699" s="11"/>
    </row>
    <row r="700" ht="27.0" customHeight="1">
      <c r="A700" s="20" t="str">
        <f>IFERROR(__xludf.DUMMYFUNCTION("""COMPUTED_VALUE"""),"698/2024")</f>
        <v>698/2024</v>
      </c>
      <c r="B700" s="8">
        <f>IFERROR(__xludf.DUMMYFUNCTION("""COMPUTED_VALUE"""),45392.40083755787)</f>
        <v>45392.40084</v>
      </c>
      <c r="C700" s="44" t="str">
        <f>IFERROR(__xludf.DUMMYFUNCTION("""COMPUTED_VALUE"""),"proec@ufcat.edu.br")</f>
        <v>proec@ufcat.edu.br</v>
      </c>
      <c r="D700" s="45" t="str">
        <f>IFERROR(__xludf.DUMMYFUNCTION("""COMPUTED_VALUE"""),"Jackeline Rezende")</f>
        <v>Jackeline Rezende</v>
      </c>
      <c r="E700" s="47">
        <f>IFERROR(__xludf.DUMMYFUNCTION("""COMPUTED_VALUE"""),5347.0)</f>
        <v>5347</v>
      </c>
      <c r="F700" s="45" t="str">
        <f>IFERROR(__xludf.DUMMYFUNCTION("""COMPUTED_VALUE"""),"PROEC")</f>
        <v>PROEC</v>
      </c>
      <c r="G700" s="45" t="str">
        <f>IFERROR(__xludf.DUMMYFUNCTION("""COMPUTED_VALUE"""),"Quadra/Campo")</f>
        <v>Quadra/Campo</v>
      </c>
      <c r="H700" s="46" t="str">
        <f>IFERROR(__xludf.DUMMYFUNCTION("""COMPUTED_VALUE"""),"tenda azul instalada na quadra está sem energia")</f>
        <v>tenda azul instalada na quadra está sem energia</v>
      </c>
      <c r="I700" s="7" t="str">
        <f>IFERROR(__xludf.DUMMYFUNCTION("""COMPUTED_VALUE"""),"Instalações elétricas")</f>
        <v>Instalações elétricas</v>
      </c>
      <c r="J700" s="13" t="str">
        <f>IFERROR(__xludf.DUMMYFUNCTION("""COMPUTED_VALUE"""),"04 Elétrica / 30 - Falta de Energia")</f>
        <v>04 Elétrica / 30 - Falta de Energia</v>
      </c>
      <c r="K700" s="13"/>
      <c r="L700" s="13" t="str">
        <f>IFERROR(__xludf.DUMMYFUNCTION("""COMPUTED_VALUE"""),"Tenda azul instalada na quadra está sem energia")</f>
        <v>Tenda azul instalada na quadra está sem energia</v>
      </c>
      <c r="M700" s="20"/>
      <c r="N700" s="26" t="str">
        <f>IFERROR(__xludf.DUMMYFUNCTION("""COMPUTED_VALUE"""),"Realizado")</f>
        <v>Realizado</v>
      </c>
      <c r="O700" s="11">
        <f>IFERROR(__xludf.DUMMYFUNCTION("""COMPUTED_VALUE"""),45392.0)</f>
        <v>45392</v>
      </c>
      <c r="P700" s="11"/>
    </row>
    <row r="701" ht="27.0" customHeight="1">
      <c r="A701" s="20" t="str">
        <f>IFERROR(__xludf.DUMMYFUNCTION("""COMPUTED_VALUE"""),"699/2024")</f>
        <v>699/2024</v>
      </c>
      <c r="B701" s="8">
        <f>IFERROR(__xludf.DUMMYFUNCTION("""COMPUTED_VALUE"""),45392.41139903935)</f>
        <v>45392.4114</v>
      </c>
      <c r="C701" s="44" t="str">
        <f>IFERROR(__xludf.DUMMYFUNCTION("""COMPUTED_VALUE"""),"pref@ufcat.edu.br")</f>
        <v>pref@ufcat.edu.br</v>
      </c>
      <c r="D701" s="45" t="str">
        <f>IFERROR(__xludf.DUMMYFUNCTION("""COMPUTED_VALUE"""),"Nátaly Félix")</f>
        <v>Nátaly Félix</v>
      </c>
      <c r="E701" s="47">
        <f>IFERROR(__xludf.DUMMYFUNCTION("""COMPUTED_VALUE"""),5379.0)</f>
        <v>5379</v>
      </c>
      <c r="F701" s="45" t="str">
        <f>IFERROR(__xludf.DUMMYFUNCTION("""COMPUTED_VALUE"""),"PREF")</f>
        <v>PREF</v>
      </c>
      <c r="G701" s="45" t="str">
        <f>IFERROR(__xludf.DUMMYFUNCTION("""COMPUTED_VALUE"""),"Bloco M")</f>
        <v>Bloco M</v>
      </c>
      <c r="H701" s="46" t="str">
        <f>IFERROR(__xludf.DUMMYFUNCTION("""COMPUTED_VALUE"""),"BEBEDOURO 1º PISO")</f>
        <v>BEBEDOURO 1º PISO</v>
      </c>
      <c r="I701" s="7" t="str">
        <f>IFERROR(__xludf.DUMMYFUNCTION("""COMPUTED_VALUE"""),"Instalações Hidrossanitárias")</f>
        <v>Instalações Hidrossanitárias</v>
      </c>
      <c r="J701" s="13" t="str">
        <f>IFERROR(__xludf.DUMMYFUNCTION("""COMPUTED_VALUE"""),"02 Hidráulica / 07 - Desentupimento")</f>
        <v>02 Hidráulica / 07 - Desentupimento</v>
      </c>
      <c r="K701" s="13"/>
      <c r="L701" s="13" t="str">
        <f>IFERROR(__xludf.DUMMYFUNCTION("""COMPUTED_VALUE"""),"Informo ao fiscal técnico responsável pelo contrato da vigilância, que no dia de hoje 08/04/2024 às 14:36 horas, a vigia Rosa Lúcia (Delta 02) relatou que o bebedouro 1º piso do Bloco M, está entupido.")</f>
        <v>Informo ao fiscal técnico responsável pelo contrato da vigilância, que no dia de hoje 08/04/2024 às 14:36 horas, a vigia Rosa Lúcia (Delta 02) relatou que o bebedouro 1º piso do Bloco M, está entupido.</v>
      </c>
      <c r="M701" s="20"/>
      <c r="N701" s="26" t="str">
        <f>IFERROR(__xludf.DUMMYFUNCTION("""COMPUTED_VALUE"""),"Realizado")</f>
        <v>Realizado</v>
      </c>
      <c r="O701" s="11">
        <f>IFERROR(__xludf.DUMMYFUNCTION("""COMPUTED_VALUE"""),45392.0)</f>
        <v>45392</v>
      </c>
      <c r="P701" s="11"/>
    </row>
    <row r="702" ht="27.0" customHeight="1">
      <c r="A702" s="20" t="str">
        <f>IFERROR(__xludf.DUMMYFUNCTION("""COMPUTED_VALUE"""),"700/2024")</f>
        <v>700/2024</v>
      </c>
      <c r="B702" s="8">
        <f>IFERROR(__xludf.DUMMYFUNCTION("""COMPUTED_VALUE"""),45392.4358709375)</f>
        <v>45392.43587</v>
      </c>
      <c r="C702" s="44" t="str">
        <f>IFERROR(__xludf.DUMMYFUNCTION("""COMPUTED_VALUE"""),"amanda.lopes@ufcat.edu.br")</f>
        <v>amanda.lopes@ufcat.edu.br</v>
      </c>
      <c r="D702" s="45" t="str">
        <f>IFERROR(__xludf.DUMMYFUNCTION("""COMPUTED_VALUE"""),"Amanda Matos ")</f>
        <v>Amanda Matos </v>
      </c>
      <c r="E702" s="47">
        <f>IFERROR(__xludf.DUMMYFUNCTION("""COMPUTED_VALUE"""),5340.0)</f>
        <v>5340</v>
      </c>
      <c r="F702" s="45" t="str">
        <f>IFERROR(__xludf.DUMMYFUNCTION("""COMPUTED_VALUE"""),"PREF")</f>
        <v>PREF</v>
      </c>
      <c r="G702" s="45" t="str">
        <f>IFERROR(__xludf.DUMMYFUNCTION("""COMPUTED_VALUE"""),"Cantina")</f>
        <v>Cantina</v>
      </c>
      <c r="H702" s="46" t="str">
        <f>IFERROR(__xludf.DUMMYFUNCTION("""COMPUTED_VALUE"""),"Esgoto ")</f>
        <v>Esgoto </v>
      </c>
      <c r="I702" s="7" t="str">
        <f>IFERROR(__xludf.DUMMYFUNCTION("""COMPUTED_VALUE"""),"Instalações Hidrossanitárias")</f>
        <v>Instalações Hidrossanitárias</v>
      </c>
      <c r="J702" s="13" t="str">
        <f>IFERROR(__xludf.DUMMYFUNCTION("""COMPUTED_VALUE"""),"02 Hidráulica / 07 - Desentupimento")</f>
        <v>02 Hidráulica / 07 - Desentupimento</v>
      </c>
      <c r="K702" s="13"/>
      <c r="L702" s="13" t="str">
        <f>IFERROR(__xludf.DUMMYFUNCTION("""COMPUTED_VALUE"""),"Desentupir caixa de esgoto atrás da cantina ")</f>
        <v>Desentupir caixa de esgoto atrás da cantina </v>
      </c>
      <c r="M702" s="20"/>
      <c r="N702" s="26" t="str">
        <f>IFERROR(__xludf.DUMMYFUNCTION("""COMPUTED_VALUE"""),"Realizado")</f>
        <v>Realizado</v>
      </c>
      <c r="O702" s="11">
        <f>IFERROR(__xludf.DUMMYFUNCTION("""COMPUTED_VALUE"""),45392.0)</f>
        <v>45392</v>
      </c>
      <c r="P702" s="11"/>
    </row>
    <row r="703" ht="27.0" customHeight="1">
      <c r="A703" s="20" t="str">
        <f>IFERROR(__xludf.DUMMYFUNCTION("""COMPUTED_VALUE"""),"701/2024")</f>
        <v>701/2024</v>
      </c>
      <c r="B703" s="8">
        <f>IFERROR(__xludf.DUMMYFUNCTION("""COMPUTED_VALUE"""),45392.44088023149)</f>
        <v>45392.44088</v>
      </c>
      <c r="C703" s="44" t="str">
        <f>IFERROR(__xludf.DUMMYFUNCTION("""COMPUTED_VALUE"""),"pref@ufcat.edu.br")</f>
        <v>pref@ufcat.edu.br</v>
      </c>
      <c r="D703" s="45" t="str">
        <f>IFERROR(__xludf.DUMMYFUNCTION("""COMPUTED_VALUE"""),"Nátaly Félix")</f>
        <v>Nátaly Félix</v>
      </c>
      <c r="E703" s="47">
        <f>IFERROR(__xludf.DUMMYFUNCTION("""COMPUTED_VALUE"""),5379.0)</f>
        <v>5379</v>
      </c>
      <c r="F703" s="45" t="str">
        <f>IFERROR(__xludf.DUMMYFUNCTION("""COMPUTED_VALUE"""),"PREF")</f>
        <v>PREF</v>
      </c>
      <c r="G703" s="45" t="str">
        <f>IFERROR(__xludf.DUMMYFUNCTION("""COMPUTED_VALUE"""),"Didatico I")</f>
        <v>Didatico I</v>
      </c>
      <c r="H703" s="46" t="str">
        <f>IFERROR(__xludf.DUMMYFUNCTION("""COMPUTED_VALUE"""),"terreo")</f>
        <v>terreo</v>
      </c>
      <c r="I703" s="7" t="str">
        <f>IFERROR(__xludf.DUMMYFUNCTION("""COMPUTED_VALUE"""),"Instalações Hidrossanitárias")</f>
        <v>Instalações Hidrossanitárias</v>
      </c>
      <c r="J703" s="13" t="str">
        <f>IFERROR(__xludf.DUMMYFUNCTION("""COMPUTED_VALUE"""),"02 Hidráulica / 10 - Vazamento de Torneira")</f>
        <v>02 Hidráulica / 10 - Vazamento de Torneira</v>
      </c>
      <c r="K703" s="13"/>
      <c r="L703" s="13" t="str">
        <f>IFERROR(__xludf.DUMMYFUNCTION("""COMPUTED_VALUE"""),"relatou que o bebedouro do Térreo do Bloco Didático I, se encontra com um vazamento.")</f>
        <v>relatou que o bebedouro do Térreo do Bloco Didático I, se encontra com um vazamento.</v>
      </c>
      <c r="M703" s="20"/>
      <c r="N703" s="26" t="str">
        <f>IFERROR(__xludf.DUMMYFUNCTION("""COMPUTED_VALUE"""),"Realizado")</f>
        <v>Realizado</v>
      </c>
      <c r="O703" s="11">
        <f>IFERROR(__xludf.DUMMYFUNCTION("""COMPUTED_VALUE"""),45392.0)</f>
        <v>45392</v>
      </c>
      <c r="P703" s="11"/>
    </row>
    <row r="704" ht="27.0" customHeight="1">
      <c r="A704" s="20" t="str">
        <f>IFERROR(__xludf.DUMMYFUNCTION("""COMPUTED_VALUE"""),"702/2024")</f>
        <v>702/2024</v>
      </c>
      <c r="B704" s="8">
        <f>IFERROR(__xludf.DUMMYFUNCTION("""COMPUTED_VALUE"""),45392.549346099535)</f>
        <v>45392.54935</v>
      </c>
      <c r="C704" s="44" t="str">
        <f>IFERROR(__xludf.DUMMYFUNCTION("""COMPUTED_VALUE"""),"amanda.lopes@ufcat.edu.br")</f>
        <v>amanda.lopes@ufcat.edu.br</v>
      </c>
      <c r="D704" s="45" t="str">
        <f>IFERROR(__xludf.DUMMYFUNCTION("""COMPUTED_VALUE"""),"Amanda Matos ")</f>
        <v>Amanda Matos </v>
      </c>
      <c r="E704" s="47">
        <f>IFERROR(__xludf.DUMMYFUNCTION("""COMPUTED_VALUE"""),5340.0)</f>
        <v>5340</v>
      </c>
      <c r="F704" s="45" t="str">
        <f>IFERROR(__xludf.DUMMYFUNCTION("""COMPUTED_VALUE"""),"PREF")</f>
        <v>PREF</v>
      </c>
      <c r="G704" s="45" t="str">
        <f>IFERROR(__xludf.DUMMYFUNCTION("""COMPUTED_VALUE"""),"Bloco I")</f>
        <v>Bloco I</v>
      </c>
      <c r="H704" s="46" t="str">
        <f>IFERROR(__xludf.DUMMYFUNCTION("""COMPUTED_VALUE"""),"Corredor")</f>
        <v>Corredor</v>
      </c>
      <c r="I704" s="7" t="str">
        <f>IFERROR(__xludf.DUMMYFUNCTION("""COMPUTED_VALUE"""),"Instalações Hidrossanitárias")</f>
        <v>Instalações Hidrossanitárias</v>
      </c>
      <c r="J704" s="13" t="str">
        <f>IFERROR(__xludf.DUMMYFUNCTION("""COMPUTED_VALUE"""),"02 Hidráulica / 15 - Instalação de dispenser Álcool em Gel")</f>
        <v>02 Hidráulica / 15 - Instalação de dispenser Álcool em Gel</v>
      </c>
      <c r="K704" s="13"/>
      <c r="L704" s="13" t="str">
        <f>IFERROR(__xludf.DUMMYFUNCTION("""COMPUTED_VALUE"""),"Fixar dispenser de alcool em gel na parede   ")</f>
        <v>Fixar dispenser de alcool em gel na parede   </v>
      </c>
      <c r="M704" s="20"/>
      <c r="N704" s="26" t="str">
        <f>IFERROR(__xludf.DUMMYFUNCTION("""COMPUTED_VALUE"""),"Realizado")</f>
        <v>Realizado</v>
      </c>
      <c r="O704" s="11">
        <f>IFERROR(__xludf.DUMMYFUNCTION("""COMPUTED_VALUE"""),45392.0)</f>
        <v>45392</v>
      </c>
      <c r="P704" s="11"/>
    </row>
    <row r="705" ht="27.0" customHeight="1">
      <c r="A705" s="20" t="str">
        <f>IFERROR(__xludf.DUMMYFUNCTION("""COMPUTED_VALUE"""),"703/2024")</f>
        <v>703/2024</v>
      </c>
      <c r="B705" s="8">
        <f>IFERROR(__xludf.DUMMYFUNCTION("""COMPUTED_VALUE"""),45392.58417590278)</f>
        <v>45392.58418</v>
      </c>
      <c r="C705" s="44" t="str">
        <f>IFERROR(__xludf.DUMMYFUNCTION("""COMPUTED_VALUE"""),"berenicevieira@ufcat.edu.br")</f>
        <v>berenicevieira@ufcat.edu.br</v>
      </c>
      <c r="D705" s="45" t="str">
        <f>IFERROR(__xludf.DUMMYFUNCTION("""COMPUTED_VALUE"""),"Berenice")</f>
        <v>Berenice</v>
      </c>
      <c r="E705" s="47">
        <f>IFERROR(__xludf.DUMMYFUNCTION("""COMPUTED_VALUE"""),5341.0)</f>
        <v>5341</v>
      </c>
      <c r="F705" s="45" t="str">
        <f>IFERROR(__xludf.DUMMYFUNCTION("""COMPUTED_VALUE"""),"SERVIÇO DE LIMPEZA")</f>
        <v>SERVIÇO DE LIMPEZA</v>
      </c>
      <c r="G705" s="45" t="str">
        <f>IFERROR(__xludf.DUMMYFUNCTION("""COMPUTED_VALUE"""),"Bloco L")</f>
        <v>Bloco L</v>
      </c>
      <c r="H705" s="46" t="str">
        <f>IFERROR(__xludf.DUMMYFUNCTION("""COMPUTED_VALUE"""),"Banheiro feminino segundo piso")</f>
        <v>Banheiro feminino segundo piso</v>
      </c>
      <c r="I705" s="7" t="str">
        <f>IFERROR(__xludf.DUMMYFUNCTION("""COMPUTED_VALUE"""),"Instalações Hidrossanitárias")</f>
        <v>Instalações Hidrossanitárias</v>
      </c>
      <c r="J705" s="13" t="str">
        <f>IFERROR(__xludf.DUMMYFUNCTION("""COMPUTED_VALUE"""),"02 Hidráulica / 07 - Desentupimento")</f>
        <v>02 Hidráulica / 07 - Desentupimento</v>
      </c>
      <c r="K705" s="13"/>
      <c r="L705" s="13" t="str">
        <f>IFERROR(__xludf.DUMMYFUNCTION("""COMPUTED_VALUE"""),"Desentupir vaso sanitário")</f>
        <v>Desentupir vaso sanitário</v>
      </c>
      <c r="M705" s="20"/>
      <c r="N705" s="26" t="str">
        <f>IFERROR(__xludf.DUMMYFUNCTION("""COMPUTED_VALUE"""),"Realizado")</f>
        <v>Realizado</v>
      </c>
      <c r="O705" s="11">
        <f>IFERROR(__xludf.DUMMYFUNCTION("""COMPUTED_VALUE"""),45393.0)</f>
        <v>45393</v>
      </c>
      <c r="P705" s="11"/>
    </row>
    <row r="706" ht="27.0" customHeight="1">
      <c r="A706" s="20" t="str">
        <f>IFERROR(__xludf.DUMMYFUNCTION("""COMPUTED_VALUE"""),"704/2024")</f>
        <v>704/2024</v>
      </c>
      <c r="B706" s="8">
        <f>IFERROR(__xludf.DUMMYFUNCTION("""COMPUTED_VALUE"""),45392.58609081019)</f>
        <v>45392.58609</v>
      </c>
      <c r="C706" s="44" t="str">
        <f>IFERROR(__xludf.DUMMYFUNCTION("""COMPUTED_VALUE"""),"berenicevieira@ufcat.edu.br")</f>
        <v>berenicevieira@ufcat.edu.br</v>
      </c>
      <c r="D706" s="45" t="str">
        <f>IFERROR(__xludf.DUMMYFUNCTION("""COMPUTED_VALUE"""),"Berenice")</f>
        <v>Berenice</v>
      </c>
      <c r="E706" s="47">
        <f>IFERROR(__xludf.DUMMYFUNCTION("""COMPUTED_VALUE"""),5341.0)</f>
        <v>5341</v>
      </c>
      <c r="F706" s="45" t="str">
        <f>IFERROR(__xludf.DUMMYFUNCTION("""COMPUTED_VALUE"""),"SERVIÇO DE LIMPEZA")</f>
        <v>SERVIÇO DE LIMPEZA</v>
      </c>
      <c r="G706" s="45" t="str">
        <f>IFERROR(__xludf.DUMMYFUNCTION("""COMPUTED_VALUE"""),"Bloco L")</f>
        <v>Bloco L</v>
      </c>
      <c r="H706" s="46" t="str">
        <f>IFERROR(__xludf.DUMMYFUNCTION("""COMPUTED_VALUE"""),"Banheiro masculino primeiro piso")</f>
        <v>Banheiro masculino primeiro piso</v>
      </c>
      <c r="I706" s="7" t="str">
        <f>IFERROR(__xludf.DUMMYFUNCTION("""COMPUTED_VALUE"""),"Instalações Hidrossanitárias")</f>
        <v>Instalações Hidrossanitárias</v>
      </c>
      <c r="J706" s="13" t="str">
        <f>IFERROR(__xludf.DUMMYFUNCTION("""COMPUTED_VALUE"""),"02 Hidráulica / 17 - Troca de sifão, registro")</f>
        <v>02 Hidráulica / 17 - Troca de sifão, registro</v>
      </c>
      <c r="K706" s="13"/>
      <c r="L706" s="13" t="str">
        <f>IFERROR(__xludf.DUMMYFUNCTION("""COMPUTED_VALUE"""),"Trocar sifão do lavatório")</f>
        <v>Trocar sifão do lavatório</v>
      </c>
      <c r="M706" s="20"/>
      <c r="N706" s="26" t="str">
        <f>IFERROR(__xludf.DUMMYFUNCTION("""COMPUTED_VALUE"""),"Realizado")</f>
        <v>Realizado</v>
      </c>
      <c r="O706" s="11">
        <f>IFERROR(__xludf.DUMMYFUNCTION("""COMPUTED_VALUE"""),45393.0)</f>
        <v>45393</v>
      </c>
      <c r="P706" s="11"/>
    </row>
    <row r="707" ht="27.0" customHeight="1">
      <c r="A707" s="20" t="str">
        <f>IFERROR(__xludf.DUMMYFUNCTION("""COMPUTED_VALUE"""),"705/2024")</f>
        <v>705/2024</v>
      </c>
      <c r="B707" s="8">
        <f>IFERROR(__xludf.DUMMYFUNCTION("""COMPUTED_VALUE"""),45392.58916762732)</f>
        <v>45392.58917</v>
      </c>
      <c r="C707" s="44" t="str">
        <f>IFERROR(__xludf.DUMMYFUNCTION("""COMPUTED_VALUE"""),"berenicevieira@ufcat.edu.br")</f>
        <v>berenicevieira@ufcat.edu.br</v>
      </c>
      <c r="D707" s="45" t="str">
        <f>IFERROR(__xludf.DUMMYFUNCTION("""COMPUTED_VALUE"""),"Berenice")</f>
        <v>Berenice</v>
      </c>
      <c r="E707" s="47">
        <f>IFERROR(__xludf.DUMMYFUNCTION("""COMPUTED_VALUE"""),5341.0)</f>
        <v>5341</v>
      </c>
      <c r="F707" s="45" t="str">
        <f>IFERROR(__xludf.DUMMYFUNCTION("""COMPUTED_VALUE"""),"FENG  - Engenharia de Produção")</f>
        <v>FENG  - Engenharia de Produção</v>
      </c>
      <c r="G707" s="45" t="str">
        <f>IFERROR(__xludf.DUMMYFUNCTION("""COMPUTED_VALUE"""),"Bloco O")</f>
        <v>Bloco O</v>
      </c>
      <c r="H707" s="46" t="str">
        <f>IFERROR(__xludf.DUMMYFUNCTION("""COMPUTED_VALUE"""),"Banheiro feminino")</f>
        <v>Banheiro feminino</v>
      </c>
      <c r="I707" s="7" t="str">
        <f>IFERROR(__xludf.DUMMYFUNCTION("""COMPUTED_VALUE"""),"Instalações Hidrossanitárias")</f>
        <v>Instalações Hidrossanitárias</v>
      </c>
      <c r="J707" s="13" t="str">
        <f>IFERROR(__xludf.DUMMYFUNCTION("""COMPUTED_VALUE"""),"02 Hidráulica / 10 - Vazamento em geral")</f>
        <v>02 Hidráulica / 10 - Vazamento em geral</v>
      </c>
      <c r="K707" s="13"/>
      <c r="L707" s="13" t="str">
        <f>IFERROR(__xludf.DUMMYFUNCTION("""COMPUTED_VALUE"""),"Vazamento no pé do vaso sanitário")</f>
        <v>Vazamento no pé do vaso sanitário</v>
      </c>
      <c r="M707" s="20"/>
      <c r="N707" s="26" t="str">
        <f>IFERROR(__xludf.DUMMYFUNCTION("""COMPUTED_VALUE"""),"Realizado")</f>
        <v>Realizado</v>
      </c>
      <c r="O707" s="11">
        <f>IFERROR(__xludf.DUMMYFUNCTION("""COMPUTED_VALUE"""),45393.0)</f>
        <v>45393</v>
      </c>
      <c r="P707" s="11"/>
    </row>
    <row r="708" ht="27.0" customHeight="1">
      <c r="A708" s="20" t="str">
        <f>IFERROR(__xludf.DUMMYFUNCTION("""COMPUTED_VALUE"""),"706/2024")</f>
        <v>706/2024</v>
      </c>
      <c r="B708" s="8">
        <f>IFERROR(__xludf.DUMMYFUNCTION("""COMPUTED_VALUE"""),45392.590922800926)</f>
        <v>45392.59092</v>
      </c>
      <c r="C708" s="44" t="str">
        <f>IFERROR(__xludf.DUMMYFUNCTION("""COMPUTED_VALUE"""),"berenicevieira@ufcat.edu.br")</f>
        <v>berenicevieira@ufcat.edu.br</v>
      </c>
      <c r="D708" s="45" t="str">
        <f>IFERROR(__xludf.DUMMYFUNCTION("""COMPUTED_VALUE"""),"Berenice")</f>
        <v>Berenice</v>
      </c>
      <c r="E708" s="47">
        <f>IFERROR(__xludf.DUMMYFUNCTION("""COMPUTED_VALUE"""),5341.0)</f>
        <v>5341</v>
      </c>
      <c r="F708" s="45" t="str">
        <f>IFERROR(__xludf.DUMMYFUNCTION("""COMPUTED_VALUE"""),"FENG  - Engenharia de Produção")</f>
        <v>FENG  - Engenharia de Produção</v>
      </c>
      <c r="G708" s="45" t="str">
        <f>IFERROR(__xludf.DUMMYFUNCTION("""COMPUTED_VALUE"""),"Bloco O")</f>
        <v>Bloco O</v>
      </c>
      <c r="H708" s="46" t="str">
        <f>IFERROR(__xludf.DUMMYFUNCTION("""COMPUTED_VALUE"""),"Banheiro feminino")</f>
        <v>Banheiro feminino</v>
      </c>
      <c r="I708" s="7" t="str">
        <f>IFERROR(__xludf.DUMMYFUNCTION("""COMPUTED_VALUE"""),"Instalações Hidrossanitárias")</f>
        <v>Instalações Hidrossanitárias</v>
      </c>
      <c r="J708" s="13" t="str">
        <f>IFERROR(__xludf.DUMMYFUNCTION("""COMPUTED_VALUE"""),"02 Hidráulica / 10 - Vazamento em geral")</f>
        <v>02 Hidráulica / 10 - Vazamento em geral</v>
      </c>
      <c r="K708" s="13"/>
      <c r="L708" s="13" t="str">
        <f>IFERROR(__xludf.DUMMYFUNCTION("""COMPUTED_VALUE"""),"Vazamento na válvula de descarga")</f>
        <v>Vazamento na válvula de descarga</v>
      </c>
      <c r="M708" s="20"/>
      <c r="N708" s="26" t="str">
        <f>IFERROR(__xludf.DUMMYFUNCTION("""COMPUTED_VALUE"""),"Realizado")</f>
        <v>Realizado</v>
      </c>
      <c r="O708" s="11">
        <f>IFERROR(__xludf.DUMMYFUNCTION("""COMPUTED_VALUE"""),45393.0)</f>
        <v>45393</v>
      </c>
      <c r="P708" s="11"/>
    </row>
    <row r="709" ht="27.0" customHeight="1">
      <c r="A709" s="20" t="str">
        <f>IFERROR(__xludf.DUMMYFUNCTION("""COMPUTED_VALUE"""),"707/2024")</f>
        <v>707/2024</v>
      </c>
      <c r="B709" s="8">
        <f>IFERROR(__xludf.DUMMYFUNCTION("""COMPUTED_VALUE"""),45392.630642766206)</f>
        <v>45392.63064</v>
      </c>
      <c r="C709" s="44" t="str">
        <f>IFERROR(__xludf.DUMMYFUNCTION("""COMPUTED_VALUE"""),"marcia.mendes@ufcat.edu.br")</f>
        <v>marcia.mendes@ufcat.edu.br</v>
      </c>
      <c r="D709" s="45" t="str">
        <f>IFERROR(__xludf.DUMMYFUNCTION("""COMPUTED_VALUE"""),"Marcia")</f>
        <v>Marcia</v>
      </c>
      <c r="E709" s="47" t="str">
        <f>IFERROR(__xludf.DUMMYFUNCTION("""COMPUTED_VALUE"""),"98412-9238")</f>
        <v>98412-9238</v>
      </c>
      <c r="F709" s="45" t="str">
        <f>IFERROR(__xludf.DUMMYFUNCTION("""COMPUTED_VALUE"""),"IQ")</f>
        <v>IQ</v>
      </c>
      <c r="G709" s="45" t="str">
        <f>IFERROR(__xludf.DUMMYFUNCTION("""COMPUTED_VALUE"""),"Bloco N")</f>
        <v>Bloco N</v>
      </c>
      <c r="H709" s="46" t="str">
        <f>IFERROR(__xludf.DUMMYFUNCTION("""COMPUTED_VALUE"""),"Corredor térreo.")</f>
        <v>Corredor térreo.</v>
      </c>
      <c r="I709" s="7" t="str">
        <f>IFERROR(__xludf.DUMMYFUNCTION("""COMPUTED_VALUE"""),"Instalações Hidrossanitárias")</f>
        <v>Instalações Hidrossanitárias</v>
      </c>
      <c r="J709" s="13" t="str">
        <f>IFERROR(__xludf.DUMMYFUNCTION("""COMPUTED_VALUE"""),"02 Hidráulica / 20 - Vazamento em bebedouros")</f>
        <v>02 Hidráulica / 20 - Vazamento em bebedouros</v>
      </c>
      <c r="K709" s="13"/>
      <c r="L709" s="13" t="str">
        <f>IFERROR(__xludf.DUMMYFUNCTION("""COMPUTED_VALUE"""),"Bebedouro vazando água o tempo todo. A água está escorrendo até o banheiro. Risco de queda de alunos e funcionários.")</f>
        <v>Bebedouro vazando água o tempo todo. A água está escorrendo até o banheiro. Risco de queda de alunos e funcionários.</v>
      </c>
      <c r="M709" s="20"/>
      <c r="N709" s="26" t="str">
        <f>IFERROR(__xludf.DUMMYFUNCTION("""COMPUTED_VALUE"""),"Realizado")</f>
        <v>Realizado</v>
      </c>
      <c r="O709" s="11">
        <f>IFERROR(__xludf.DUMMYFUNCTION("""COMPUTED_VALUE"""),45393.0)</f>
        <v>45393</v>
      </c>
      <c r="P709" s="11"/>
    </row>
    <row r="710" ht="27.0" customHeight="1">
      <c r="A710" s="20" t="str">
        <f>IFERROR(__xludf.DUMMYFUNCTION("""COMPUTED_VALUE"""),"708/2024")</f>
        <v>708/2024</v>
      </c>
      <c r="B710" s="8">
        <f>IFERROR(__xludf.DUMMYFUNCTION("""COMPUTED_VALUE"""),45392.63283746528)</f>
        <v>45392.63284</v>
      </c>
      <c r="C710" s="44" t="str">
        <f>IFERROR(__xludf.DUMMYFUNCTION("""COMPUTED_VALUE"""),"marcia.mendes@ufcat.edu.br")</f>
        <v>marcia.mendes@ufcat.edu.br</v>
      </c>
      <c r="D710" s="45" t="str">
        <f>IFERROR(__xludf.DUMMYFUNCTION("""COMPUTED_VALUE"""),"Marcia")</f>
        <v>Marcia</v>
      </c>
      <c r="E710" s="47" t="str">
        <f>IFERROR(__xludf.DUMMYFUNCTION("""COMPUTED_VALUE"""),"98412-9238")</f>
        <v>98412-9238</v>
      </c>
      <c r="F710" s="45" t="str">
        <f>IFERROR(__xludf.DUMMYFUNCTION("""COMPUTED_VALUE"""),"IQ")</f>
        <v>IQ</v>
      </c>
      <c r="G710" s="45" t="str">
        <f>IFERROR(__xludf.DUMMYFUNCTION("""COMPUTED_VALUE"""),"Bloco N")</f>
        <v>Bloco N</v>
      </c>
      <c r="H710" s="46" t="str">
        <f>IFERROR(__xludf.DUMMYFUNCTION("""COMPUTED_VALUE"""),"Banheiros térreo.")</f>
        <v>Banheiros térreo.</v>
      </c>
      <c r="I710" s="7" t="str">
        <f>IFERROR(__xludf.DUMMYFUNCTION("""COMPUTED_VALUE"""),"Instalações Hidrossanitárias")</f>
        <v>Instalações Hidrossanitárias</v>
      </c>
      <c r="J710" s="13" t="str">
        <f>IFERROR(__xludf.DUMMYFUNCTION("""COMPUTED_VALUE"""),"02 Hidráulica / 22 - Outros")</f>
        <v>02 Hidráulica / 22 - Outros</v>
      </c>
      <c r="K710" s="13"/>
      <c r="L710" s="13" t="str">
        <f>IFERROR(__xludf.DUMMYFUNCTION("""COMPUTED_VALUE"""),"Dispensar de papel toalha e sabonete com defeito.")</f>
        <v>Dispensar de papel toalha e sabonete com defeito.</v>
      </c>
      <c r="M710" s="20"/>
      <c r="N710" s="26" t="str">
        <f>IFERROR(__xludf.DUMMYFUNCTION("""COMPUTED_VALUE"""),"Aguardando Mat./Equipam.")</f>
        <v>Aguardando Mat./Equipam.</v>
      </c>
      <c r="O710" s="11"/>
      <c r="P710" s="11"/>
    </row>
    <row r="711" ht="27.0" customHeight="1">
      <c r="A711" s="20" t="str">
        <f>IFERROR(__xludf.DUMMYFUNCTION("""COMPUTED_VALUE"""),"709/2024")</f>
        <v>709/2024</v>
      </c>
      <c r="B711" s="8">
        <f>IFERROR(__xludf.DUMMYFUNCTION("""COMPUTED_VALUE"""),45392.634692962965)</f>
        <v>45392.63469</v>
      </c>
      <c r="C711" s="44" t="str">
        <f>IFERROR(__xludf.DUMMYFUNCTION("""COMPUTED_VALUE"""),"marcia.mendes@ufcat.edu.br")</f>
        <v>marcia.mendes@ufcat.edu.br</v>
      </c>
      <c r="D711" s="45" t="str">
        <f>IFERROR(__xludf.DUMMYFUNCTION("""COMPUTED_VALUE"""),"Marcia Felipe Mendes")</f>
        <v>Marcia Felipe Mendes</v>
      </c>
      <c r="E711" s="47" t="str">
        <f>IFERROR(__xludf.DUMMYFUNCTION("""COMPUTED_VALUE"""),"98412-9238")</f>
        <v>98412-9238</v>
      </c>
      <c r="F711" s="45" t="str">
        <f>IFERROR(__xludf.DUMMYFUNCTION("""COMPUTED_VALUE"""),"IQ")</f>
        <v>IQ</v>
      </c>
      <c r="G711" s="45" t="str">
        <f>IFERROR(__xludf.DUMMYFUNCTION("""COMPUTED_VALUE"""),"Bloco N")</f>
        <v>Bloco N</v>
      </c>
      <c r="H711" s="46" t="str">
        <f>IFERROR(__xludf.DUMMYFUNCTION("""COMPUTED_VALUE"""),"Banheiros térreo.")</f>
        <v>Banheiros térreo.</v>
      </c>
      <c r="I711" s="7" t="str">
        <f>IFERROR(__xludf.DUMMYFUNCTION("""COMPUTED_VALUE"""),"Serralheria")</f>
        <v>Serralheria</v>
      </c>
      <c r="J711" s="13" t="str">
        <f>IFERROR(__xludf.DUMMYFUNCTION("""COMPUTED_VALUE"""),"08 Serralheria / 54 - Suporte em geral")</f>
        <v>08 Serralheria / 54 - Suporte em geral</v>
      </c>
      <c r="K711" s="13"/>
      <c r="L711" s="13" t="str">
        <f>IFERROR(__xludf.DUMMYFUNCTION("""COMPUTED_VALUE"""),"Sistema de trava das portas dos banheiros femininos com defeito.")</f>
        <v>Sistema de trava das portas dos banheiros femininos com defeito.</v>
      </c>
      <c r="M711" s="20"/>
      <c r="N711" s="26" t="str">
        <f>IFERROR(__xludf.DUMMYFUNCTION("""COMPUTED_VALUE"""),"Aguardando análise")</f>
        <v>Aguardando análise</v>
      </c>
      <c r="O711" s="11"/>
      <c r="P711" s="11"/>
    </row>
    <row r="712" ht="27.0" customHeight="1">
      <c r="A712" s="20" t="str">
        <f>IFERROR(__xludf.DUMMYFUNCTION("""COMPUTED_VALUE"""),"710/2024")</f>
        <v>710/2024</v>
      </c>
      <c r="B712" s="8">
        <f>IFERROR(__xludf.DUMMYFUNCTION("""COMPUTED_VALUE"""),45392.67106490741)</f>
        <v>45392.67106</v>
      </c>
      <c r="C712" s="44" t="str">
        <f>IFERROR(__xludf.DUMMYFUNCTION("""COMPUTED_VALUE"""),"pref@ufcat.edu.br")</f>
        <v>pref@ufcat.edu.br</v>
      </c>
      <c r="D712" s="45" t="str">
        <f>IFERROR(__xludf.DUMMYFUNCTION("""COMPUTED_VALUE"""),"Nátaly Félix")</f>
        <v>Nátaly Félix</v>
      </c>
      <c r="E712" s="47">
        <f>IFERROR(__xludf.DUMMYFUNCTION("""COMPUTED_VALUE"""),5379.0)</f>
        <v>5379</v>
      </c>
      <c r="F712" s="45" t="str">
        <f>IFERROR(__xludf.DUMMYFUNCTION("""COMPUTED_VALUE"""),"PREF")</f>
        <v>PREF</v>
      </c>
      <c r="G712" s="45" t="str">
        <f>IFERROR(__xludf.DUMMYFUNCTION("""COMPUTED_VALUE"""),"Bloco M")</f>
        <v>Bloco M</v>
      </c>
      <c r="H712" s="46" t="str">
        <f>IFERROR(__xludf.DUMMYFUNCTION("""COMPUTED_VALUE"""),"Próximo ao Bloco M")</f>
        <v>Próximo ao Bloco M</v>
      </c>
      <c r="I712" s="7" t="str">
        <f>IFERROR(__xludf.DUMMYFUNCTION("""COMPUTED_VALUE"""),"Instalações elétricas")</f>
        <v>Instalações elétricas</v>
      </c>
      <c r="J712" s="13" t="str">
        <f>IFERROR(__xludf.DUMMYFUNCTION("""COMPUTED_VALUE"""),"04 Elétrica / 31 - Iluminação Externa")</f>
        <v>04 Elétrica / 31 - Iluminação Externa</v>
      </c>
      <c r="K712" s="13"/>
      <c r="L712" s="13" t="str">
        <f>IFERROR(__xludf.DUMMYFUNCTION("""COMPUTED_VALUE"""),"foi informado que o globo de vidro do poste de luz próximo ao Bloco M, estava no chão. Relataram também, que o globo foi recolhido e está na sala de apoio das vigias no Bloco M.")</f>
        <v>foi informado que o globo de vidro do poste de luz próximo ao Bloco M, estava no chão. Relataram também, que o globo foi recolhido e está na sala de apoio das vigias no Bloco M.</v>
      </c>
      <c r="M712" s="20"/>
      <c r="N712" s="26" t="str">
        <f>IFERROR(__xludf.DUMMYFUNCTION("""COMPUTED_VALUE"""),"Realizado")</f>
        <v>Realizado</v>
      </c>
      <c r="O712" s="11">
        <f>IFERROR(__xludf.DUMMYFUNCTION("""COMPUTED_VALUE"""),45393.0)</f>
        <v>45393</v>
      </c>
      <c r="P712" s="11"/>
    </row>
    <row r="713" ht="27.0" customHeight="1">
      <c r="A713" s="20" t="str">
        <f>IFERROR(__xludf.DUMMYFUNCTION("""COMPUTED_VALUE"""),"711/2024")</f>
        <v>711/2024</v>
      </c>
      <c r="B713" s="8">
        <f>IFERROR(__xludf.DUMMYFUNCTION("""COMPUTED_VALUE"""),45392.698952453706)</f>
        <v>45392.69895</v>
      </c>
      <c r="C713" s="44" t="str">
        <f>IFERROR(__xludf.DUMMYFUNCTION("""COMPUTED_VALUE"""),"amanda.lopes@ufcat.edu.br")</f>
        <v>amanda.lopes@ufcat.edu.br</v>
      </c>
      <c r="D713" s="45" t="str">
        <f>IFERROR(__xludf.DUMMYFUNCTION("""COMPUTED_VALUE"""),"Amanda Matos ")</f>
        <v>Amanda Matos </v>
      </c>
      <c r="E713" s="47">
        <f>IFERROR(__xludf.DUMMYFUNCTION("""COMPUTED_VALUE"""),5340.0)</f>
        <v>5340</v>
      </c>
      <c r="F713" s="45" t="str">
        <f>IFERROR(__xludf.DUMMYFUNCTION("""COMPUTED_VALUE"""),"PREF")</f>
        <v>PREF</v>
      </c>
      <c r="G713" s="45" t="str">
        <f>IFERROR(__xludf.DUMMYFUNCTION("""COMPUTED_VALUE"""),"Bloco B")</f>
        <v>Bloco B</v>
      </c>
      <c r="H713" s="46" t="str">
        <f>IFERROR(__xludf.DUMMYFUNCTION("""COMPUTED_VALUE"""),"Faixada")</f>
        <v>Faixada</v>
      </c>
      <c r="I713" s="7" t="str">
        <f>IFERROR(__xludf.DUMMYFUNCTION("""COMPUTED_VALUE"""),"Pequenos serviços de reparos em Marcenaria")</f>
        <v>Pequenos serviços de reparos em Marcenaria</v>
      </c>
      <c r="J713" s="13" t="str">
        <f>IFERROR(__xludf.DUMMYFUNCTION("""COMPUTED_VALUE"""),"03 Marcenaria / 29 - Outros")</f>
        <v>03 Marcenaria / 29 - Outros</v>
      </c>
      <c r="K713" s="13"/>
      <c r="L713" s="13" t="str">
        <f>IFERROR(__xludf.DUMMYFUNCTION("""COMPUTED_VALUE"""),"Instalação de letras na faixada ")</f>
        <v>Instalação de letras na faixada </v>
      </c>
      <c r="M713" s="20"/>
      <c r="N713" s="26" t="str">
        <f>IFERROR(__xludf.DUMMYFUNCTION("""COMPUTED_VALUE"""),"Realizado")</f>
        <v>Realizado</v>
      </c>
      <c r="O713" s="11">
        <f>IFERROR(__xludf.DUMMYFUNCTION("""COMPUTED_VALUE"""),45393.0)</f>
        <v>45393</v>
      </c>
      <c r="P713" s="11"/>
    </row>
    <row r="714" ht="27.0" customHeight="1">
      <c r="A714" s="20" t="str">
        <f>IFERROR(__xludf.DUMMYFUNCTION("""COMPUTED_VALUE"""),"712/2024")</f>
        <v>712/2024</v>
      </c>
      <c r="B714" s="8">
        <f>IFERROR(__xludf.DUMMYFUNCTION("""COMPUTED_VALUE"""),45392.70217523148)</f>
        <v>45392.70218</v>
      </c>
      <c r="C714" s="44" t="str">
        <f>IFERROR(__xludf.DUMMYFUNCTION("""COMPUTED_VALUE"""),"amanda.lopes@ufcat.edu.br")</f>
        <v>amanda.lopes@ufcat.edu.br</v>
      </c>
      <c r="D714" s="45" t="str">
        <f>IFERROR(__xludf.DUMMYFUNCTION("""COMPUTED_VALUE"""),"Amanda Matos ")</f>
        <v>Amanda Matos </v>
      </c>
      <c r="E714" s="47">
        <f>IFERROR(__xludf.DUMMYFUNCTION("""COMPUTED_VALUE"""),5340.0)</f>
        <v>5340</v>
      </c>
      <c r="F714" s="45" t="str">
        <f>IFERROR(__xludf.DUMMYFUNCTION("""COMPUTED_VALUE"""),"PREF")</f>
        <v>PREF</v>
      </c>
      <c r="G714" s="45" t="str">
        <f>IFERROR(__xludf.DUMMYFUNCTION("""COMPUTED_VALUE"""),"SETI")</f>
        <v>SETI</v>
      </c>
      <c r="H714" s="46" t="str">
        <f>IFERROR(__xludf.DUMMYFUNCTION("""COMPUTED_VALUE"""),"Lado externo ")</f>
        <v>Lado externo </v>
      </c>
      <c r="I714" s="7" t="str">
        <f>IFERROR(__xludf.DUMMYFUNCTION("""COMPUTED_VALUE"""),"Reparos (alvenaria, piso, forro e telhado)")</f>
        <v>Reparos (alvenaria, piso, forro e telhado)</v>
      </c>
      <c r="J714" s="13" t="str">
        <f>IFERROR(__xludf.DUMMYFUNCTION("""COMPUTED_VALUE"""),"01 Alvenaria / 06 - Outros")</f>
        <v>01 Alvenaria / 06 - Outros</v>
      </c>
      <c r="K714" s="13"/>
      <c r="L714" s="13" t="str">
        <f>IFERROR(__xludf.DUMMYFUNCTION("""COMPUTED_VALUE"""),"Confecção de tampa para caixa de passagem ")</f>
        <v>Confecção de tampa para caixa de passagem </v>
      </c>
      <c r="M714" s="20"/>
      <c r="N714" s="26" t="str">
        <f>IFERROR(__xludf.DUMMYFUNCTION("""COMPUTED_VALUE"""),"Aguardando análise")</f>
        <v>Aguardando análise</v>
      </c>
      <c r="O714" s="11"/>
      <c r="P714" s="11"/>
    </row>
    <row r="715" ht="27.0" customHeight="1">
      <c r="A715" s="20" t="str">
        <f>IFERROR(__xludf.DUMMYFUNCTION("""COMPUTED_VALUE"""),"713/2024")</f>
        <v>713/2024</v>
      </c>
      <c r="B715" s="8">
        <f>IFERROR(__xludf.DUMMYFUNCTION("""COMPUTED_VALUE"""),45392.706029768524)</f>
        <v>45392.70603</v>
      </c>
      <c r="C715" s="44" t="str">
        <f>IFERROR(__xludf.DUMMYFUNCTION("""COMPUTED_VALUE"""),"jeane.souza@ufcat.edu.br")</f>
        <v>jeane.souza@ufcat.edu.br</v>
      </c>
      <c r="D715" s="45" t="str">
        <f>IFERROR(__xludf.DUMMYFUNCTION("""COMPUTED_VALUE"""),"Jeane Rabello")</f>
        <v>Jeane Rabello</v>
      </c>
      <c r="E715" s="47">
        <f>IFERROR(__xludf.DUMMYFUNCTION("""COMPUTED_VALUE"""),7609.0)</f>
        <v>7609</v>
      </c>
      <c r="F715" s="45" t="str">
        <f>IFERROR(__xludf.DUMMYFUNCTION("""COMPUTED_VALUE"""),"CEP")</f>
        <v>CEP</v>
      </c>
      <c r="G715" s="45" t="str">
        <f>IFERROR(__xludf.DUMMYFUNCTION("""COMPUTED_VALUE"""),"Didatico I")</f>
        <v>Didatico I</v>
      </c>
      <c r="H715" s="46" t="str">
        <f>IFERROR(__xludf.DUMMYFUNCTION("""COMPUTED_VALUE"""),"Fachada do B. Didático 1")</f>
        <v>Fachada do B. Didático 1</v>
      </c>
      <c r="I715" s="7" t="str">
        <f>IFERROR(__xludf.DUMMYFUNCTION("""COMPUTED_VALUE"""),"Reparos (alvenaria, piso, forro e telhado)")</f>
        <v>Reparos (alvenaria, piso, forro e telhado)</v>
      </c>
      <c r="J715" s="13" t="str">
        <f>IFERROR(__xludf.DUMMYFUNCTION("""COMPUTED_VALUE"""),"01 Alvenaria / 06 - Outros")</f>
        <v>01 Alvenaria / 06 - Outros</v>
      </c>
      <c r="K715" s="13"/>
      <c r="L715" s="13" t="str">
        <f>IFERROR(__xludf.DUMMYFUNCTION("""COMPUTED_VALUE"""),"Recolocação da letra de fachada do CEP")</f>
        <v>Recolocação da letra de fachada do CEP</v>
      </c>
      <c r="M715" s="20"/>
      <c r="N715" s="26" t="str">
        <f>IFERROR(__xludf.DUMMYFUNCTION("""COMPUTED_VALUE"""),"Realizado")</f>
        <v>Realizado</v>
      </c>
      <c r="O715" s="11">
        <f>IFERROR(__xludf.DUMMYFUNCTION("""COMPUTED_VALUE"""),45393.0)</f>
        <v>45393</v>
      </c>
      <c r="P715" s="11"/>
    </row>
    <row r="716" ht="27.0" customHeight="1">
      <c r="A716" s="20" t="str">
        <f>IFERROR(__xludf.DUMMYFUNCTION("""COMPUTED_VALUE"""),"714/2024")</f>
        <v>714/2024</v>
      </c>
      <c r="B716" s="8">
        <f>IFERROR(__xludf.DUMMYFUNCTION("""COMPUTED_VALUE"""),45392.81064633102)</f>
        <v>45392.81065</v>
      </c>
      <c r="C716" s="44" t="str">
        <f>IFERROR(__xludf.DUMMYFUNCTION("""COMPUTED_VALUE"""),"muc.prpe@ufcat.edu.br")</f>
        <v>muc.prpe@ufcat.edu.br</v>
      </c>
      <c r="D716" s="45" t="str">
        <f>IFERROR(__xludf.DUMMYFUNCTION("""COMPUTED_VALUE"""),"DANIEL DOS REIS SIMÕES")</f>
        <v>DANIEL DOS REIS SIMÕES</v>
      </c>
      <c r="E716" s="47">
        <f>IFERROR(__xludf.DUMMYFUNCTION("""COMPUTED_VALUE"""),5333.0)</f>
        <v>5333</v>
      </c>
      <c r="F716" s="45" t="str">
        <f>IFERROR(__xludf.DUMMYFUNCTION("""COMPUTED_VALUE"""),"PRPE")</f>
        <v>PRPE</v>
      </c>
      <c r="G716" s="45" t="str">
        <f>IFERROR(__xludf.DUMMYFUNCTION("""COMPUTED_VALUE"""),"MUC")</f>
        <v>MUC</v>
      </c>
      <c r="H716" s="46" t="str">
        <f>IFERROR(__xludf.DUMMYFUNCTION("""COMPUTED_VALUE"""),"Apto 205")</f>
        <v>Apto 205</v>
      </c>
      <c r="I716" s="7" t="str">
        <f>IFERROR(__xludf.DUMMYFUNCTION("""COMPUTED_VALUE"""),"Instalações elétricas")</f>
        <v>Instalações elétricas</v>
      </c>
      <c r="J716" s="13" t="str">
        <f>IFERROR(__xludf.DUMMYFUNCTION("""COMPUTED_VALUE"""),"04 Elétrica / 35 - Troca de Lâmpadas")</f>
        <v>04 Elétrica / 35 - Troca de Lâmpadas</v>
      </c>
      <c r="K716" s="13"/>
      <c r="L716" s="13" t="str">
        <f>IFERROR(__xludf.DUMMYFUNCTION("""COMPUTED_VALUE"""),"Trocar a lâmpada do banheiro, apto 205.")</f>
        <v>Trocar a lâmpada do banheiro, apto 205.</v>
      </c>
      <c r="M716" s="20"/>
      <c r="N716" s="26" t="str">
        <f>IFERROR(__xludf.DUMMYFUNCTION("""COMPUTED_VALUE"""),"Realizado")</f>
        <v>Realizado</v>
      </c>
      <c r="O716" s="11">
        <f>IFERROR(__xludf.DUMMYFUNCTION("""COMPUTED_VALUE"""),45400.0)</f>
        <v>45400</v>
      </c>
      <c r="P716" s="11"/>
    </row>
    <row r="717" ht="27.0" customHeight="1">
      <c r="A717" s="20" t="str">
        <f>IFERROR(__xludf.DUMMYFUNCTION("""COMPUTED_VALUE"""),"715/2024")</f>
        <v>715/2024</v>
      </c>
      <c r="B717" s="8">
        <f>IFERROR(__xludf.DUMMYFUNCTION("""COMPUTED_VALUE"""),45392.812608912034)</f>
        <v>45392.81261</v>
      </c>
      <c r="C717" s="44" t="str">
        <f>IFERROR(__xludf.DUMMYFUNCTION("""COMPUTED_VALUE"""),"muc.prpe@ufcat.edu.br")</f>
        <v>muc.prpe@ufcat.edu.br</v>
      </c>
      <c r="D717" s="45" t="str">
        <f>IFERROR(__xludf.DUMMYFUNCTION("""COMPUTED_VALUE"""),"DANIEL DOS REIS SIMÕES")</f>
        <v>DANIEL DOS REIS SIMÕES</v>
      </c>
      <c r="E717" s="47">
        <f>IFERROR(__xludf.DUMMYFUNCTION("""COMPUTED_VALUE"""),5333.0)</f>
        <v>5333</v>
      </c>
      <c r="F717" s="45" t="str">
        <f>IFERROR(__xludf.DUMMYFUNCTION("""COMPUTED_VALUE"""),"PRPE")</f>
        <v>PRPE</v>
      </c>
      <c r="G717" s="45" t="str">
        <f>IFERROR(__xludf.DUMMYFUNCTION("""COMPUTED_VALUE"""),"MUC")</f>
        <v>MUC</v>
      </c>
      <c r="H717" s="46" t="str">
        <f>IFERROR(__xludf.DUMMYFUNCTION("""COMPUTED_VALUE"""),"Apto 105")</f>
        <v>Apto 105</v>
      </c>
      <c r="I717" s="7" t="str">
        <f>IFERROR(__xludf.DUMMYFUNCTION("""COMPUTED_VALUE"""),"Pequenos serviços de reparos em Marcenaria")</f>
        <v>Pequenos serviços de reparos em Marcenaria</v>
      </c>
      <c r="J717" s="13" t="str">
        <f>IFERROR(__xludf.DUMMYFUNCTION("""COMPUTED_VALUE"""),"03 Marcenaria / 29 - Outros")</f>
        <v>03 Marcenaria / 29 - Outros</v>
      </c>
      <c r="K717" s="13"/>
      <c r="L717" s="13" t="str">
        <f>IFERROR(__xludf.DUMMYFUNCTION("""COMPUTED_VALUE"""),"Porta de entrada com dificuldade para fechar, apto 105.")</f>
        <v>Porta de entrada com dificuldade para fechar, apto 105.</v>
      </c>
      <c r="M717" s="20"/>
      <c r="N717" s="26" t="str">
        <f>IFERROR(__xludf.DUMMYFUNCTION("""COMPUTED_VALUE"""),"Realizado")</f>
        <v>Realizado</v>
      </c>
      <c r="O717" s="11">
        <f>IFERROR(__xludf.DUMMYFUNCTION("""COMPUTED_VALUE"""),45400.0)</f>
        <v>45400</v>
      </c>
      <c r="P717" s="11"/>
    </row>
    <row r="718" ht="27.0" customHeight="1">
      <c r="A718" s="20" t="str">
        <f>IFERROR(__xludf.DUMMYFUNCTION("""COMPUTED_VALUE"""),"716/2024")</f>
        <v>716/2024</v>
      </c>
      <c r="B718" s="8">
        <f>IFERROR(__xludf.DUMMYFUNCTION("""COMPUTED_VALUE"""),45392.81389261574)</f>
        <v>45392.81389</v>
      </c>
      <c r="C718" s="44" t="str">
        <f>IFERROR(__xludf.DUMMYFUNCTION("""COMPUTED_VALUE"""),"muc.prpe@ufcat.edu.br")</f>
        <v>muc.prpe@ufcat.edu.br</v>
      </c>
      <c r="D718" s="45" t="str">
        <f>IFERROR(__xludf.DUMMYFUNCTION("""COMPUTED_VALUE"""),"DANIEL DOS REIS SIMÕES")</f>
        <v>DANIEL DOS REIS SIMÕES</v>
      </c>
      <c r="E718" s="47">
        <f>IFERROR(__xludf.DUMMYFUNCTION("""COMPUTED_VALUE"""),5333.0)</f>
        <v>5333</v>
      </c>
      <c r="F718" s="45" t="str">
        <f>IFERROR(__xludf.DUMMYFUNCTION("""COMPUTED_VALUE"""),"PRPE")</f>
        <v>PRPE</v>
      </c>
      <c r="G718" s="45" t="str">
        <f>IFERROR(__xludf.DUMMYFUNCTION("""COMPUTED_VALUE"""),"MUC")</f>
        <v>MUC</v>
      </c>
      <c r="H718" s="46" t="str">
        <f>IFERROR(__xludf.DUMMYFUNCTION("""COMPUTED_VALUE"""),"Todos aptos, exceto térreos")</f>
        <v>Todos aptos, exceto térreos</v>
      </c>
      <c r="I718" s="7" t="str">
        <f>IFERROR(__xludf.DUMMYFUNCTION("""COMPUTED_VALUE"""),"Reparos (alvenaria, piso, forro e telhado)")</f>
        <v>Reparos (alvenaria, piso, forro e telhado)</v>
      </c>
      <c r="J718" s="13" t="str">
        <f>IFERROR(__xludf.DUMMYFUNCTION("""COMPUTED_VALUE"""),"01 Alvenaria / 06 - Outros")</f>
        <v>01 Alvenaria / 06 - Outros</v>
      </c>
      <c r="K718" s="13"/>
      <c r="L718" s="13" t="str">
        <f>IFERROR(__xludf.DUMMYFUNCTION("""COMPUTED_VALUE"""),"Avaliar a possibilidade de instalação de barreira na porta dos boxes dos banheiros, evitando que a água inunde a parte externa.")</f>
        <v>Avaliar a possibilidade de instalação de barreira na porta dos boxes dos banheiros, evitando que a água inunde a parte externa.</v>
      </c>
      <c r="M718" s="20"/>
      <c r="N718" s="26" t="str">
        <f>IFERROR(__xludf.DUMMYFUNCTION("""COMPUTED_VALUE"""),"Aguardando análise")</f>
        <v>Aguardando análise</v>
      </c>
      <c r="O718" s="11"/>
      <c r="P718" s="11"/>
    </row>
    <row r="719" ht="27.0" customHeight="1">
      <c r="A719" s="20" t="str">
        <f>IFERROR(__xludf.DUMMYFUNCTION("""COMPUTED_VALUE"""),"717/2024")</f>
        <v>717/2024</v>
      </c>
      <c r="B719" s="8">
        <f>IFERROR(__xludf.DUMMYFUNCTION("""COMPUTED_VALUE"""),45392.8153962037)</f>
        <v>45392.8154</v>
      </c>
      <c r="C719" s="44" t="str">
        <f>IFERROR(__xludf.DUMMYFUNCTION("""COMPUTED_VALUE"""),"muc.prpe@ufcat.edu.br")</f>
        <v>muc.prpe@ufcat.edu.br</v>
      </c>
      <c r="D719" s="45" t="str">
        <f>IFERROR(__xludf.DUMMYFUNCTION("""COMPUTED_VALUE"""),"DANIEL DOS REIS SIMÕES")</f>
        <v>DANIEL DOS REIS SIMÕES</v>
      </c>
      <c r="E719" s="47">
        <f>IFERROR(__xludf.DUMMYFUNCTION("""COMPUTED_VALUE"""),5333.0)</f>
        <v>5333</v>
      </c>
      <c r="F719" s="45" t="str">
        <f>IFERROR(__xludf.DUMMYFUNCTION("""COMPUTED_VALUE"""),"PRPE")</f>
        <v>PRPE</v>
      </c>
      <c r="G719" s="45" t="str">
        <f>IFERROR(__xludf.DUMMYFUNCTION("""COMPUTED_VALUE"""),"MUC")</f>
        <v>MUC</v>
      </c>
      <c r="H719" s="46" t="str">
        <f>IFERROR(__xludf.DUMMYFUNCTION("""COMPUTED_VALUE"""),"Apto 206")</f>
        <v>Apto 206</v>
      </c>
      <c r="I719" s="7" t="str">
        <f>IFERROR(__xludf.DUMMYFUNCTION("""COMPUTED_VALUE"""),"Instalações elétricas")</f>
        <v>Instalações elétricas</v>
      </c>
      <c r="J719" s="13" t="str">
        <f>IFERROR(__xludf.DUMMYFUNCTION("""COMPUTED_VALUE"""),"04 Elétrica / 37 - Outros")</f>
        <v>04 Elétrica / 37 - Outros</v>
      </c>
      <c r="K719" s="13"/>
      <c r="L719" s="13" t="str">
        <f>IFERROR(__xludf.DUMMYFUNCTION("""COMPUTED_VALUE"""),"Duas bocas do fogão não funcionam, parecem estar entupidas.")</f>
        <v>Duas bocas do fogão não funcionam, parecem estar entupidas.</v>
      </c>
      <c r="M719" s="20"/>
      <c r="N719" s="26" t="str">
        <f>IFERROR(__xludf.DUMMYFUNCTION("""COMPUTED_VALUE"""),"Não é atribuição da PREF")</f>
        <v>Não é atribuição da PREF</v>
      </c>
      <c r="O719" s="11">
        <f>IFERROR(__xludf.DUMMYFUNCTION("""COMPUTED_VALUE"""),45393.0)</f>
        <v>45393</v>
      </c>
      <c r="P719" s="11"/>
    </row>
    <row r="720" ht="27.0" customHeight="1">
      <c r="A720" s="20" t="str">
        <f>IFERROR(__xludf.DUMMYFUNCTION("""COMPUTED_VALUE"""),"718/2024")</f>
        <v>718/2024</v>
      </c>
      <c r="B720" s="8">
        <f>IFERROR(__xludf.DUMMYFUNCTION("""COMPUTED_VALUE"""),45392.85281678241)</f>
        <v>45392.85282</v>
      </c>
      <c r="C720" s="44" t="str">
        <f>IFERROR(__xludf.DUMMYFUNCTION("""COMPUTED_VALUE"""),"muc.prpe@ufcat.edu.br")</f>
        <v>muc.prpe@ufcat.edu.br</v>
      </c>
      <c r="D720" s="45" t="str">
        <f>IFERROR(__xludf.DUMMYFUNCTION("""COMPUTED_VALUE"""),"DANIEL DOS REIS SIMÕES")</f>
        <v>DANIEL DOS REIS SIMÕES</v>
      </c>
      <c r="E720" s="47">
        <f>IFERROR(__xludf.DUMMYFUNCTION("""COMPUTED_VALUE"""),5333.0)</f>
        <v>5333</v>
      </c>
      <c r="F720" s="45" t="str">
        <f>IFERROR(__xludf.DUMMYFUNCTION("""COMPUTED_VALUE"""),"PRPE")</f>
        <v>PRPE</v>
      </c>
      <c r="G720" s="45" t="str">
        <f>IFERROR(__xludf.DUMMYFUNCTION("""COMPUTED_VALUE"""),"MUC")</f>
        <v>MUC</v>
      </c>
      <c r="H720" s="46" t="str">
        <f>IFERROR(__xludf.DUMMYFUNCTION("""COMPUTED_VALUE"""),"Apto 402")</f>
        <v>Apto 402</v>
      </c>
      <c r="I720" s="7" t="str">
        <f>IFERROR(__xludf.DUMMYFUNCTION("""COMPUTED_VALUE"""),"Instalações elétricas")</f>
        <v>Instalações elétricas</v>
      </c>
      <c r="J720" s="13" t="str">
        <f>IFERROR(__xludf.DUMMYFUNCTION("""COMPUTED_VALUE"""),"04 Elétrica / 37 - Outros")</f>
        <v>04 Elétrica / 37 - Outros</v>
      </c>
      <c r="K720" s="13"/>
      <c r="L720" s="13" t="str">
        <f>IFERROR(__xludf.DUMMYFUNCTION("""COMPUTED_VALUE"""),"Troca 1 hélice quebrada e verificar bocal da lâmpada, com mal contato.")</f>
        <v>Troca 1 hélice quebrada e verificar bocal da lâmpada, com mal contato.</v>
      </c>
      <c r="M720" s="20"/>
      <c r="N720" s="26" t="str">
        <f>IFERROR(__xludf.DUMMYFUNCTION("""COMPUTED_VALUE"""),"Realizado")</f>
        <v>Realizado</v>
      </c>
      <c r="O720" s="11">
        <f>IFERROR(__xludf.DUMMYFUNCTION("""COMPUTED_VALUE"""),45400.0)</f>
        <v>45400</v>
      </c>
      <c r="P720" s="11"/>
    </row>
    <row r="721" ht="27.0" customHeight="1">
      <c r="A721" s="20" t="str">
        <f>IFERROR(__xludf.DUMMYFUNCTION("""COMPUTED_VALUE"""),"719/2024")</f>
        <v>719/2024</v>
      </c>
      <c r="B721" s="8">
        <f>IFERROR(__xludf.DUMMYFUNCTION("""COMPUTED_VALUE"""),45393.29037854167)</f>
        <v>45393.29038</v>
      </c>
      <c r="C721" s="44" t="str">
        <f>IFERROR(__xludf.DUMMYFUNCTION("""COMPUTED_VALUE"""),"cpatri.proaf@ufcat.edu.br")</f>
        <v>cpatri.proaf@ufcat.edu.br</v>
      </c>
      <c r="D721" s="45" t="str">
        <f>IFERROR(__xludf.DUMMYFUNCTION("""COMPUTED_VALUE"""),"Fabio Gonçalves")</f>
        <v>Fabio Gonçalves</v>
      </c>
      <c r="E721" s="47">
        <f>IFERROR(__xludf.DUMMYFUNCTION("""COMPUTED_VALUE"""),5343.0)</f>
        <v>5343</v>
      </c>
      <c r="F721" s="45" t="str">
        <f>IFERROR(__xludf.DUMMYFUNCTION("""COMPUTED_VALUE"""),"CPATRI")</f>
        <v>CPATRI</v>
      </c>
      <c r="G721" s="45" t="str">
        <f>IFERROR(__xludf.DUMMYFUNCTION("""COMPUTED_VALUE"""),"Bloco Administrativo")</f>
        <v>Bloco Administrativo</v>
      </c>
      <c r="H721" s="46" t="str">
        <f>IFERROR(__xludf.DUMMYFUNCTION("""COMPUTED_VALUE"""),"Ginasio Internacional de Esportes")</f>
        <v>Ginasio Internacional de Esportes</v>
      </c>
      <c r="I721" s="7" t="str">
        <f>IFERROR(__xludf.DUMMYFUNCTION("""COMPUTED_VALUE"""),"Serralheria")</f>
        <v>Serralheria</v>
      </c>
      <c r="J721" s="13" t="str">
        <f>IFERROR(__xludf.DUMMYFUNCTION("""COMPUTED_VALUE"""),"08 Serralheria / 56 - Outros")</f>
        <v>08 Serralheria / 56 - Outros</v>
      </c>
      <c r="K721" s="13"/>
      <c r="L721" s="13" t="str">
        <f>IFERROR(__xludf.DUMMYFUNCTION("""COMPUTED_VALUE"""),"Corte dos braços das Carteiras que estão no Ginasio a pedido da Reitora Roselma")</f>
        <v>Corte dos braços das Carteiras que estão no Ginasio a pedido da Reitora Roselma</v>
      </c>
      <c r="M721" s="20"/>
      <c r="N721" s="26" t="str">
        <f>IFERROR(__xludf.DUMMYFUNCTION("""COMPUTED_VALUE"""),"Realizado")</f>
        <v>Realizado</v>
      </c>
      <c r="O721" s="11">
        <f>IFERROR(__xludf.DUMMYFUNCTION("""COMPUTED_VALUE"""),45393.0)</f>
        <v>45393</v>
      </c>
      <c r="P721" s="11"/>
    </row>
    <row r="722" ht="27.0" customHeight="1">
      <c r="A722" s="20" t="str">
        <f>IFERROR(__xludf.DUMMYFUNCTION("""COMPUTED_VALUE"""),"720/2024")</f>
        <v>720/2024</v>
      </c>
      <c r="B722" s="8">
        <f>IFERROR(__xludf.DUMMYFUNCTION("""COMPUTED_VALUE"""),45393.47377254629)</f>
        <v>45393.47377</v>
      </c>
      <c r="C722" s="44" t="str">
        <f>IFERROR(__xludf.DUMMYFUNCTION("""COMPUTED_VALUE"""),"pref@ufcat.edu.br")</f>
        <v>pref@ufcat.edu.br</v>
      </c>
      <c r="D722" s="45" t="str">
        <f>IFERROR(__xludf.DUMMYFUNCTION("""COMPUTED_VALUE"""),"Nátaly Félix")</f>
        <v>Nátaly Félix</v>
      </c>
      <c r="E722" s="47">
        <f>IFERROR(__xludf.DUMMYFUNCTION("""COMPUTED_VALUE"""),5379.0)</f>
        <v>5379</v>
      </c>
      <c r="F722" s="45" t="str">
        <f>IFERROR(__xludf.DUMMYFUNCTION("""COMPUTED_VALUE"""),"PREF")</f>
        <v>PREF</v>
      </c>
      <c r="G722" s="45" t="str">
        <f>IFERROR(__xludf.DUMMYFUNCTION("""COMPUTED_VALUE"""),"Bloco N")</f>
        <v>Bloco N</v>
      </c>
      <c r="H722" s="46" t="str">
        <f>IFERROR(__xludf.DUMMYFUNCTION("""COMPUTED_VALUE"""),"Porta de Entrada")</f>
        <v>Porta de Entrada</v>
      </c>
      <c r="I722" s="7" t="str">
        <f>IFERROR(__xludf.DUMMYFUNCTION("""COMPUTED_VALUE"""),"Reparos (alvenaria, piso, forro e telhado)")</f>
        <v>Reparos (alvenaria, piso, forro e telhado)</v>
      </c>
      <c r="J722" s="13"/>
      <c r="K722" s="13"/>
      <c r="L722" s="13" t="str">
        <f>IFERROR(__xludf.DUMMYFUNCTION("""COMPUTED_VALUE"""),"relatou que a porta de entrada do Bloco N está desnivelada e quando vai fechar a porta para trancar, esta tendo que usar a força batendo correndo o risco de quebra o vidro.")</f>
        <v>relatou que a porta de entrada do Bloco N está desnivelada e quando vai fechar a porta para trancar, esta tendo que usar a força batendo correndo o risco de quebra o vidro.</v>
      </c>
      <c r="M722" s="20"/>
      <c r="N722" s="26" t="str">
        <f>IFERROR(__xludf.DUMMYFUNCTION("""COMPUTED_VALUE"""),"Realizado")</f>
        <v>Realizado</v>
      </c>
      <c r="O722" s="11">
        <f>IFERROR(__xludf.DUMMYFUNCTION("""COMPUTED_VALUE"""),45397.0)</f>
        <v>45397</v>
      </c>
      <c r="P722" s="11"/>
    </row>
    <row r="723" ht="27.0" customHeight="1">
      <c r="A723" s="20" t="str">
        <f>IFERROR(__xludf.DUMMYFUNCTION("""COMPUTED_VALUE"""),"721/2024")</f>
        <v>721/2024</v>
      </c>
      <c r="B723" s="8">
        <f>IFERROR(__xludf.DUMMYFUNCTION("""COMPUTED_VALUE"""),45393.50467940972)</f>
        <v>45393.50468</v>
      </c>
      <c r="C723" s="44" t="str">
        <f>IFERROR(__xludf.DUMMYFUNCTION("""COMPUTED_VALUE"""),"proec@ufcat.edu.br")</f>
        <v>proec@ufcat.edu.br</v>
      </c>
      <c r="D723" s="45" t="str">
        <f>IFERROR(__xludf.DUMMYFUNCTION("""COMPUTED_VALUE"""),"Jackeline Rezende ")</f>
        <v>Jackeline Rezende </v>
      </c>
      <c r="E723" s="47">
        <f>IFERROR(__xludf.DUMMYFUNCTION("""COMPUTED_VALUE"""),5347.0)</f>
        <v>5347</v>
      </c>
      <c r="F723" s="45" t="str">
        <f>IFERROR(__xludf.DUMMYFUNCTION("""COMPUTED_VALUE"""),"PROEC")</f>
        <v>PROEC</v>
      </c>
      <c r="G723" s="45" t="str">
        <f>IFERROR(__xludf.DUMMYFUNCTION("""COMPUTED_VALUE"""),"Quadra/Campo")</f>
        <v>Quadra/Campo</v>
      </c>
      <c r="H723" s="46" t="str">
        <f>IFERROR(__xludf.DUMMYFUNCTION("""COMPUTED_VALUE"""),"Quadra")</f>
        <v>Quadra</v>
      </c>
      <c r="I723" s="7" t="str">
        <f>IFERROR(__xludf.DUMMYFUNCTION("""COMPUTED_VALUE"""),"Instalações elétricas")</f>
        <v>Instalações elétricas</v>
      </c>
      <c r="J723" s="13" t="str">
        <f>IFERROR(__xludf.DUMMYFUNCTION("""COMPUTED_VALUE"""),"04 Elétrica / 31 - Iluminação Externa")</f>
        <v>04 Elétrica / 31 - Iluminação Externa</v>
      </c>
      <c r="K723" s="13"/>
      <c r="L723" s="13" t="str">
        <f>IFERROR(__xludf.DUMMYFUNCTION("""COMPUTED_VALUE"""),"Retirar pontos de energia para ligar equipamentos de som, lâmpadas e outros. Pode ser retirado a partir do dia 13/04 (sábado). Retirar ligação bebedouro. ")</f>
        <v>Retirar pontos de energia para ligar equipamentos de som, lâmpadas e outros. Pode ser retirado a partir do dia 13/04 (sábado). Retirar ligação bebedouro. </v>
      </c>
      <c r="M723" s="20"/>
      <c r="N723" s="26" t="str">
        <f>IFERROR(__xludf.DUMMYFUNCTION("""COMPUTED_VALUE"""),"Realizado")</f>
        <v>Realizado</v>
      </c>
      <c r="O723" s="11">
        <f>IFERROR(__xludf.DUMMYFUNCTION("""COMPUTED_VALUE"""),45397.0)</f>
        <v>45397</v>
      </c>
      <c r="P723" s="11"/>
    </row>
    <row r="724" ht="27.0" customHeight="1">
      <c r="A724" s="20" t="str">
        <f>IFERROR(__xludf.DUMMYFUNCTION("""COMPUTED_VALUE"""),"722/2024")</f>
        <v>722/2024</v>
      </c>
      <c r="B724" s="8">
        <f>IFERROR(__xludf.DUMMYFUNCTION("""COMPUTED_VALUE"""),45394.320196458335)</f>
        <v>45394.3202</v>
      </c>
      <c r="C724" s="44" t="str">
        <f>IFERROR(__xludf.DUMMYFUNCTION("""COMPUTED_VALUE"""),"ceapsi.ufcat@gmail.com")</f>
        <v>ceapsi.ufcat@gmail.com</v>
      </c>
      <c r="D724" s="45" t="str">
        <f>IFERROR(__xludf.DUMMYFUNCTION("""COMPUTED_VALUE"""),"Jacqueline")</f>
        <v>Jacqueline</v>
      </c>
      <c r="E724" s="47">
        <f>IFERROR(__xludf.DUMMYFUNCTION("""COMPUTED_VALUE"""),5349.0)</f>
        <v>5349</v>
      </c>
      <c r="F724" s="45" t="str">
        <f>IFERROR(__xludf.DUMMYFUNCTION("""COMPUTED_VALUE"""),"IBIOTEC  - Psicologia")</f>
        <v>IBIOTEC  - Psicologia</v>
      </c>
      <c r="G724" s="45" t="str">
        <f>IFERROR(__xludf.DUMMYFUNCTION("""COMPUTED_VALUE"""),"Bloco M")</f>
        <v>Bloco M</v>
      </c>
      <c r="H724" s="46" t="str">
        <f>IFERROR(__xludf.DUMMYFUNCTION("""COMPUTED_VALUE"""),"Sala 109(corredor de acesso ao CEAPSI)")</f>
        <v>Sala 109(corredor de acesso ao CEAPSI)</v>
      </c>
      <c r="I724" s="7" t="str">
        <f>IFERROR(__xludf.DUMMYFUNCTION("""COMPUTED_VALUE"""),"Pequenos serviços de reparos em Marcenaria")</f>
        <v>Pequenos serviços de reparos em Marcenaria</v>
      </c>
      <c r="J724" s="13" t="str">
        <f>IFERROR(__xludf.DUMMYFUNCTION("""COMPUTED_VALUE"""),"03 Marcenaria / 29 - Outros")</f>
        <v>03 Marcenaria / 29 - Outros</v>
      </c>
      <c r="K724" s="13"/>
      <c r="L724" s="13" t="str">
        <f>IFERROR(__xludf.DUMMYFUNCTION("""COMPUTED_VALUE"""),"Janela não tranca, confeccionar calço para travar")</f>
        <v>Janela não tranca, confeccionar calço para travar</v>
      </c>
      <c r="M724" s="20"/>
      <c r="N724" s="26" t="str">
        <f>IFERROR(__xludf.DUMMYFUNCTION("""COMPUTED_VALUE"""),"Realizado")</f>
        <v>Realizado</v>
      </c>
      <c r="O724" s="11">
        <f>IFERROR(__xludf.DUMMYFUNCTION("""COMPUTED_VALUE"""),-612040.0)</f>
        <v>-612040</v>
      </c>
      <c r="P724" s="11"/>
    </row>
    <row r="725" ht="27.0" customHeight="1">
      <c r="A725" s="20" t="str">
        <f>IFERROR(__xludf.DUMMYFUNCTION("""COMPUTED_VALUE"""),"723/2024")</f>
        <v>723/2024</v>
      </c>
      <c r="B725" s="8">
        <f>IFERROR(__xludf.DUMMYFUNCTION("""COMPUTED_VALUE"""),45394.32264046297)</f>
        <v>45394.32264</v>
      </c>
      <c r="C725" s="44" t="str">
        <f>IFERROR(__xludf.DUMMYFUNCTION("""COMPUTED_VALUE"""),"amanda.lopes@ufcat.edu.br")</f>
        <v>amanda.lopes@ufcat.edu.br</v>
      </c>
      <c r="D725" s="45" t="str">
        <f>IFERROR(__xludf.DUMMYFUNCTION("""COMPUTED_VALUE"""),"Amanda Matos ")</f>
        <v>Amanda Matos </v>
      </c>
      <c r="E725" s="47">
        <f>IFERROR(__xludf.DUMMYFUNCTION("""COMPUTED_VALUE"""),5340.0)</f>
        <v>5340</v>
      </c>
      <c r="F725" s="45" t="str">
        <f>IFERROR(__xludf.DUMMYFUNCTION("""COMPUTED_VALUE"""),"PREF")</f>
        <v>PREF</v>
      </c>
      <c r="G725" s="45" t="str">
        <f>IFERROR(__xludf.DUMMYFUNCTION("""COMPUTED_VALUE"""),"Bloco M")</f>
        <v>Bloco M</v>
      </c>
      <c r="H725" s="46" t="str">
        <f>IFERROR(__xludf.DUMMYFUNCTION("""COMPUTED_VALUE"""),"Todo o prédio ")</f>
        <v>Todo o prédio </v>
      </c>
      <c r="I725" s="7" t="str">
        <f>IFERROR(__xludf.DUMMYFUNCTION("""COMPUTED_VALUE"""),"Instalações elétricas")</f>
        <v>Instalações elétricas</v>
      </c>
      <c r="J725" s="13" t="str">
        <f>IFERROR(__xludf.DUMMYFUNCTION("""COMPUTED_VALUE"""),"04 Elétrica / 35 - Troca de Lâmpadas")</f>
        <v>04 Elétrica / 35 - Troca de Lâmpadas</v>
      </c>
      <c r="K725" s="13"/>
      <c r="L725" s="13" t="str">
        <f>IFERROR(__xludf.DUMMYFUNCTION("""COMPUTED_VALUE"""),"Revisão de lâmpadas queimadas")</f>
        <v>Revisão de lâmpadas queimadas</v>
      </c>
      <c r="M725" s="20"/>
      <c r="N725" s="26" t="str">
        <f>IFERROR(__xludf.DUMMYFUNCTION("""COMPUTED_VALUE"""),"Realizado")</f>
        <v>Realizado</v>
      </c>
      <c r="O725" s="11">
        <f>IFERROR(__xludf.DUMMYFUNCTION("""COMPUTED_VALUE"""),45394.0)</f>
        <v>45394</v>
      </c>
      <c r="P725" s="11"/>
    </row>
    <row r="726" ht="27.0" customHeight="1">
      <c r="A726" s="20" t="str">
        <f>IFERROR(__xludf.DUMMYFUNCTION("""COMPUTED_VALUE"""),"724/2024")</f>
        <v>724/2024</v>
      </c>
      <c r="B726" s="8">
        <f>IFERROR(__xludf.DUMMYFUNCTION("""COMPUTED_VALUE"""),45394.32352332176)</f>
        <v>45394.32352</v>
      </c>
      <c r="C726" s="44" t="str">
        <f>IFERROR(__xludf.DUMMYFUNCTION("""COMPUTED_VALUE"""),"amanda.lopes@ufcat.edu.br")</f>
        <v>amanda.lopes@ufcat.edu.br</v>
      </c>
      <c r="D726" s="45" t="str">
        <f>IFERROR(__xludf.DUMMYFUNCTION("""COMPUTED_VALUE"""),"Amanda Matos ")</f>
        <v>Amanda Matos </v>
      </c>
      <c r="E726" s="47">
        <f>IFERROR(__xludf.DUMMYFUNCTION("""COMPUTED_VALUE"""),5340.0)</f>
        <v>5340</v>
      </c>
      <c r="F726" s="45" t="str">
        <f>IFERROR(__xludf.DUMMYFUNCTION("""COMPUTED_VALUE"""),"PREF")</f>
        <v>PREF</v>
      </c>
      <c r="G726" s="45" t="str">
        <f>IFERROR(__xludf.DUMMYFUNCTION("""COMPUTED_VALUE"""),"Bloco L")</f>
        <v>Bloco L</v>
      </c>
      <c r="H726" s="46" t="str">
        <f>IFERROR(__xludf.DUMMYFUNCTION("""COMPUTED_VALUE"""),"Todo predio ")</f>
        <v>Todo predio </v>
      </c>
      <c r="I726" s="7" t="str">
        <f>IFERROR(__xludf.DUMMYFUNCTION("""COMPUTED_VALUE"""),"Instalações elétricas")</f>
        <v>Instalações elétricas</v>
      </c>
      <c r="J726" s="13" t="str">
        <f>IFERROR(__xludf.DUMMYFUNCTION("""COMPUTED_VALUE"""),"04 Elétrica / 35 - Troca de Lâmpadas")</f>
        <v>04 Elétrica / 35 - Troca de Lâmpadas</v>
      </c>
      <c r="K726" s="13"/>
      <c r="L726" s="13" t="str">
        <f>IFERROR(__xludf.DUMMYFUNCTION("""COMPUTED_VALUE"""),"Revisão de lâmpadas queimadas")</f>
        <v>Revisão de lâmpadas queimadas</v>
      </c>
      <c r="M726" s="20"/>
      <c r="N726" s="26" t="str">
        <f>IFERROR(__xludf.DUMMYFUNCTION("""COMPUTED_VALUE"""),"Realizado")</f>
        <v>Realizado</v>
      </c>
      <c r="O726" s="11">
        <f>IFERROR(__xludf.DUMMYFUNCTION("""COMPUTED_VALUE"""),45394.0)</f>
        <v>45394</v>
      </c>
      <c r="P726" s="11"/>
    </row>
    <row r="727" ht="27.0" customHeight="1">
      <c r="A727" s="20" t="str">
        <f>IFERROR(__xludf.DUMMYFUNCTION("""COMPUTED_VALUE"""),"725/2024")</f>
        <v>725/2024</v>
      </c>
      <c r="B727" s="8">
        <f>IFERROR(__xludf.DUMMYFUNCTION("""COMPUTED_VALUE"""),45394.32404432871)</f>
        <v>45394.32404</v>
      </c>
      <c r="C727" s="44" t="str">
        <f>IFERROR(__xludf.DUMMYFUNCTION("""COMPUTED_VALUE"""),"amanda.lopes@ufcat.edu.br")</f>
        <v>amanda.lopes@ufcat.edu.br</v>
      </c>
      <c r="D727" s="45" t="str">
        <f>IFERROR(__xludf.DUMMYFUNCTION("""COMPUTED_VALUE"""),"Amanda Matos ")</f>
        <v>Amanda Matos </v>
      </c>
      <c r="E727" s="47">
        <f>IFERROR(__xludf.DUMMYFUNCTION("""COMPUTED_VALUE"""),5340.0)</f>
        <v>5340</v>
      </c>
      <c r="F727" s="45" t="str">
        <f>IFERROR(__xludf.DUMMYFUNCTION("""COMPUTED_VALUE"""),"PREF")</f>
        <v>PREF</v>
      </c>
      <c r="G727" s="45" t="str">
        <f>IFERROR(__xludf.DUMMYFUNCTION("""COMPUTED_VALUE"""),"Bloco N")</f>
        <v>Bloco N</v>
      </c>
      <c r="H727" s="46" t="str">
        <f>IFERROR(__xludf.DUMMYFUNCTION("""COMPUTED_VALUE"""),"Todo prédio ")</f>
        <v>Todo prédio </v>
      </c>
      <c r="I727" s="7" t="str">
        <f>IFERROR(__xludf.DUMMYFUNCTION("""COMPUTED_VALUE"""),"Instalações elétricas")</f>
        <v>Instalações elétricas</v>
      </c>
      <c r="J727" s="13" t="str">
        <f>IFERROR(__xludf.DUMMYFUNCTION("""COMPUTED_VALUE"""),"04 Elétrica / 35 - Troca de Lâmpadas")</f>
        <v>04 Elétrica / 35 - Troca de Lâmpadas</v>
      </c>
      <c r="K727" s="13"/>
      <c r="L727" s="13" t="str">
        <f>IFERROR(__xludf.DUMMYFUNCTION("""COMPUTED_VALUE"""),"Revisão de lâmpadas")</f>
        <v>Revisão de lâmpadas</v>
      </c>
      <c r="M727" s="20"/>
      <c r="N727" s="26" t="str">
        <f>IFERROR(__xludf.DUMMYFUNCTION("""COMPUTED_VALUE"""),"Realizado")</f>
        <v>Realizado</v>
      </c>
      <c r="O727" s="11">
        <f>IFERROR(__xludf.DUMMYFUNCTION("""COMPUTED_VALUE"""),45394.0)</f>
        <v>45394</v>
      </c>
      <c r="P727" s="11"/>
    </row>
    <row r="728" ht="27.0" customHeight="1">
      <c r="A728" s="20" t="str">
        <f>IFERROR(__xludf.DUMMYFUNCTION("""COMPUTED_VALUE"""),"726/2024")</f>
        <v>726/2024</v>
      </c>
      <c r="B728" s="8">
        <f>IFERROR(__xludf.DUMMYFUNCTION("""COMPUTED_VALUE"""),45394.324901747685)</f>
        <v>45394.3249</v>
      </c>
      <c r="C728" s="44" t="str">
        <f>IFERROR(__xludf.DUMMYFUNCTION("""COMPUTED_VALUE"""),"amanda.lopes@ufcat.edu.br")</f>
        <v>amanda.lopes@ufcat.edu.br</v>
      </c>
      <c r="D728" s="45" t="str">
        <f>IFERROR(__xludf.DUMMYFUNCTION("""COMPUTED_VALUE"""),"Amanda Matos ")</f>
        <v>Amanda Matos </v>
      </c>
      <c r="E728" s="47">
        <f>IFERROR(__xludf.DUMMYFUNCTION("""COMPUTED_VALUE"""),5340.0)</f>
        <v>5340</v>
      </c>
      <c r="F728" s="45" t="str">
        <f>IFERROR(__xludf.DUMMYFUNCTION("""COMPUTED_VALUE"""),"PREF")</f>
        <v>PREF</v>
      </c>
      <c r="G728" s="45" t="str">
        <f>IFERROR(__xludf.DUMMYFUNCTION("""COMPUTED_VALUE"""),"Bloco Administrativo")</f>
        <v>Bloco Administrativo</v>
      </c>
      <c r="H728" s="46" t="str">
        <f>IFERROR(__xludf.DUMMYFUNCTION("""COMPUTED_VALUE"""),"Todo prédio ")</f>
        <v>Todo prédio </v>
      </c>
      <c r="I728" s="7" t="str">
        <f>IFERROR(__xludf.DUMMYFUNCTION("""COMPUTED_VALUE"""),"Instalações elétricas")</f>
        <v>Instalações elétricas</v>
      </c>
      <c r="J728" s="13" t="str">
        <f>IFERROR(__xludf.DUMMYFUNCTION("""COMPUTED_VALUE"""),"04 Elétrica / 35 - Troca de Lâmpadas")</f>
        <v>04 Elétrica / 35 - Troca de Lâmpadas</v>
      </c>
      <c r="K728" s="13"/>
      <c r="L728" s="13" t="str">
        <f>IFERROR(__xludf.DUMMYFUNCTION("""COMPUTED_VALUE"""),"Revisão de lâmpadas queimadas")</f>
        <v>Revisão de lâmpadas queimadas</v>
      </c>
      <c r="M728" s="20"/>
      <c r="N728" s="26" t="str">
        <f>IFERROR(__xludf.DUMMYFUNCTION("""COMPUTED_VALUE"""),"Realizado")</f>
        <v>Realizado</v>
      </c>
      <c r="O728" s="11">
        <f>IFERROR(__xludf.DUMMYFUNCTION("""COMPUTED_VALUE"""),45394.0)</f>
        <v>45394</v>
      </c>
      <c r="P728" s="11"/>
    </row>
    <row r="729" ht="27.0" customHeight="1">
      <c r="A729" s="20" t="str">
        <f>IFERROR(__xludf.DUMMYFUNCTION("""COMPUTED_VALUE"""),"727/2024")</f>
        <v>727/2024</v>
      </c>
      <c r="B729" s="8">
        <f>IFERROR(__xludf.DUMMYFUNCTION("""COMPUTED_VALUE"""),45394.39352503473)</f>
        <v>45394.39353</v>
      </c>
      <c r="C729" s="44" t="str">
        <f>IFERROR(__xludf.DUMMYFUNCTION("""COMPUTED_VALUE"""),"secretariafae@ufcat.edu.br")</f>
        <v>secretariafae@ufcat.edu.br</v>
      </c>
      <c r="D729" s="45" t="str">
        <f>IFERROR(__xludf.DUMMYFUNCTION("""COMPUTED_VALUE"""),"Bárbara")</f>
        <v>Bárbara</v>
      </c>
      <c r="E729" s="47">
        <f>IFERROR(__xludf.DUMMYFUNCTION("""COMPUTED_VALUE"""),5308.0)</f>
        <v>5308</v>
      </c>
      <c r="F729" s="45" t="str">
        <f>IFERROR(__xludf.DUMMYFUNCTION("""COMPUTED_VALUE"""),"FAE")</f>
        <v>FAE</v>
      </c>
      <c r="G729" s="45" t="str">
        <f>IFERROR(__xludf.DUMMYFUNCTION("""COMPUTED_VALUE"""),"Bloco H")</f>
        <v>Bloco H</v>
      </c>
      <c r="H729" s="46">
        <f>IFERROR(__xludf.DUMMYFUNCTION("""COMPUTED_VALUE"""),1.0)</f>
        <v>1</v>
      </c>
      <c r="I729" s="7" t="str">
        <f>IFERROR(__xludf.DUMMYFUNCTION("""COMPUTED_VALUE"""),"Reparos (alvenaria, piso, forro e telhado)")</f>
        <v>Reparos (alvenaria, piso, forro e telhado)</v>
      </c>
      <c r="J729" s="13" t="str">
        <f>IFERROR(__xludf.DUMMYFUNCTION("""COMPUTED_VALUE"""),"01 Alvenaria / 06 - Outros")</f>
        <v>01 Alvenaria / 06 - Outros</v>
      </c>
      <c r="K729" s="13"/>
      <c r="L729" s="13" t="str">
        <f>IFERROR(__xludf.DUMMYFUNCTION("""COMPUTED_VALUE"""),"Verificar se a algum goteira no bloco que possa estar causando infiltração no teto")</f>
        <v>Verificar se a algum goteira no bloco que possa estar causando infiltração no teto</v>
      </c>
      <c r="M729" s="20"/>
      <c r="N729" s="26" t="str">
        <f>IFERROR(__xludf.DUMMYFUNCTION("""COMPUTED_VALUE"""),"Realizado")</f>
        <v>Realizado</v>
      </c>
      <c r="O729" s="11">
        <f>IFERROR(__xludf.DUMMYFUNCTION("""COMPUTED_VALUE"""),45399.0)</f>
        <v>45399</v>
      </c>
      <c r="P729" s="11"/>
    </row>
    <row r="730" ht="27.0" customHeight="1">
      <c r="A730" s="20" t="str">
        <f>IFERROR(__xludf.DUMMYFUNCTION("""COMPUTED_VALUE"""),"728/2024")</f>
        <v>728/2024</v>
      </c>
      <c r="B730" s="8">
        <f>IFERROR(__xludf.DUMMYFUNCTION("""COMPUTED_VALUE"""),45394.41402861111)</f>
        <v>45394.41403</v>
      </c>
      <c r="C730" s="44" t="str">
        <f>IFERROR(__xludf.DUMMYFUNCTION("""COMPUTED_VALUE"""),"amanda.lopes@ufcat.edu.br")</f>
        <v>amanda.lopes@ufcat.edu.br</v>
      </c>
      <c r="D730" s="45" t="str">
        <f>IFERROR(__xludf.DUMMYFUNCTION("""COMPUTED_VALUE"""),"Amanda Matos ")</f>
        <v>Amanda Matos </v>
      </c>
      <c r="E730" s="47">
        <f>IFERROR(__xludf.DUMMYFUNCTION("""COMPUTED_VALUE"""),5340.0)</f>
        <v>5340</v>
      </c>
      <c r="F730" s="45" t="str">
        <f>IFERROR(__xludf.DUMMYFUNCTION("""COMPUTED_VALUE"""),"PREF")</f>
        <v>PREF</v>
      </c>
      <c r="G730" s="45" t="str">
        <f>IFERROR(__xludf.DUMMYFUNCTION("""COMPUTED_VALUE"""),"Quadra/Campo")</f>
        <v>Quadra/Campo</v>
      </c>
      <c r="H730" s="46" t="str">
        <f>IFERROR(__xludf.DUMMYFUNCTION("""COMPUTED_VALUE"""),"Quadra")</f>
        <v>Quadra</v>
      </c>
      <c r="I730" s="7" t="str">
        <f>IFERROR(__xludf.DUMMYFUNCTION("""COMPUTED_VALUE"""),"Instalações elétricas")</f>
        <v>Instalações elétricas</v>
      </c>
      <c r="J730" s="13" t="str">
        <f>IFERROR(__xludf.DUMMYFUNCTION("""COMPUTED_VALUE"""),"04 Elétrica / 37 - Outros")</f>
        <v>04 Elétrica / 37 - Outros</v>
      </c>
      <c r="K730" s="13"/>
      <c r="L730" s="13" t="str">
        <f>IFERROR(__xludf.DUMMYFUNCTION("""COMPUTED_VALUE"""),"Desligamento da extensão calourada ")</f>
        <v>Desligamento da extensão calourada </v>
      </c>
      <c r="M730" s="20"/>
      <c r="N730" s="26" t="str">
        <f>IFERROR(__xludf.DUMMYFUNCTION("""COMPUTED_VALUE"""),"Realizado")</f>
        <v>Realizado</v>
      </c>
      <c r="O730" s="11">
        <f>IFERROR(__xludf.DUMMYFUNCTION("""COMPUTED_VALUE"""),45394.0)</f>
        <v>45394</v>
      </c>
      <c r="P730" s="11"/>
    </row>
    <row r="731" ht="27.0" customHeight="1">
      <c r="A731" s="20" t="str">
        <f>IFERROR(__xludf.DUMMYFUNCTION("""COMPUTED_VALUE"""),"729/2024")</f>
        <v>729/2024</v>
      </c>
      <c r="B731" s="8">
        <f>IFERROR(__xludf.DUMMYFUNCTION("""COMPUTED_VALUE"""),45394.42781700232)</f>
        <v>45394.42782</v>
      </c>
      <c r="C731" s="44" t="str">
        <f>IFERROR(__xludf.DUMMYFUNCTION("""COMPUTED_VALUE"""),"ceapsi.ufcat@gmail.com")</f>
        <v>ceapsi.ufcat@gmail.com</v>
      </c>
      <c r="D731" s="45" t="str">
        <f>IFERROR(__xludf.DUMMYFUNCTION("""COMPUTED_VALUE"""),"Jacqueline")</f>
        <v>Jacqueline</v>
      </c>
      <c r="E731" s="47">
        <f>IFERROR(__xludf.DUMMYFUNCTION("""COMPUTED_VALUE"""),5349.0)</f>
        <v>5349</v>
      </c>
      <c r="F731" s="45" t="str">
        <f>IFERROR(__xludf.DUMMYFUNCTION("""COMPUTED_VALUE"""),"IBIOTEC  - Psicologia")</f>
        <v>IBIOTEC  - Psicologia</v>
      </c>
      <c r="G731" s="45" t="str">
        <f>IFERROR(__xludf.DUMMYFUNCTION("""COMPUTED_VALUE"""),"Bloco M")</f>
        <v>Bloco M</v>
      </c>
      <c r="H731" s="46" t="str">
        <f>IFERROR(__xludf.DUMMYFUNCTION("""COMPUTED_VALUE"""),"Banheiro feminino - Recepção CEAPSI")</f>
        <v>Banheiro feminino - Recepção CEAPSI</v>
      </c>
      <c r="I731" s="7" t="str">
        <f>IFERROR(__xludf.DUMMYFUNCTION("""COMPUTED_VALUE"""),"Instalações Hidrossanitárias")</f>
        <v>Instalações Hidrossanitárias</v>
      </c>
      <c r="J731" s="13" t="str">
        <f>IFERROR(__xludf.DUMMYFUNCTION("""COMPUTED_VALUE"""),"02 Hidráulica / 22 - Outros")</f>
        <v>02 Hidráulica / 22 - Outros</v>
      </c>
      <c r="K731" s="13"/>
      <c r="L731" s="13" t="str">
        <f>IFERROR(__xludf.DUMMYFUNCTION("""COMPUTED_VALUE"""),"Saindo água do teto e vazando na parede")</f>
        <v>Saindo água do teto e vazando na parede</v>
      </c>
      <c r="M731" s="20"/>
      <c r="N731" s="26" t="str">
        <f>IFERROR(__xludf.DUMMYFUNCTION("""COMPUTED_VALUE"""),"Realizado")</f>
        <v>Realizado</v>
      </c>
      <c r="O731" s="11">
        <f>IFERROR(__xludf.DUMMYFUNCTION("""COMPUTED_VALUE"""),45397.0)</f>
        <v>45397</v>
      </c>
      <c r="P731" s="11"/>
    </row>
    <row r="732" ht="27.0" customHeight="1">
      <c r="A732" s="20" t="str">
        <f>IFERROR(__xludf.DUMMYFUNCTION("""COMPUTED_VALUE"""),"730/2024")</f>
        <v>730/2024</v>
      </c>
      <c r="B732" s="8">
        <f>IFERROR(__xludf.DUMMYFUNCTION("""COMPUTED_VALUE"""),45394.57109225694)</f>
        <v>45394.57109</v>
      </c>
      <c r="C732" s="44" t="str">
        <f>IFERROR(__xludf.DUMMYFUNCTION("""COMPUTED_VALUE"""),"amanda.lopes@ufcat.edu.br")</f>
        <v>amanda.lopes@ufcat.edu.br</v>
      </c>
      <c r="D732" s="45" t="str">
        <f>IFERROR(__xludf.DUMMYFUNCTION("""COMPUTED_VALUE"""),"Amanda Matos ")</f>
        <v>Amanda Matos </v>
      </c>
      <c r="E732" s="47">
        <f>IFERROR(__xludf.DUMMYFUNCTION("""COMPUTED_VALUE"""),5340.0)</f>
        <v>5340</v>
      </c>
      <c r="F732" s="45" t="str">
        <f>IFERROR(__xludf.DUMMYFUNCTION("""COMPUTED_VALUE"""),"PREF")</f>
        <v>PREF</v>
      </c>
      <c r="G732" s="45" t="str">
        <f>IFERROR(__xludf.DUMMYFUNCTION("""COMPUTED_VALUE"""),"Bloco P")</f>
        <v>Bloco P</v>
      </c>
      <c r="H732" s="46" t="str">
        <f>IFERROR(__xludf.DUMMYFUNCTION("""COMPUTED_VALUE"""),"Copa")</f>
        <v>Copa</v>
      </c>
      <c r="I732" s="7" t="str">
        <f>IFERROR(__xludf.DUMMYFUNCTION("""COMPUTED_VALUE"""),"Instalações Hidrossanitárias")</f>
        <v>Instalações Hidrossanitárias</v>
      </c>
      <c r="J732" s="13" t="str">
        <f>IFERROR(__xludf.DUMMYFUNCTION("""COMPUTED_VALUE"""),"02 Hidráulica / 07 - Desentupimento")</f>
        <v>02 Hidráulica / 07 - Desentupimento</v>
      </c>
      <c r="K732" s="13"/>
      <c r="L732" s="13" t="str">
        <f>IFERROR(__xludf.DUMMYFUNCTION("""COMPUTED_VALUE"""),"Desentupir pia da copa ")</f>
        <v>Desentupir pia da copa </v>
      </c>
      <c r="M732" s="20"/>
      <c r="N732" s="26" t="str">
        <f>IFERROR(__xludf.DUMMYFUNCTION("""COMPUTED_VALUE"""),"Realizado")</f>
        <v>Realizado</v>
      </c>
      <c r="O732" s="11">
        <f>IFERROR(__xludf.DUMMYFUNCTION("""COMPUTED_VALUE"""),45394.0)</f>
        <v>45394</v>
      </c>
      <c r="P732" s="11"/>
    </row>
    <row r="733" ht="27.0" customHeight="1">
      <c r="A733" s="20" t="str">
        <f>IFERROR(__xludf.DUMMYFUNCTION("""COMPUTED_VALUE"""),"731/2024")</f>
        <v>731/2024</v>
      </c>
      <c r="B733" s="8">
        <f>IFERROR(__xludf.DUMMYFUNCTION("""COMPUTED_VALUE"""),45394.58726644676)</f>
        <v>45394.58727</v>
      </c>
      <c r="C733" s="44" t="str">
        <f>IFERROR(__xludf.DUMMYFUNCTION("""COMPUTED_VALUE"""),"wanderlei_junior@ufcat.edu.br")</f>
        <v>wanderlei_junior@ufcat.edu.br</v>
      </c>
      <c r="D733" s="45" t="str">
        <f>IFERROR(__xludf.DUMMYFUNCTION("""COMPUTED_VALUE"""),"wanderlei malaquias pereira junior")</f>
        <v>wanderlei malaquias pereira junior</v>
      </c>
      <c r="E733" s="47" t="str">
        <f>IFERROR(__xludf.DUMMYFUNCTION("""COMPUTED_VALUE"""),"64 98123-6314")</f>
        <v>64 98123-6314</v>
      </c>
      <c r="F733" s="45" t="str">
        <f>IFERROR(__xludf.DUMMYFUNCTION("""COMPUTED_VALUE"""),"FENG - Engenharia Civil")</f>
        <v>FENG - Engenharia Civil</v>
      </c>
      <c r="G733" s="45" t="str">
        <f>IFERROR(__xludf.DUMMYFUNCTION("""COMPUTED_VALUE"""),"Bloco O")</f>
        <v>Bloco O</v>
      </c>
      <c r="H733" s="46" t="str">
        <f>IFERROR(__xludf.DUMMYFUNCTION("""COMPUTED_VALUE"""),"Sala do mestrado")</f>
        <v>Sala do mestrado</v>
      </c>
      <c r="I733" s="7" t="str">
        <f>IFERROR(__xludf.DUMMYFUNCTION("""COMPUTED_VALUE"""),"Instalações elétricas")</f>
        <v>Instalações elétricas</v>
      </c>
      <c r="J733" s="13" t="str">
        <f>IFERROR(__xludf.DUMMYFUNCTION("""COMPUTED_VALUE"""),"04 Elétrica / 34 - Tomada Uso Geral")</f>
        <v>04 Elétrica / 34 - Tomada Uso Geral</v>
      </c>
      <c r="K733" s="13"/>
      <c r="L733" s="13" t="str">
        <f>IFERROR(__xludf.DUMMYFUNCTION("""COMPUTED_VALUE"""),"Precisamos mudar o layout do laboratório/sala mestrado e novas tomadas de energia e internet precisão ser adicionadas na sala")</f>
        <v>Precisamos mudar o layout do laboratório/sala mestrado e novas tomadas de energia e internet precisão ser adicionadas na sala</v>
      </c>
      <c r="M733" s="20"/>
      <c r="N733" s="26" t="str">
        <f>IFERROR(__xludf.DUMMYFUNCTION("""COMPUTED_VALUE"""),"Aguardando Mat./Equipam.")</f>
        <v>Aguardando Mat./Equipam.</v>
      </c>
      <c r="O733" s="11"/>
      <c r="P733" s="11"/>
    </row>
    <row r="734" ht="27.0" customHeight="1">
      <c r="A734" s="20" t="str">
        <f>IFERROR(__xludf.DUMMYFUNCTION("""COMPUTED_VALUE"""),"732/2024")</f>
        <v>732/2024</v>
      </c>
      <c r="B734" s="8">
        <f>IFERROR(__xludf.DUMMYFUNCTION("""COMPUTED_VALUE"""),45394.5883847338)</f>
        <v>45394.58838</v>
      </c>
      <c r="C734" s="44" t="str">
        <f>IFERROR(__xludf.DUMMYFUNCTION("""COMPUTED_VALUE"""),"wanderlei_junior@ufcat.edu.br")</f>
        <v>wanderlei_junior@ufcat.edu.br</v>
      </c>
      <c r="D734" s="45" t="str">
        <f>IFERROR(__xludf.DUMMYFUNCTION("""COMPUTED_VALUE"""),"wanderçei malaquias pereira junior")</f>
        <v>wanderçei malaquias pereira junior</v>
      </c>
      <c r="E734" s="47" t="str">
        <f>IFERROR(__xludf.DUMMYFUNCTION("""COMPUTED_VALUE"""),"64 98123-6314")</f>
        <v>64 98123-6314</v>
      </c>
      <c r="F734" s="45" t="str">
        <f>IFERROR(__xludf.DUMMYFUNCTION("""COMPUTED_VALUE"""),"FENG - Engenharia Civil")</f>
        <v>FENG - Engenharia Civil</v>
      </c>
      <c r="G734" s="45" t="str">
        <f>IFERROR(__xludf.DUMMYFUNCTION("""COMPUTED_VALUE"""),"Bloco O")</f>
        <v>Bloco O</v>
      </c>
      <c r="H734" s="46" t="str">
        <f>IFERROR(__xludf.DUMMYFUNCTION("""COMPUTED_VALUE"""),"sala mestrado")</f>
        <v>sala mestrado</v>
      </c>
      <c r="I734" s="7" t="str">
        <f>IFERROR(__xludf.DUMMYFUNCTION("""COMPUTED_VALUE"""),"Instalações e/ou Manutenção em Cabeamento de Rede")</f>
        <v>Instalações e/ou Manutenção em Cabeamento de Rede</v>
      </c>
      <c r="J734" s="13" t="str">
        <f>IFERROR(__xludf.DUMMYFUNCTION("""COMPUTED_VALUE"""),"05 Telecomunicações / 38 - Cabeamento de Rede")</f>
        <v>05 Telecomunicações / 38 - Cabeamento de Rede</v>
      </c>
      <c r="K734" s="13"/>
      <c r="L734" s="13" t="str">
        <f>IFERROR(__xludf.DUMMYFUNCTION("""COMPUTED_VALUE"""),"Precisamos mudar o layout do laboratório/sala mestrado e novas tomadas de energia e internet precisão ser adicionadas na sala.")</f>
        <v>Precisamos mudar o layout do laboratório/sala mestrado e novas tomadas de energia e internet precisão ser adicionadas na sala.</v>
      </c>
      <c r="M734" s="20"/>
      <c r="N734" s="26" t="str">
        <f>IFERROR(__xludf.DUMMYFUNCTION("""COMPUTED_VALUE"""),"Aguardando Mat./Equipam.")</f>
        <v>Aguardando Mat./Equipam.</v>
      </c>
      <c r="O734" s="11"/>
      <c r="P734" s="11"/>
    </row>
    <row r="735" ht="27.0" customHeight="1">
      <c r="A735" s="20" t="str">
        <f>IFERROR(__xludf.DUMMYFUNCTION("""COMPUTED_VALUE"""),"733/2024")</f>
        <v>733/2024</v>
      </c>
      <c r="B735" s="8">
        <f>IFERROR(__xludf.DUMMYFUNCTION("""COMPUTED_VALUE"""),45394.58957119213)</f>
        <v>45394.58957</v>
      </c>
      <c r="C735" s="44" t="str">
        <f>IFERROR(__xludf.DUMMYFUNCTION("""COMPUTED_VALUE"""),"wanderlei_junior@ufcat.edu.br")</f>
        <v>wanderlei_junior@ufcat.edu.br</v>
      </c>
      <c r="D735" s="45" t="str">
        <f>IFERROR(__xludf.DUMMYFUNCTION("""COMPUTED_VALUE"""),"wanderlei malaquias pereira junior")</f>
        <v>wanderlei malaquias pereira junior</v>
      </c>
      <c r="E735" s="47" t="str">
        <f>IFERROR(__xludf.DUMMYFUNCTION("""COMPUTED_VALUE"""),"64 98123-6314")</f>
        <v>64 98123-6314</v>
      </c>
      <c r="F735" s="45" t="str">
        <f>IFERROR(__xludf.DUMMYFUNCTION("""COMPUTED_VALUE"""),"FENG - Engenharia Civil")</f>
        <v>FENG - Engenharia Civil</v>
      </c>
      <c r="G735" s="45" t="str">
        <f>IFERROR(__xludf.DUMMYFUNCTION("""COMPUTED_VALUE"""),"Bloco O")</f>
        <v>Bloco O</v>
      </c>
      <c r="H735" s="46" t="str">
        <f>IFERROR(__xludf.DUMMYFUNCTION("""COMPUTED_VALUE"""),"sala mestrado")</f>
        <v>sala mestrado</v>
      </c>
      <c r="I735" s="7" t="str">
        <f>IFERROR(__xludf.DUMMYFUNCTION("""COMPUTED_VALUE"""),"Pequenos serviços de reparos em Marcenaria")</f>
        <v>Pequenos serviços de reparos em Marcenaria</v>
      </c>
      <c r="J735" s="13" t="str">
        <f>IFERROR(__xludf.DUMMYFUNCTION("""COMPUTED_VALUE"""),"03 Marcenaria / 24 - Conserto de Móveis")</f>
        <v>03 Marcenaria / 24 - Conserto de Móveis</v>
      </c>
      <c r="K735" s="13"/>
      <c r="L735" s="13" t="str">
        <f>IFERROR(__xludf.DUMMYFUNCTION("""COMPUTED_VALUE"""),"Adequação de mesas para novos computadores")</f>
        <v>Adequação de mesas para novos computadores</v>
      </c>
      <c r="M735" s="20"/>
      <c r="N735" s="26" t="str">
        <f>IFERROR(__xludf.DUMMYFUNCTION("""COMPUTED_VALUE"""),"Aguardando análise")</f>
        <v>Aguardando análise</v>
      </c>
      <c r="O735" s="11"/>
      <c r="P735" s="11"/>
    </row>
    <row r="736" ht="27.0" customHeight="1">
      <c r="A736" s="20" t="str">
        <f>IFERROR(__xludf.DUMMYFUNCTION("""COMPUTED_VALUE"""),"734/2024")</f>
        <v>734/2024</v>
      </c>
      <c r="B736" s="8">
        <f>IFERROR(__xludf.DUMMYFUNCTION("""COMPUTED_VALUE"""),45394.59140300926)</f>
        <v>45394.5914</v>
      </c>
      <c r="C736" s="44" t="str">
        <f>IFERROR(__xludf.DUMMYFUNCTION("""COMPUTED_VALUE"""),"wanderlei_junior@ufcat.edu.br")</f>
        <v>wanderlei_junior@ufcat.edu.br</v>
      </c>
      <c r="D736" s="45" t="str">
        <f>IFERROR(__xludf.DUMMYFUNCTION("""COMPUTED_VALUE"""),"wanderlei malaquias pereira junior")</f>
        <v>wanderlei malaquias pereira junior</v>
      </c>
      <c r="E736" s="47" t="str">
        <f>IFERROR(__xludf.DUMMYFUNCTION("""COMPUTED_VALUE"""),"64 98123-6314")</f>
        <v>64 98123-6314</v>
      </c>
      <c r="F736" s="45" t="str">
        <f>IFERROR(__xludf.DUMMYFUNCTION("""COMPUTED_VALUE"""),"FENG - Engenharia Civil")</f>
        <v>FENG - Engenharia Civil</v>
      </c>
      <c r="G736" s="45" t="str">
        <f>IFERROR(__xludf.DUMMYFUNCTION("""COMPUTED_VALUE"""),"Bloco O")</f>
        <v>Bloco O</v>
      </c>
      <c r="H736" s="46" t="str">
        <f>IFERROR(__xludf.DUMMYFUNCTION("""COMPUTED_VALUE"""),"sala de mestrado")</f>
        <v>sala de mestrado</v>
      </c>
      <c r="I736" s="7" t="str">
        <f>IFERROR(__xludf.DUMMYFUNCTION("""COMPUTED_VALUE"""),"Vidraçaria")</f>
        <v>Vidraçaria</v>
      </c>
      <c r="J736" s="13" t="str">
        <f>IFERROR(__xludf.DUMMYFUNCTION("""COMPUTED_VALUE"""),"07 Vidraçaria / 51 - Outros")</f>
        <v>07 Vidraçaria / 51 - Outros</v>
      </c>
      <c r="K736" s="13"/>
      <c r="L736" s="13" t="str">
        <f>IFERROR(__xludf.DUMMYFUNCTION("""COMPUTED_VALUE"""),"Colocação de insulm film em 2 vidros")</f>
        <v>Colocação de insulm film em 2 vidros</v>
      </c>
      <c r="M736" s="20"/>
      <c r="N736" s="26" t="str">
        <f>IFERROR(__xludf.DUMMYFUNCTION("""COMPUTED_VALUE"""),"Contratação externa Unidade ")</f>
        <v>Contratação externa Unidade </v>
      </c>
      <c r="O736" s="11">
        <f>IFERROR(__xludf.DUMMYFUNCTION("""COMPUTED_VALUE"""),45394.0)</f>
        <v>45394</v>
      </c>
      <c r="P736" s="11"/>
    </row>
    <row r="737" ht="27.0" customHeight="1">
      <c r="A737" s="20" t="str">
        <f>IFERROR(__xludf.DUMMYFUNCTION("""COMPUTED_VALUE"""),"735/2024")</f>
        <v>735/2024</v>
      </c>
      <c r="B737" s="8">
        <f>IFERROR(__xludf.DUMMYFUNCTION("""COMPUTED_VALUE"""),45394.5921716088)</f>
        <v>45394.59217</v>
      </c>
      <c r="C737" s="44" t="str">
        <f>IFERROR(__xludf.DUMMYFUNCTION("""COMPUTED_VALUE"""),"wanderlei_junior@ufcat.edu.br")</f>
        <v>wanderlei_junior@ufcat.edu.br</v>
      </c>
      <c r="D737" s="45" t="str">
        <f>IFERROR(__xludf.DUMMYFUNCTION("""COMPUTED_VALUE"""),"wanderlei malaquias pereira junior")</f>
        <v>wanderlei malaquias pereira junior</v>
      </c>
      <c r="E737" s="47" t="str">
        <f>IFERROR(__xludf.DUMMYFUNCTION("""COMPUTED_VALUE"""),"+55 64 98123-6314")</f>
        <v>+55 64 98123-6314</v>
      </c>
      <c r="F737" s="45" t="str">
        <f>IFERROR(__xludf.DUMMYFUNCTION("""COMPUTED_VALUE"""),"FENG - Engenharia Civil")</f>
        <v>FENG - Engenharia Civil</v>
      </c>
      <c r="G737" s="45" t="str">
        <f>IFERROR(__xludf.DUMMYFUNCTION("""COMPUTED_VALUE"""),"Bloco O")</f>
        <v>Bloco O</v>
      </c>
      <c r="H737" s="46" t="str">
        <f>IFERROR(__xludf.DUMMYFUNCTION("""COMPUTED_VALUE"""),"sala mestrado")</f>
        <v>sala mestrado</v>
      </c>
      <c r="I737" s="7" t="str">
        <f>IFERROR(__xludf.DUMMYFUNCTION("""COMPUTED_VALUE"""),"Pintura")</f>
        <v>Pintura</v>
      </c>
      <c r="J737" s="13" t="str">
        <f>IFERROR(__xludf.DUMMYFUNCTION("""COMPUTED_VALUE"""),"06 Pintura / 43 - Pintura de Parede")</f>
        <v>06 Pintura / 43 - Pintura de Parede</v>
      </c>
      <c r="K737" s="13"/>
      <c r="L737" s="13" t="str">
        <f>IFERROR(__xludf.DUMMYFUNCTION("""COMPUTED_VALUE"""),"pintura da sala pois está muito mofada causando alergia nos alunos")</f>
        <v>pintura da sala pois está muito mofada causando alergia nos alunos</v>
      </c>
      <c r="M737" s="20"/>
      <c r="N737" s="26" t="str">
        <f>IFERROR(__xludf.DUMMYFUNCTION("""COMPUTED_VALUE"""),"Aguardando análise")</f>
        <v>Aguardando análise</v>
      </c>
      <c r="O737" s="11"/>
      <c r="P737" s="11"/>
    </row>
    <row r="738" ht="27.0" customHeight="1">
      <c r="A738" s="20" t="str">
        <f>IFERROR(__xludf.DUMMYFUNCTION("""COMPUTED_VALUE"""),"736/2024")</f>
        <v>736/2024</v>
      </c>
      <c r="B738" s="8">
        <f>IFERROR(__xludf.DUMMYFUNCTION("""COMPUTED_VALUE"""),45394.593268032404)</f>
        <v>45394.59327</v>
      </c>
      <c r="C738" s="44" t="str">
        <f>IFERROR(__xludf.DUMMYFUNCTION("""COMPUTED_VALUE"""),"wanderlei_junior@ufcat.edu.br")</f>
        <v>wanderlei_junior@ufcat.edu.br</v>
      </c>
      <c r="D738" s="45" t="str">
        <f>IFERROR(__xludf.DUMMYFUNCTION("""COMPUTED_VALUE"""),"wanderlei malaquias pereira junior")</f>
        <v>wanderlei malaquias pereira junior</v>
      </c>
      <c r="E738" s="47" t="str">
        <f>IFERROR(__xludf.DUMMYFUNCTION("""COMPUTED_VALUE"""),"+55 64 8123-6314")</f>
        <v>+55 64 8123-6314</v>
      </c>
      <c r="F738" s="45" t="str">
        <f>IFERROR(__xludf.DUMMYFUNCTION("""COMPUTED_VALUE"""),"FENG - Engenharia Civil")</f>
        <v>FENG - Engenharia Civil</v>
      </c>
      <c r="G738" s="45" t="str">
        <f>IFERROR(__xludf.DUMMYFUNCTION("""COMPUTED_VALUE"""),"Bloco O")</f>
        <v>Bloco O</v>
      </c>
      <c r="H738" s="46" t="str">
        <f>IFERROR(__xludf.DUMMYFUNCTION("""COMPUTED_VALUE"""),"lab de modelagem computacional")</f>
        <v>lab de modelagem computacional</v>
      </c>
      <c r="I738" s="7" t="str">
        <f>IFERROR(__xludf.DUMMYFUNCTION("""COMPUTED_VALUE"""),"Pintura")</f>
        <v>Pintura</v>
      </c>
      <c r="J738" s="13" t="str">
        <f>IFERROR(__xludf.DUMMYFUNCTION("""COMPUTED_VALUE"""),"06 Pintura / 43 - Pintura de Parede")</f>
        <v>06 Pintura / 43 - Pintura de Parede</v>
      </c>
      <c r="K738" s="13"/>
      <c r="L738" s="13" t="str">
        <f>IFERROR(__xludf.DUMMYFUNCTION("""COMPUTED_VALUE"""),"pintura da sala pois está muito mofada causando alergia nos alunos")</f>
        <v>pintura da sala pois está muito mofada causando alergia nos alunos</v>
      </c>
      <c r="M738" s="20"/>
      <c r="N738" s="26" t="str">
        <f>IFERROR(__xludf.DUMMYFUNCTION("""COMPUTED_VALUE"""),"Aguardando análise")</f>
        <v>Aguardando análise</v>
      </c>
      <c r="O738" s="11"/>
      <c r="P738" s="11"/>
    </row>
    <row r="739" ht="27.0" customHeight="1">
      <c r="A739" s="20" t="str">
        <f>IFERROR(__xludf.DUMMYFUNCTION("""COMPUTED_VALUE"""),"737/2024")</f>
        <v>737/2024</v>
      </c>
      <c r="B739" s="8">
        <f>IFERROR(__xludf.DUMMYFUNCTION("""COMPUTED_VALUE"""),45394.595050324075)</f>
        <v>45394.59505</v>
      </c>
      <c r="C739" s="44" t="str">
        <f>IFERROR(__xludf.DUMMYFUNCTION("""COMPUTED_VALUE"""),"wanderlei_junior@ufcat.edu.br")</f>
        <v>wanderlei_junior@ufcat.edu.br</v>
      </c>
      <c r="D739" s="45" t="str">
        <f>IFERROR(__xludf.DUMMYFUNCTION("""COMPUTED_VALUE"""),"wanderlei malaquias pereira junior")</f>
        <v>wanderlei malaquias pereira junior</v>
      </c>
      <c r="E739" s="47" t="str">
        <f>IFERROR(__xludf.DUMMYFUNCTION("""COMPUTED_VALUE"""),"64 98123-6314")</f>
        <v>64 98123-6314</v>
      </c>
      <c r="F739" s="45" t="str">
        <f>IFERROR(__xludf.DUMMYFUNCTION("""COMPUTED_VALUE"""),"FENG - Engenharia Civil")</f>
        <v>FENG - Engenharia Civil</v>
      </c>
      <c r="G739" s="45" t="str">
        <f>IFERROR(__xludf.DUMMYFUNCTION("""COMPUTED_VALUE"""),"Bloco O")</f>
        <v>Bloco O</v>
      </c>
      <c r="H739" s="46" t="str">
        <f>IFERROR(__xludf.DUMMYFUNCTION("""COMPUTED_VALUE"""),"lab. de modelagem")</f>
        <v>lab. de modelagem</v>
      </c>
      <c r="I739" s="7" t="str">
        <f>IFERROR(__xludf.DUMMYFUNCTION("""COMPUTED_VALUE"""),"Serralheria")</f>
        <v>Serralheria</v>
      </c>
      <c r="J739" s="13" t="str">
        <f>IFERROR(__xludf.DUMMYFUNCTION("""COMPUTED_VALUE"""),"08 Serralheria / 54 - Suporte em geral")</f>
        <v>08 Serralheria / 54 - Suporte em geral</v>
      </c>
      <c r="K739" s="13"/>
      <c r="L739" s="13" t="str">
        <f>IFERROR(__xludf.DUMMYFUNCTION("""COMPUTED_VALUE"""),"suporte televisão para salade reuniões")</f>
        <v>suporte televisão para salade reuniões</v>
      </c>
      <c r="M739" s="20"/>
      <c r="N739" s="26" t="str">
        <f>IFERROR(__xludf.DUMMYFUNCTION("""COMPUTED_VALUE"""),"Realizado")</f>
        <v>Realizado</v>
      </c>
      <c r="O739" s="11">
        <f>IFERROR(__xludf.DUMMYFUNCTION("""COMPUTED_VALUE"""),45398.0)</f>
        <v>45398</v>
      </c>
      <c r="P739" s="11"/>
    </row>
    <row r="740" ht="27.0" customHeight="1">
      <c r="A740" s="20" t="str">
        <f>IFERROR(__xludf.DUMMYFUNCTION("""COMPUTED_VALUE"""),"738/2024")</f>
        <v>738/2024</v>
      </c>
      <c r="B740" s="8">
        <f>IFERROR(__xludf.DUMMYFUNCTION("""COMPUTED_VALUE"""),45394.67490038194)</f>
        <v>45394.6749</v>
      </c>
      <c r="C740" s="44" t="str">
        <f>IFERROR(__xludf.DUMMYFUNCTION("""COMPUTED_VALUE"""),"pref@ufcat.edu.br")</f>
        <v>pref@ufcat.edu.br</v>
      </c>
      <c r="D740" s="45" t="str">
        <f>IFERROR(__xludf.DUMMYFUNCTION("""COMPUTED_VALUE"""),"Nátaly Félix")</f>
        <v>Nátaly Félix</v>
      </c>
      <c r="E740" s="47">
        <f>IFERROR(__xludf.DUMMYFUNCTION("""COMPUTED_VALUE"""),5379.0)</f>
        <v>5379</v>
      </c>
      <c r="F740" s="45" t="str">
        <f>IFERROR(__xludf.DUMMYFUNCTION("""COMPUTED_VALUE"""),"PREF")</f>
        <v>PREF</v>
      </c>
      <c r="G740" s="45" t="str">
        <f>IFERROR(__xludf.DUMMYFUNCTION("""COMPUTED_VALUE"""),"Didatico I")</f>
        <v>Didatico I</v>
      </c>
      <c r="H740" s="46">
        <f>IFERROR(__xludf.DUMMYFUNCTION("""COMPUTED_VALUE"""),207.0)</f>
        <v>207</v>
      </c>
      <c r="I740" s="7" t="str">
        <f>IFERROR(__xludf.DUMMYFUNCTION("""COMPUTED_VALUE"""),"Pequenos serviços de reparos em Marcenaria")</f>
        <v>Pequenos serviços de reparos em Marcenaria</v>
      </c>
      <c r="J740" s="13" t="str">
        <f>IFERROR(__xludf.DUMMYFUNCTION("""COMPUTED_VALUE"""),"03 Marcenaria / 28 -Troca de Fechaduras")</f>
        <v>03 Marcenaria / 28 -Troca de Fechaduras</v>
      </c>
      <c r="K740" s="13"/>
      <c r="L740" s="13" t="str">
        <f>IFERROR(__xludf.DUMMYFUNCTION("""COMPUTED_VALUE"""),"porta sala 207 sem maçaneta")</f>
        <v>porta sala 207 sem maçaneta</v>
      </c>
      <c r="M740" s="20"/>
      <c r="N740" s="26" t="str">
        <f>IFERROR(__xludf.DUMMYFUNCTION("""COMPUTED_VALUE"""),"Realizado")</f>
        <v>Realizado</v>
      </c>
      <c r="O740" s="11">
        <f>IFERROR(__xludf.DUMMYFUNCTION("""COMPUTED_VALUE"""),45397.0)</f>
        <v>45397</v>
      </c>
      <c r="P740" s="11"/>
    </row>
    <row r="741" ht="27.0" customHeight="1">
      <c r="A741" s="20" t="str">
        <f>IFERROR(__xludf.DUMMYFUNCTION("""COMPUTED_VALUE"""),"739/2024")</f>
        <v>739/2024</v>
      </c>
      <c r="B741" s="8">
        <f>IFERROR(__xludf.DUMMYFUNCTION("""COMPUTED_VALUE"""),45394.68105505787)</f>
        <v>45394.68106</v>
      </c>
      <c r="C741" s="44" t="str">
        <f>IFERROR(__xludf.DUMMYFUNCTION("""COMPUTED_VALUE"""),"pref@ufcat.edu.br")</f>
        <v>pref@ufcat.edu.br</v>
      </c>
      <c r="D741" s="45" t="str">
        <f>IFERROR(__xludf.DUMMYFUNCTION("""COMPUTED_VALUE"""),"Nátaly Félix")</f>
        <v>Nátaly Félix</v>
      </c>
      <c r="E741" s="47">
        <f>IFERROR(__xludf.DUMMYFUNCTION("""COMPUTED_VALUE"""),5379.0)</f>
        <v>5379</v>
      </c>
      <c r="F741" s="45" t="str">
        <f>IFERROR(__xludf.DUMMYFUNCTION("""COMPUTED_VALUE"""),"PREF")</f>
        <v>PREF</v>
      </c>
      <c r="G741" s="45" t="str">
        <f>IFERROR(__xludf.DUMMYFUNCTION("""COMPUTED_VALUE"""),"Bloco L")</f>
        <v>Bloco L</v>
      </c>
      <c r="H741" s="46" t="str">
        <f>IFERROR(__xludf.DUMMYFUNCTION("""COMPUTED_VALUE"""),"terraço")</f>
        <v>terraço</v>
      </c>
      <c r="I741" s="7" t="str">
        <f>IFERROR(__xludf.DUMMYFUNCTION("""COMPUTED_VALUE"""),"Instalações Hidrossanitárias")</f>
        <v>Instalações Hidrossanitárias</v>
      </c>
      <c r="J741" s="13" t="str">
        <f>IFERROR(__xludf.DUMMYFUNCTION("""COMPUTED_VALUE"""),"02 Hidráulica / 07 - Desentupimento")</f>
        <v>02 Hidráulica / 07 - Desentupimento</v>
      </c>
      <c r="K741" s="13"/>
      <c r="L741" s="13" t="str">
        <f>IFERROR(__xludf.DUMMYFUNCTION("""COMPUTED_VALUE"""),"Helenita visualizou o ralinho entupido do Bloco L.")</f>
        <v>Helenita visualizou o ralinho entupido do Bloco L.</v>
      </c>
      <c r="M741" s="20"/>
      <c r="N741" s="26" t="str">
        <f>IFERROR(__xludf.DUMMYFUNCTION("""COMPUTED_VALUE"""),"Realizado")</f>
        <v>Realizado</v>
      </c>
      <c r="O741" s="11">
        <f>IFERROR(__xludf.DUMMYFUNCTION("""COMPUTED_VALUE"""),45397.0)</f>
        <v>45397</v>
      </c>
      <c r="P741" s="11"/>
    </row>
    <row r="742" ht="27.0" customHeight="1">
      <c r="A742" s="20" t="str">
        <f>IFERROR(__xludf.DUMMYFUNCTION("""COMPUTED_VALUE"""),"740/2024")</f>
        <v>740/2024</v>
      </c>
      <c r="B742" s="8">
        <f>IFERROR(__xludf.DUMMYFUNCTION("""COMPUTED_VALUE"""),45394.68759236111)</f>
        <v>45394.68759</v>
      </c>
      <c r="C742" s="44" t="str">
        <f>IFERROR(__xludf.DUMMYFUNCTION("""COMPUTED_VALUE"""),"pref@ufcat.edu.br")</f>
        <v>pref@ufcat.edu.br</v>
      </c>
      <c r="D742" s="45" t="str">
        <f>IFERROR(__xludf.DUMMYFUNCTION("""COMPUTED_VALUE"""),"Nátaly Félix")</f>
        <v>Nátaly Félix</v>
      </c>
      <c r="E742" s="47">
        <f>IFERROR(__xludf.DUMMYFUNCTION("""COMPUTED_VALUE"""),5379.0)</f>
        <v>5379</v>
      </c>
      <c r="F742" s="45" t="str">
        <f>IFERROR(__xludf.DUMMYFUNCTION("""COMPUTED_VALUE"""),"PREF")</f>
        <v>PREF</v>
      </c>
      <c r="G742" s="45" t="str">
        <f>IFERROR(__xludf.DUMMYFUNCTION("""COMPUTED_VALUE"""),"Bloco B")</f>
        <v>Bloco B</v>
      </c>
      <c r="H742" s="46" t="str">
        <f>IFERROR(__xludf.DUMMYFUNCTION("""COMPUTED_VALUE"""),"Banheiro Masculino")</f>
        <v>Banheiro Masculino</v>
      </c>
      <c r="I742" s="7" t="str">
        <f>IFERROR(__xludf.DUMMYFUNCTION("""COMPUTED_VALUE"""),"Instalações Hidrossanitárias")</f>
        <v>Instalações Hidrossanitárias</v>
      </c>
      <c r="J742" s="13" t="str">
        <f>IFERROR(__xludf.DUMMYFUNCTION("""COMPUTED_VALUE"""),"02 Hidráulica / 18 - Vazamento nas válvulas de vasos sanitários e mictórios")</f>
        <v>02 Hidráulica / 18 - Vazamento nas válvulas de vasos sanitários e mictórios</v>
      </c>
      <c r="K742" s="13"/>
      <c r="L742" s="13" t="str">
        <f>IFERROR(__xludf.DUMMYFUNCTION("""COMPUTED_VALUE"""),"banheiro masculino do Bloco B, a água do vaso sanitário está passando direto.")</f>
        <v>banheiro masculino do Bloco B, a água do vaso sanitário está passando direto.</v>
      </c>
      <c r="M742" s="20"/>
      <c r="N742" s="26" t="str">
        <f>IFERROR(__xludf.DUMMYFUNCTION("""COMPUTED_VALUE"""),"Realizado")</f>
        <v>Realizado</v>
      </c>
      <c r="O742" s="11">
        <f>IFERROR(__xludf.DUMMYFUNCTION("""COMPUTED_VALUE"""),45398.0)</f>
        <v>45398</v>
      </c>
      <c r="P742" s="11"/>
    </row>
    <row r="743" ht="27.0" customHeight="1">
      <c r="A743" s="20" t="str">
        <f>IFERROR(__xludf.DUMMYFUNCTION("""COMPUTED_VALUE"""),"741/2024")</f>
        <v>741/2024</v>
      </c>
      <c r="B743" s="8">
        <f>IFERROR(__xludf.DUMMYFUNCTION("""COMPUTED_VALUE"""),45394.771224895834)</f>
        <v>45394.77122</v>
      </c>
      <c r="C743" s="44" t="str">
        <f>IFERROR(__xludf.DUMMYFUNCTION("""COMPUTED_VALUE"""),"muc.prpe@ufcat.edu.br")</f>
        <v>muc.prpe@ufcat.edu.br</v>
      </c>
      <c r="D743" s="45" t="str">
        <f>IFERROR(__xludf.DUMMYFUNCTION("""COMPUTED_VALUE"""),"DANIEL DOS REIS SIMÕES")</f>
        <v>DANIEL DOS REIS SIMÕES</v>
      </c>
      <c r="E743" s="47">
        <f>IFERROR(__xludf.DUMMYFUNCTION("""COMPUTED_VALUE"""),5333.0)</f>
        <v>5333</v>
      </c>
      <c r="F743" s="45" t="str">
        <f>IFERROR(__xludf.DUMMYFUNCTION("""COMPUTED_VALUE"""),"PRPE")</f>
        <v>PRPE</v>
      </c>
      <c r="G743" s="45" t="str">
        <f>IFERROR(__xludf.DUMMYFUNCTION("""COMPUTED_VALUE"""),"MUC")</f>
        <v>MUC</v>
      </c>
      <c r="H743" s="46" t="str">
        <f>IFERROR(__xludf.DUMMYFUNCTION("""COMPUTED_VALUE"""),"Apto 403")</f>
        <v>Apto 403</v>
      </c>
      <c r="I743" s="7" t="str">
        <f>IFERROR(__xludf.DUMMYFUNCTION("""COMPUTED_VALUE"""),"Instalações Hidrossanitárias")</f>
        <v>Instalações Hidrossanitárias</v>
      </c>
      <c r="J743" s="13" t="str">
        <f>IFERROR(__xludf.DUMMYFUNCTION("""COMPUTED_VALUE"""),"02 Hidráulica / 22 - Outros")</f>
        <v>02 Hidráulica / 22 - Outros</v>
      </c>
      <c r="K743" s="13"/>
      <c r="L743" s="13" t="str">
        <f>IFERROR(__xludf.DUMMYFUNCTION("""COMPUTED_VALUE"""),"Água descendo pela descarga, apto 403.")</f>
        <v>Água descendo pela descarga, apto 403.</v>
      </c>
      <c r="M743" s="20"/>
      <c r="N743" s="26" t="str">
        <f>IFERROR(__xludf.DUMMYFUNCTION("""COMPUTED_VALUE"""),"Realizado")</f>
        <v>Realizado</v>
      </c>
      <c r="O743" s="11">
        <f>IFERROR(__xludf.DUMMYFUNCTION("""COMPUTED_VALUE"""),45400.0)</f>
        <v>45400</v>
      </c>
      <c r="P743" s="11"/>
    </row>
    <row r="744" ht="27.0" customHeight="1">
      <c r="A744" s="20" t="str">
        <f>IFERROR(__xludf.DUMMYFUNCTION("""COMPUTED_VALUE"""),"742/2024")</f>
        <v>742/2024</v>
      </c>
      <c r="B744" s="8">
        <f>IFERROR(__xludf.DUMMYFUNCTION("""COMPUTED_VALUE"""),45394.77207659722)</f>
        <v>45394.77208</v>
      </c>
      <c r="C744" s="44" t="str">
        <f>IFERROR(__xludf.DUMMYFUNCTION("""COMPUTED_VALUE"""),"muc.prpe@ufcat.edu.br")</f>
        <v>muc.prpe@ufcat.edu.br</v>
      </c>
      <c r="D744" s="45" t="str">
        <f>IFERROR(__xludf.DUMMYFUNCTION("""COMPUTED_VALUE"""),"DANIEL DOS REIS SIMÕES")</f>
        <v>DANIEL DOS REIS SIMÕES</v>
      </c>
      <c r="E744" s="47">
        <f>IFERROR(__xludf.DUMMYFUNCTION("""COMPUTED_VALUE"""),5333.0)</f>
        <v>5333</v>
      </c>
      <c r="F744" s="45" t="str">
        <f>IFERROR(__xludf.DUMMYFUNCTION("""COMPUTED_VALUE"""),"PRPE")</f>
        <v>PRPE</v>
      </c>
      <c r="G744" s="45" t="str">
        <f>IFERROR(__xludf.DUMMYFUNCTION("""COMPUTED_VALUE"""),"MUC")</f>
        <v>MUC</v>
      </c>
      <c r="H744" s="46" t="str">
        <f>IFERROR(__xludf.DUMMYFUNCTION("""COMPUTED_VALUE"""),"Apto 105")</f>
        <v>Apto 105</v>
      </c>
      <c r="I744" s="7" t="str">
        <f>IFERROR(__xludf.DUMMYFUNCTION("""COMPUTED_VALUE"""),"Pequenos serviços de reparos em Marcenaria")</f>
        <v>Pequenos serviços de reparos em Marcenaria</v>
      </c>
      <c r="J744" s="13" t="str">
        <f>IFERROR(__xludf.DUMMYFUNCTION("""COMPUTED_VALUE"""),"03 Marcenaria / 29 - Outros")</f>
        <v>03 Marcenaria / 29 - Outros</v>
      </c>
      <c r="K744" s="13"/>
      <c r="L744" s="13" t="str">
        <f>IFERROR(__xludf.DUMMYFUNCTION("""COMPUTED_VALUE"""),"Porta da entrada não fecha direito, apto 105")</f>
        <v>Porta da entrada não fecha direito, apto 105</v>
      </c>
      <c r="M744" s="20"/>
      <c r="N744" s="26" t="str">
        <f>IFERROR(__xludf.DUMMYFUNCTION("""COMPUTED_VALUE"""),"Aguardando análise")</f>
        <v>Aguardando análise</v>
      </c>
      <c r="O744" s="11"/>
      <c r="P744" s="11"/>
    </row>
    <row r="745" ht="27.0" customHeight="1">
      <c r="A745" s="20" t="str">
        <f>IFERROR(__xludf.DUMMYFUNCTION("""COMPUTED_VALUE"""),"743/2024")</f>
        <v>743/2024</v>
      </c>
      <c r="B745" s="8">
        <f>IFERROR(__xludf.DUMMYFUNCTION("""COMPUTED_VALUE"""),45394.77371358796)</f>
        <v>45394.77371</v>
      </c>
      <c r="C745" s="44" t="str">
        <f>IFERROR(__xludf.DUMMYFUNCTION("""COMPUTED_VALUE"""),"muc.prpe@ufcat.edu.br")</f>
        <v>muc.prpe@ufcat.edu.br</v>
      </c>
      <c r="D745" s="45" t="str">
        <f>IFERROR(__xludf.DUMMYFUNCTION("""COMPUTED_VALUE"""),"DANIEL DOS REIS SIMÕES")</f>
        <v>DANIEL DOS REIS SIMÕES</v>
      </c>
      <c r="E745" s="47">
        <f>IFERROR(__xludf.DUMMYFUNCTION("""COMPUTED_VALUE"""),5333.0)</f>
        <v>5333</v>
      </c>
      <c r="F745" s="45" t="str">
        <f>IFERROR(__xludf.DUMMYFUNCTION("""COMPUTED_VALUE"""),"PRPE")</f>
        <v>PRPE</v>
      </c>
      <c r="G745" s="45" t="str">
        <f>IFERROR(__xludf.DUMMYFUNCTION("""COMPUTED_VALUE"""),"MUC")</f>
        <v>MUC</v>
      </c>
      <c r="H745" s="46" t="str">
        <f>IFERROR(__xludf.DUMMYFUNCTION("""COMPUTED_VALUE"""),"Apto 205")</f>
        <v>Apto 205</v>
      </c>
      <c r="I745" s="7" t="str">
        <f>IFERROR(__xludf.DUMMYFUNCTION("""COMPUTED_VALUE"""),"Instalações Hidrossanitárias")</f>
        <v>Instalações Hidrossanitárias</v>
      </c>
      <c r="J745" s="13" t="str">
        <f>IFERROR(__xludf.DUMMYFUNCTION("""COMPUTED_VALUE"""),"02 Hidráulica / 22 - Outros")</f>
        <v>02 Hidráulica / 22 - Outros</v>
      </c>
      <c r="K745" s="13"/>
      <c r="L745" s="13" t="str">
        <f>IFERROR(__xludf.DUMMYFUNCTION("""COMPUTED_VALUE"""),"Desentupir pia da cozinha")</f>
        <v>Desentupir pia da cozinha</v>
      </c>
      <c r="M745" s="20"/>
      <c r="N745" s="26" t="str">
        <f>IFERROR(__xludf.DUMMYFUNCTION("""COMPUTED_VALUE"""),"Realizado")</f>
        <v>Realizado</v>
      </c>
      <c r="O745" s="11">
        <f>IFERROR(__xludf.DUMMYFUNCTION("""COMPUTED_VALUE"""),45400.0)</f>
        <v>45400</v>
      </c>
      <c r="P745" s="11"/>
    </row>
    <row r="746" ht="27.0" customHeight="1">
      <c r="A746" s="20" t="str">
        <f>IFERROR(__xludf.DUMMYFUNCTION("""COMPUTED_VALUE"""),"744/2024")</f>
        <v>744/2024</v>
      </c>
      <c r="B746" s="8">
        <f>IFERROR(__xludf.DUMMYFUNCTION("""COMPUTED_VALUE"""),45397.419073310186)</f>
        <v>45397.41907</v>
      </c>
      <c r="C746" s="44" t="str">
        <f>IFERROR(__xludf.DUMMYFUNCTION("""COMPUTED_VALUE"""),"isabela.moraes@ufcat.edu.br")</f>
        <v>isabela.moraes@ufcat.edu.br</v>
      </c>
      <c r="D746" s="45" t="str">
        <f>IFERROR(__xludf.DUMMYFUNCTION("""COMPUTED_VALUE"""),"Isabela Rocceline")</f>
        <v>Isabela Rocceline</v>
      </c>
      <c r="E746" s="47">
        <f>IFERROR(__xludf.DUMMYFUNCTION("""COMPUTED_VALUE"""),5369.0)</f>
        <v>5369</v>
      </c>
      <c r="F746" s="45" t="str">
        <f>IFERROR(__xludf.DUMMYFUNCTION("""COMPUTED_VALUE"""),"DLT")</f>
        <v>DLT</v>
      </c>
      <c r="G746" s="45" t="str">
        <f>IFERROR(__xludf.DUMMYFUNCTION("""COMPUTED_VALUE"""),"Bloco P")</f>
        <v>Bloco P</v>
      </c>
      <c r="H746" s="46" t="str">
        <f>IFERROR(__xludf.DUMMYFUNCTION("""COMPUTED_VALUE"""),"Alojamento")</f>
        <v>Alojamento</v>
      </c>
      <c r="I746" s="7" t="str">
        <f>IFERROR(__xludf.DUMMYFUNCTION("""COMPUTED_VALUE"""),"Instalações Hidrossanitárias")</f>
        <v>Instalações Hidrossanitárias</v>
      </c>
      <c r="J746" s="13" t="str">
        <f>IFERROR(__xludf.DUMMYFUNCTION("""COMPUTED_VALUE"""),"02 Hidráulica / 22 - Outros")</f>
        <v>02 Hidráulica / 22 - Outros</v>
      </c>
      <c r="K746" s="13"/>
      <c r="L746" s="13" t="str">
        <f>IFERROR(__xludf.DUMMYFUNCTION("""COMPUTED_VALUE"""),"Chuveiro queimado, necessário a troca do mesmo.")</f>
        <v>Chuveiro queimado, necessário a troca do mesmo.</v>
      </c>
      <c r="M746" s="20"/>
      <c r="N746" s="26" t="str">
        <f>IFERROR(__xludf.DUMMYFUNCTION("""COMPUTED_VALUE"""),"Realizado")</f>
        <v>Realizado</v>
      </c>
      <c r="O746" s="11">
        <f>IFERROR(__xludf.DUMMYFUNCTION("""COMPUTED_VALUE"""),45397.0)</f>
        <v>45397</v>
      </c>
      <c r="P746" s="11"/>
    </row>
    <row r="747" ht="27.0" customHeight="1">
      <c r="A747" s="20" t="str">
        <f>IFERROR(__xludf.DUMMYFUNCTION("""COMPUTED_VALUE"""),"745/2024")</f>
        <v>745/2024</v>
      </c>
      <c r="B747" s="8">
        <f>IFERROR(__xludf.DUMMYFUNCTION("""COMPUTED_VALUE"""),45397.42476138889)</f>
        <v>45397.42476</v>
      </c>
      <c r="C747" s="44" t="str">
        <f>IFERROR(__xludf.DUMMYFUNCTION("""COMPUTED_VALUE"""),"amanda.lopes@ufcat.edu.br")</f>
        <v>amanda.lopes@ufcat.edu.br</v>
      </c>
      <c r="D747" s="45" t="str">
        <f>IFERROR(__xludf.DUMMYFUNCTION("""COMPUTED_VALUE"""),"Amanda Matos ")</f>
        <v>Amanda Matos </v>
      </c>
      <c r="E747" s="47">
        <f>IFERROR(__xludf.DUMMYFUNCTION("""COMPUTED_VALUE"""),5340.0)</f>
        <v>5340</v>
      </c>
      <c r="F747" s="45" t="str">
        <f>IFERROR(__xludf.DUMMYFUNCTION("""COMPUTED_VALUE"""),"PREF")</f>
        <v>PREF</v>
      </c>
      <c r="G747" s="45" t="str">
        <f>IFERROR(__xludf.DUMMYFUNCTION("""COMPUTED_VALUE"""),"Bloco P")</f>
        <v>Bloco P</v>
      </c>
      <c r="H747" s="46" t="str">
        <f>IFERROR(__xludf.DUMMYFUNCTION("""COMPUTED_VALUE"""),"Marcenaria")</f>
        <v>Marcenaria</v>
      </c>
      <c r="I747" s="7" t="str">
        <f>IFERROR(__xludf.DUMMYFUNCTION("""COMPUTED_VALUE"""),"Serralheria")</f>
        <v>Serralheria</v>
      </c>
      <c r="J747" s="13" t="str">
        <f>IFERROR(__xludf.DUMMYFUNCTION("""COMPUTED_VALUE"""),"08 Serralheria / 54 - Suporte em geral")</f>
        <v>08 Serralheria / 54 - Suporte em geral</v>
      </c>
      <c r="K747" s="13"/>
      <c r="L747" s="13" t="str">
        <f>IFERROR(__xludf.DUMMYFUNCTION("""COMPUTED_VALUE"""),"Fabricação de 2 mãos francesa 15x25cm para pratilheiras ")</f>
        <v>Fabricação de 2 mãos francesa 15x25cm para pratilheiras </v>
      </c>
      <c r="M747" s="20"/>
      <c r="N747" s="26" t="str">
        <f>IFERROR(__xludf.DUMMYFUNCTION("""COMPUTED_VALUE"""),"Realizado")</f>
        <v>Realizado</v>
      </c>
      <c r="O747" s="11">
        <f>IFERROR(__xludf.DUMMYFUNCTION("""COMPUTED_VALUE"""),45394.0)</f>
        <v>45394</v>
      </c>
      <c r="P747" s="11"/>
    </row>
    <row r="748" ht="27.0" customHeight="1">
      <c r="A748" s="20" t="str">
        <f>IFERROR(__xludf.DUMMYFUNCTION("""COMPUTED_VALUE"""),"746/2024")</f>
        <v>746/2024</v>
      </c>
      <c r="B748" s="8">
        <f>IFERROR(__xludf.DUMMYFUNCTION("""COMPUTED_VALUE"""),45397.425615671295)</f>
        <v>45397.42562</v>
      </c>
      <c r="C748" s="44" t="str">
        <f>IFERROR(__xludf.DUMMYFUNCTION("""COMPUTED_VALUE"""),"amanda.lopes@ufcat.edu.br")</f>
        <v>amanda.lopes@ufcat.edu.br</v>
      </c>
      <c r="D748" s="45" t="str">
        <f>IFERROR(__xludf.DUMMYFUNCTION("""COMPUTED_VALUE"""),"Amanda Matos ")</f>
        <v>Amanda Matos </v>
      </c>
      <c r="E748" s="47">
        <f>IFERROR(__xludf.DUMMYFUNCTION("""COMPUTED_VALUE"""),5340.0)</f>
        <v>5340</v>
      </c>
      <c r="F748" s="45" t="str">
        <f>IFERROR(__xludf.DUMMYFUNCTION("""COMPUTED_VALUE"""),"PREF")</f>
        <v>PREF</v>
      </c>
      <c r="G748" s="45" t="str">
        <f>IFERROR(__xludf.DUMMYFUNCTION("""COMPUTED_VALUE"""),"Bloco L")</f>
        <v>Bloco L</v>
      </c>
      <c r="H748" s="46" t="str">
        <f>IFERROR(__xludf.DUMMYFUNCTION("""COMPUTED_VALUE"""),"Mirante (saida de água)")</f>
        <v>Mirante (saida de água)</v>
      </c>
      <c r="I748" s="7" t="str">
        <f>IFERROR(__xludf.DUMMYFUNCTION("""COMPUTED_VALUE"""),"Serralheria")</f>
        <v>Serralheria</v>
      </c>
      <c r="J748" s="13" t="str">
        <f>IFERROR(__xludf.DUMMYFUNCTION("""COMPUTED_VALUE"""),"08 Serralheria / 54 - Suporte em geral")</f>
        <v>08 Serralheria / 54 - Suporte em geral</v>
      </c>
      <c r="K748" s="13"/>
      <c r="L748" s="13" t="str">
        <f>IFERROR(__xludf.DUMMYFUNCTION("""COMPUTED_VALUE"""),"Fabricar saída de escoamento de água ")</f>
        <v>Fabricar saída de escoamento de água </v>
      </c>
      <c r="M748" s="20"/>
      <c r="N748" s="26" t="str">
        <f>IFERROR(__xludf.DUMMYFUNCTION("""COMPUTED_VALUE"""),"Realizado")</f>
        <v>Realizado</v>
      </c>
      <c r="O748" s="11">
        <f>IFERROR(__xludf.DUMMYFUNCTION("""COMPUTED_VALUE"""),45397.0)</f>
        <v>45397</v>
      </c>
      <c r="P748" s="11"/>
    </row>
    <row r="749" ht="27.0" customHeight="1">
      <c r="A749" s="20" t="str">
        <f>IFERROR(__xludf.DUMMYFUNCTION("""COMPUTED_VALUE"""),"747/2024")</f>
        <v>747/2024</v>
      </c>
      <c r="B749" s="8">
        <f>IFERROR(__xludf.DUMMYFUNCTION("""COMPUTED_VALUE"""),45397.444983078705)</f>
        <v>45397.44498</v>
      </c>
      <c r="C749" s="44" t="str">
        <f>IFERROR(__xludf.DUMMYFUNCTION("""COMPUTED_VALUE"""),"cpatri.proaf@ufcat.edu.br")</f>
        <v>cpatri.proaf@ufcat.edu.br</v>
      </c>
      <c r="D749" s="45" t="str">
        <f>IFERROR(__xludf.DUMMYFUNCTION("""COMPUTED_VALUE"""),"Fábio Gonçalves")</f>
        <v>Fábio Gonçalves</v>
      </c>
      <c r="E749" s="47">
        <f>IFERROR(__xludf.DUMMYFUNCTION("""COMPUTED_VALUE"""),5343.0)</f>
        <v>5343</v>
      </c>
      <c r="F749" s="45" t="str">
        <f>IFERROR(__xludf.DUMMYFUNCTION("""COMPUTED_VALUE"""),"CPATRI")</f>
        <v>CPATRI</v>
      </c>
      <c r="G749" s="45" t="str">
        <f>IFERROR(__xludf.DUMMYFUNCTION("""COMPUTED_VALUE"""),"Bloco Administrativo")</f>
        <v>Bloco Administrativo</v>
      </c>
      <c r="H749" s="46" t="str">
        <f>IFERROR(__xludf.DUMMYFUNCTION("""COMPUTED_VALUE"""),"almoxarifado")</f>
        <v>almoxarifado</v>
      </c>
      <c r="I749" s="7" t="str">
        <f>IFERROR(__xludf.DUMMYFUNCTION("""COMPUTED_VALUE"""),"Serralheria")</f>
        <v>Serralheria</v>
      </c>
      <c r="J749" s="13" t="str">
        <f>IFERROR(__xludf.DUMMYFUNCTION("""COMPUTED_VALUE"""),"08 Serralheria / 56 - Outros")</f>
        <v>08 Serralheria / 56 - Outros</v>
      </c>
      <c r="K749" s="13"/>
      <c r="L749" s="13" t="str">
        <f>IFERROR(__xludf.DUMMYFUNCTION("""COMPUTED_VALUE"""),"colocar dois pares de rodas em doi carrinhos, mais a pintura!")</f>
        <v>colocar dois pares de rodas em doi carrinhos, mais a pintura!</v>
      </c>
      <c r="M749" s="20"/>
      <c r="N749" s="26" t="str">
        <f>IFERROR(__xludf.DUMMYFUNCTION("""COMPUTED_VALUE"""),"Realizado")</f>
        <v>Realizado</v>
      </c>
      <c r="O749" s="11">
        <f>IFERROR(__xludf.DUMMYFUNCTION("""COMPUTED_VALUE"""),45397.0)</f>
        <v>45397</v>
      </c>
      <c r="P749" s="11"/>
    </row>
    <row r="750" ht="27.0" customHeight="1">
      <c r="A750" s="20" t="str">
        <f>IFERROR(__xludf.DUMMYFUNCTION("""COMPUTED_VALUE"""),"748/2024")</f>
        <v>748/2024</v>
      </c>
      <c r="B750" s="8">
        <f>IFERROR(__xludf.DUMMYFUNCTION("""COMPUTED_VALUE"""),45397.55891070602)</f>
        <v>45397.55891</v>
      </c>
      <c r="C750" s="44" t="str">
        <f>IFERROR(__xludf.DUMMYFUNCTION("""COMPUTED_VALUE"""),"amanda.lopes@ufcat.edu.br")</f>
        <v>amanda.lopes@ufcat.edu.br</v>
      </c>
      <c r="D750" s="45" t="str">
        <f>IFERROR(__xludf.DUMMYFUNCTION("""COMPUTED_VALUE"""),"Amanda Matos ")</f>
        <v>Amanda Matos </v>
      </c>
      <c r="E750" s="47">
        <f>IFERROR(__xludf.DUMMYFUNCTION("""COMPUTED_VALUE"""),5340.0)</f>
        <v>5340</v>
      </c>
      <c r="F750" s="45" t="str">
        <f>IFERROR(__xludf.DUMMYFUNCTION("""COMPUTED_VALUE"""),"PREF")</f>
        <v>PREF</v>
      </c>
      <c r="G750" s="45" t="str">
        <f>IFERROR(__xludf.DUMMYFUNCTION("""COMPUTED_VALUE"""),"Bloco G")</f>
        <v>Bloco G</v>
      </c>
      <c r="H750" s="46" t="str">
        <f>IFERROR(__xludf.DUMMYFUNCTION("""COMPUTED_VALUE"""),"Parte externa ")</f>
        <v>Parte externa </v>
      </c>
      <c r="I750" s="7" t="str">
        <f>IFERROR(__xludf.DUMMYFUNCTION("""COMPUTED_VALUE"""),"Instalações Hidrossanitárias")</f>
        <v>Instalações Hidrossanitárias</v>
      </c>
      <c r="J750" s="13" t="str">
        <f>IFERROR(__xludf.DUMMYFUNCTION("""COMPUTED_VALUE"""),"02 Hidráulica / 22 - Outros")</f>
        <v>02 Hidráulica / 22 - Outros</v>
      </c>
      <c r="K750" s="13"/>
      <c r="L750" s="13" t="str">
        <f>IFERROR(__xludf.DUMMYFUNCTION("""COMPUTED_VALUE"""),"Reparo de torneiro parte de traz do bloco ")</f>
        <v>Reparo de torneiro parte de traz do bloco </v>
      </c>
      <c r="M750" s="20"/>
      <c r="N750" s="26" t="str">
        <f>IFERROR(__xludf.DUMMYFUNCTION("""COMPUTED_VALUE"""),"Realizado")</f>
        <v>Realizado</v>
      </c>
      <c r="O750" s="11">
        <f>IFERROR(__xludf.DUMMYFUNCTION("""COMPUTED_VALUE"""),45397.0)</f>
        <v>45397</v>
      </c>
      <c r="P750" s="11"/>
    </row>
    <row r="751" ht="27.0" customHeight="1">
      <c r="A751" s="20" t="str">
        <f>IFERROR(__xludf.DUMMYFUNCTION("""COMPUTED_VALUE"""),"749/2024")</f>
        <v>749/2024</v>
      </c>
      <c r="B751" s="8">
        <f>IFERROR(__xludf.DUMMYFUNCTION("""COMPUTED_VALUE"""),45397.56896704861)</f>
        <v>45397.56897</v>
      </c>
      <c r="C751" s="44" t="str">
        <f>IFERROR(__xludf.DUMMYFUNCTION("""COMPUTED_VALUE"""),"joanaufg@yahoo.com.br")</f>
        <v>joanaufg@yahoo.com.br</v>
      </c>
      <c r="D751" s="45" t="str">
        <f>IFERROR(__xludf.DUMMYFUNCTION("""COMPUTED_VALUE"""),"Joana Rocha ")</f>
        <v>Joana Rocha </v>
      </c>
      <c r="E751" s="47">
        <f>IFERROR(__xludf.DUMMYFUNCTION("""COMPUTED_VALUE"""),5306.0)</f>
        <v>5306</v>
      </c>
      <c r="F751" s="45" t="str">
        <f>IFERROR(__xludf.DUMMYFUNCTION("""COMPUTED_VALUE"""),"BIBLIOTECA")</f>
        <v>BIBLIOTECA</v>
      </c>
      <c r="G751" s="45" t="str">
        <f>IFERROR(__xludf.DUMMYFUNCTION("""COMPUTED_VALUE"""),"Biblioteca")</f>
        <v>Biblioteca</v>
      </c>
      <c r="H751" s="46" t="str">
        <f>IFERROR(__xludf.DUMMYFUNCTION("""COMPUTED_VALUE"""),"Banheiro feminino de acessibilidade ")</f>
        <v>Banheiro feminino de acessibilidade </v>
      </c>
      <c r="I751" s="7" t="str">
        <f>IFERROR(__xludf.DUMMYFUNCTION("""COMPUTED_VALUE"""),"Reparos (alvenaria, piso, forro e telhado)")</f>
        <v>Reparos (alvenaria, piso, forro e telhado)</v>
      </c>
      <c r="J751" s="13" t="str">
        <f>IFERROR(__xludf.DUMMYFUNCTION("""COMPUTED_VALUE"""),"01 Alvenaria / 06 - Outros")</f>
        <v>01 Alvenaria / 06 - Outros</v>
      </c>
      <c r="K751" s="13"/>
      <c r="L751" s="13" t="str">
        <f>IFERROR(__xludf.DUMMYFUNCTION("""COMPUTED_VALUE"""),"Vaso solto ")</f>
        <v>Vaso solto </v>
      </c>
      <c r="M751" s="20"/>
      <c r="N751" s="26" t="str">
        <f>IFERROR(__xludf.DUMMYFUNCTION("""COMPUTED_VALUE"""),"Realizado")</f>
        <v>Realizado</v>
      </c>
      <c r="O751" s="11">
        <f>IFERROR(__xludf.DUMMYFUNCTION("""COMPUTED_VALUE"""),45397.0)</f>
        <v>45397</v>
      </c>
      <c r="P751" s="11"/>
    </row>
    <row r="752" ht="27.0" customHeight="1">
      <c r="A752" s="20" t="str">
        <f>IFERROR(__xludf.DUMMYFUNCTION("""COMPUTED_VALUE"""),"750/2024")</f>
        <v>750/2024</v>
      </c>
      <c r="B752" s="8">
        <f>IFERROR(__xludf.DUMMYFUNCTION("""COMPUTED_VALUE"""),45397.58261226852)</f>
        <v>45397.58261</v>
      </c>
      <c r="C752" s="44" t="str">
        <f>IFERROR(__xludf.DUMMYFUNCTION("""COMPUTED_VALUE"""),"medicina.ibiotec@ufcat.edu.br")</f>
        <v>medicina.ibiotec@ufcat.edu.br</v>
      </c>
      <c r="D752" s="45" t="str">
        <f>IFERROR(__xludf.DUMMYFUNCTION("""COMPUTED_VALUE"""),"Thaiany dos Santos Silva de Aquino")</f>
        <v>Thaiany dos Santos Silva de Aquino</v>
      </c>
      <c r="E752" s="47">
        <f>IFERROR(__xludf.DUMMYFUNCTION("""COMPUTED_VALUE"""),7602.0)</f>
        <v>7602</v>
      </c>
      <c r="F752" s="45" t="str">
        <f>IFERROR(__xludf.DUMMYFUNCTION("""COMPUTED_VALUE"""),"IBIOTEC - Medicina")</f>
        <v>IBIOTEC - Medicina</v>
      </c>
      <c r="G752" s="45" t="str">
        <f>IFERROR(__xludf.DUMMYFUNCTION("""COMPUTED_VALUE"""),"Campus II")</f>
        <v>Campus II</v>
      </c>
      <c r="H752" s="46" t="str">
        <f>IFERROR(__xludf.DUMMYFUNCTION("""COMPUTED_VALUE"""),"Piso 1 - Laboratório de Habilidades Clínicas (Sala 07) e Consultório I")</f>
        <v>Piso 1 - Laboratório de Habilidades Clínicas (Sala 07) e Consultório I</v>
      </c>
      <c r="I752" s="7" t="str">
        <f>IFERROR(__xludf.DUMMYFUNCTION("""COMPUTED_VALUE"""),"Reparos (alvenaria, piso, forro e telhado)")</f>
        <v>Reparos (alvenaria, piso, forro e telhado)</v>
      </c>
      <c r="J752" s="13" t="str">
        <f>IFERROR(__xludf.DUMMYFUNCTION("""COMPUTED_VALUE"""),"01 Alvenaria / 06 - Outros")</f>
        <v>01 Alvenaria / 06 - Outros</v>
      </c>
      <c r="K752" s="13"/>
      <c r="L752" s="13" t="str">
        <f>IFERROR(__xludf.DUMMYFUNCTION("""COMPUTED_VALUE"""),"Rachadura de parede, infiltração e mofo. ")</f>
        <v>Rachadura de parede, infiltração e mofo. </v>
      </c>
      <c r="M752" s="20"/>
      <c r="N752" s="26" t="str">
        <f>IFERROR(__xludf.DUMMYFUNCTION("""COMPUTED_VALUE"""),"Aguardando análise")</f>
        <v>Aguardando análise</v>
      </c>
      <c r="O752" s="11"/>
      <c r="P752" s="11"/>
    </row>
    <row r="753" ht="27.0" customHeight="1">
      <c r="A753" s="20" t="str">
        <f>IFERROR(__xludf.DUMMYFUNCTION("""COMPUTED_VALUE"""),"751/2024")</f>
        <v>751/2024</v>
      </c>
      <c r="B753" s="8">
        <f>IFERROR(__xludf.DUMMYFUNCTION("""COMPUTED_VALUE"""),45397.65204453704)</f>
        <v>45397.65204</v>
      </c>
      <c r="C753" s="44" t="str">
        <f>IFERROR(__xludf.DUMMYFUNCTION("""COMPUTED_VALUE"""),"muc.prpe@ufcat.edu.br")</f>
        <v>muc.prpe@ufcat.edu.br</v>
      </c>
      <c r="D753" s="45" t="str">
        <f>IFERROR(__xludf.DUMMYFUNCTION("""COMPUTED_VALUE"""),"DANIEL DOS REIS SIMÕES")</f>
        <v>DANIEL DOS REIS SIMÕES</v>
      </c>
      <c r="E753" s="47">
        <f>IFERROR(__xludf.DUMMYFUNCTION("""COMPUTED_VALUE"""),5333.0)</f>
        <v>5333</v>
      </c>
      <c r="F753" s="45" t="str">
        <f>IFERROR(__xludf.DUMMYFUNCTION("""COMPUTED_VALUE"""),"PRPE")</f>
        <v>PRPE</v>
      </c>
      <c r="G753" s="45" t="str">
        <f>IFERROR(__xludf.DUMMYFUNCTION("""COMPUTED_VALUE"""),"MUC")</f>
        <v>MUC</v>
      </c>
      <c r="H753" s="46" t="str">
        <f>IFERROR(__xludf.DUMMYFUNCTION("""COMPUTED_VALUE"""),"Apto 306")</f>
        <v>Apto 306</v>
      </c>
      <c r="I753" s="7" t="str">
        <f>IFERROR(__xludf.DUMMYFUNCTION("""COMPUTED_VALUE"""),"Pequenos serviços de reparos em Marcenaria")</f>
        <v>Pequenos serviços de reparos em Marcenaria</v>
      </c>
      <c r="J753" s="13" t="str">
        <f>IFERROR(__xludf.DUMMYFUNCTION("""COMPUTED_VALUE"""),"03 Marcenaria / 29 - Outros")</f>
        <v>03 Marcenaria / 29 - Outros</v>
      </c>
      <c r="K753" s="13"/>
      <c r="L753" s="13" t="str">
        <f>IFERROR(__xludf.DUMMYFUNCTION("""COMPUTED_VALUE"""),"Ajustar a maçaneta da porta do quarto A, apto 306.")</f>
        <v>Ajustar a maçaneta da porta do quarto A, apto 306.</v>
      </c>
      <c r="M753" s="20"/>
      <c r="N753" s="26" t="str">
        <f>IFERROR(__xludf.DUMMYFUNCTION("""COMPUTED_VALUE"""),"Realizado")</f>
        <v>Realizado</v>
      </c>
      <c r="O753" s="11">
        <f>IFERROR(__xludf.DUMMYFUNCTION("""COMPUTED_VALUE"""),45400.0)</f>
        <v>45400</v>
      </c>
      <c r="P753" s="11"/>
    </row>
    <row r="754" ht="27.0" customHeight="1">
      <c r="A754" s="20" t="str">
        <f>IFERROR(__xludf.DUMMYFUNCTION("""COMPUTED_VALUE"""),"752/2024")</f>
        <v>752/2024</v>
      </c>
      <c r="B754" s="8">
        <f>IFERROR(__xludf.DUMMYFUNCTION("""COMPUTED_VALUE"""),45397.653378773146)</f>
        <v>45397.65338</v>
      </c>
      <c r="C754" s="44" t="str">
        <f>IFERROR(__xludf.DUMMYFUNCTION("""COMPUTED_VALUE"""),"muc.prpe@ufcat.edu.br")</f>
        <v>muc.prpe@ufcat.edu.br</v>
      </c>
      <c r="D754" s="45" t="str">
        <f>IFERROR(__xludf.DUMMYFUNCTION("""COMPUTED_VALUE"""),"DANIEL DOS REIS SIMÕES")</f>
        <v>DANIEL DOS REIS SIMÕES</v>
      </c>
      <c r="E754" s="47">
        <f>IFERROR(__xludf.DUMMYFUNCTION("""COMPUTED_VALUE"""),5333.0)</f>
        <v>5333</v>
      </c>
      <c r="F754" s="45" t="str">
        <f>IFERROR(__xludf.DUMMYFUNCTION("""COMPUTED_VALUE"""),"PRPE")</f>
        <v>PRPE</v>
      </c>
      <c r="G754" s="45" t="str">
        <f>IFERROR(__xludf.DUMMYFUNCTION("""COMPUTED_VALUE"""),"MUC")</f>
        <v>MUC</v>
      </c>
      <c r="H754" s="46" t="str">
        <f>IFERROR(__xludf.DUMMYFUNCTION("""COMPUTED_VALUE"""),"Apto 406")</f>
        <v>Apto 406</v>
      </c>
      <c r="I754" s="7" t="str">
        <f>IFERROR(__xludf.DUMMYFUNCTION("""COMPUTED_VALUE"""),"Pequenos serviços de reparos em Marcenaria")</f>
        <v>Pequenos serviços de reparos em Marcenaria</v>
      </c>
      <c r="J754" s="13" t="str">
        <f>IFERROR(__xludf.DUMMYFUNCTION("""COMPUTED_VALUE"""),"03 Marcenaria / 29 - Outros")</f>
        <v>03 Marcenaria / 29 - Outros</v>
      </c>
      <c r="K754" s="13"/>
      <c r="L754" s="13" t="str">
        <f>IFERROR(__xludf.DUMMYFUNCTION("""COMPUTED_VALUE"""),"Ajustar a maçaneta da porta do quarto B, apto 406.")</f>
        <v>Ajustar a maçaneta da porta do quarto B, apto 406.</v>
      </c>
      <c r="M754" s="20"/>
      <c r="N754" s="26" t="str">
        <f>IFERROR(__xludf.DUMMYFUNCTION("""COMPUTED_VALUE"""),"Realizado")</f>
        <v>Realizado</v>
      </c>
      <c r="O754" s="11">
        <f>IFERROR(__xludf.DUMMYFUNCTION("""COMPUTED_VALUE"""),45400.0)</f>
        <v>45400</v>
      </c>
      <c r="P754" s="11"/>
    </row>
    <row r="755" ht="27.0" customHeight="1">
      <c r="A755" s="20" t="str">
        <f>IFERROR(__xludf.DUMMYFUNCTION("""COMPUTED_VALUE"""),"753/2024")</f>
        <v>753/2024</v>
      </c>
      <c r="B755" s="8">
        <f>IFERROR(__xludf.DUMMYFUNCTION("""COMPUTED_VALUE"""),45397.65559672454)</f>
        <v>45397.6556</v>
      </c>
      <c r="C755" s="44" t="str">
        <f>IFERROR(__xludf.DUMMYFUNCTION("""COMPUTED_VALUE"""),"muc.prpe@ufcat.edu.br")</f>
        <v>muc.prpe@ufcat.edu.br</v>
      </c>
      <c r="D755" s="45" t="str">
        <f>IFERROR(__xludf.DUMMYFUNCTION("""COMPUTED_VALUE"""),"DANIEL DOS REIS SIMÕES")</f>
        <v>DANIEL DOS REIS SIMÕES</v>
      </c>
      <c r="E755" s="47">
        <f>IFERROR(__xludf.DUMMYFUNCTION("""COMPUTED_VALUE"""),5333.0)</f>
        <v>5333</v>
      </c>
      <c r="F755" s="45" t="str">
        <f>IFERROR(__xludf.DUMMYFUNCTION("""COMPUTED_VALUE"""),"PRPE")</f>
        <v>PRPE</v>
      </c>
      <c r="G755" s="45" t="str">
        <f>IFERROR(__xludf.DUMMYFUNCTION("""COMPUTED_VALUE"""),"MUC")</f>
        <v>MUC</v>
      </c>
      <c r="H755" s="46" t="str">
        <f>IFERROR(__xludf.DUMMYFUNCTION("""COMPUTED_VALUE"""),"Apto 405")</f>
        <v>Apto 405</v>
      </c>
      <c r="I755" s="7" t="str">
        <f>IFERROR(__xludf.DUMMYFUNCTION("""COMPUTED_VALUE"""),"Instalações Hidrossanitárias")</f>
        <v>Instalações Hidrossanitárias</v>
      </c>
      <c r="J755" s="13" t="str">
        <f>IFERROR(__xludf.DUMMYFUNCTION("""COMPUTED_VALUE"""),"02 Hidráulica / 22 - Outros")</f>
        <v>02 Hidráulica / 22 - Outros</v>
      </c>
      <c r="K755" s="13"/>
      <c r="L755" s="13" t="str">
        <f>IFERROR(__xludf.DUMMYFUNCTION("""COMPUTED_VALUE"""),"O registro da água fria está soltando, apto 405.")</f>
        <v>O registro da água fria está soltando, apto 405.</v>
      </c>
      <c r="M755" s="20"/>
      <c r="N755" s="26" t="str">
        <f>IFERROR(__xludf.DUMMYFUNCTION("""COMPUTED_VALUE"""),"Realizado")</f>
        <v>Realizado</v>
      </c>
      <c r="O755" s="11">
        <f>IFERROR(__xludf.DUMMYFUNCTION("""COMPUTED_VALUE"""),45400.0)</f>
        <v>45400</v>
      </c>
      <c r="P755" s="11"/>
    </row>
    <row r="756" ht="27.0" customHeight="1">
      <c r="A756" s="20" t="str">
        <f>IFERROR(__xludf.DUMMYFUNCTION("""COMPUTED_VALUE"""),"754/2024")</f>
        <v>754/2024</v>
      </c>
      <c r="B756" s="8">
        <f>IFERROR(__xludf.DUMMYFUNCTION("""COMPUTED_VALUE"""),45397.6567384375)</f>
        <v>45397.65674</v>
      </c>
      <c r="C756" s="44" t="str">
        <f>IFERROR(__xludf.DUMMYFUNCTION("""COMPUTED_VALUE"""),"muc.prpe@ufcat.edu.br")</f>
        <v>muc.prpe@ufcat.edu.br</v>
      </c>
      <c r="D756" s="45" t="str">
        <f>IFERROR(__xludf.DUMMYFUNCTION("""COMPUTED_VALUE"""),"DANIEL DOS REIS SIMÕES")</f>
        <v>DANIEL DOS REIS SIMÕES</v>
      </c>
      <c r="E756" s="47">
        <f>IFERROR(__xludf.DUMMYFUNCTION("""COMPUTED_VALUE"""),5333.0)</f>
        <v>5333</v>
      </c>
      <c r="F756" s="45" t="str">
        <f>IFERROR(__xludf.DUMMYFUNCTION("""COMPUTED_VALUE"""),"PRPE")</f>
        <v>PRPE</v>
      </c>
      <c r="G756" s="45" t="str">
        <f>IFERROR(__xludf.DUMMYFUNCTION("""COMPUTED_VALUE"""),"MUC")</f>
        <v>MUC</v>
      </c>
      <c r="H756" s="46" t="str">
        <f>IFERROR(__xludf.DUMMYFUNCTION("""COMPUTED_VALUE"""),"Apto 401")</f>
        <v>Apto 401</v>
      </c>
      <c r="I756" s="7" t="str">
        <f>IFERROR(__xludf.DUMMYFUNCTION("""COMPUTED_VALUE"""),"Instalações Hidrossanitárias")</f>
        <v>Instalações Hidrossanitárias</v>
      </c>
      <c r="J756" s="13" t="str">
        <f>IFERROR(__xludf.DUMMYFUNCTION("""COMPUTED_VALUE"""),"02 Hidráulica / 22 - Outros")</f>
        <v>02 Hidráulica / 22 - Outros</v>
      </c>
      <c r="K756" s="13"/>
      <c r="L756" s="13" t="str">
        <f>IFERROR(__xludf.DUMMYFUNCTION("""COMPUTED_VALUE"""),"Descarga do banheiro com bastante vazamento, apto 401.")</f>
        <v>Descarga do banheiro com bastante vazamento, apto 401.</v>
      </c>
      <c r="M756" s="20"/>
      <c r="N756" s="26" t="str">
        <f>IFERROR(__xludf.DUMMYFUNCTION("""COMPUTED_VALUE"""),"Realizado")</f>
        <v>Realizado</v>
      </c>
      <c r="O756" s="11">
        <f>IFERROR(__xludf.DUMMYFUNCTION("""COMPUTED_VALUE"""),45400.0)</f>
        <v>45400</v>
      </c>
      <c r="P756" s="11"/>
    </row>
    <row r="757" ht="27.0" customHeight="1">
      <c r="A757" s="20" t="str">
        <f>IFERROR(__xludf.DUMMYFUNCTION("""COMPUTED_VALUE"""),"755/2024")</f>
        <v>755/2024</v>
      </c>
      <c r="B757" s="8">
        <f>IFERROR(__xludf.DUMMYFUNCTION("""COMPUTED_VALUE"""),45397.66218248842)</f>
        <v>45397.66218</v>
      </c>
      <c r="C757" s="44" t="str">
        <f>IFERROR(__xludf.DUMMYFUNCTION("""COMPUTED_VALUE"""),"muc.prpe@ufcat.edu.br")</f>
        <v>muc.prpe@ufcat.edu.br</v>
      </c>
      <c r="D757" s="45" t="str">
        <f>IFERROR(__xludf.DUMMYFUNCTION("""COMPUTED_VALUE"""),"DANIEL DOS REIS SIMÕES")</f>
        <v>DANIEL DOS REIS SIMÕES</v>
      </c>
      <c r="E757" s="47">
        <f>IFERROR(__xludf.DUMMYFUNCTION("""COMPUTED_VALUE"""),5333.0)</f>
        <v>5333</v>
      </c>
      <c r="F757" s="45" t="str">
        <f>IFERROR(__xludf.DUMMYFUNCTION("""COMPUTED_VALUE"""),"PRPE")</f>
        <v>PRPE</v>
      </c>
      <c r="G757" s="45" t="str">
        <f>IFERROR(__xludf.DUMMYFUNCTION("""COMPUTED_VALUE"""),"MUC")</f>
        <v>MUC</v>
      </c>
      <c r="H757" s="46" t="str">
        <f>IFERROR(__xludf.DUMMYFUNCTION("""COMPUTED_VALUE"""),"Apto 304")</f>
        <v>Apto 304</v>
      </c>
      <c r="I757" s="7" t="str">
        <f>IFERROR(__xludf.DUMMYFUNCTION("""COMPUTED_VALUE"""),"Reparos (alvenaria, piso, forro e telhado)")</f>
        <v>Reparos (alvenaria, piso, forro e telhado)</v>
      </c>
      <c r="J757" s="13" t="str">
        <f>IFERROR(__xludf.DUMMYFUNCTION("""COMPUTED_VALUE"""),"01 Alvenaria / 06 - Outros")</f>
        <v>01 Alvenaria / 06 - Outros</v>
      </c>
      <c r="K757" s="13"/>
      <c r="L757" s="13" t="str">
        <f>IFERROR(__xludf.DUMMYFUNCTION("""COMPUTED_VALUE"""),"Ajustar a bucha e o parafuso do varal que está soltando da parede, apto 304.")</f>
        <v>Ajustar a bucha e o parafuso do varal que está soltando da parede, apto 304.</v>
      </c>
      <c r="M757" s="20"/>
      <c r="N757" s="26" t="str">
        <f>IFERROR(__xludf.DUMMYFUNCTION("""COMPUTED_VALUE"""),"Realizado")</f>
        <v>Realizado</v>
      </c>
      <c r="O757" s="11">
        <f>IFERROR(__xludf.DUMMYFUNCTION("""COMPUTED_VALUE"""),45400.0)</f>
        <v>45400</v>
      </c>
      <c r="P757" s="11"/>
    </row>
    <row r="758" ht="27.0" customHeight="1">
      <c r="A758" s="20" t="str">
        <f>IFERROR(__xludf.DUMMYFUNCTION("""COMPUTED_VALUE"""),"756/2024")</f>
        <v>756/2024</v>
      </c>
      <c r="B758" s="8">
        <f>IFERROR(__xludf.DUMMYFUNCTION("""COMPUTED_VALUE"""),45397.66392075231)</f>
        <v>45397.66392</v>
      </c>
      <c r="C758" s="44" t="str">
        <f>IFERROR(__xludf.DUMMYFUNCTION("""COMPUTED_VALUE"""),"muc.prpe@ufcat.edu.br")</f>
        <v>muc.prpe@ufcat.edu.br</v>
      </c>
      <c r="D758" s="45" t="str">
        <f>IFERROR(__xludf.DUMMYFUNCTION("""COMPUTED_VALUE"""),"DANIEL DOS REIS SIMÕES")</f>
        <v>DANIEL DOS REIS SIMÕES</v>
      </c>
      <c r="E758" s="47">
        <f>IFERROR(__xludf.DUMMYFUNCTION("""COMPUTED_VALUE"""),5333.0)</f>
        <v>5333</v>
      </c>
      <c r="F758" s="45" t="str">
        <f>IFERROR(__xludf.DUMMYFUNCTION("""COMPUTED_VALUE"""),"PRPE")</f>
        <v>PRPE</v>
      </c>
      <c r="G758" s="45" t="str">
        <f>IFERROR(__xludf.DUMMYFUNCTION("""COMPUTED_VALUE"""),"MUC")</f>
        <v>MUC</v>
      </c>
      <c r="H758" s="46" t="str">
        <f>IFERROR(__xludf.DUMMYFUNCTION("""COMPUTED_VALUE"""),"Apto 402")</f>
        <v>Apto 402</v>
      </c>
      <c r="I758" s="7" t="str">
        <f>IFERROR(__xludf.DUMMYFUNCTION("""COMPUTED_VALUE"""),"Instalações Hidrossanitárias")</f>
        <v>Instalações Hidrossanitárias</v>
      </c>
      <c r="J758" s="13" t="str">
        <f>IFERROR(__xludf.DUMMYFUNCTION("""COMPUTED_VALUE"""),"02 Hidráulica / 07 - Desentupimento")</f>
        <v>02 Hidráulica / 07 - Desentupimento</v>
      </c>
      <c r="K758" s="13"/>
      <c r="L758" s="13" t="str">
        <f>IFERROR(__xludf.DUMMYFUNCTION("""COMPUTED_VALUE"""),"Pia do tanque de lavar roupa está entupido, apto 402.")</f>
        <v>Pia do tanque de lavar roupa está entupido, apto 402.</v>
      </c>
      <c r="M758" s="20"/>
      <c r="N758" s="26" t="str">
        <f>IFERROR(__xludf.DUMMYFUNCTION("""COMPUTED_VALUE"""),"Realizado")</f>
        <v>Realizado</v>
      </c>
      <c r="O758" s="11">
        <f>IFERROR(__xludf.DUMMYFUNCTION("""COMPUTED_VALUE"""),45400.0)</f>
        <v>45400</v>
      </c>
      <c r="P758" s="11"/>
    </row>
    <row r="759" ht="27.0" customHeight="1">
      <c r="A759" s="20" t="str">
        <f>IFERROR(__xludf.DUMMYFUNCTION("""COMPUTED_VALUE"""),"757/2024")</f>
        <v>757/2024</v>
      </c>
      <c r="B759" s="8">
        <f>IFERROR(__xludf.DUMMYFUNCTION("""COMPUTED_VALUE"""),45397.66516592592)</f>
        <v>45397.66517</v>
      </c>
      <c r="C759" s="44" t="str">
        <f>IFERROR(__xludf.DUMMYFUNCTION("""COMPUTED_VALUE"""),"muc.prpe@ufcat.edu.br")</f>
        <v>muc.prpe@ufcat.edu.br</v>
      </c>
      <c r="D759" s="45" t="str">
        <f>IFERROR(__xludf.DUMMYFUNCTION("""COMPUTED_VALUE"""),"DANIEL DOS REIS SIMÕES")</f>
        <v>DANIEL DOS REIS SIMÕES</v>
      </c>
      <c r="E759" s="47">
        <f>IFERROR(__xludf.DUMMYFUNCTION("""COMPUTED_VALUE"""),5333.0)</f>
        <v>5333</v>
      </c>
      <c r="F759" s="45" t="str">
        <f>IFERROR(__xludf.DUMMYFUNCTION("""COMPUTED_VALUE"""),"PRPE")</f>
        <v>PRPE</v>
      </c>
      <c r="G759" s="45" t="str">
        <f>IFERROR(__xludf.DUMMYFUNCTION("""COMPUTED_VALUE"""),"MUC")</f>
        <v>MUC</v>
      </c>
      <c r="H759" s="46" t="str">
        <f>IFERROR(__xludf.DUMMYFUNCTION("""COMPUTED_VALUE"""),"Apto 303")</f>
        <v>Apto 303</v>
      </c>
      <c r="I759" s="7" t="str">
        <f>IFERROR(__xludf.DUMMYFUNCTION("""COMPUTED_VALUE"""),"Instalações Hidrossanitárias")</f>
        <v>Instalações Hidrossanitárias</v>
      </c>
      <c r="J759" s="13" t="str">
        <f>IFERROR(__xludf.DUMMYFUNCTION("""COMPUTED_VALUE"""),"02 Hidráulica / 07 - Desentupimento")</f>
        <v>02 Hidráulica / 07 - Desentupimento</v>
      </c>
      <c r="K759" s="13"/>
      <c r="L759" s="13" t="str">
        <f>IFERROR(__xludf.DUMMYFUNCTION("""COMPUTED_VALUE"""),"Pia da cozinha está entupida, apto 303.")</f>
        <v>Pia da cozinha está entupida, apto 303.</v>
      </c>
      <c r="M759" s="20"/>
      <c r="N759" s="26" t="str">
        <f>IFERROR(__xludf.DUMMYFUNCTION("""COMPUTED_VALUE"""),"Realizado")</f>
        <v>Realizado</v>
      </c>
      <c r="O759" s="11">
        <f>IFERROR(__xludf.DUMMYFUNCTION("""COMPUTED_VALUE"""),45400.0)</f>
        <v>45400</v>
      </c>
      <c r="P759" s="11"/>
    </row>
    <row r="760" ht="27.0" customHeight="1">
      <c r="A760" s="20" t="str">
        <f>IFERROR(__xludf.DUMMYFUNCTION("""COMPUTED_VALUE"""),"758/2024")</f>
        <v>758/2024</v>
      </c>
      <c r="B760" s="8">
        <f>IFERROR(__xludf.DUMMYFUNCTION("""COMPUTED_VALUE"""),45397.67608604167)</f>
        <v>45397.67609</v>
      </c>
      <c r="C760" s="44" t="str">
        <f>IFERROR(__xludf.DUMMYFUNCTION("""COMPUTED_VALUE"""),"muc.prpe@ufcat.edu.br")</f>
        <v>muc.prpe@ufcat.edu.br</v>
      </c>
      <c r="D760" s="45" t="str">
        <f>IFERROR(__xludf.DUMMYFUNCTION("""COMPUTED_VALUE"""),"DANIEL DOS REIS SIMÕES")</f>
        <v>DANIEL DOS REIS SIMÕES</v>
      </c>
      <c r="E760" s="47">
        <f>IFERROR(__xludf.DUMMYFUNCTION("""COMPUTED_VALUE"""),5333.0)</f>
        <v>5333</v>
      </c>
      <c r="F760" s="45" t="str">
        <f>IFERROR(__xludf.DUMMYFUNCTION("""COMPUTED_VALUE"""),"PRPE")</f>
        <v>PRPE</v>
      </c>
      <c r="G760" s="45" t="str">
        <f>IFERROR(__xludf.DUMMYFUNCTION("""COMPUTED_VALUE"""),"MUC")</f>
        <v>MUC</v>
      </c>
      <c r="H760" s="46" t="str">
        <f>IFERROR(__xludf.DUMMYFUNCTION("""COMPUTED_VALUE"""),"Apto 406")</f>
        <v>Apto 406</v>
      </c>
      <c r="I760" s="7" t="str">
        <f>IFERROR(__xludf.DUMMYFUNCTION("""COMPUTED_VALUE"""),"Instalações elétricas")</f>
        <v>Instalações elétricas</v>
      </c>
      <c r="J760" s="13" t="str">
        <f>IFERROR(__xludf.DUMMYFUNCTION("""COMPUTED_VALUE"""),"04 Elétrica / 37 - Outros")</f>
        <v>04 Elétrica / 37 - Outros</v>
      </c>
      <c r="K760" s="13"/>
      <c r="L760" s="13" t="str">
        <f>IFERROR(__xludf.DUMMYFUNCTION("""COMPUTED_VALUE"""),"Ajustar o ventilador no teto, está solto. Quarto A, apto 406.")</f>
        <v>Ajustar o ventilador no teto, está solto. Quarto A, apto 406.</v>
      </c>
      <c r="M760" s="20"/>
      <c r="N760" s="26" t="str">
        <f>IFERROR(__xludf.DUMMYFUNCTION("""COMPUTED_VALUE"""),"Realizado")</f>
        <v>Realizado</v>
      </c>
      <c r="O760" s="11">
        <f>IFERROR(__xludf.DUMMYFUNCTION("""COMPUTED_VALUE"""),45400.0)</f>
        <v>45400</v>
      </c>
      <c r="P760" s="11"/>
    </row>
    <row r="761" ht="27.0" customHeight="1">
      <c r="A761" s="20" t="str">
        <f>IFERROR(__xludf.DUMMYFUNCTION("""COMPUTED_VALUE"""),"759/2024")</f>
        <v>759/2024</v>
      </c>
      <c r="B761" s="8">
        <f>IFERROR(__xludf.DUMMYFUNCTION("""COMPUTED_VALUE"""),45397.69391862268)</f>
        <v>45397.69392</v>
      </c>
      <c r="C761" s="44" t="str">
        <f>IFERROR(__xludf.DUMMYFUNCTION("""COMPUTED_VALUE"""),"muc.prpe@ufcat.edu.br")</f>
        <v>muc.prpe@ufcat.edu.br</v>
      </c>
      <c r="D761" s="45" t="str">
        <f>IFERROR(__xludf.DUMMYFUNCTION("""COMPUTED_VALUE"""),"DANIEL DOS REIS SIMÕES")</f>
        <v>DANIEL DOS REIS SIMÕES</v>
      </c>
      <c r="E761" s="47">
        <f>IFERROR(__xludf.DUMMYFUNCTION("""COMPUTED_VALUE"""),5333.0)</f>
        <v>5333</v>
      </c>
      <c r="F761" s="45" t="str">
        <f>IFERROR(__xludf.DUMMYFUNCTION("""COMPUTED_VALUE"""),"PRPE")</f>
        <v>PRPE</v>
      </c>
      <c r="G761" s="45" t="str">
        <f>IFERROR(__xludf.DUMMYFUNCTION("""COMPUTED_VALUE"""),"MUC")</f>
        <v>MUC</v>
      </c>
      <c r="H761" s="46" t="str">
        <f>IFERROR(__xludf.DUMMYFUNCTION("""COMPUTED_VALUE"""),"Apto 302")</f>
        <v>Apto 302</v>
      </c>
      <c r="I761" s="7" t="str">
        <f>IFERROR(__xludf.DUMMYFUNCTION("""COMPUTED_VALUE"""),"Pequenos serviços de reparos em Marcenaria")</f>
        <v>Pequenos serviços de reparos em Marcenaria</v>
      </c>
      <c r="J761" s="13" t="str">
        <f>IFERROR(__xludf.DUMMYFUNCTION("""COMPUTED_VALUE"""),"03 Marcenaria / 29 - Outros")</f>
        <v>03 Marcenaria / 29 - Outros</v>
      </c>
      <c r="K761" s="13"/>
      <c r="L761" s="13" t="str">
        <f>IFERROR(__xludf.DUMMYFUNCTION("""COMPUTED_VALUE"""),"Ajustar a alça do armário da cozinha, apto 302.")</f>
        <v>Ajustar a alça do armário da cozinha, apto 302.</v>
      </c>
      <c r="M761" s="20"/>
      <c r="N761" s="26" t="str">
        <f>IFERROR(__xludf.DUMMYFUNCTION("""COMPUTED_VALUE"""),"Realizado")</f>
        <v>Realizado</v>
      </c>
      <c r="O761" s="11">
        <f>IFERROR(__xludf.DUMMYFUNCTION("""COMPUTED_VALUE"""),45400.0)</f>
        <v>45400</v>
      </c>
      <c r="P761" s="11"/>
    </row>
    <row r="762" ht="27.0" customHeight="1">
      <c r="A762" s="20" t="str">
        <f>IFERROR(__xludf.DUMMYFUNCTION("""COMPUTED_VALUE"""),"760/2024")</f>
        <v>760/2024</v>
      </c>
      <c r="B762" s="8">
        <f>IFERROR(__xludf.DUMMYFUNCTION("""COMPUTED_VALUE"""),45397.69694571759)</f>
        <v>45397.69695</v>
      </c>
      <c r="C762" s="44" t="str">
        <f>IFERROR(__xludf.DUMMYFUNCTION("""COMPUTED_VALUE"""),"muc.prpe@ufcat.edu.br")</f>
        <v>muc.prpe@ufcat.edu.br</v>
      </c>
      <c r="D762" s="45" t="str">
        <f>IFERROR(__xludf.DUMMYFUNCTION("""COMPUTED_VALUE"""),"DANIEL DOS REIS SIMÕES")</f>
        <v>DANIEL DOS REIS SIMÕES</v>
      </c>
      <c r="E762" s="47">
        <f>IFERROR(__xludf.DUMMYFUNCTION("""COMPUTED_VALUE"""),5333.0)</f>
        <v>5333</v>
      </c>
      <c r="F762" s="45" t="str">
        <f>IFERROR(__xludf.DUMMYFUNCTION("""COMPUTED_VALUE"""),"PRPE")</f>
        <v>PRPE</v>
      </c>
      <c r="G762" s="45" t="str">
        <f>IFERROR(__xludf.DUMMYFUNCTION("""COMPUTED_VALUE"""),"MUC")</f>
        <v>MUC</v>
      </c>
      <c r="H762" s="46" t="str">
        <f>IFERROR(__xludf.DUMMYFUNCTION("""COMPUTED_VALUE"""),"Apto 406")</f>
        <v>Apto 406</v>
      </c>
      <c r="I762" s="7" t="str">
        <f>IFERROR(__xludf.DUMMYFUNCTION("""COMPUTED_VALUE"""),"Pequenos serviços de reparos em Marcenaria")</f>
        <v>Pequenos serviços de reparos em Marcenaria</v>
      </c>
      <c r="J762" s="13" t="str">
        <f>IFERROR(__xludf.DUMMYFUNCTION("""COMPUTED_VALUE"""),"03 Marcenaria / 29 - Outros")</f>
        <v>03 Marcenaria / 29 - Outros</v>
      </c>
      <c r="K762" s="13"/>
      <c r="L762" s="13" t="str">
        <f>IFERROR(__xludf.DUMMYFUNCTION("""COMPUTED_VALUE"""),"Ajustar a alça do armário da cozinha, apto 406.")</f>
        <v>Ajustar a alça do armário da cozinha, apto 406.</v>
      </c>
      <c r="M762" s="20"/>
      <c r="N762" s="26" t="str">
        <f>IFERROR(__xludf.DUMMYFUNCTION("""COMPUTED_VALUE"""),"Realizado")</f>
        <v>Realizado</v>
      </c>
      <c r="O762" s="11">
        <f>IFERROR(__xludf.DUMMYFUNCTION("""COMPUTED_VALUE"""),45400.0)</f>
        <v>45400</v>
      </c>
      <c r="P762" s="11"/>
    </row>
    <row r="763" ht="27.0" customHeight="1">
      <c r="A763" s="20" t="str">
        <f>IFERROR(__xludf.DUMMYFUNCTION("""COMPUTED_VALUE"""),"761/2024")</f>
        <v>761/2024</v>
      </c>
      <c r="B763" s="8">
        <f>IFERROR(__xludf.DUMMYFUNCTION("""COMPUTED_VALUE"""),45397.699247488425)</f>
        <v>45397.69925</v>
      </c>
      <c r="C763" s="44" t="str">
        <f>IFERROR(__xludf.DUMMYFUNCTION("""COMPUTED_VALUE"""),"muc.prpe@ufcat.edu.br")</f>
        <v>muc.prpe@ufcat.edu.br</v>
      </c>
      <c r="D763" s="45" t="str">
        <f>IFERROR(__xludf.DUMMYFUNCTION("""COMPUTED_VALUE"""),"DANIEL DOS REIS SIMÕES")</f>
        <v>DANIEL DOS REIS SIMÕES</v>
      </c>
      <c r="E763" s="47">
        <f>IFERROR(__xludf.DUMMYFUNCTION("""COMPUTED_VALUE"""),5333.0)</f>
        <v>5333</v>
      </c>
      <c r="F763" s="45" t="str">
        <f>IFERROR(__xludf.DUMMYFUNCTION("""COMPUTED_VALUE"""),"PRPE")</f>
        <v>PRPE</v>
      </c>
      <c r="G763" s="45" t="str">
        <f>IFERROR(__xludf.DUMMYFUNCTION("""COMPUTED_VALUE"""),"MUC")</f>
        <v>MUC</v>
      </c>
      <c r="H763" s="46" t="str">
        <f>IFERROR(__xludf.DUMMYFUNCTION("""COMPUTED_VALUE"""),"3º pavimento")</f>
        <v>3º pavimento</v>
      </c>
      <c r="I763" s="7" t="str">
        <f>IFERROR(__xludf.DUMMYFUNCTION("""COMPUTED_VALUE"""),"Reparos (alvenaria, piso, forro e telhado)")</f>
        <v>Reparos (alvenaria, piso, forro e telhado)</v>
      </c>
      <c r="J763" s="13" t="str">
        <f>IFERROR(__xludf.DUMMYFUNCTION("""COMPUTED_VALUE"""),"01 Alvenaria / 05 - Piso")</f>
        <v>01 Alvenaria / 05 - Piso</v>
      </c>
      <c r="K763" s="13"/>
      <c r="L763" s="13" t="str">
        <f>IFERROR(__xludf.DUMMYFUNCTION("""COMPUTED_VALUE"""),"Colar piso tátil que se soltou no 3º pavimento.")</f>
        <v>Colar piso tátil que se soltou no 3º pavimento.</v>
      </c>
      <c r="M763" s="20"/>
      <c r="N763" s="26" t="str">
        <f>IFERROR(__xludf.DUMMYFUNCTION("""COMPUTED_VALUE"""),"Realizado")</f>
        <v>Realizado</v>
      </c>
      <c r="O763" s="11">
        <f>IFERROR(__xludf.DUMMYFUNCTION("""COMPUTED_VALUE"""),45400.0)</f>
        <v>45400</v>
      </c>
      <c r="P763" s="11"/>
    </row>
    <row r="764" ht="27.0" customHeight="1">
      <c r="A764" s="20" t="str">
        <f>IFERROR(__xludf.DUMMYFUNCTION("""COMPUTED_VALUE"""),"762/2024")</f>
        <v>762/2024</v>
      </c>
      <c r="B764" s="8">
        <f>IFERROR(__xludf.DUMMYFUNCTION("""COMPUTED_VALUE"""),45398.32586734954)</f>
        <v>45398.32587</v>
      </c>
      <c r="C764" s="44" t="str">
        <f>IFERROR(__xludf.DUMMYFUNCTION("""COMPUTED_VALUE"""),"amanda.lopes@ufcat.edu.br")</f>
        <v>amanda.lopes@ufcat.edu.br</v>
      </c>
      <c r="D764" s="45" t="str">
        <f>IFERROR(__xludf.DUMMYFUNCTION("""COMPUTED_VALUE"""),"Amanda Matos ")</f>
        <v>Amanda Matos </v>
      </c>
      <c r="E764" s="47">
        <f>IFERROR(__xludf.DUMMYFUNCTION("""COMPUTED_VALUE"""),5340.0)</f>
        <v>5340</v>
      </c>
      <c r="F764" s="45" t="str">
        <f>IFERROR(__xludf.DUMMYFUNCTION("""COMPUTED_VALUE"""),"PREF")</f>
        <v>PREF</v>
      </c>
      <c r="G764" s="45" t="str">
        <f>IFERROR(__xludf.DUMMYFUNCTION("""COMPUTED_VALUE"""),"Bloco L")</f>
        <v>Bloco L</v>
      </c>
      <c r="H764" s="46" t="str">
        <f>IFERROR(__xludf.DUMMYFUNCTION("""COMPUTED_VALUE"""),"Sala 108")</f>
        <v>Sala 108</v>
      </c>
      <c r="I764" s="7" t="str">
        <f>IFERROR(__xludf.DUMMYFUNCTION("""COMPUTED_VALUE"""),"Pequenos serviços de reparos em Marcenaria")</f>
        <v>Pequenos serviços de reparos em Marcenaria</v>
      </c>
      <c r="J764" s="13" t="str">
        <f>IFERROR(__xludf.DUMMYFUNCTION("""COMPUTED_VALUE"""),"03 Marcenaria / 28 -Troca de Fechaduras")</f>
        <v>03 Marcenaria / 28 -Troca de Fechaduras</v>
      </c>
      <c r="K764" s="13"/>
      <c r="L764" s="13" t="str">
        <f>IFERROR(__xludf.DUMMYFUNCTION("""COMPUTED_VALUE"""),"Troca de fechadura ")</f>
        <v>Troca de fechadura </v>
      </c>
      <c r="M764" s="20"/>
      <c r="N764" s="26" t="str">
        <f>IFERROR(__xludf.DUMMYFUNCTION("""COMPUTED_VALUE"""),"Realizado")</f>
        <v>Realizado</v>
      </c>
      <c r="O764" s="11">
        <f>IFERROR(__xludf.DUMMYFUNCTION("""COMPUTED_VALUE"""),45398.0)</f>
        <v>45398</v>
      </c>
      <c r="P764" s="11"/>
    </row>
    <row r="765" ht="27.0" customHeight="1">
      <c r="A765" s="20" t="str">
        <f>IFERROR(__xludf.DUMMYFUNCTION("""COMPUTED_VALUE"""),"763/2024")</f>
        <v>763/2024</v>
      </c>
      <c r="B765" s="8">
        <f>IFERROR(__xludf.DUMMYFUNCTION("""COMPUTED_VALUE"""),45398.34778707176)</f>
        <v>45398.34779</v>
      </c>
      <c r="C765" s="44" t="str">
        <f>IFERROR(__xludf.DUMMYFUNCTION("""COMPUTED_VALUE"""),"amanda.lopes@ufcat.edu.br")</f>
        <v>amanda.lopes@ufcat.edu.br</v>
      </c>
      <c r="D765" s="45" t="str">
        <f>IFERROR(__xludf.DUMMYFUNCTION("""COMPUTED_VALUE"""),"Amanda Matos ")</f>
        <v>Amanda Matos </v>
      </c>
      <c r="E765" s="47">
        <f>IFERROR(__xludf.DUMMYFUNCTION("""COMPUTED_VALUE"""),5340.0)</f>
        <v>5340</v>
      </c>
      <c r="F765" s="45" t="str">
        <f>IFERROR(__xludf.DUMMYFUNCTION("""COMPUTED_VALUE"""),"PREF")</f>
        <v>PREF</v>
      </c>
      <c r="G765" s="45" t="str">
        <f>IFERROR(__xludf.DUMMYFUNCTION("""COMPUTED_VALUE"""),"Sala do Transporte (DLT)")</f>
        <v>Sala do Transporte (DLT)</v>
      </c>
      <c r="H765" s="46" t="str">
        <f>IFERROR(__xludf.DUMMYFUNCTION("""COMPUTED_VALUE"""),"Alojamento dos motoristas ")</f>
        <v>Alojamento dos motoristas </v>
      </c>
      <c r="I765" s="7" t="str">
        <f>IFERROR(__xludf.DUMMYFUNCTION("""COMPUTED_VALUE"""),"Instalações Hidrossanitárias")</f>
        <v>Instalações Hidrossanitárias</v>
      </c>
      <c r="J765" s="13" t="str">
        <f>IFERROR(__xludf.DUMMYFUNCTION("""COMPUTED_VALUE"""),"02 Hidráulica / 07 - Desentupimento")</f>
        <v>02 Hidráulica / 07 - Desentupimento</v>
      </c>
      <c r="K765" s="13"/>
      <c r="L765" s="13" t="str">
        <f>IFERROR(__xludf.DUMMYFUNCTION("""COMPUTED_VALUE"""),"Desentupir caixa de esgoto ")</f>
        <v>Desentupir caixa de esgoto </v>
      </c>
      <c r="M765" s="20"/>
      <c r="N765" s="26" t="str">
        <f>IFERROR(__xludf.DUMMYFUNCTION("""COMPUTED_VALUE"""),"Realizado")</f>
        <v>Realizado</v>
      </c>
      <c r="O765" s="11">
        <f>IFERROR(__xludf.DUMMYFUNCTION("""COMPUTED_VALUE"""),45398.0)</f>
        <v>45398</v>
      </c>
      <c r="P765" s="11"/>
    </row>
    <row r="766" ht="27.0" customHeight="1">
      <c r="A766" s="20" t="str">
        <f>IFERROR(__xludf.DUMMYFUNCTION("""COMPUTED_VALUE"""),"764/2024")</f>
        <v>764/2024</v>
      </c>
      <c r="B766" s="8">
        <f>IFERROR(__xludf.DUMMYFUNCTION("""COMPUTED_VALUE"""),45398.37426865741)</f>
        <v>45398.37427</v>
      </c>
      <c r="C766" s="44" t="str">
        <f>IFERROR(__xludf.DUMMYFUNCTION("""COMPUTED_VALUE"""),"cristiane_santos@ufcat.edu.br")</f>
        <v>cristiane_santos@ufcat.edu.br</v>
      </c>
      <c r="D766" s="45" t="str">
        <f>IFERROR(__xludf.DUMMYFUNCTION("""COMPUTED_VALUE"""),"Cristiane da Silva Santos")</f>
        <v>Cristiane da Silva Santos</v>
      </c>
      <c r="E766" s="47" t="str">
        <f>IFERROR(__xludf.DUMMYFUNCTION("""COMPUTED_VALUE"""),"(64) 98124-0240")</f>
        <v>(64) 98124-0240</v>
      </c>
      <c r="F766" s="45" t="str">
        <f>IFERROR(__xludf.DUMMYFUNCTION("""COMPUTED_VALUE"""),"IBIOTEC  - Educação Física")</f>
        <v>IBIOTEC  - Educação Física</v>
      </c>
      <c r="G766" s="45" t="str">
        <f>IFERROR(__xludf.DUMMYFUNCTION("""COMPUTED_VALUE"""),"Quadra/Campo")</f>
        <v>Quadra/Campo</v>
      </c>
      <c r="H766" s="46" t="str">
        <f>IFERROR(__xludf.DUMMYFUNCTION("""COMPUTED_VALUE"""),"Ver com a Professora Heliany do curso")</f>
        <v>Ver com a Professora Heliany do curso</v>
      </c>
      <c r="I766" s="7" t="str">
        <f>IFERROR(__xludf.DUMMYFUNCTION("""COMPUTED_VALUE"""),"Serralheria")</f>
        <v>Serralheria</v>
      </c>
      <c r="J766" s="13" t="str">
        <f>IFERROR(__xludf.DUMMYFUNCTION("""COMPUTED_VALUE"""),"08 Serralheria / 56 - Outros")</f>
        <v>08 Serralheria / 56 - Outros</v>
      </c>
      <c r="K766" s="13"/>
      <c r="L766" s="13" t="str">
        <f>IFERROR(__xludf.DUMMYFUNCTION("""COMPUTED_VALUE"""),"Fazer uma base para fixação do banco de arremesso/lançamento que vocês já estão fabricando. Uma base de concreto e de metalon/ferro. Na imagem anexada é a parte cinza (cimento) e amarela.")</f>
        <v>Fazer uma base para fixação do banco de arremesso/lançamento que vocês já estão fabricando. Uma base de concreto e de metalon/ferro. Na imagem anexada é a parte cinza (cimento) e amarela.</v>
      </c>
      <c r="M766" s="20"/>
      <c r="N766" s="26" t="str">
        <f>IFERROR(__xludf.DUMMYFUNCTION("""COMPUTED_VALUE"""),"Aguardando análise")</f>
        <v>Aguardando análise</v>
      </c>
      <c r="O766" s="11"/>
      <c r="P766" s="11"/>
    </row>
    <row r="767" ht="27.0" customHeight="1">
      <c r="A767" s="20" t="str">
        <f>IFERROR(__xludf.DUMMYFUNCTION("""COMPUTED_VALUE"""),"765/2024")</f>
        <v>765/2024</v>
      </c>
      <c r="B767" s="8">
        <f>IFERROR(__xludf.DUMMYFUNCTION("""COMPUTED_VALUE"""),45398.397053402776)</f>
        <v>45398.39705</v>
      </c>
      <c r="C767" s="44" t="str">
        <f>IFERROR(__xludf.DUMMYFUNCTION("""COMPUTED_VALUE"""),"letras.ingles@ufcat.edu.br")</f>
        <v>letras.ingles@ufcat.edu.br</v>
      </c>
      <c r="D767" s="45" t="str">
        <f>IFERROR(__xludf.DUMMYFUNCTION("""COMPUTED_VALUE"""),"Rejane")</f>
        <v>Rejane</v>
      </c>
      <c r="E767" s="47">
        <f>IFERROR(__xludf.DUMMYFUNCTION("""COMPUTED_VALUE"""),5304.0)</f>
        <v>5304</v>
      </c>
      <c r="F767" s="45" t="str">
        <f>IFERROR(__xludf.DUMMYFUNCTION("""COMPUTED_VALUE"""),"IEL")</f>
        <v>IEL</v>
      </c>
      <c r="G767" s="45" t="str">
        <f>IFERROR(__xludf.DUMMYFUNCTION("""COMPUTED_VALUE"""),"Bloco G")</f>
        <v>Bloco G</v>
      </c>
      <c r="H767" s="46" t="str">
        <f>IFERROR(__xludf.DUMMYFUNCTION("""COMPUTED_VALUE"""),"Gabinete 4C da sala 04")</f>
        <v>Gabinete 4C da sala 04</v>
      </c>
      <c r="I767" s="7" t="str">
        <f>IFERROR(__xludf.DUMMYFUNCTION("""COMPUTED_VALUE"""),"Pequenos serviços de reparos em Marcenaria")</f>
        <v>Pequenos serviços de reparos em Marcenaria</v>
      </c>
      <c r="J767" s="13" t="str">
        <f>IFERROR(__xludf.DUMMYFUNCTION("""COMPUTED_VALUE"""),"03 Marcenaria / 29 - Outros")</f>
        <v>03 Marcenaria / 29 - Outros</v>
      </c>
      <c r="K767" s="13"/>
      <c r="L767" s="13" t="str">
        <f>IFERROR(__xludf.DUMMYFUNCTION("""COMPUTED_VALUE"""),"Porta com dificuldade para destrancar.")</f>
        <v>Porta com dificuldade para destrancar.</v>
      </c>
      <c r="M767" s="20"/>
      <c r="N767" s="26" t="str">
        <f>IFERROR(__xludf.DUMMYFUNCTION("""COMPUTED_VALUE"""),"Realizado")</f>
        <v>Realizado</v>
      </c>
      <c r="O767" s="11">
        <f>IFERROR(__xludf.DUMMYFUNCTION("""COMPUTED_VALUE"""),45398.0)</f>
        <v>45398</v>
      </c>
      <c r="P767" s="11"/>
    </row>
    <row r="768" ht="27.0" customHeight="1">
      <c r="A768" s="20" t="str">
        <f>IFERROR(__xludf.DUMMYFUNCTION("""COMPUTED_VALUE"""),"766/2024")</f>
        <v>766/2024</v>
      </c>
      <c r="B768" s="8">
        <f>IFERROR(__xludf.DUMMYFUNCTION("""COMPUTED_VALUE"""),45398.42711862268)</f>
        <v>45398.42712</v>
      </c>
      <c r="C768" s="44" t="str">
        <f>IFERROR(__xludf.DUMMYFUNCTION("""COMPUTED_VALUE"""),"mariaeduarda.borges@ufcat.edu.br")</f>
        <v>mariaeduarda.borges@ufcat.edu.br</v>
      </c>
      <c r="D768" s="45" t="str">
        <f>IFERROR(__xludf.DUMMYFUNCTION("""COMPUTED_VALUE"""),"mariaeduarda.borges@ufcat.edu.br")</f>
        <v>mariaeduarda.borges@ufcat.edu.br</v>
      </c>
      <c r="E768" s="47" t="str">
        <f>IFERROR(__xludf.DUMMYFUNCTION("""COMPUTED_VALUE"""),"mariaeduarda.borges@ufcat.edu.br")</f>
        <v>mariaeduarda.borges@ufcat.edu.br</v>
      </c>
      <c r="F768" s="45" t="str">
        <f>IFERROR(__xludf.DUMMYFUNCTION("""COMPUTED_VALUE"""),"SETI")</f>
        <v>SETI</v>
      </c>
      <c r="G768" s="45" t="str">
        <f>IFERROR(__xludf.DUMMYFUNCTION("""COMPUTED_VALUE"""),"SETI")</f>
        <v>SETI</v>
      </c>
      <c r="H768" s="46" t="str">
        <f>IFERROR(__xludf.DUMMYFUNCTION("""COMPUTED_VALUE"""),"Porta de entrada da SETI")</f>
        <v>Porta de entrada da SETI</v>
      </c>
      <c r="I768" s="7" t="str">
        <f>IFERROR(__xludf.DUMMYFUNCTION("""COMPUTED_VALUE"""),"Vidraçaria")</f>
        <v>Vidraçaria</v>
      </c>
      <c r="J768" s="13" t="str">
        <f>IFERROR(__xludf.DUMMYFUNCTION("""COMPUTED_VALUE"""),"07 Vidraçaria / 51 - Outros")</f>
        <v>07 Vidraçaria / 51 - Outros</v>
      </c>
      <c r="K768" s="13"/>
      <c r="L768" s="13" t="str">
        <f>IFERROR(__xludf.DUMMYFUNCTION("""COMPUTED_VALUE"""),"Porta de entrada batendo muito, correndo o risco de quebrar, onde a mesma não tem pino para trava.")</f>
        <v>Porta de entrada batendo muito, correndo o risco de quebrar, onde a mesma não tem pino para trava.</v>
      </c>
      <c r="M768" s="20"/>
      <c r="N768" s="26" t="str">
        <f>IFERROR(__xludf.DUMMYFUNCTION("""COMPUTED_VALUE"""),"Realizado")</f>
        <v>Realizado</v>
      </c>
      <c r="O768" s="11">
        <f>IFERROR(__xludf.DUMMYFUNCTION("""COMPUTED_VALUE"""),45398.0)</f>
        <v>45398</v>
      </c>
      <c r="P768" s="11"/>
    </row>
    <row r="769" ht="27.0" customHeight="1">
      <c r="A769" s="20" t="str">
        <f>IFERROR(__xludf.DUMMYFUNCTION("""COMPUTED_VALUE"""),"767/2024")</f>
        <v>767/2024</v>
      </c>
      <c r="B769" s="8">
        <f>IFERROR(__xludf.DUMMYFUNCTION("""COMPUTED_VALUE"""),45398.471256226854)</f>
        <v>45398.47126</v>
      </c>
      <c r="C769" s="44" t="str">
        <f>IFERROR(__xludf.DUMMYFUNCTION("""COMPUTED_VALUE"""),"cpatri.proaf@ufcat.edu.br")</f>
        <v>cpatri.proaf@ufcat.edu.br</v>
      </c>
      <c r="D769" s="45" t="str">
        <f>IFERROR(__xludf.DUMMYFUNCTION("""COMPUTED_VALUE"""),"Oidê Sobrinho")</f>
        <v>Oidê Sobrinho</v>
      </c>
      <c r="E769" s="47">
        <f>IFERROR(__xludf.DUMMYFUNCTION("""COMPUTED_VALUE"""),5343.0)</f>
        <v>5343</v>
      </c>
      <c r="F769" s="45" t="str">
        <f>IFERROR(__xludf.DUMMYFUNCTION("""COMPUTED_VALUE"""),"CPATRI")</f>
        <v>CPATRI</v>
      </c>
      <c r="G769" s="45" t="str">
        <f>IFERROR(__xludf.DUMMYFUNCTION("""COMPUTED_VALUE"""),"Auditório Paulo de Bastos")</f>
        <v>Auditório Paulo de Bastos</v>
      </c>
      <c r="H769" s="46" t="str">
        <f>IFERROR(__xludf.DUMMYFUNCTION("""COMPUTED_VALUE"""),"Fundo do auditorio")</f>
        <v>Fundo do auditorio</v>
      </c>
      <c r="I769" s="7" t="str">
        <f>IFERROR(__xludf.DUMMYFUNCTION("""COMPUTED_VALUE"""),"Vidraçaria")</f>
        <v>Vidraçaria</v>
      </c>
      <c r="J769" s="13" t="str">
        <f>IFERROR(__xludf.DUMMYFUNCTION("""COMPUTED_VALUE"""),"07 Vidraçaria / 49 - Vidro de Porta")</f>
        <v>07 Vidraçaria / 49 - Vidro de Porta</v>
      </c>
      <c r="K769" s="13"/>
      <c r="L769" s="13" t="str">
        <f>IFERROR(__xludf.DUMMYFUNCTION("""COMPUTED_VALUE"""),"O vidro do porta dos fundos do auditorio quebrou, Aurelio ja deu uma olhada e disse que tem vidro para reposição, precisamos da troca com uma certa urgência, pois está perigoso correndo risco de causar acidentes!")</f>
        <v>O vidro do porta dos fundos do auditorio quebrou, Aurelio ja deu uma olhada e disse que tem vidro para reposição, precisamos da troca com uma certa urgência, pois está perigoso correndo risco de causar acidentes!</v>
      </c>
      <c r="M769" s="20"/>
      <c r="N769" s="26" t="str">
        <f>IFERROR(__xludf.DUMMYFUNCTION("""COMPUTED_VALUE"""),"Realizado")</f>
        <v>Realizado</v>
      </c>
      <c r="O769" s="11">
        <f>IFERROR(__xludf.DUMMYFUNCTION("""COMPUTED_VALUE"""),45399.0)</f>
        <v>45399</v>
      </c>
      <c r="P769" s="11"/>
    </row>
    <row r="770" ht="27.0" customHeight="1">
      <c r="A770" s="20" t="str">
        <f>IFERROR(__xludf.DUMMYFUNCTION("""COMPUTED_VALUE"""),"768/2024")</f>
        <v>768/2024</v>
      </c>
      <c r="B770" s="8">
        <f>IFERROR(__xludf.DUMMYFUNCTION("""COMPUTED_VALUE"""),45398.48113461805)</f>
        <v>45398.48113</v>
      </c>
      <c r="C770" s="44" t="str">
        <f>IFERROR(__xludf.DUMMYFUNCTION("""COMPUTED_VALUE"""),"nataly_felix@ufcat.edu.br")</f>
        <v>nataly_felix@ufcat.edu.br</v>
      </c>
      <c r="D770" s="45" t="str">
        <f>IFERROR(__xludf.DUMMYFUNCTION("""COMPUTED_VALUE"""),"Nátaly Félix")</f>
        <v>Nátaly Félix</v>
      </c>
      <c r="E770" s="47">
        <f>IFERROR(__xludf.DUMMYFUNCTION("""COMPUTED_VALUE"""),5379.0)</f>
        <v>5379</v>
      </c>
      <c r="F770" s="45" t="str">
        <f>IFERROR(__xludf.DUMMYFUNCTION("""COMPUTED_VALUE"""),"PREF")</f>
        <v>PREF</v>
      </c>
      <c r="G770" s="45" t="str">
        <f>IFERROR(__xludf.DUMMYFUNCTION("""COMPUTED_VALUE"""),"Didatico I")</f>
        <v>Didatico I</v>
      </c>
      <c r="H770" s="46" t="str">
        <f>IFERROR(__xludf.DUMMYFUNCTION("""COMPUTED_VALUE"""),"hall de entrada")</f>
        <v>hall de entrada</v>
      </c>
      <c r="I770" s="7" t="str">
        <f>IFERROR(__xludf.DUMMYFUNCTION("""COMPUTED_VALUE"""),"Pequenos serviços de reparos em Marcenaria")</f>
        <v>Pequenos serviços de reparos em Marcenaria</v>
      </c>
      <c r="J770" s="13" t="str">
        <f>IFERROR(__xludf.DUMMYFUNCTION("""COMPUTED_VALUE"""),"03 Marcenaria / 24 - Conserto de Móveis")</f>
        <v>03 Marcenaria / 24 - Conserto de Móveis</v>
      </c>
      <c r="K770" s="13"/>
      <c r="L770" s="13" t="str">
        <f>IFERROR(__xludf.DUMMYFUNCTION("""COMPUTED_VALUE"""),"a vigia Sandra Luzia (Delta 06) relatou que o balcão do hall de entrada do Bloco Didático ll, está danificado.")</f>
        <v>a vigia Sandra Luzia (Delta 06) relatou que o balcão do hall de entrada do Bloco Didático ll, está danificado.</v>
      </c>
      <c r="M770" s="20"/>
      <c r="N770" s="26" t="str">
        <f>IFERROR(__xludf.DUMMYFUNCTION("""COMPUTED_VALUE"""),"Realizado")</f>
        <v>Realizado</v>
      </c>
      <c r="O770" s="11">
        <f>IFERROR(__xludf.DUMMYFUNCTION("""COMPUTED_VALUE"""),45398.0)</f>
        <v>45398</v>
      </c>
      <c r="P770" s="11"/>
    </row>
    <row r="771" ht="27.0" customHeight="1">
      <c r="A771" s="20" t="str">
        <f>IFERROR(__xludf.DUMMYFUNCTION("""COMPUTED_VALUE"""),"769/2024")</f>
        <v>769/2024</v>
      </c>
      <c r="B771" s="8">
        <f>IFERROR(__xludf.DUMMYFUNCTION("""COMPUTED_VALUE"""),45398.483153912035)</f>
        <v>45398.48315</v>
      </c>
      <c r="C771" s="44" t="str">
        <f>IFERROR(__xludf.DUMMYFUNCTION("""COMPUTED_VALUE"""),"nataly_felix@ufcat.edu.br")</f>
        <v>nataly_felix@ufcat.edu.br</v>
      </c>
      <c r="D771" s="45" t="str">
        <f>IFERROR(__xludf.DUMMYFUNCTION("""COMPUTED_VALUE"""),"Nátaly Félix")</f>
        <v>Nátaly Félix</v>
      </c>
      <c r="E771" s="47">
        <f>IFERROR(__xludf.DUMMYFUNCTION("""COMPUTED_VALUE"""),5379.0)</f>
        <v>5379</v>
      </c>
      <c r="F771" s="45" t="str">
        <f>IFERROR(__xludf.DUMMYFUNCTION("""COMPUTED_VALUE"""),"PREF")</f>
        <v>PREF</v>
      </c>
      <c r="G771" s="45" t="str">
        <f>IFERROR(__xludf.DUMMYFUNCTION("""COMPUTED_VALUE"""),"Didatico I")</f>
        <v>Didatico I</v>
      </c>
      <c r="H771" s="46" t="str">
        <f>IFERROR(__xludf.DUMMYFUNCTION("""COMPUTED_VALUE"""),"sala 207")</f>
        <v>sala 207</v>
      </c>
      <c r="I771" s="7" t="str">
        <f>IFERROR(__xludf.DUMMYFUNCTION("""COMPUTED_VALUE"""),"Pequenos serviços de reparos em Marcenaria")</f>
        <v>Pequenos serviços de reparos em Marcenaria</v>
      </c>
      <c r="J771" s="13" t="str">
        <f>IFERROR(__xludf.DUMMYFUNCTION("""COMPUTED_VALUE"""),"03 Marcenaria / 28 -Troca de Fechaduras")</f>
        <v>03 Marcenaria / 28 -Troca de Fechaduras</v>
      </c>
      <c r="K771" s="13"/>
      <c r="L771" s="13" t="str">
        <f>IFERROR(__xludf.DUMMYFUNCTION("""COMPUTED_VALUE"""),"vigia Sandra Luzia (Delta 06) relatou que a fechadura da porta da Sala 207 do Bloco Didático l, está danificada.")</f>
        <v>vigia Sandra Luzia (Delta 06) relatou que a fechadura da porta da Sala 207 do Bloco Didático l, está danificada.</v>
      </c>
      <c r="M771" s="20"/>
      <c r="N771" s="26" t="str">
        <f>IFERROR(__xludf.DUMMYFUNCTION("""COMPUTED_VALUE"""),"Realizado")</f>
        <v>Realizado</v>
      </c>
      <c r="O771" s="11">
        <f>IFERROR(__xludf.DUMMYFUNCTION("""COMPUTED_VALUE"""),45398.0)</f>
        <v>45398</v>
      </c>
      <c r="P771" s="11"/>
    </row>
    <row r="772" ht="27.0" customHeight="1">
      <c r="A772" s="20" t="str">
        <f>IFERROR(__xludf.DUMMYFUNCTION("""COMPUTED_VALUE"""),"770/2024")</f>
        <v>770/2024</v>
      </c>
      <c r="B772" s="8">
        <f>IFERROR(__xludf.DUMMYFUNCTION("""COMPUTED_VALUE"""),45398.484363703705)</f>
        <v>45398.48436</v>
      </c>
      <c r="C772" s="44" t="str">
        <f>IFERROR(__xludf.DUMMYFUNCTION("""COMPUTED_VALUE"""),"nataly_felix@ufcat.edu.br")</f>
        <v>nataly_felix@ufcat.edu.br</v>
      </c>
      <c r="D772" s="45" t="str">
        <f>IFERROR(__xludf.DUMMYFUNCTION("""COMPUTED_VALUE"""),"Nátaly Félix")</f>
        <v>Nátaly Félix</v>
      </c>
      <c r="E772" s="47">
        <f>IFERROR(__xludf.DUMMYFUNCTION("""COMPUTED_VALUE"""),5379.0)</f>
        <v>5379</v>
      </c>
      <c r="F772" s="45" t="str">
        <f>IFERROR(__xludf.DUMMYFUNCTION("""COMPUTED_VALUE"""),"PREF")</f>
        <v>PREF</v>
      </c>
      <c r="G772" s="45" t="str">
        <f>IFERROR(__xludf.DUMMYFUNCTION("""COMPUTED_VALUE"""),"Centro de convivência")</f>
        <v>Centro de convivência</v>
      </c>
      <c r="H772" s="46" t="str">
        <f>IFERROR(__xludf.DUMMYFUNCTION("""COMPUTED_VALUE"""),"Centro de Convivência Estudantil")</f>
        <v>Centro de Convivência Estudantil</v>
      </c>
      <c r="I772" s="7" t="str">
        <f>IFERROR(__xludf.DUMMYFUNCTION("""COMPUTED_VALUE"""),"Vidraçaria")</f>
        <v>Vidraçaria</v>
      </c>
      <c r="J772" s="13" t="str">
        <f>IFERROR(__xludf.DUMMYFUNCTION("""COMPUTED_VALUE"""),"07 Vidraçaria / 50 - Trava interna janela")</f>
        <v>07 Vidraçaria / 50 - Trava interna janela</v>
      </c>
      <c r="K772" s="13"/>
      <c r="L772" s="13" t="str">
        <f>IFERROR(__xludf.DUMMYFUNCTION("""COMPUTED_VALUE"""),"vigia Fernanda Costa (Delta 04) relatou que a trava da janela do Centro de Convivência Estudantil (CCE), está danificada.")</f>
        <v>vigia Fernanda Costa (Delta 04) relatou que a trava da janela do Centro de Convivência Estudantil (CCE), está danificada.</v>
      </c>
      <c r="M772" s="20"/>
      <c r="N772" s="26" t="str">
        <f>IFERROR(__xludf.DUMMYFUNCTION("""COMPUTED_VALUE"""),"Realizado")</f>
        <v>Realizado</v>
      </c>
      <c r="O772" s="11">
        <f>IFERROR(__xludf.DUMMYFUNCTION("""COMPUTED_VALUE"""),45399.0)</f>
        <v>45399</v>
      </c>
      <c r="P772" s="11"/>
    </row>
    <row r="773" ht="27.0" customHeight="1">
      <c r="A773" s="20" t="str">
        <f>IFERROR(__xludf.DUMMYFUNCTION("""COMPUTED_VALUE"""),"771/2024")</f>
        <v>771/2024</v>
      </c>
      <c r="B773" s="8">
        <f>IFERROR(__xludf.DUMMYFUNCTION("""COMPUTED_VALUE"""),45398.48766859954)</f>
        <v>45398.48767</v>
      </c>
      <c r="C773" s="44" t="str">
        <f>IFERROR(__xludf.DUMMYFUNCTION("""COMPUTED_VALUE"""),"editoraletrasdocerrado@ufcat.edu.br")</f>
        <v>editoraletrasdocerrado@ufcat.edu.br</v>
      </c>
      <c r="D773" s="45" t="str">
        <f>IFERROR(__xludf.DUMMYFUNCTION("""COMPUTED_VALUE"""),"Leonardo Ferreira")</f>
        <v>Leonardo Ferreira</v>
      </c>
      <c r="E773" s="47">
        <f>IFERROR(__xludf.DUMMYFUNCTION("""COMPUTED_VALUE"""),5351.0)</f>
        <v>5351</v>
      </c>
      <c r="F773" s="45" t="str">
        <f>IFERROR(__xludf.DUMMYFUNCTION("""COMPUTED_VALUE"""),"EDITORA")</f>
        <v>EDITORA</v>
      </c>
      <c r="G773" s="45" t="str">
        <f>IFERROR(__xludf.DUMMYFUNCTION("""COMPUTED_VALUE"""),"Biblioteca")</f>
        <v>Biblioteca</v>
      </c>
      <c r="H773" s="46" t="str">
        <f>IFERROR(__xludf.DUMMYFUNCTION("""COMPUTED_VALUE"""),"Subsolo (Editora)")</f>
        <v>Subsolo (Editora)</v>
      </c>
      <c r="I773" s="7" t="str">
        <f>IFERROR(__xludf.DUMMYFUNCTION("""COMPUTED_VALUE"""),"Instalações elétricas")</f>
        <v>Instalações elétricas</v>
      </c>
      <c r="J773" s="13" t="str">
        <f>IFERROR(__xludf.DUMMYFUNCTION("""COMPUTED_VALUE"""),"04 Elétrica / 37 - Outros")</f>
        <v>04 Elétrica / 37 - Outros</v>
      </c>
      <c r="K773" s="13"/>
      <c r="L773" s="13" t="str">
        <f>IFERROR(__xludf.DUMMYFUNCTION("""COMPUTED_VALUE"""),"Reiniciar o AR condicionado ")</f>
        <v>Reiniciar o AR condicionado </v>
      </c>
      <c r="M773" s="20"/>
      <c r="N773" s="26" t="str">
        <f>IFERROR(__xludf.DUMMYFUNCTION("""COMPUTED_VALUE"""),"Realizado")</f>
        <v>Realizado</v>
      </c>
      <c r="O773" s="11">
        <f>IFERROR(__xludf.DUMMYFUNCTION("""COMPUTED_VALUE"""),45398.0)</f>
        <v>45398</v>
      </c>
      <c r="P773" s="11"/>
    </row>
    <row r="774" ht="27.0" customHeight="1">
      <c r="A774" s="20" t="str">
        <f>IFERROR(__xludf.DUMMYFUNCTION("""COMPUTED_VALUE"""),"772/2024")</f>
        <v>772/2024</v>
      </c>
      <c r="B774" s="8">
        <f>IFERROR(__xludf.DUMMYFUNCTION("""COMPUTED_VALUE"""),45398.57253251158)</f>
        <v>45398.57253</v>
      </c>
      <c r="C774" s="44" t="str">
        <f>IFERROR(__xludf.DUMMYFUNCTION("""COMPUTED_VALUE"""),"amanda.lopes@ufcat.edu.br")</f>
        <v>amanda.lopes@ufcat.edu.br</v>
      </c>
      <c r="D774" s="45" t="str">
        <f>IFERROR(__xludf.DUMMYFUNCTION("""COMPUTED_VALUE"""),"Amanda Matos ")</f>
        <v>Amanda Matos </v>
      </c>
      <c r="E774" s="47">
        <f>IFERROR(__xludf.DUMMYFUNCTION("""COMPUTED_VALUE"""),5340.0)</f>
        <v>5340</v>
      </c>
      <c r="F774" s="45" t="str">
        <f>IFERROR(__xludf.DUMMYFUNCTION("""COMPUTED_VALUE"""),"PREF")</f>
        <v>PREF</v>
      </c>
      <c r="G774" s="45" t="str">
        <f>IFERROR(__xludf.DUMMYFUNCTION("""COMPUTED_VALUE"""),"Bloco L")</f>
        <v>Bloco L</v>
      </c>
      <c r="H774" s="46" t="str">
        <f>IFERROR(__xludf.DUMMYFUNCTION("""COMPUTED_VALUE"""),"Sala 108")</f>
        <v>Sala 108</v>
      </c>
      <c r="I774" s="7" t="str">
        <f>IFERROR(__xludf.DUMMYFUNCTION("""COMPUTED_VALUE"""),"Instalações elétricas")</f>
        <v>Instalações elétricas</v>
      </c>
      <c r="J774" s="13" t="str">
        <f>IFERROR(__xludf.DUMMYFUNCTION("""COMPUTED_VALUE"""),"04 Elétrica / 35 - Troca de Lâmpadas")</f>
        <v>04 Elétrica / 35 - Troca de Lâmpadas</v>
      </c>
      <c r="K774" s="13"/>
      <c r="L774" s="13" t="str">
        <f>IFERROR(__xludf.DUMMYFUNCTION("""COMPUTED_VALUE"""),"Instalação de luminaria ")</f>
        <v>Instalação de luminaria </v>
      </c>
      <c r="M774" s="20"/>
      <c r="N774" s="26" t="str">
        <f>IFERROR(__xludf.DUMMYFUNCTION("""COMPUTED_VALUE"""),"Realizado")</f>
        <v>Realizado</v>
      </c>
      <c r="O774" s="11">
        <f>IFERROR(__xludf.DUMMYFUNCTION("""COMPUTED_VALUE"""),45399.0)</f>
        <v>45399</v>
      </c>
      <c r="P774" s="11"/>
    </row>
    <row r="775" ht="27.0" customHeight="1">
      <c r="A775" s="20" t="str">
        <f>IFERROR(__xludf.DUMMYFUNCTION("""COMPUTED_VALUE"""),"773/2024")</f>
        <v>773/2024</v>
      </c>
      <c r="B775" s="8">
        <f>IFERROR(__xludf.DUMMYFUNCTION("""COMPUTED_VALUE"""),45398.579938993054)</f>
        <v>45398.57994</v>
      </c>
      <c r="C775" s="44" t="str">
        <f>IFERROR(__xludf.DUMMYFUNCTION("""COMPUTED_VALUE"""),"filipe.almeida@ufcat.edu.br")</f>
        <v>filipe.almeida@ufcat.edu.br</v>
      </c>
      <c r="D775" s="45" t="str">
        <f>IFERROR(__xludf.DUMMYFUNCTION("""COMPUTED_VALUE"""),"Filipe")</f>
        <v>Filipe</v>
      </c>
      <c r="E775" s="47">
        <f>IFERROR(__xludf.DUMMYFUNCTION("""COMPUTED_VALUE"""),5363.0)</f>
        <v>5363</v>
      </c>
      <c r="F775" s="45" t="str">
        <f>IFERROR(__xludf.DUMMYFUNCTION("""COMPUTED_VALUE"""),"PREF")</f>
        <v>PREF</v>
      </c>
      <c r="G775" s="45" t="str">
        <f>IFERROR(__xludf.DUMMYFUNCTION("""COMPUTED_VALUE"""),"Bloco L")</f>
        <v>Bloco L</v>
      </c>
      <c r="H775" s="46" t="str">
        <f>IFERROR(__xludf.DUMMYFUNCTION("""COMPUTED_VALUE"""),"Elevador ")</f>
        <v>Elevador </v>
      </c>
      <c r="I775" s="7" t="str">
        <f>IFERROR(__xludf.DUMMYFUNCTION("""COMPUTED_VALUE"""),"Instalações elétricas")</f>
        <v>Instalações elétricas</v>
      </c>
      <c r="J775" s="13" t="str">
        <f>IFERROR(__xludf.DUMMYFUNCTION("""COMPUTED_VALUE"""),"04 Elétrica / 35 - Troca de Lâmpadas")</f>
        <v>04 Elétrica / 35 - Troca de Lâmpadas</v>
      </c>
      <c r="K775" s="13"/>
      <c r="L775" s="13" t="str">
        <f>IFERROR(__xludf.DUMMYFUNCTION("""COMPUTED_VALUE"""),"Trocar lâmpada do elevador")</f>
        <v>Trocar lâmpada do elevador</v>
      </c>
      <c r="M775" s="20"/>
      <c r="N775" s="26" t="str">
        <f>IFERROR(__xludf.DUMMYFUNCTION("""COMPUTED_VALUE"""),"Realizado")</f>
        <v>Realizado</v>
      </c>
      <c r="O775" s="11">
        <f>IFERROR(__xludf.DUMMYFUNCTION("""COMPUTED_VALUE"""),45399.0)</f>
        <v>45399</v>
      </c>
      <c r="P775" s="11"/>
    </row>
    <row r="776" ht="27.0" customHeight="1">
      <c r="A776" s="20" t="str">
        <f>IFERROR(__xludf.DUMMYFUNCTION("""COMPUTED_VALUE"""),"774/2024")</f>
        <v>774/2024</v>
      </c>
      <c r="B776" s="8">
        <f>IFERROR(__xludf.DUMMYFUNCTION("""COMPUTED_VALUE"""),45398.61163060185)</f>
        <v>45398.61163</v>
      </c>
      <c r="C776" s="44" t="str">
        <f>IFERROR(__xludf.DUMMYFUNCTION("""COMPUTED_VALUE"""),"mirian.lima@ufcat.edu.br")</f>
        <v>mirian.lima@ufcat.edu.br</v>
      </c>
      <c r="D776" s="45" t="str">
        <f>IFERROR(__xludf.DUMMYFUNCTION("""COMPUTED_VALUE"""),"Mirian de Jesus Lima")</f>
        <v>Mirian de Jesus Lima</v>
      </c>
      <c r="E776" s="47">
        <f>IFERROR(__xludf.DUMMYFUNCTION("""COMPUTED_VALUE"""),5323.0)</f>
        <v>5323</v>
      </c>
      <c r="F776" s="45" t="str">
        <f>IFERROR(__xludf.DUMMYFUNCTION("""COMPUTED_VALUE"""),"IBIOTEC - Ciências da Computação")</f>
        <v>IBIOTEC - Ciências da Computação</v>
      </c>
      <c r="G776" s="45" t="str">
        <f>IFERROR(__xludf.DUMMYFUNCTION("""COMPUTED_VALUE"""),"Bloco M")</f>
        <v>Bloco M</v>
      </c>
      <c r="H776" s="46" t="str">
        <f>IFERROR(__xludf.DUMMYFUNCTION("""COMPUTED_VALUE"""),"Hall do 3º andar")</f>
        <v>Hall do 3º andar</v>
      </c>
      <c r="I776" s="7" t="str">
        <f>IFERROR(__xludf.DUMMYFUNCTION("""COMPUTED_VALUE"""),"Pequenos serviços de reparos em Marcenaria")</f>
        <v>Pequenos serviços de reparos em Marcenaria</v>
      </c>
      <c r="J776" s="13" t="str">
        <f>IFERROR(__xludf.DUMMYFUNCTION("""COMPUTED_VALUE"""),"03 Marcenaria / 29 - Outros")</f>
        <v>03 Marcenaria / 29 - Outros</v>
      </c>
      <c r="K776" s="13"/>
      <c r="L776" s="13" t="str">
        <f>IFERROR(__xludf.DUMMYFUNCTION("""COMPUTED_VALUE"""),"Desmontar 2 mesas em L de madeira que estão no Hall para poder movimentá-las para a Sala 315.")</f>
        <v>Desmontar 2 mesas em L de madeira que estão no Hall para poder movimentá-las para a Sala 315.</v>
      </c>
      <c r="M776" s="20"/>
      <c r="N776" s="26" t="str">
        <f>IFERROR(__xludf.DUMMYFUNCTION("""COMPUTED_VALUE"""),"Realizado")</f>
        <v>Realizado</v>
      </c>
      <c r="O776" s="11">
        <f>IFERROR(__xludf.DUMMYFUNCTION("""COMPUTED_VALUE"""),45399.0)</f>
        <v>45399</v>
      </c>
      <c r="P776" s="11"/>
    </row>
    <row r="777" ht="27.0" customHeight="1">
      <c r="A777" s="20" t="str">
        <f>IFERROR(__xludf.DUMMYFUNCTION("""COMPUTED_VALUE"""),"775/2024")</f>
        <v>775/2024</v>
      </c>
      <c r="B777" s="8">
        <f>IFERROR(__xludf.DUMMYFUNCTION("""COMPUTED_VALUE"""),45398.61334686342)</f>
        <v>45398.61335</v>
      </c>
      <c r="C777" s="44" t="str">
        <f>IFERROR(__xludf.DUMMYFUNCTION("""COMPUTED_VALUE"""),"medicina.ibiotec@ufcat.edu.br")</f>
        <v>medicina.ibiotec@ufcat.edu.br</v>
      </c>
      <c r="D777" s="45" t="str">
        <f>IFERROR(__xludf.DUMMYFUNCTION("""COMPUTED_VALUE"""),"Thaiany dos Santos Silva de Aquino")</f>
        <v>Thaiany dos Santos Silva de Aquino</v>
      </c>
      <c r="E777" s="47">
        <f>IFERROR(__xludf.DUMMYFUNCTION("""COMPUTED_VALUE"""),7602.0)</f>
        <v>7602</v>
      </c>
      <c r="F777" s="45" t="str">
        <f>IFERROR(__xludf.DUMMYFUNCTION("""COMPUTED_VALUE"""),"IBIOTEC - Medicina")</f>
        <v>IBIOTEC - Medicina</v>
      </c>
      <c r="G777" s="45" t="str">
        <f>IFERROR(__xludf.DUMMYFUNCTION("""COMPUTED_VALUE"""),"Campus II")</f>
        <v>Campus II</v>
      </c>
      <c r="H777" s="46" t="str">
        <f>IFERROR(__xludf.DUMMYFUNCTION("""COMPUTED_VALUE"""),"Banheiro feminino - 1 Piso ")</f>
        <v>Banheiro feminino - 1 Piso </v>
      </c>
      <c r="I777" s="7" t="str">
        <f>IFERROR(__xludf.DUMMYFUNCTION("""COMPUTED_VALUE"""),"Instalações Hidrossanitárias")</f>
        <v>Instalações Hidrossanitárias</v>
      </c>
      <c r="J777" s="13" t="str">
        <f>IFERROR(__xludf.DUMMYFUNCTION("""COMPUTED_VALUE"""),"02 Hidráulica / 07 - Desentupimento")</f>
        <v>02 Hidráulica / 07 - Desentupimento</v>
      </c>
      <c r="K777" s="13"/>
      <c r="L777" s="13" t="str">
        <f>IFERROR(__xludf.DUMMYFUNCTION("""COMPUTED_VALUE"""),"Desentupimento de privada do banheiro feminino ")</f>
        <v>Desentupimento de privada do banheiro feminino </v>
      </c>
      <c r="M777" s="20"/>
      <c r="N777" s="26" t="str">
        <f>IFERROR(__xludf.DUMMYFUNCTION("""COMPUTED_VALUE"""),"Realizado")</f>
        <v>Realizado</v>
      </c>
      <c r="O777" s="11">
        <f>IFERROR(__xludf.DUMMYFUNCTION("""COMPUTED_VALUE"""),45399.0)</f>
        <v>45399</v>
      </c>
      <c r="P777" s="11"/>
    </row>
    <row r="778" ht="27.0" customHeight="1">
      <c r="A778" s="20" t="str">
        <f>IFERROR(__xludf.DUMMYFUNCTION("""COMPUTED_VALUE"""),"776/2024")</f>
        <v>776/2024</v>
      </c>
      <c r="B778" s="8">
        <f>IFERROR(__xludf.DUMMYFUNCTION("""COMPUTED_VALUE"""),45398.63054150463)</f>
        <v>45398.63054</v>
      </c>
      <c r="C778" s="44" t="str">
        <f>IFERROR(__xludf.DUMMYFUNCTION("""COMPUTED_VALUE"""),"amanda.lopes@ufcat.edu.br")</f>
        <v>amanda.lopes@ufcat.edu.br</v>
      </c>
      <c r="D778" s="45" t="str">
        <f>IFERROR(__xludf.DUMMYFUNCTION("""COMPUTED_VALUE"""),"Amanda Matos ")</f>
        <v>Amanda Matos </v>
      </c>
      <c r="E778" s="47">
        <f>IFERROR(__xludf.DUMMYFUNCTION("""COMPUTED_VALUE"""),5340.0)</f>
        <v>5340</v>
      </c>
      <c r="F778" s="45" t="str">
        <f>IFERROR(__xludf.DUMMYFUNCTION("""COMPUTED_VALUE"""),"PREF")</f>
        <v>PREF</v>
      </c>
      <c r="G778" s="45" t="str">
        <f>IFERROR(__xludf.DUMMYFUNCTION("""COMPUTED_VALUE"""),"Bloco P")</f>
        <v>Bloco P</v>
      </c>
      <c r="H778" s="46" t="str">
        <f>IFERROR(__xludf.DUMMYFUNCTION("""COMPUTED_VALUE"""),"Patio ")</f>
        <v>Patio </v>
      </c>
      <c r="I778" s="7" t="str">
        <f>IFERROR(__xludf.DUMMYFUNCTION("""COMPUTED_VALUE"""),"Reparos (alvenaria, piso, forro e telhado)")</f>
        <v>Reparos (alvenaria, piso, forro e telhado)</v>
      </c>
      <c r="J778" s="13" t="str">
        <f>IFERROR(__xludf.DUMMYFUNCTION("""COMPUTED_VALUE"""),"01 Alvenaria / 06 - Outros")</f>
        <v>01 Alvenaria / 06 - Outros</v>
      </c>
      <c r="K778" s="13"/>
      <c r="L778" s="13" t="str">
        <f>IFERROR(__xludf.DUMMYFUNCTION("""COMPUTED_VALUE"""),"Limpeza do patio em torno da PREF")</f>
        <v>Limpeza do patio em torno da PREF</v>
      </c>
      <c r="M778" s="20"/>
      <c r="N778" s="26" t="str">
        <f>IFERROR(__xludf.DUMMYFUNCTION("""COMPUTED_VALUE"""),"Realizado")</f>
        <v>Realizado</v>
      </c>
      <c r="O778" s="11">
        <f>IFERROR(__xludf.DUMMYFUNCTION("""COMPUTED_VALUE"""),45398.0)</f>
        <v>45398</v>
      </c>
      <c r="P778" s="11"/>
    </row>
    <row r="779" ht="27.0" customHeight="1">
      <c r="A779" s="20" t="str">
        <f>IFERROR(__xludf.DUMMYFUNCTION("""COMPUTED_VALUE"""),"777/2024")</f>
        <v>777/2024</v>
      </c>
      <c r="B779" s="8">
        <f>IFERROR(__xludf.DUMMYFUNCTION("""COMPUTED_VALUE"""),45398.68645113426)</f>
        <v>45398.68645</v>
      </c>
      <c r="C779" s="44" t="str">
        <f>IFERROR(__xludf.DUMMYFUNCTION("""COMPUTED_VALUE"""),"nataly_felix@ufcat.edu.br")</f>
        <v>nataly_felix@ufcat.edu.br</v>
      </c>
      <c r="D779" s="45" t="str">
        <f>IFERROR(__xludf.DUMMYFUNCTION("""COMPUTED_VALUE"""),"Nátaly Félix")</f>
        <v>Nátaly Félix</v>
      </c>
      <c r="E779" s="47">
        <f>IFERROR(__xludf.DUMMYFUNCTION("""COMPUTED_VALUE"""),5379.0)</f>
        <v>5379</v>
      </c>
      <c r="F779" s="45" t="str">
        <f>IFERROR(__xludf.DUMMYFUNCTION("""COMPUTED_VALUE"""),"PREF")</f>
        <v>PREF</v>
      </c>
      <c r="G779" s="45" t="str">
        <f>IFERROR(__xludf.DUMMYFUNCTION("""COMPUTED_VALUE"""),"Estacionamento")</f>
        <v>Estacionamento</v>
      </c>
      <c r="H779" s="46" t="str">
        <f>IFERROR(__xludf.DUMMYFUNCTION("""COMPUTED_VALUE"""),"Portão de entrada da Lamartine")</f>
        <v>Portão de entrada da Lamartine</v>
      </c>
      <c r="I779" s="7" t="str">
        <f>IFERROR(__xludf.DUMMYFUNCTION("""COMPUTED_VALUE"""),"Serralheria")</f>
        <v>Serralheria</v>
      </c>
      <c r="J779" s="13" t="str">
        <f>IFERROR(__xludf.DUMMYFUNCTION("""COMPUTED_VALUE"""),"08 Serralheria / 56 - Outros")</f>
        <v>08 Serralheria / 56 - Outros</v>
      </c>
      <c r="K779" s="13"/>
      <c r="L779" s="13" t="str">
        <f>IFERROR(__xludf.DUMMYFUNCTION("""COMPUTED_VALUE"""),"relatou que uma parte da grelha do chão do portão de entrada da Av. Doutor Lamartine, está solta.")</f>
        <v>relatou que uma parte da grelha do chão do portão de entrada da Av. Doutor Lamartine, está solta.</v>
      </c>
      <c r="M779" s="20"/>
      <c r="N779" s="26" t="str">
        <f>IFERROR(__xludf.DUMMYFUNCTION("""COMPUTED_VALUE"""),"Aguardando análise")</f>
        <v>Aguardando análise</v>
      </c>
      <c r="O779" s="11"/>
      <c r="P779" s="11"/>
    </row>
    <row r="780" ht="27.0" customHeight="1">
      <c r="A780" s="20" t="str">
        <f>IFERROR(__xludf.DUMMYFUNCTION("""COMPUTED_VALUE"""),"778/2024")</f>
        <v>778/2024</v>
      </c>
      <c r="B780" s="8">
        <f>IFERROR(__xludf.DUMMYFUNCTION("""COMPUTED_VALUE"""),45398.76134442129)</f>
        <v>45398.76134</v>
      </c>
      <c r="C780" s="44" t="str">
        <f>IFERROR(__xludf.DUMMYFUNCTION("""COMPUTED_VALUE"""),"seguranca@ufcat.edu.br")</f>
        <v>seguranca@ufcat.edu.br</v>
      </c>
      <c r="D780" s="45" t="str">
        <f>IFERROR(__xludf.DUMMYFUNCTION("""COMPUTED_VALUE"""),"Carla Braz")</f>
        <v>Carla Braz</v>
      </c>
      <c r="E780" s="47">
        <f>IFERROR(__xludf.DUMMYFUNCTION("""COMPUTED_VALUE"""),5318.0)</f>
        <v>5318</v>
      </c>
      <c r="F780" s="45" t="str">
        <f>IFERROR(__xludf.DUMMYFUNCTION("""COMPUTED_VALUE"""),"CENTRAL DE OPERAÇÕES VIGILÂNCIA")</f>
        <v>CENTRAL DE OPERAÇÕES VIGILÂNCIA</v>
      </c>
      <c r="G780" s="45" t="str">
        <f>IFERROR(__xludf.DUMMYFUNCTION("""COMPUTED_VALUE"""),"Auditório Paulo de Bastos")</f>
        <v>Auditório Paulo de Bastos</v>
      </c>
      <c r="H780" s="46" t="str">
        <f>IFERROR(__xludf.DUMMYFUNCTION("""COMPUTED_VALUE"""),"RACK ")</f>
        <v>RACK </v>
      </c>
      <c r="I780" s="7" t="str">
        <f>IFERROR(__xludf.DUMMYFUNCTION("""COMPUTED_VALUE"""),"Instalações e/ou Manutenção em Cabeamento de Rede")</f>
        <v>Instalações e/ou Manutenção em Cabeamento de Rede</v>
      </c>
      <c r="J780" s="13" t="str">
        <f>IFERROR(__xludf.DUMMYFUNCTION("""COMPUTED_VALUE"""),"05 Telecomunicações / 39 - CFTV")</f>
        <v>05 Telecomunicações / 39 - CFTV</v>
      </c>
      <c r="K780" s="13"/>
      <c r="L780" s="13" t="str">
        <f>IFERROR(__xludf.DUMMYFUNCTION("""COMPUTED_VALUE"""),"Câmera ""Garagem 1"" desconectada. (Obs: Está denominada como garagem, mas é os fundos do Auditório) ")</f>
        <v>Câmera "Garagem 1" desconectada. (Obs: Está denominada como garagem, mas é os fundos do Auditório) </v>
      </c>
      <c r="M780" s="20"/>
      <c r="N780" s="26" t="str">
        <f>IFERROR(__xludf.DUMMYFUNCTION("""COMPUTED_VALUE"""),"Realizado")</f>
        <v>Realizado</v>
      </c>
      <c r="O780" s="11">
        <f>IFERROR(__xludf.DUMMYFUNCTION("""COMPUTED_VALUE"""),45399.0)</f>
        <v>45399</v>
      </c>
      <c r="P780" s="11"/>
    </row>
    <row r="781" ht="27.0" customHeight="1">
      <c r="A781" s="20" t="str">
        <f>IFERROR(__xludf.DUMMYFUNCTION("""COMPUTED_VALUE"""),"779/2024")</f>
        <v>779/2024</v>
      </c>
      <c r="B781" s="8">
        <f>IFERROR(__xludf.DUMMYFUNCTION("""COMPUTED_VALUE"""),45399.31498751158)</f>
        <v>45399.31499</v>
      </c>
      <c r="C781" s="44" t="str">
        <f>IFERROR(__xludf.DUMMYFUNCTION("""COMPUTED_VALUE"""),"amanda.lopes@ufcat.edu.br")</f>
        <v>amanda.lopes@ufcat.edu.br</v>
      </c>
      <c r="D781" s="45" t="str">
        <f>IFERROR(__xludf.DUMMYFUNCTION("""COMPUTED_VALUE"""),"Amanda Matos ")</f>
        <v>Amanda Matos </v>
      </c>
      <c r="E781" s="47">
        <f>IFERROR(__xludf.DUMMYFUNCTION("""COMPUTED_VALUE"""),5340.0)</f>
        <v>5340</v>
      </c>
      <c r="F781" s="45" t="str">
        <f>IFERROR(__xludf.DUMMYFUNCTION("""COMPUTED_VALUE"""),"PREF")</f>
        <v>PREF</v>
      </c>
      <c r="G781" s="45" t="str">
        <f>IFERROR(__xludf.DUMMYFUNCTION("""COMPUTED_VALUE"""),"SETI")</f>
        <v>SETI</v>
      </c>
      <c r="H781" s="46" t="str">
        <f>IFERROR(__xludf.DUMMYFUNCTION("""COMPUTED_VALUE"""),"Interno ")</f>
        <v>Interno </v>
      </c>
      <c r="I781" s="7" t="str">
        <f>IFERROR(__xludf.DUMMYFUNCTION("""COMPUTED_VALUE"""),"Instalações Hidrossanitárias")</f>
        <v>Instalações Hidrossanitárias</v>
      </c>
      <c r="J781" s="13" t="str">
        <f>IFERROR(__xludf.DUMMYFUNCTION("""COMPUTED_VALUE"""),"02 Hidráulica / 22 - Outros")</f>
        <v>02 Hidráulica / 22 - Outros</v>
      </c>
      <c r="K781" s="13"/>
      <c r="L781" s="13" t="str">
        <f>IFERROR(__xludf.DUMMYFUNCTION("""COMPUTED_VALUE"""),"Instalação de bebedouro ")</f>
        <v>Instalação de bebedouro </v>
      </c>
      <c r="M781" s="20"/>
      <c r="N781" s="26" t="str">
        <f>IFERROR(__xludf.DUMMYFUNCTION("""COMPUTED_VALUE"""),"Realizado")</f>
        <v>Realizado</v>
      </c>
      <c r="O781" s="11">
        <f>IFERROR(__xludf.DUMMYFUNCTION("""COMPUTED_VALUE"""),45399.0)</f>
        <v>45399</v>
      </c>
      <c r="P781" s="11"/>
    </row>
    <row r="782" ht="27.0" customHeight="1">
      <c r="A782" s="20" t="str">
        <f>IFERROR(__xludf.DUMMYFUNCTION("""COMPUTED_VALUE"""),"780/2024")</f>
        <v>780/2024</v>
      </c>
      <c r="B782" s="8">
        <f>IFERROR(__xludf.DUMMYFUNCTION("""COMPUTED_VALUE"""),45399.375238113425)</f>
        <v>45399.37524</v>
      </c>
      <c r="C782" s="44" t="str">
        <f>IFERROR(__xludf.DUMMYFUNCTION("""COMPUTED_VALUE"""),"secretariafae@ufcat.edu.br")</f>
        <v>secretariafae@ufcat.edu.br</v>
      </c>
      <c r="D782" s="45" t="str">
        <f>IFERROR(__xludf.DUMMYFUNCTION("""COMPUTED_VALUE"""),"Bárbara")</f>
        <v>Bárbara</v>
      </c>
      <c r="E782" s="47">
        <f>IFERROR(__xludf.DUMMYFUNCTION("""COMPUTED_VALUE"""),5308.0)</f>
        <v>5308</v>
      </c>
      <c r="F782" s="45" t="str">
        <f>IFERROR(__xludf.DUMMYFUNCTION("""COMPUTED_VALUE"""),"FAE")</f>
        <v>FAE</v>
      </c>
      <c r="G782" s="45" t="str">
        <f>IFERROR(__xludf.DUMMYFUNCTION("""COMPUTED_VALUE"""),"Bloco I")</f>
        <v>Bloco I</v>
      </c>
      <c r="H782" s="46" t="str">
        <f>IFERROR(__xludf.DUMMYFUNCTION("""COMPUTED_VALUE"""),"1 , C ")</f>
        <v>1 , C </v>
      </c>
      <c r="I782" s="7" t="str">
        <f>IFERROR(__xludf.DUMMYFUNCTION("""COMPUTED_VALUE"""),"Pequenos serviços de reparos em Marcenaria")</f>
        <v>Pequenos serviços de reparos em Marcenaria</v>
      </c>
      <c r="J782" s="13" t="str">
        <f>IFERROR(__xludf.DUMMYFUNCTION("""COMPUTED_VALUE"""),"03 Marcenaria / 29 - Outros")</f>
        <v>03 Marcenaria / 29 - Outros</v>
      </c>
      <c r="K782" s="13"/>
      <c r="L782" s="13" t="str">
        <f>IFERROR(__xludf.DUMMYFUNCTION("""COMPUTED_VALUE"""),"Fechadura do gabinete emperrou e a chave não tranca a porta. ")</f>
        <v>Fechadura do gabinete emperrou e a chave não tranca a porta. </v>
      </c>
      <c r="M782" s="20"/>
      <c r="N782" s="26" t="str">
        <f>IFERROR(__xludf.DUMMYFUNCTION("""COMPUTED_VALUE"""),"Realizado")</f>
        <v>Realizado</v>
      </c>
      <c r="O782" s="11">
        <f>IFERROR(__xludf.DUMMYFUNCTION("""COMPUTED_VALUE"""),45399.0)</f>
        <v>45399</v>
      </c>
      <c r="P782" s="11"/>
    </row>
    <row r="783" ht="27.0" customHeight="1">
      <c r="A783" s="20" t="str">
        <f>IFERROR(__xludf.DUMMYFUNCTION("""COMPUTED_VALUE"""),"781/2024")</f>
        <v>781/2024</v>
      </c>
      <c r="B783" s="8">
        <f>IFERROR(__xludf.DUMMYFUNCTION("""COMPUTED_VALUE"""),45399.38619045139)</f>
        <v>45399.38619</v>
      </c>
      <c r="C783" s="44" t="str">
        <f>IFERROR(__xludf.DUMMYFUNCTION("""COMPUTED_VALUE"""),"amanda.lopes@ufcat.edu.br")</f>
        <v>amanda.lopes@ufcat.edu.br</v>
      </c>
      <c r="D783" s="45" t="str">
        <f>IFERROR(__xludf.DUMMYFUNCTION("""COMPUTED_VALUE"""),"Amanda Matos ")</f>
        <v>Amanda Matos </v>
      </c>
      <c r="E783" s="47">
        <f>IFERROR(__xludf.DUMMYFUNCTION("""COMPUTED_VALUE"""),5340.0)</f>
        <v>5340</v>
      </c>
      <c r="F783" s="45" t="str">
        <f>IFERROR(__xludf.DUMMYFUNCTION("""COMPUTED_VALUE"""),"PREF")</f>
        <v>PREF</v>
      </c>
      <c r="G783" s="45" t="str">
        <f>IFERROR(__xludf.DUMMYFUNCTION("""COMPUTED_VALUE"""),"Bloco Administrativo")</f>
        <v>Bloco Administrativo</v>
      </c>
      <c r="H783" s="46" t="str">
        <f>IFERROR(__xludf.DUMMYFUNCTION("""COMPUTED_VALUE"""),"CPATRI")</f>
        <v>CPATRI</v>
      </c>
      <c r="I783" s="7" t="str">
        <f>IFERROR(__xludf.DUMMYFUNCTION("""COMPUTED_VALUE"""),"Pequenos serviços de reparos em Marcenaria")</f>
        <v>Pequenos serviços de reparos em Marcenaria</v>
      </c>
      <c r="J783" s="13" t="str">
        <f>IFERROR(__xludf.DUMMYFUNCTION("""COMPUTED_VALUE"""),"03 Marcenaria / 29 - Outros")</f>
        <v>03 Marcenaria / 29 - Outros</v>
      </c>
      <c r="K783" s="13"/>
      <c r="L783" s="13" t="str">
        <f>IFERROR(__xludf.DUMMYFUNCTION("""COMPUTED_VALUE"""),"Montagem de mesa")</f>
        <v>Montagem de mesa</v>
      </c>
      <c r="M783" s="20"/>
      <c r="N783" s="26" t="str">
        <f>IFERROR(__xludf.DUMMYFUNCTION("""COMPUTED_VALUE"""),"Realizado")</f>
        <v>Realizado</v>
      </c>
      <c r="O783" s="11">
        <f>IFERROR(__xludf.DUMMYFUNCTION("""COMPUTED_VALUE"""),45399.0)</f>
        <v>45399</v>
      </c>
      <c r="P783" s="11"/>
    </row>
    <row r="784" ht="27.0" customHeight="1">
      <c r="A784" s="20" t="str">
        <f>IFERROR(__xludf.DUMMYFUNCTION("""COMPUTED_VALUE"""),"782/2024")</f>
        <v>782/2024</v>
      </c>
      <c r="B784" s="8">
        <f>IFERROR(__xludf.DUMMYFUNCTION("""COMPUTED_VALUE"""),45399.39859991898)</f>
        <v>45399.3986</v>
      </c>
      <c r="C784" s="44" t="str">
        <f>IFERROR(__xludf.DUMMYFUNCTION("""COMPUTED_VALUE"""),"amanda.lopes@ufcat.edu.br")</f>
        <v>amanda.lopes@ufcat.edu.br</v>
      </c>
      <c r="D784" s="45" t="str">
        <f>IFERROR(__xludf.DUMMYFUNCTION("""COMPUTED_VALUE"""),"Amanda Matos ")</f>
        <v>Amanda Matos </v>
      </c>
      <c r="E784" s="47">
        <f>IFERROR(__xludf.DUMMYFUNCTION("""COMPUTED_VALUE"""),5340.0)</f>
        <v>5340</v>
      </c>
      <c r="F784" s="45" t="str">
        <f>IFERROR(__xludf.DUMMYFUNCTION("""COMPUTED_VALUE"""),"PREF")</f>
        <v>PREF</v>
      </c>
      <c r="G784" s="45" t="str">
        <f>IFERROR(__xludf.DUMMYFUNCTION("""COMPUTED_VALUE"""),"Bloco G")</f>
        <v>Bloco G</v>
      </c>
      <c r="H784" s="46" t="str">
        <f>IFERROR(__xludf.DUMMYFUNCTION("""COMPUTED_VALUE"""),"Porta de vidro entrada ")</f>
        <v>Porta de vidro entrada </v>
      </c>
      <c r="I784" s="7" t="str">
        <f>IFERROR(__xludf.DUMMYFUNCTION("""COMPUTED_VALUE"""),"Vidraçaria")</f>
        <v>Vidraçaria</v>
      </c>
      <c r="J784" s="13" t="str">
        <f>IFERROR(__xludf.DUMMYFUNCTION("""COMPUTED_VALUE"""),"07 Vidraçaria / 51 - Outros")</f>
        <v>07 Vidraçaria / 51 - Outros</v>
      </c>
      <c r="K784" s="13"/>
      <c r="L784" s="13" t="str">
        <f>IFERROR(__xludf.DUMMYFUNCTION("""COMPUTED_VALUE"""),"Retirado de cacos de vidro de porta quebrada ")</f>
        <v>Retirado de cacos de vidro de porta quebrada </v>
      </c>
      <c r="M784" s="20"/>
      <c r="N784" s="26" t="str">
        <f>IFERROR(__xludf.DUMMYFUNCTION("""COMPUTED_VALUE"""),"Realizado")</f>
        <v>Realizado</v>
      </c>
      <c r="O784" s="11">
        <f>IFERROR(__xludf.DUMMYFUNCTION("""COMPUTED_VALUE"""),45399.0)</f>
        <v>45399</v>
      </c>
      <c r="P784" s="11"/>
    </row>
    <row r="785" ht="27.0" customHeight="1">
      <c r="A785" s="20" t="str">
        <f>IFERROR(__xludf.DUMMYFUNCTION("""COMPUTED_VALUE"""),"783/2024")</f>
        <v>783/2024</v>
      </c>
      <c r="B785" s="8">
        <f>IFERROR(__xludf.DUMMYFUNCTION("""COMPUTED_VALUE"""),45399.4004244213)</f>
        <v>45399.40042</v>
      </c>
      <c r="C785" s="44" t="str">
        <f>IFERROR(__xludf.DUMMYFUNCTION("""COMPUTED_VALUE"""),"nataly_felix@ufcat.edu.br")</f>
        <v>nataly_felix@ufcat.edu.br</v>
      </c>
      <c r="D785" s="45" t="str">
        <f>IFERROR(__xludf.DUMMYFUNCTION("""COMPUTED_VALUE"""),"Nátaly Félix")</f>
        <v>Nátaly Félix</v>
      </c>
      <c r="E785" s="47">
        <f>IFERROR(__xludf.DUMMYFUNCTION("""COMPUTED_VALUE"""),5379.0)</f>
        <v>5379</v>
      </c>
      <c r="F785" s="45" t="str">
        <f>IFERROR(__xludf.DUMMYFUNCTION("""COMPUTED_VALUE"""),"PREF")</f>
        <v>PREF</v>
      </c>
      <c r="G785" s="45" t="str">
        <f>IFERROR(__xludf.DUMMYFUNCTION("""COMPUTED_VALUE"""),"Bloco J")</f>
        <v>Bloco J</v>
      </c>
      <c r="H785" s="46" t="str">
        <f>IFERROR(__xludf.DUMMYFUNCTION("""COMPUTED_VALUE"""),"quebrou um cano próximo aos Blocos J e M.")</f>
        <v>quebrou um cano próximo aos Blocos J e M.</v>
      </c>
      <c r="I785" s="7" t="str">
        <f>IFERROR(__xludf.DUMMYFUNCTION("""COMPUTED_VALUE"""),"Instalações Hidrossanitárias")</f>
        <v>Instalações Hidrossanitárias</v>
      </c>
      <c r="J785" s="13" t="str">
        <f>IFERROR(__xludf.DUMMYFUNCTION("""COMPUTED_VALUE"""),"02 Hidráulica / 22 - Outros")</f>
        <v>02 Hidráulica / 22 - Outros</v>
      </c>
      <c r="K785" s="13"/>
      <c r="L785" s="13" t="str">
        <f>IFERROR(__xludf.DUMMYFUNCTION("""COMPUTED_VALUE"""),"no dia de hoje 17/04/2024 às 08:20 horas, que o vigilante Siênio Vieira (Bravo-1), relatou que um cachorro passou correndo e quebrou um cano próximo aos Blocos J e M.")</f>
        <v>no dia de hoje 17/04/2024 às 08:20 horas, que o vigilante Siênio Vieira (Bravo-1), relatou que um cachorro passou correndo e quebrou um cano próximo aos Blocos J e M.</v>
      </c>
      <c r="M785" s="20"/>
      <c r="N785" s="26" t="str">
        <f>IFERROR(__xludf.DUMMYFUNCTION("""COMPUTED_VALUE"""),"Realizado")</f>
        <v>Realizado</v>
      </c>
      <c r="O785" s="11">
        <f>IFERROR(__xludf.DUMMYFUNCTION("""COMPUTED_VALUE"""),45399.0)</f>
        <v>45399</v>
      </c>
      <c r="P785" s="11"/>
    </row>
    <row r="786" ht="27.0" customHeight="1">
      <c r="A786" s="20" t="str">
        <f>IFERROR(__xludf.DUMMYFUNCTION("""COMPUTED_VALUE"""),"784/2024")</f>
        <v>784/2024</v>
      </c>
      <c r="B786" s="8">
        <f>IFERROR(__xludf.DUMMYFUNCTION("""COMPUTED_VALUE"""),45399.42757318287)</f>
        <v>45399.42757</v>
      </c>
      <c r="C786" s="44" t="str">
        <f>IFERROR(__xludf.DUMMYFUNCTION("""COMPUTED_VALUE"""),"mirian.lima@ufcat.edu.br")</f>
        <v>mirian.lima@ufcat.edu.br</v>
      </c>
      <c r="D786" s="45" t="str">
        <f>IFERROR(__xludf.DUMMYFUNCTION("""COMPUTED_VALUE"""),"Mirian de Jesus Lima")</f>
        <v>Mirian de Jesus Lima</v>
      </c>
      <c r="E786" s="47" t="str">
        <f>IFERROR(__xludf.DUMMYFUNCTION("""COMPUTED_VALUE"""),"3441-5323")</f>
        <v>3441-5323</v>
      </c>
      <c r="F786" s="45" t="str">
        <f>IFERROR(__xludf.DUMMYFUNCTION("""COMPUTED_VALUE"""),"IBIOTEC  - Psicologia")</f>
        <v>IBIOTEC  - Psicologia</v>
      </c>
      <c r="G786" s="45" t="str">
        <f>IFERROR(__xludf.DUMMYFUNCTION("""COMPUTED_VALUE"""),"Bloco M")</f>
        <v>Bloco M</v>
      </c>
      <c r="H786" s="46" t="str">
        <f>IFERROR(__xludf.DUMMYFUNCTION("""COMPUTED_VALUE"""),"Consultório 1 (Clínica CEAPSI)")</f>
        <v>Consultório 1 (Clínica CEAPSI)</v>
      </c>
      <c r="I786" s="7" t="str">
        <f>IFERROR(__xludf.DUMMYFUNCTION("""COMPUTED_VALUE"""),"Pequenos serviços de reparos em Marcenaria")</f>
        <v>Pequenos serviços de reparos em Marcenaria</v>
      </c>
      <c r="J786" s="13" t="str">
        <f>IFERROR(__xludf.DUMMYFUNCTION("""COMPUTED_VALUE"""),"03 Marcenaria / 24 - Conserto de Móveis")</f>
        <v>03 Marcenaria / 24 - Conserto de Móveis</v>
      </c>
      <c r="K786" s="13"/>
      <c r="L786" s="13" t="str">
        <f>IFERROR(__xludf.DUMMYFUNCTION("""COMPUTED_VALUE"""),"Realizar reparo na dobradiça do assento do Divã.")</f>
        <v>Realizar reparo na dobradiça do assento do Divã.</v>
      </c>
      <c r="M786" s="20"/>
      <c r="N786" s="26" t="str">
        <f>IFERROR(__xludf.DUMMYFUNCTION("""COMPUTED_VALUE"""),"Aguardando análise")</f>
        <v>Aguardando análise</v>
      </c>
      <c r="O786" s="11"/>
      <c r="P786" s="11"/>
    </row>
    <row r="787" ht="27.0" customHeight="1">
      <c r="A787" s="20" t="str">
        <f>IFERROR(__xludf.DUMMYFUNCTION("""COMPUTED_VALUE"""),"785/2024")</f>
        <v>785/2024</v>
      </c>
      <c r="B787" s="8">
        <f>IFERROR(__xludf.DUMMYFUNCTION("""COMPUTED_VALUE"""),45399.444712233795)</f>
        <v>45399.44471</v>
      </c>
      <c r="C787" s="44" t="str">
        <f>IFERROR(__xludf.DUMMYFUNCTION("""COMPUTED_VALUE"""),"marcia.mendes@ufcat.edu.br")</f>
        <v>marcia.mendes@ufcat.edu.br</v>
      </c>
      <c r="D787" s="45" t="str">
        <f>IFERROR(__xludf.DUMMYFUNCTION("""COMPUTED_VALUE"""),"Marcia")</f>
        <v>Marcia</v>
      </c>
      <c r="E787" s="47" t="str">
        <f>IFERROR(__xludf.DUMMYFUNCTION("""COMPUTED_VALUE"""),"98412-9238")</f>
        <v>98412-9238</v>
      </c>
      <c r="F787" s="45" t="str">
        <f>IFERROR(__xludf.DUMMYFUNCTION("""COMPUTED_VALUE"""),"IQ")</f>
        <v>IQ</v>
      </c>
      <c r="G787" s="45" t="str">
        <f>IFERROR(__xludf.DUMMYFUNCTION("""COMPUTED_VALUE"""),"Bloco K")</f>
        <v>Bloco K</v>
      </c>
      <c r="H787" s="46" t="str">
        <f>IFERROR(__xludf.DUMMYFUNCTION("""COMPUTED_VALUE"""),"Sala onde fica o nobreak.")</f>
        <v>Sala onde fica o nobreak.</v>
      </c>
      <c r="I787" s="7" t="str">
        <f>IFERROR(__xludf.DUMMYFUNCTION("""COMPUTED_VALUE"""),"Instalações elétricas")</f>
        <v>Instalações elétricas</v>
      </c>
      <c r="J787" s="13" t="str">
        <f>IFERROR(__xludf.DUMMYFUNCTION("""COMPUTED_VALUE"""),"04 Elétrica / 37 - Outros")</f>
        <v>04 Elétrica / 37 - Outros</v>
      </c>
      <c r="K787" s="13"/>
      <c r="L787" s="13" t="str">
        <f>IFERROR(__xludf.DUMMYFUNCTION("""COMPUTED_VALUE"""),"Verificar especificações das baterias do nobreak.")</f>
        <v>Verificar especificações das baterias do nobreak.</v>
      </c>
      <c r="M787" s="20"/>
      <c r="N787" s="26" t="str">
        <f>IFERROR(__xludf.DUMMYFUNCTION("""COMPUTED_VALUE"""),"Realizado")</f>
        <v>Realizado</v>
      </c>
      <c r="O787" s="11">
        <f>IFERROR(__xludf.DUMMYFUNCTION("""COMPUTED_VALUE"""),45400.0)</f>
        <v>45400</v>
      </c>
      <c r="P787" s="11"/>
    </row>
    <row r="788" ht="27.0" customHeight="1">
      <c r="A788" s="20" t="str">
        <f>IFERROR(__xludf.DUMMYFUNCTION("""COMPUTED_VALUE"""),"786/2024")</f>
        <v>786/2024</v>
      </c>
      <c r="B788" s="8">
        <f>IFERROR(__xludf.DUMMYFUNCTION("""COMPUTED_VALUE"""),45399.44913826389)</f>
        <v>45399.44914</v>
      </c>
      <c r="C788" s="44" t="str">
        <f>IFERROR(__xludf.DUMMYFUNCTION("""COMPUTED_VALUE"""),"welington_silva@ufcat.edu.br")</f>
        <v>welington_silva@ufcat.edu.br</v>
      </c>
      <c r="D788" s="45" t="str">
        <f>IFERROR(__xludf.DUMMYFUNCTION("""COMPUTED_VALUE"""),"Welington Cesar Silva")</f>
        <v>Welington Cesar Silva</v>
      </c>
      <c r="E788" s="47">
        <f>IFERROR(__xludf.DUMMYFUNCTION("""COMPUTED_VALUE"""),5311.0)</f>
        <v>5311</v>
      </c>
      <c r="F788" s="45" t="str">
        <f>IFERROR(__xludf.DUMMYFUNCTION("""COMPUTED_VALUE"""),"IBIOTEC  - Educação Física")</f>
        <v>IBIOTEC  - Educação Física</v>
      </c>
      <c r="G788" s="45" t="str">
        <f>IFERROR(__xludf.DUMMYFUNCTION("""COMPUTED_VALUE"""),"Bloco D")</f>
        <v>Bloco D</v>
      </c>
      <c r="H788" s="46" t="str">
        <f>IFERROR(__xludf.DUMMYFUNCTION("""COMPUTED_VALUE"""),"01")</f>
        <v>01</v>
      </c>
      <c r="I788" s="7" t="str">
        <f>IFERROR(__xludf.DUMMYFUNCTION("""COMPUTED_VALUE"""),"Pintura")</f>
        <v>Pintura</v>
      </c>
      <c r="J788" s="13" t="str">
        <f>IFERROR(__xludf.DUMMYFUNCTION("""COMPUTED_VALUE"""),"06 Pintura / 43 - Pintura de Parede")</f>
        <v>06 Pintura / 43 - Pintura de Parede</v>
      </c>
      <c r="K788" s="13"/>
      <c r="L788" s="13" t="str">
        <f>IFERROR(__xludf.DUMMYFUNCTION("""COMPUTED_VALUE"""),"Pintar a parede da sala 01 onde fica o ar condicionado. ")</f>
        <v>Pintar a parede da sala 01 onde fica o ar condicionado. </v>
      </c>
      <c r="M788" s="20"/>
      <c r="N788" s="26" t="str">
        <f>IFERROR(__xludf.DUMMYFUNCTION("""COMPUTED_VALUE"""),"Aguardando análise")</f>
        <v>Aguardando análise</v>
      </c>
      <c r="O788" s="11"/>
      <c r="P788" s="11"/>
    </row>
    <row r="789" ht="27.0" customHeight="1">
      <c r="A789" s="20" t="str">
        <f>IFERROR(__xludf.DUMMYFUNCTION("""COMPUTED_VALUE"""),"787/2024")</f>
        <v>787/2024</v>
      </c>
      <c r="B789" s="8">
        <f>IFERROR(__xludf.DUMMYFUNCTION("""COMPUTED_VALUE"""),45399.47928703704)</f>
        <v>45399.47929</v>
      </c>
      <c r="C789" s="44" t="str">
        <f>IFERROR(__xludf.DUMMYFUNCTION("""COMPUTED_VALUE"""),"mariaeduarda.borges@ufcat.edu.br")</f>
        <v>mariaeduarda.borges@ufcat.edu.br</v>
      </c>
      <c r="D789" s="45" t="str">
        <f>IFERROR(__xludf.DUMMYFUNCTION("""COMPUTED_VALUE"""),"Maria Eduarda Silva Borges ")</f>
        <v>Maria Eduarda Silva Borges </v>
      </c>
      <c r="E789" s="47">
        <f>IFERROR(__xludf.DUMMYFUNCTION("""COMPUTED_VALUE"""),5340.0)</f>
        <v>5340</v>
      </c>
      <c r="F789" s="45" t="str">
        <f>IFERROR(__xludf.DUMMYFUNCTION("""COMPUTED_VALUE"""),"PREF")</f>
        <v>PREF</v>
      </c>
      <c r="G789" s="45" t="str">
        <f>IFERROR(__xludf.DUMMYFUNCTION("""COMPUTED_VALUE"""),"SETI")</f>
        <v>SETI</v>
      </c>
      <c r="H789" s="46" t="str">
        <f>IFERROR(__xludf.DUMMYFUNCTION("""COMPUTED_VALUE"""),"ENTRADA DA SETI")</f>
        <v>ENTRADA DA SETI</v>
      </c>
      <c r="I789" s="7" t="str">
        <f>IFERROR(__xludf.DUMMYFUNCTION("""COMPUTED_VALUE"""),"Vidraçaria")</f>
        <v>Vidraçaria</v>
      </c>
      <c r="J789" s="13" t="str">
        <f>IFERROR(__xludf.DUMMYFUNCTION("""COMPUTED_VALUE"""),"07 Vidraçaria / 51 - Outros")</f>
        <v>07 Vidraçaria / 51 - Outros</v>
      </c>
      <c r="K789" s="13"/>
      <c r="L789" s="13" t="str">
        <f>IFERROR(__xludf.DUMMYFUNCTION("""COMPUTED_VALUE"""),"Retirar vidro que se encontra no chão.")</f>
        <v>Retirar vidro que se encontra no chão.</v>
      </c>
      <c r="M789" s="20"/>
      <c r="N789" s="26" t="str">
        <f>IFERROR(__xludf.DUMMYFUNCTION("""COMPUTED_VALUE"""),"Realizado")</f>
        <v>Realizado</v>
      </c>
      <c r="O789" s="11">
        <f>IFERROR(__xludf.DUMMYFUNCTION("""COMPUTED_VALUE"""),45399.0)</f>
        <v>45399</v>
      </c>
      <c r="P789" s="11"/>
    </row>
    <row r="790" ht="27.0" customHeight="1">
      <c r="A790" s="20" t="str">
        <f>IFERROR(__xludf.DUMMYFUNCTION("""COMPUTED_VALUE"""),"788/2024")</f>
        <v>788/2024</v>
      </c>
      <c r="B790" s="8">
        <f>IFERROR(__xludf.DUMMYFUNCTION("""COMPUTED_VALUE"""),45399.59958304398)</f>
        <v>45399.59958</v>
      </c>
      <c r="C790" s="44" t="str">
        <f>IFERROR(__xludf.DUMMYFUNCTION("""COMPUTED_VALUE"""),"deusmarsilva@ufcat.edu.br")</f>
        <v>deusmarsilva@ufcat.edu.br</v>
      </c>
      <c r="D790" s="45" t="str">
        <f>IFERROR(__xludf.DUMMYFUNCTION("""COMPUTED_VALUE"""),"Deusmar Machado da Silva")</f>
        <v>Deusmar Machado da Silva</v>
      </c>
      <c r="E790" s="47" t="str">
        <f>IFERROR(__xludf.DUMMYFUNCTION("""COMPUTED_VALUE"""),"00")</f>
        <v>00</v>
      </c>
      <c r="F790" s="45" t="str">
        <f>IFERROR(__xludf.DUMMYFUNCTION("""COMPUTED_VALUE"""),"IBIOTEC - Medicina")</f>
        <v>IBIOTEC - Medicina</v>
      </c>
      <c r="G790" s="45" t="str">
        <f>IFERROR(__xludf.DUMMYFUNCTION("""COMPUTED_VALUE"""),"Campus II")</f>
        <v>Campus II</v>
      </c>
      <c r="H790" s="46" t="str">
        <f>IFERROR(__xludf.DUMMYFUNCTION("""COMPUTED_VALUE"""),"Sala - 20")</f>
        <v>Sala - 20</v>
      </c>
      <c r="I790" s="7" t="str">
        <f>IFERROR(__xludf.DUMMYFUNCTION("""COMPUTED_VALUE"""),"Instalações elétricas")</f>
        <v>Instalações elétricas</v>
      </c>
      <c r="J790" s="13" t="str">
        <f>IFERROR(__xludf.DUMMYFUNCTION("""COMPUTED_VALUE"""),"04 Elétrica / 35 - Troca de Lâmpadas")</f>
        <v>04 Elétrica / 35 - Troca de Lâmpadas</v>
      </c>
      <c r="K790" s="13"/>
      <c r="L790" s="13" t="str">
        <f>IFERROR(__xludf.DUMMYFUNCTION("""COMPUTED_VALUE"""),"Trocar lâmpadas próximas a pia da sala 20")</f>
        <v>Trocar lâmpadas próximas a pia da sala 20</v>
      </c>
      <c r="M790" s="20"/>
      <c r="N790" s="26" t="str">
        <f>IFERROR(__xludf.DUMMYFUNCTION("""COMPUTED_VALUE"""),"Realizado")</f>
        <v>Realizado</v>
      </c>
      <c r="O790" s="11">
        <f>IFERROR(__xludf.DUMMYFUNCTION("""COMPUTED_VALUE"""),45399.0)</f>
        <v>45399</v>
      </c>
      <c r="P790" s="11"/>
    </row>
    <row r="791" ht="27.0" customHeight="1">
      <c r="A791" s="20" t="str">
        <f>IFERROR(__xludf.DUMMYFUNCTION("""COMPUTED_VALUE"""),"789/2024")</f>
        <v>789/2024</v>
      </c>
      <c r="B791" s="8">
        <f>IFERROR(__xludf.DUMMYFUNCTION("""COMPUTED_VALUE"""),45399.60101458333)</f>
        <v>45399.60101</v>
      </c>
      <c r="C791" s="44" t="str">
        <f>IFERROR(__xludf.DUMMYFUNCTION("""COMPUTED_VALUE"""),"amanda.lopes@ufcat.edu.br")</f>
        <v>amanda.lopes@ufcat.edu.br</v>
      </c>
      <c r="D791" s="45" t="str">
        <f>IFERROR(__xludf.DUMMYFUNCTION("""COMPUTED_VALUE"""),"Amanda Matos ")</f>
        <v>Amanda Matos </v>
      </c>
      <c r="E791" s="47">
        <f>IFERROR(__xludf.DUMMYFUNCTION("""COMPUTED_VALUE"""),5340.0)</f>
        <v>5340</v>
      </c>
      <c r="F791" s="45" t="str">
        <f>IFERROR(__xludf.DUMMYFUNCTION("""COMPUTED_VALUE"""),"PREF")</f>
        <v>PREF</v>
      </c>
      <c r="G791" s="45" t="str">
        <f>IFERROR(__xludf.DUMMYFUNCTION("""COMPUTED_VALUE"""),"Bloco L")</f>
        <v>Bloco L</v>
      </c>
      <c r="H791" s="46" t="str">
        <f>IFERROR(__xludf.DUMMYFUNCTION("""COMPUTED_VALUE"""),"Varanda ")</f>
        <v>Varanda </v>
      </c>
      <c r="I791" s="7" t="str">
        <f>IFERROR(__xludf.DUMMYFUNCTION("""COMPUTED_VALUE"""),"Reparos (alvenaria, piso, forro e telhado)")</f>
        <v>Reparos (alvenaria, piso, forro e telhado)</v>
      </c>
      <c r="J791" s="13" t="str">
        <f>IFERROR(__xludf.DUMMYFUNCTION("""COMPUTED_VALUE"""),"01 Alvenaria / 06 - Outros")</f>
        <v>01 Alvenaria / 06 - Outros</v>
      </c>
      <c r="K791" s="13"/>
      <c r="L791" s="13" t="str">
        <f>IFERROR(__xludf.DUMMYFUNCTION("""COMPUTED_VALUE"""),"Impermeabilização da varanda ")</f>
        <v>Impermeabilização da varanda </v>
      </c>
      <c r="M791" s="20"/>
      <c r="N791" s="26" t="str">
        <f>IFERROR(__xludf.DUMMYFUNCTION("""COMPUTED_VALUE"""),"Aguardando análise")</f>
        <v>Aguardando análise</v>
      </c>
      <c r="O791" s="11"/>
      <c r="P791" s="11"/>
    </row>
    <row r="792" ht="27.0" customHeight="1">
      <c r="A792" s="20" t="str">
        <f>IFERROR(__xludf.DUMMYFUNCTION("""COMPUTED_VALUE"""),"790/2024")</f>
        <v>790/2024</v>
      </c>
      <c r="B792" s="8">
        <f>IFERROR(__xludf.DUMMYFUNCTION("""COMPUTED_VALUE"""),45399.61829387731)</f>
        <v>45399.61829</v>
      </c>
      <c r="C792" s="44" t="str">
        <f>IFERROR(__xludf.DUMMYFUNCTION("""COMPUTED_VALUE"""),"nataly_felix@ufcat.edu.br")</f>
        <v>nataly_felix@ufcat.edu.br</v>
      </c>
      <c r="D792" s="45" t="str">
        <f>IFERROR(__xludf.DUMMYFUNCTION("""COMPUTED_VALUE"""),"Nátaly Félix")</f>
        <v>Nátaly Félix</v>
      </c>
      <c r="E792" s="47">
        <f>IFERROR(__xludf.DUMMYFUNCTION("""COMPUTED_VALUE"""),5379.0)</f>
        <v>5379</v>
      </c>
      <c r="F792" s="45" t="str">
        <f>IFERROR(__xludf.DUMMYFUNCTION("""COMPUTED_VALUE"""),"PREF")</f>
        <v>PREF</v>
      </c>
      <c r="G792" s="45" t="str">
        <f>IFERROR(__xludf.DUMMYFUNCTION("""COMPUTED_VALUE"""),"Bloco G")</f>
        <v>Bloco G</v>
      </c>
      <c r="H792" s="46" t="str">
        <f>IFERROR(__xludf.DUMMYFUNCTION("""COMPUTED_VALUE"""),"17/04/2024 às 13:01 horas, que a vigia Erivaldene Rocha (Delta-1), relatou que os banheiros do Bloco G estavam sem água.")</f>
        <v>17/04/2024 às 13:01 horas, que a vigia Erivaldene Rocha (Delta-1), relatou que os banheiros do Bloco G estavam sem água.</v>
      </c>
      <c r="I792" s="7" t="str">
        <f>IFERROR(__xludf.DUMMYFUNCTION("""COMPUTED_VALUE"""),"Instalações Hidrossanitárias")</f>
        <v>Instalações Hidrossanitárias</v>
      </c>
      <c r="J792" s="13" t="str">
        <f>IFERROR(__xludf.DUMMYFUNCTION("""COMPUTED_VALUE"""),"02 Hidráulica / 19 - Falta de água")</f>
        <v>02 Hidráulica / 19 - Falta de água</v>
      </c>
      <c r="K792" s="13"/>
      <c r="L792" s="13" t="str">
        <f>IFERROR(__xludf.DUMMYFUNCTION("""COMPUTED_VALUE"""),"no dia de hoje 17/04/2024 às 13:01 horas, que a vigia Erivaldene Rocha (Delta-1), relatou que os banheiros do Bloco G estavam sem água.")</f>
        <v>no dia de hoje 17/04/2024 às 13:01 horas, que a vigia Erivaldene Rocha (Delta-1), relatou que os banheiros do Bloco G estavam sem água.</v>
      </c>
      <c r="M792" s="20"/>
      <c r="N792" s="26" t="str">
        <f>IFERROR(__xludf.DUMMYFUNCTION("""COMPUTED_VALUE"""),"Realizado")</f>
        <v>Realizado</v>
      </c>
      <c r="O792" s="11">
        <f>IFERROR(__xludf.DUMMYFUNCTION("""COMPUTED_VALUE"""),45399.0)</f>
        <v>45399</v>
      </c>
      <c r="P792" s="11"/>
    </row>
    <row r="793" ht="27.0" customHeight="1">
      <c r="A793" s="20" t="str">
        <f>IFERROR(__xludf.DUMMYFUNCTION("""COMPUTED_VALUE"""),"791/2024")</f>
        <v>791/2024</v>
      </c>
      <c r="B793" s="8">
        <f>IFERROR(__xludf.DUMMYFUNCTION("""COMPUTED_VALUE"""),45399.6216222338)</f>
        <v>45399.62162</v>
      </c>
      <c r="C793" s="44" t="str">
        <f>IFERROR(__xludf.DUMMYFUNCTION("""COMPUTED_VALUE"""),"nataly_felix@ufcat.edu.br")</f>
        <v>nataly_felix@ufcat.edu.br</v>
      </c>
      <c r="D793" s="45" t="str">
        <f>IFERROR(__xludf.DUMMYFUNCTION("""COMPUTED_VALUE"""),"Nátaly Félix")</f>
        <v>Nátaly Félix</v>
      </c>
      <c r="E793" s="47">
        <f>IFERROR(__xludf.DUMMYFUNCTION("""COMPUTED_VALUE"""),5379.0)</f>
        <v>5379</v>
      </c>
      <c r="F793" s="45" t="str">
        <f>IFERROR(__xludf.DUMMYFUNCTION("""COMPUTED_VALUE"""),"PREF")</f>
        <v>PREF</v>
      </c>
      <c r="G793" s="45" t="str">
        <f>IFERROR(__xludf.DUMMYFUNCTION("""COMPUTED_VALUE"""),"Didático II")</f>
        <v>Didático II</v>
      </c>
      <c r="H793" s="46" t="str">
        <f>IFERROR(__xludf.DUMMYFUNCTION("""COMPUTED_VALUE"""),"sala 201")</f>
        <v>sala 201</v>
      </c>
      <c r="I793" s="7" t="str">
        <f>IFERROR(__xludf.DUMMYFUNCTION("""COMPUTED_VALUE"""),"Pequenos serviços de reparos em Marcenaria")</f>
        <v>Pequenos serviços de reparos em Marcenaria</v>
      </c>
      <c r="J793" s="13" t="str">
        <f>IFERROR(__xludf.DUMMYFUNCTION("""COMPUTED_VALUE"""),"03 Marcenaria / 29 - Outros")</f>
        <v>03 Marcenaria / 29 - Outros</v>
      </c>
      <c r="K793" s="13"/>
      <c r="L793" s="13" t="str">
        <f>IFERROR(__xludf.DUMMYFUNCTION("""COMPUTED_VALUE""")," hoje 17/04/2024 às 14:06 horas, que a vigia Sandra Rodrigues (Delta-6), relatou que um aluno a informou que o trinco da fechadura da porta da sala 201 do Bloco Didático II, havia caído, e o aluno levou o trinco para a vigia que o guardou na sua sala de a"&amp;"poio.")</f>
        <v> hoje 17/04/2024 às 14:06 horas, que a vigia Sandra Rodrigues (Delta-6), relatou que um aluno a informou que o trinco da fechadura da porta da sala 201 do Bloco Didático II, havia caído, e o aluno levou o trinco para a vigia que o guardou na sua sala de apoio.</v>
      </c>
      <c r="M793" s="20"/>
      <c r="N793" s="26" t="str">
        <f>IFERROR(__xludf.DUMMYFUNCTION("""COMPUTED_VALUE"""),"Realizado")</f>
        <v>Realizado</v>
      </c>
      <c r="O793" s="11">
        <f>IFERROR(__xludf.DUMMYFUNCTION("""COMPUTED_VALUE"""),45399.0)</f>
        <v>45399</v>
      </c>
      <c r="P793" s="11"/>
    </row>
    <row r="794" ht="27.0" customHeight="1">
      <c r="A794" s="20" t="str">
        <f>IFERROR(__xludf.DUMMYFUNCTION("""COMPUTED_VALUE"""),"792/2024")</f>
        <v>792/2024</v>
      </c>
      <c r="B794" s="8">
        <f>IFERROR(__xludf.DUMMYFUNCTION("""COMPUTED_VALUE"""),45399.63863423611)</f>
        <v>45399.63863</v>
      </c>
      <c r="C794" s="44" t="str">
        <f>IFERROR(__xludf.DUMMYFUNCTION("""COMPUTED_VALUE"""),"mirian.lima@ufcat.edu.br")</f>
        <v>mirian.lima@ufcat.edu.br</v>
      </c>
      <c r="D794" s="45" t="str">
        <f>IFERROR(__xludf.DUMMYFUNCTION("""COMPUTED_VALUE"""),"Mirian de Jesus Lima")</f>
        <v>Mirian de Jesus Lima</v>
      </c>
      <c r="E794" s="47" t="str">
        <f>IFERROR(__xludf.DUMMYFUNCTION("""COMPUTED_VALUE"""),"3441-5323")</f>
        <v>3441-5323</v>
      </c>
      <c r="F794" s="45" t="str">
        <f>IFERROR(__xludf.DUMMYFUNCTION("""COMPUTED_VALUE"""),"IBIOTEC  - Psicologia")</f>
        <v>IBIOTEC  - Psicologia</v>
      </c>
      <c r="G794" s="45" t="str">
        <f>IFERROR(__xludf.DUMMYFUNCTION("""COMPUTED_VALUE"""),"Bloco M")</f>
        <v>Bloco M</v>
      </c>
      <c r="H794" s="46" t="str">
        <f>IFERROR(__xludf.DUMMYFUNCTION("""COMPUTED_VALUE"""),"Sala Estagiários; Sala 104 (Clínica CEAPSI)")</f>
        <v>Sala Estagiários; Sala 104 (Clínica CEAPSI)</v>
      </c>
      <c r="I794" s="7" t="str">
        <f>IFERROR(__xludf.DUMMYFUNCTION("""COMPUTED_VALUE"""),"Pequenos serviços de reparos em Marcenaria")</f>
        <v>Pequenos serviços de reparos em Marcenaria</v>
      </c>
      <c r="J794" s="13" t="str">
        <f>IFERROR(__xludf.DUMMYFUNCTION("""COMPUTED_VALUE"""),"03 Marcenaria / 24 - Conserto de Móveis")</f>
        <v>03 Marcenaria / 24 - Conserto de Móveis</v>
      </c>
      <c r="K794" s="13"/>
      <c r="L794" s="13" t="str">
        <f>IFERROR(__xludf.DUMMYFUNCTION("""COMPUTED_VALUE"""),"Soldar a parte de regulagem da altura das cadeiras giratórias, visto que o pistão não funciona mais (Patrimônios 339507 e 327191).")</f>
        <v>Soldar a parte de regulagem da altura das cadeiras giratórias, visto que o pistão não funciona mais (Patrimônios 339507 e 327191).</v>
      </c>
      <c r="M794" s="20"/>
      <c r="N794" s="26" t="str">
        <f>IFERROR(__xludf.DUMMYFUNCTION("""COMPUTED_VALUE"""),"Realizado")</f>
        <v>Realizado</v>
      </c>
      <c r="O794" s="11">
        <f>IFERROR(__xludf.DUMMYFUNCTION("""COMPUTED_VALUE"""),45404.0)</f>
        <v>45404</v>
      </c>
      <c r="P794" s="11"/>
    </row>
    <row r="795" ht="27.0" customHeight="1">
      <c r="A795" s="20" t="str">
        <f>IFERROR(__xludf.DUMMYFUNCTION("""COMPUTED_VALUE"""),"793/2024")</f>
        <v>793/2024</v>
      </c>
      <c r="B795" s="8">
        <f>IFERROR(__xludf.DUMMYFUNCTION("""COMPUTED_VALUE"""),45399.64281443287)</f>
        <v>45399.64281</v>
      </c>
      <c r="C795" s="44" t="str">
        <f>IFERROR(__xludf.DUMMYFUNCTION("""COMPUTED_VALUE"""),"amanda.lopes@ufcat.edu.br")</f>
        <v>amanda.lopes@ufcat.edu.br</v>
      </c>
      <c r="D795" s="45" t="str">
        <f>IFERROR(__xludf.DUMMYFUNCTION("""COMPUTED_VALUE"""),"Amanda de Matos ")</f>
        <v>Amanda de Matos </v>
      </c>
      <c r="E795" s="47">
        <f>IFERROR(__xludf.DUMMYFUNCTION("""COMPUTED_VALUE"""),5340.0)</f>
        <v>5340</v>
      </c>
      <c r="F795" s="45" t="str">
        <f>IFERROR(__xludf.DUMMYFUNCTION("""COMPUTED_VALUE"""),"PREF")</f>
        <v>PREF</v>
      </c>
      <c r="G795" s="45" t="str">
        <f>IFERROR(__xludf.DUMMYFUNCTION("""COMPUTED_VALUE"""),"Bloco Administrativo")</f>
        <v>Bloco Administrativo</v>
      </c>
      <c r="H795" s="46" t="str">
        <f>IFERROR(__xludf.DUMMYFUNCTION("""COMPUTED_VALUE"""),"Setor de compras ")</f>
        <v>Setor de compras </v>
      </c>
      <c r="I795" s="7" t="str">
        <f>IFERROR(__xludf.DUMMYFUNCTION("""COMPUTED_VALUE"""),"Ar Condicionado ")</f>
        <v>Ar Condicionado </v>
      </c>
      <c r="J795" s="13" t="str">
        <f>IFERROR(__xludf.DUMMYFUNCTION("""COMPUTED_VALUE"""),"Ar condicionado ")</f>
        <v>Ar condicionado </v>
      </c>
      <c r="K795" s="13"/>
      <c r="L795" s="13" t="str">
        <f>IFERROR(__xludf.DUMMYFUNCTION("""COMPUTED_VALUE"""),"Desentupir dreno ")</f>
        <v>Desentupir dreno </v>
      </c>
      <c r="M795" s="20"/>
      <c r="N795" s="26" t="str">
        <f>IFERROR(__xludf.DUMMYFUNCTION("""COMPUTED_VALUE"""),"Realizado")</f>
        <v>Realizado</v>
      </c>
      <c r="O795" s="11">
        <f>IFERROR(__xludf.DUMMYFUNCTION("""COMPUTED_VALUE"""),45400.0)</f>
        <v>45400</v>
      </c>
      <c r="P795" s="11"/>
    </row>
    <row r="796" ht="27.0" customHeight="1">
      <c r="A796" s="20" t="str">
        <f>IFERROR(__xludf.DUMMYFUNCTION("""COMPUTED_VALUE"""),"794/2024")</f>
        <v>794/2024</v>
      </c>
      <c r="B796" s="8">
        <f>IFERROR(__xludf.DUMMYFUNCTION("""COMPUTED_VALUE"""),45400.30422013889)</f>
        <v>45400.30422</v>
      </c>
      <c r="C796" s="44" t="str">
        <f>IFERROR(__xludf.DUMMYFUNCTION("""COMPUTED_VALUE"""),"isabela.moraes@ufcat.edu.br")</f>
        <v>isabela.moraes@ufcat.edu.br</v>
      </c>
      <c r="D796" s="45" t="str">
        <f>IFERROR(__xludf.DUMMYFUNCTION("""COMPUTED_VALUE"""),"Isabela Rocceline")</f>
        <v>Isabela Rocceline</v>
      </c>
      <c r="E796" s="47">
        <f>IFERROR(__xludf.DUMMYFUNCTION("""COMPUTED_VALUE"""),5369.0)</f>
        <v>5369</v>
      </c>
      <c r="F796" s="45" t="str">
        <f>IFERROR(__xludf.DUMMYFUNCTION("""COMPUTED_VALUE"""),"DLT")</f>
        <v>DLT</v>
      </c>
      <c r="G796" s="45" t="str">
        <f>IFERROR(__xludf.DUMMYFUNCTION("""COMPUTED_VALUE"""),"Bloco P")</f>
        <v>Bloco P</v>
      </c>
      <c r="H796" s="46" t="str">
        <f>IFERROR(__xludf.DUMMYFUNCTION("""COMPUTED_VALUE"""),"Alojamento")</f>
        <v>Alojamento</v>
      </c>
      <c r="I796" s="7" t="str">
        <f>IFERROR(__xludf.DUMMYFUNCTION("""COMPUTED_VALUE"""),"Instalações Hidrossanitárias")</f>
        <v>Instalações Hidrossanitárias</v>
      </c>
      <c r="J796" s="13" t="str">
        <f>IFERROR(__xludf.DUMMYFUNCTION("""COMPUTED_VALUE"""),"02 Hidráulica / 22 - Outros")</f>
        <v>02 Hidráulica / 22 - Outros</v>
      </c>
      <c r="K796" s="13"/>
      <c r="L796" s="13" t="str">
        <f>IFERROR(__xludf.DUMMYFUNCTION("""COMPUTED_VALUE"""),"Vazamento no ladrão da caixa d'água banheiro do alojamento.")</f>
        <v>Vazamento no ladrão da caixa d'água banheiro do alojamento.</v>
      </c>
      <c r="M796" s="20"/>
      <c r="N796" s="26" t="str">
        <f>IFERROR(__xludf.DUMMYFUNCTION("""COMPUTED_VALUE"""),"Realizado")</f>
        <v>Realizado</v>
      </c>
      <c r="O796" s="11">
        <f>IFERROR(__xludf.DUMMYFUNCTION("""COMPUTED_VALUE"""),45401.0)</f>
        <v>45401</v>
      </c>
      <c r="P796" s="11"/>
    </row>
    <row r="797" ht="27.0" customHeight="1">
      <c r="A797" s="20" t="str">
        <f>IFERROR(__xludf.DUMMYFUNCTION("""COMPUTED_VALUE"""),"795/2024")</f>
        <v>795/2024</v>
      </c>
      <c r="B797" s="8">
        <f>IFERROR(__xludf.DUMMYFUNCTION("""COMPUTED_VALUE"""),45400.30775180555)</f>
        <v>45400.30775</v>
      </c>
      <c r="C797" s="44" t="str">
        <f>IFERROR(__xludf.DUMMYFUNCTION("""COMPUTED_VALUE"""),"isabela.moraes@ufcat.edu.br")</f>
        <v>isabela.moraes@ufcat.edu.br</v>
      </c>
      <c r="D797" s="45" t="str">
        <f>IFERROR(__xludf.DUMMYFUNCTION("""COMPUTED_VALUE"""),"Isabela Rocceline")</f>
        <v>Isabela Rocceline</v>
      </c>
      <c r="E797" s="47">
        <f>IFERROR(__xludf.DUMMYFUNCTION("""COMPUTED_VALUE"""),5369.0)</f>
        <v>5369</v>
      </c>
      <c r="F797" s="45" t="str">
        <f>IFERROR(__xludf.DUMMYFUNCTION("""COMPUTED_VALUE"""),"DLT")</f>
        <v>DLT</v>
      </c>
      <c r="G797" s="45" t="str">
        <f>IFERROR(__xludf.DUMMYFUNCTION("""COMPUTED_VALUE"""),"Bloco P")</f>
        <v>Bloco P</v>
      </c>
      <c r="H797" s="46" t="str">
        <f>IFERROR(__xludf.DUMMYFUNCTION("""COMPUTED_VALUE"""),"Banheiro feminino sala Transporte")</f>
        <v>Banheiro feminino sala Transporte</v>
      </c>
      <c r="I797" s="7" t="str">
        <f>IFERROR(__xludf.DUMMYFUNCTION("""COMPUTED_VALUE"""),"Instalações Hidrossanitárias")</f>
        <v>Instalações Hidrossanitárias</v>
      </c>
      <c r="J797" s="13" t="str">
        <f>IFERROR(__xludf.DUMMYFUNCTION("""COMPUTED_VALUE"""),"02 Hidráulica / 22 - Outros")</f>
        <v>02 Hidráulica / 22 - Outros</v>
      </c>
      <c r="K797" s="13"/>
      <c r="L797" s="13" t="str">
        <f>IFERROR(__xludf.DUMMYFUNCTION("""COMPUTED_VALUE"""),"Está voltando um mau cheiro pelo ralinho do banheiro muito forte, verificar o que pode ser.")</f>
        <v>Está voltando um mau cheiro pelo ralinho do banheiro muito forte, verificar o que pode ser.</v>
      </c>
      <c r="M797" s="20"/>
      <c r="N797" s="26" t="str">
        <f>IFERROR(__xludf.DUMMYFUNCTION("""COMPUTED_VALUE"""),"Realizado")</f>
        <v>Realizado</v>
      </c>
      <c r="O797" s="11">
        <f>IFERROR(__xludf.DUMMYFUNCTION("""COMPUTED_VALUE"""),45401.0)</f>
        <v>45401</v>
      </c>
      <c r="P797" s="11"/>
    </row>
    <row r="798" ht="27.0" customHeight="1">
      <c r="A798" s="20" t="str">
        <f>IFERROR(__xludf.DUMMYFUNCTION("""COMPUTED_VALUE"""),"796/2024")</f>
        <v>796/2024</v>
      </c>
      <c r="B798" s="8">
        <f>IFERROR(__xludf.DUMMYFUNCTION("""COMPUTED_VALUE"""),45400.467843252314)</f>
        <v>45400.46784</v>
      </c>
      <c r="C798" s="44" t="str">
        <f>IFERROR(__xludf.DUMMYFUNCTION("""COMPUTED_VALUE"""),"pref@ufcat.edu.br")</f>
        <v>pref@ufcat.edu.br</v>
      </c>
      <c r="D798" s="45" t="str">
        <f>IFERROR(__xludf.DUMMYFUNCTION("""COMPUTED_VALUE"""),"Nátaly Félix")</f>
        <v>Nátaly Félix</v>
      </c>
      <c r="E798" s="47">
        <f>IFERROR(__xludf.DUMMYFUNCTION("""COMPUTED_VALUE"""),5379.0)</f>
        <v>5379</v>
      </c>
      <c r="F798" s="45" t="str">
        <f>IFERROR(__xludf.DUMMYFUNCTION("""COMPUTED_VALUE"""),"PREF")</f>
        <v>PREF</v>
      </c>
      <c r="G798" s="45" t="str">
        <f>IFERROR(__xludf.DUMMYFUNCTION("""COMPUTED_VALUE"""),"Bloco P")</f>
        <v>Bloco P</v>
      </c>
      <c r="H798" s="46" t="str">
        <f>IFERROR(__xludf.DUMMYFUNCTION("""COMPUTED_VALUE"""),"Sala de contratos")</f>
        <v>Sala de contratos</v>
      </c>
      <c r="I798" s="7" t="str">
        <f>IFERROR(__xludf.DUMMYFUNCTION("""COMPUTED_VALUE"""),"Instalações e/ou Manutenção em Cabeamento de Rede")</f>
        <v>Instalações e/ou Manutenção em Cabeamento de Rede</v>
      </c>
      <c r="J798" s="13" t="str">
        <f>IFERROR(__xludf.DUMMYFUNCTION("""COMPUTED_VALUE"""),"05 Telecomunicações / 38 - Cabeamento de Rede")</f>
        <v>05 Telecomunicações / 38 - Cabeamento de Rede</v>
      </c>
      <c r="K798" s="13"/>
      <c r="L798" s="13" t="str">
        <f>IFERROR(__xludf.DUMMYFUNCTION("""COMPUTED_VALUE"""),"organização de cabeamentos de rede")</f>
        <v>organização de cabeamentos de rede</v>
      </c>
      <c r="M798" s="20"/>
      <c r="N798" s="26" t="str">
        <f>IFERROR(__xludf.DUMMYFUNCTION("""COMPUTED_VALUE"""),"Realizado")</f>
        <v>Realizado</v>
      </c>
      <c r="O798" s="11">
        <f>IFERROR(__xludf.DUMMYFUNCTION("""COMPUTED_VALUE"""),45401.0)</f>
        <v>45401</v>
      </c>
      <c r="P798" s="11"/>
    </row>
    <row r="799" ht="27.0" customHeight="1">
      <c r="A799" s="20" t="str">
        <f>IFERROR(__xludf.DUMMYFUNCTION("""COMPUTED_VALUE"""),"797/2024")</f>
        <v>797/2024</v>
      </c>
      <c r="B799" s="8">
        <f>IFERROR(__xludf.DUMMYFUNCTION("""COMPUTED_VALUE"""),45400.48399086806)</f>
        <v>45400.48399</v>
      </c>
      <c r="C799" s="44" t="str">
        <f>IFERROR(__xludf.DUMMYFUNCTION("""COMPUTED_VALUE"""),"camila.mesquita@ufcat.edu.br")</f>
        <v>camila.mesquita@ufcat.edu.br</v>
      </c>
      <c r="D799" s="45" t="str">
        <f>IFERROR(__xludf.DUMMYFUNCTION("""COMPUTED_VALUE"""),"Camila Martins Mesquita")</f>
        <v>Camila Martins Mesquita</v>
      </c>
      <c r="E799" s="47">
        <f>IFERROR(__xludf.DUMMYFUNCTION("""COMPUTED_VALUE"""),5349.0)</f>
        <v>5349</v>
      </c>
      <c r="F799" s="45" t="str">
        <f>IFERROR(__xludf.DUMMYFUNCTION("""COMPUTED_VALUE"""),"IBIOTEC  - Psicologia")</f>
        <v>IBIOTEC  - Psicologia</v>
      </c>
      <c r="G799" s="45" t="str">
        <f>IFERROR(__xludf.DUMMYFUNCTION("""COMPUTED_VALUE"""),"Bloco M")</f>
        <v>Bloco M</v>
      </c>
      <c r="H799" s="46" t="str">
        <f>IFERROR(__xludf.DUMMYFUNCTION("""COMPUTED_VALUE"""),"CEAPSI- Em frente o consultório 3")</f>
        <v>CEAPSI- Em frente o consultório 3</v>
      </c>
      <c r="I799" s="7" t="str">
        <f>IFERROR(__xludf.DUMMYFUNCTION("""COMPUTED_VALUE"""),"Instalações elétricas")</f>
        <v>Instalações elétricas</v>
      </c>
      <c r="J799" s="13" t="str">
        <f>IFERROR(__xludf.DUMMYFUNCTION("""COMPUTED_VALUE"""),"04 Elétrica / 35 - Troca de Lâmpadas")</f>
        <v>04 Elétrica / 35 - Troca de Lâmpadas</v>
      </c>
      <c r="K799" s="13"/>
      <c r="L799" s="13" t="str">
        <f>IFERROR(__xludf.DUMMYFUNCTION("""COMPUTED_VALUE"""),"Troca de lâmpada queimada em frente o consultório 3")</f>
        <v>Troca de lâmpada queimada em frente o consultório 3</v>
      </c>
      <c r="M799" s="20"/>
      <c r="N799" s="26" t="str">
        <f>IFERROR(__xludf.DUMMYFUNCTION("""COMPUTED_VALUE"""),"Realizado")</f>
        <v>Realizado</v>
      </c>
      <c r="O799" s="11">
        <f>IFERROR(__xludf.DUMMYFUNCTION("""COMPUTED_VALUE"""),45401.0)</f>
        <v>45401</v>
      </c>
      <c r="P799" s="11"/>
    </row>
    <row r="800" ht="27.0" customHeight="1">
      <c r="A800" s="20" t="str">
        <f>IFERROR(__xludf.DUMMYFUNCTION("""COMPUTED_VALUE"""),"798/2024")</f>
        <v>798/2024</v>
      </c>
      <c r="B800" s="8">
        <f>IFERROR(__xludf.DUMMYFUNCTION("""COMPUTED_VALUE"""),45400.49569928241)</f>
        <v>45400.4957</v>
      </c>
      <c r="C800" s="44" t="str">
        <f>IFERROR(__xludf.DUMMYFUNCTION("""COMPUTED_VALUE"""),"cpatri.proaf@ufcat.edu.br")</f>
        <v>cpatri.proaf@ufcat.edu.br</v>
      </c>
      <c r="D800" s="45" t="str">
        <f>IFERROR(__xludf.DUMMYFUNCTION("""COMPUTED_VALUE"""),"Oidê Sobrinho")</f>
        <v>Oidê Sobrinho</v>
      </c>
      <c r="E800" s="47">
        <f>IFERROR(__xludf.DUMMYFUNCTION("""COMPUTED_VALUE"""),5343.0)</f>
        <v>5343</v>
      </c>
      <c r="F800" s="45" t="str">
        <f>IFERROR(__xludf.DUMMYFUNCTION("""COMPUTED_VALUE"""),"CPATRI")</f>
        <v>CPATRI</v>
      </c>
      <c r="G800" s="45" t="str">
        <f>IFERROR(__xludf.DUMMYFUNCTION("""COMPUTED_VALUE"""),"Bloco Administrativo")</f>
        <v>Bloco Administrativo</v>
      </c>
      <c r="H800" s="46" t="str">
        <f>IFERROR(__xludf.DUMMYFUNCTION("""COMPUTED_VALUE"""),"almoxarifado")</f>
        <v>almoxarifado</v>
      </c>
      <c r="I800" s="7" t="str">
        <f>IFERROR(__xludf.DUMMYFUNCTION("""COMPUTED_VALUE"""),"Serralheria")</f>
        <v>Serralheria</v>
      </c>
      <c r="J800" s="13" t="str">
        <f>IFERROR(__xludf.DUMMYFUNCTION("""COMPUTED_VALUE"""),"08 Serralheria / 56 - Outros")</f>
        <v>08 Serralheria / 56 - Outros</v>
      </c>
      <c r="K800" s="13"/>
      <c r="L800" s="13" t="str">
        <f>IFERROR(__xludf.DUMMYFUNCTION("""COMPUTED_VALUE"""),"Mais ou menos 25 carteiras que serão transformadas em cadeiras, assim como foram feitas as que estavam no Ginásio")</f>
        <v>Mais ou menos 25 carteiras que serão transformadas em cadeiras, assim como foram feitas as que estavam no Ginásio</v>
      </c>
      <c r="M800" s="20"/>
      <c r="N800" s="26" t="str">
        <f>IFERROR(__xludf.DUMMYFUNCTION("""COMPUTED_VALUE"""),"Realizado")</f>
        <v>Realizado</v>
      </c>
      <c r="O800" s="11">
        <f>IFERROR(__xludf.DUMMYFUNCTION("""COMPUTED_VALUE"""),45401.0)</f>
        <v>45401</v>
      </c>
      <c r="P800" s="11"/>
    </row>
    <row r="801" ht="27.0" customHeight="1">
      <c r="A801" s="20" t="str">
        <f>IFERROR(__xludf.DUMMYFUNCTION("""COMPUTED_VALUE"""),"799/2024")</f>
        <v>799/2024</v>
      </c>
      <c r="B801" s="8">
        <f>IFERROR(__xludf.DUMMYFUNCTION("""COMPUTED_VALUE"""),45400.626502893516)</f>
        <v>45400.6265</v>
      </c>
      <c r="C801" s="44" t="str">
        <f>IFERROR(__xludf.DUMMYFUNCTION("""COMPUTED_VALUE"""),"amanda.lopes@ufcat.edu.br")</f>
        <v>amanda.lopes@ufcat.edu.br</v>
      </c>
      <c r="D801" s="45" t="str">
        <f>IFERROR(__xludf.DUMMYFUNCTION("""COMPUTED_VALUE"""),"Amanda Matos ")</f>
        <v>Amanda Matos </v>
      </c>
      <c r="E801" s="47">
        <f>IFERROR(__xludf.DUMMYFUNCTION("""COMPUTED_VALUE"""),5340.0)</f>
        <v>5340</v>
      </c>
      <c r="F801" s="45" t="str">
        <f>IFERROR(__xludf.DUMMYFUNCTION("""COMPUTED_VALUE"""),"PREF")</f>
        <v>PREF</v>
      </c>
      <c r="G801" s="45" t="str">
        <f>IFERROR(__xludf.DUMMYFUNCTION("""COMPUTED_VALUE"""),"SETI")</f>
        <v>SETI</v>
      </c>
      <c r="H801" s="46" t="str">
        <f>IFERROR(__xludf.DUMMYFUNCTION("""COMPUTED_VALUE"""),"Interno ")</f>
        <v>Interno </v>
      </c>
      <c r="I801" s="7" t="str">
        <f>IFERROR(__xludf.DUMMYFUNCTION("""COMPUTED_VALUE"""),"Instalações Hidrossanitárias")</f>
        <v>Instalações Hidrossanitárias</v>
      </c>
      <c r="J801" s="13" t="str">
        <f>IFERROR(__xludf.DUMMYFUNCTION("""COMPUTED_VALUE"""),"02 Hidráulica / 22 - Outros")</f>
        <v>02 Hidráulica / 22 - Outros</v>
      </c>
      <c r="K801" s="13"/>
      <c r="L801" s="13" t="str">
        <f>IFERROR(__xludf.DUMMYFUNCTION("""COMPUTED_VALUE"""),"Instalação de bebedouro ")</f>
        <v>Instalação de bebedouro </v>
      </c>
      <c r="M801" s="20"/>
      <c r="N801" s="26" t="str">
        <f>IFERROR(__xludf.DUMMYFUNCTION("""COMPUTED_VALUE"""),"Realizado")</f>
        <v>Realizado</v>
      </c>
      <c r="O801" s="11">
        <f>IFERROR(__xludf.DUMMYFUNCTION("""COMPUTED_VALUE"""),45401.0)</f>
        <v>45401</v>
      </c>
      <c r="P801" s="11"/>
    </row>
    <row r="802" ht="27.0" customHeight="1">
      <c r="A802" s="20" t="str">
        <f>IFERROR(__xludf.DUMMYFUNCTION("""COMPUTED_VALUE"""),"800/2024")</f>
        <v>800/2024</v>
      </c>
      <c r="B802" s="8">
        <f>IFERROR(__xludf.DUMMYFUNCTION("""COMPUTED_VALUE"""),45400.66829613426)</f>
        <v>45400.6683</v>
      </c>
      <c r="C802" s="44" t="str">
        <f>IFERROR(__xludf.DUMMYFUNCTION("""COMPUTED_VALUE"""),"dpm.progep@ufcat.edu.br")</f>
        <v>dpm.progep@ufcat.edu.br</v>
      </c>
      <c r="D802" s="45" t="str">
        <f>IFERROR(__xludf.DUMMYFUNCTION("""COMPUTED_VALUE"""),"Mariana Naya de Brito Ramos")</f>
        <v>Mariana Naya de Brito Ramos</v>
      </c>
      <c r="E802" s="47">
        <f>IFERROR(__xludf.DUMMYFUNCTION("""COMPUTED_VALUE"""),3.49983404E10)</f>
        <v>34998340400</v>
      </c>
      <c r="F802" s="45" t="str">
        <f>IFERROR(__xludf.DUMMYFUNCTION("""COMPUTED_VALUE"""),"PROGEP")</f>
        <v>PROGEP</v>
      </c>
      <c r="G802" s="45" t="str">
        <f>IFERROR(__xludf.DUMMYFUNCTION("""COMPUTED_VALUE"""),"Bloco Administrativo")</f>
        <v>Bloco Administrativo</v>
      </c>
      <c r="H802" s="46">
        <f>IFERROR(__xludf.DUMMYFUNCTION("""COMPUTED_VALUE"""),116.0)</f>
        <v>116</v>
      </c>
      <c r="I802" s="7" t="str">
        <f>IFERROR(__xludf.DUMMYFUNCTION("""COMPUTED_VALUE"""),"Ar Condicionado ")</f>
        <v>Ar Condicionado </v>
      </c>
      <c r="J802" s="13"/>
      <c r="K802" s="13"/>
      <c r="L802" s="13" t="str">
        <f>IFERROR(__xludf.DUMMYFUNCTION("""COMPUTED_VALUE"""),"O Ar-condicionado começou a descongelar e mesmo desligado continua a cair água")</f>
        <v>O Ar-condicionado começou a descongelar e mesmo desligado continua a cair água</v>
      </c>
      <c r="M802" s="20"/>
      <c r="N802" s="26" t="str">
        <f>IFERROR(__xludf.DUMMYFUNCTION("""COMPUTED_VALUE"""),"Contratação externa PREF")</f>
        <v>Contratação externa PREF</v>
      </c>
      <c r="O802" s="11"/>
      <c r="P802" s="11"/>
    </row>
    <row r="803" ht="27.0" customHeight="1">
      <c r="A803" s="20" t="str">
        <f>IFERROR(__xludf.DUMMYFUNCTION("""COMPUTED_VALUE"""),"801/2024")</f>
        <v>801/2024</v>
      </c>
      <c r="B803" s="8">
        <f>IFERROR(__xludf.DUMMYFUNCTION("""COMPUTED_VALUE"""),45400.7098452662)</f>
        <v>45400.70985</v>
      </c>
      <c r="C803" s="44" t="str">
        <f>IFERROR(__xludf.DUMMYFUNCTION("""COMPUTED_VALUE"""),"welington_silva@ufcat.edu.br")</f>
        <v>welington_silva@ufcat.edu.br</v>
      </c>
      <c r="D803" s="45" t="str">
        <f>IFERROR(__xludf.DUMMYFUNCTION("""COMPUTED_VALUE"""),"Welington Cesar Silva")</f>
        <v>Welington Cesar Silva</v>
      </c>
      <c r="E803" s="47">
        <f>IFERROR(__xludf.DUMMYFUNCTION("""COMPUTED_VALUE"""),5311.0)</f>
        <v>5311</v>
      </c>
      <c r="F803" s="45" t="str">
        <f>IFERROR(__xludf.DUMMYFUNCTION("""COMPUTED_VALUE"""),"IBIOTEC  - Educação Física")</f>
        <v>IBIOTEC  - Educação Física</v>
      </c>
      <c r="G803" s="45" t="str">
        <f>IFERROR(__xludf.DUMMYFUNCTION("""COMPUTED_VALUE"""),"Bloco D")</f>
        <v>Bloco D</v>
      </c>
      <c r="H803" s="46">
        <f>IFERROR(__xludf.DUMMYFUNCTION("""COMPUTED_VALUE"""),10.0)</f>
        <v>10</v>
      </c>
      <c r="I803" s="7" t="str">
        <f>IFERROR(__xludf.DUMMYFUNCTION("""COMPUTED_VALUE"""),"Pequenos serviços de reparos em Marcenaria")</f>
        <v>Pequenos serviços de reparos em Marcenaria</v>
      </c>
      <c r="J803" s="13" t="str">
        <f>IFERROR(__xludf.DUMMYFUNCTION("""COMPUTED_VALUE"""),"03 Marcenaria / 28 -Troca de Fechaduras")</f>
        <v>03 Marcenaria / 28 -Troca de Fechaduras</v>
      </c>
      <c r="K803" s="13"/>
      <c r="L803" s="13" t="str">
        <f>IFERROR(__xludf.DUMMYFUNCTION("""COMPUTED_VALUE"""),"Trocar a fechadura da sala 10 (Ludoteca) ")</f>
        <v>Trocar a fechadura da sala 10 (Ludoteca) </v>
      </c>
      <c r="M803" s="20"/>
      <c r="N803" s="26" t="str">
        <f>IFERROR(__xludf.DUMMYFUNCTION("""COMPUTED_VALUE"""),"Realizado")</f>
        <v>Realizado</v>
      </c>
      <c r="O803" s="11">
        <f>IFERROR(__xludf.DUMMYFUNCTION("""COMPUTED_VALUE"""),45401.0)</f>
        <v>45401</v>
      </c>
      <c r="P803" s="11"/>
    </row>
    <row r="804" ht="27.0" customHeight="1">
      <c r="A804" s="20" t="str">
        <f>IFERROR(__xludf.DUMMYFUNCTION("""COMPUTED_VALUE"""),"802/2024")</f>
        <v>802/2024</v>
      </c>
      <c r="B804" s="8">
        <f>IFERROR(__xludf.DUMMYFUNCTION("""COMPUTED_VALUE"""),45400.71141965278)</f>
        <v>45400.71142</v>
      </c>
      <c r="C804" s="44" t="str">
        <f>IFERROR(__xludf.DUMMYFUNCTION("""COMPUTED_VALUE"""),"welington_silva@ufcat.edu.br")</f>
        <v>welington_silva@ufcat.edu.br</v>
      </c>
      <c r="D804" s="45" t="str">
        <f>IFERROR(__xludf.DUMMYFUNCTION("""COMPUTED_VALUE"""),"Welington Cesar Silva")</f>
        <v>Welington Cesar Silva</v>
      </c>
      <c r="E804" s="47">
        <f>IFERROR(__xludf.DUMMYFUNCTION("""COMPUTED_VALUE"""),5311.0)</f>
        <v>5311</v>
      </c>
      <c r="F804" s="45" t="str">
        <f>IFERROR(__xludf.DUMMYFUNCTION("""COMPUTED_VALUE"""),"IBIOTEC  - Educação Física")</f>
        <v>IBIOTEC  - Educação Física</v>
      </c>
      <c r="G804" s="45" t="str">
        <f>IFERROR(__xludf.DUMMYFUNCTION("""COMPUTED_VALUE"""),"Bloco D")</f>
        <v>Bloco D</v>
      </c>
      <c r="H804" s="46" t="str">
        <f>IFERROR(__xludf.DUMMYFUNCTION("""COMPUTED_VALUE"""),"01")</f>
        <v>01</v>
      </c>
      <c r="I804" s="7" t="str">
        <f>IFERROR(__xludf.DUMMYFUNCTION("""COMPUTED_VALUE"""),"Pequenos serviços de reparos em Marcenaria")</f>
        <v>Pequenos serviços de reparos em Marcenaria</v>
      </c>
      <c r="J804" s="13" t="str">
        <f>IFERROR(__xludf.DUMMYFUNCTION("""COMPUTED_VALUE"""),"03 Marcenaria / 27 -Troca de Porta")</f>
        <v>03 Marcenaria / 27 -Troca de Porta</v>
      </c>
      <c r="K804" s="13"/>
      <c r="L804" s="13" t="str">
        <f>IFERROR(__xludf.DUMMYFUNCTION("""COMPUTED_VALUE"""),"Trocar a porta da sala 01 (Audiovisual) ")</f>
        <v>Trocar a porta da sala 01 (Audiovisual) </v>
      </c>
      <c r="M804" s="20" t="str">
        <f>IFERROR(__xludf.DUMMYFUNCTION("""COMPUTED_VALUE"""),"Porta 0,80 CM")</f>
        <v>Porta 0,80 CM</v>
      </c>
      <c r="N804" s="26" t="str">
        <f>IFERROR(__xludf.DUMMYFUNCTION("""COMPUTED_VALUE"""),"Aguardando Mat./Equipam.")</f>
        <v>Aguardando Mat./Equipam.</v>
      </c>
      <c r="O804" s="11"/>
      <c r="P804" s="11"/>
    </row>
    <row r="805" ht="27.0" customHeight="1">
      <c r="A805" s="20" t="str">
        <f>IFERROR(__xludf.DUMMYFUNCTION("""COMPUTED_VALUE"""),"803/2024")</f>
        <v>803/2024</v>
      </c>
      <c r="B805" s="8">
        <f>IFERROR(__xludf.DUMMYFUNCTION("""COMPUTED_VALUE"""),45401.36611131944)</f>
        <v>45401.36611</v>
      </c>
      <c r="C805" s="44" t="str">
        <f>IFERROR(__xludf.DUMMYFUNCTION("""COMPUTED_VALUE"""),"seguranca@ufcat.edu.br")</f>
        <v>seguranca@ufcat.edu.br</v>
      </c>
      <c r="D805" s="45" t="str">
        <f>IFERROR(__xludf.DUMMYFUNCTION("""COMPUTED_VALUE"""),"Maria Duarte")</f>
        <v>Maria Duarte</v>
      </c>
      <c r="E805" s="47">
        <f>IFERROR(__xludf.DUMMYFUNCTION("""COMPUTED_VALUE"""),5318.0)</f>
        <v>5318</v>
      </c>
      <c r="F805" s="45" t="str">
        <f>IFERROR(__xludf.DUMMYFUNCTION("""COMPUTED_VALUE"""),"CENTRAL DE OPERAÇÕES VIGILÂNCIA")</f>
        <v>CENTRAL DE OPERAÇÕES VIGILÂNCIA</v>
      </c>
      <c r="G805" s="45" t="str">
        <f>IFERROR(__xludf.DUMMYFUNCTION("""COMPUTED_VALUE"""),"Bloco P")</f>
        <v>Bloco P</v>
      </c>
      <c r="H805" s="46" t="str">
        <f>IFERROR(__xludf.DUMMYFUNCTION("""COMPUTED_VALUE"""),"Bloco Prefeitura")</f>
        <v>Bloco Prefeitura</v>
      </c>
      <c r="I805" s="7" t="str">
        <f>IFERROR(__xludf.DUMMYFUNCTION("""COMPUTED_VALUE"""),"Instalações e/ou Manutenção em Cabeamento de Rede")</f>
        <v>Instalações e/ou Manutenção em Cabeamento de Rede</v>
      </c>
      <c r="J805" s="13" t="str">
        <f>IFERROR(__xludf.DUMMYFUNCTION("""COMPUTED_VALUE"""),"05 Telecomunicações / 39 - CFTV")</f>
        <v>05 Telecomunicações / 39 - CFTV</v>
      </c>
      <c r="K805" s="13"/>
      <c r="L805" s="13" t="str">
        <f>IFERROR(__xludf.DUMMYFUNCTION("""COMPUTED_VALUE"""),"DVR do Bloco da Prefeitura se encontra desconectado")</f>
        <v>DVR do Bloco da Prefeitura se encontra desconectado</v>
      </c>
      <c r="M805" s="20"/>
      <c r="N805" s="26" t="str">
        <f>IFERROR(__xludf.DUMMYFUNCTION("""COMPUTED_VALUE"""),"Realizado")</f>
        <v>Realizado</v>
      </c>
      <c r="O805" s="11">
        <f>IFERROR(__xludf.DUMMYFUNCTION("""COMPUTED_VALUE"""),45404.0)</f>
        <v>45404</v>
      </c>
      <c r="P805" s="11"/>
    </row>
    <row r="806" ht="27.0" customHeight="1">
      <c r="A806" s="20" t="str">
        <f>IFERROR(__xludf.DUMMYFUNCTION("""COMPUTED_VALUE"""),"804/2024")</f>
        <v>804/2024</v>
      </c>
      <c r="B806" s="8">
        <f>IFERROR(__xludf.DUMMYFUNCTION("""COMPUTED_VALUE"""),45401.3674671412)</f>
        <v>45401.36747</v>
      </c>
      <c r="C806" s="44" t="str">
        <f>IFERROR(__xludf.DUMMYFUNCTION("""COMPUTED_VALUE"""),"amanda.lopes@ufcat.edu.br")</f>
        <v>amanda.lopes@ufcat.edu.br</v>
      </c>
      <c r="D806" s="45" t="str">
        <f>IFERROR(__xludf.DUMMYFUNCTION("""COMPUTED_VALUE"""),"Amanda Matos ")</f>
        <v>Amanda Matos </v>
      </c>
      <c r="E806" s="47">
        <f>IFERROR(__xludf.DUMMYFUNCTION("""COMPUTED_VALUE"""),5340.0)</f>
        <v>5340</v>
      </c>
      <c r="F806" s="45" t="str">
        <f>IFERROR(__xludf.DUMMYFUNCTION("""COMPUTED_VALUE"""),"PREF")</f>
        <v>PREF</v>
      </c>
      <c r="G806" s="45" t="str">
        <f>IFERROR(__xludf.DUMMYFUNCTION("""COMPUTED_VALUE"""),"Bloco B")</f>
        <v>Bloco B</v>
      </c>
      <c r="H806" s="46" t="str">
        <f>IFERROR(__xludf.DUMMYFUNCTION("""COMPUTED_VALUE"""),"Lado externo ")</f>
        <v>Lado externo </v>
      </c>
      <c r="I806" s="7" t="str">
        <f>IFERROR(__xludf.DUMMYFUNCTION("""COMPUTED_VALUE"""),"Instalações Hidrossanitárias")</f>
        <v>Instalações Hidrossanitárias</v>
      </c>
      <c r="J806" s="13" t="str">
        <f>IFERROR(__xludf.DUMMYFUNCTION("""COMPUTED_VALUE"""),"02 Hidráulica / 22 - Outros")</f>
        <v>02 Hidráulica / 22 - Outros</v>
      </c>
      <c r="K806" s="13"/>
      <c r="L806" s="13" t="str">
        <f>IFERROR(__xludf.DUMMYFUNCTION("""COMPUTED_VALUE"""),"Entupimento em de encanação externa ")</f>
        <v>Entupimento em de encanação externa </v>
      </c>
      <c r="M806" s="20"/>
      <c r="N806" s="26" t="str">
        <f>IFERROR(__xludf.DUMMYFUNCTION("""COMPUTED_VALUE"""),"Realizado")</f>
        <v>Realizado</v>
      </c>
      <c r="O806" s="11">
        <f>IFERROR(__xludf.DUMMYFUNCTION("""COMPUTED_VALUE"""),45401.0)</f>
        <v>45401</v>
      </c>
      <c r="P806" s="11"/>
    </row>
    <row r="807" ht="27.0" customHeight="1">
      <c r="A807" s="20" t="str">
        <f>IFERROR(__xludf.DUMMYFUNCTION("""COMPUTED_VALUE"""),"805/2024")</f>
        <v>805/2024</v>
      </c>
      <c r="B807" s="8">
        <f>IFERROR(__xludf.DUMMYFUNCTION("""COMPUTED_VALUE"""),45401.37127740741)</f>
        <v>45401.37128</v>
      </c>
      <c r="C807" s="44" t="str">
        <f>IFERROR(__xludf.DUMMYFUNCTION("""COMPUTED_VALUE"""),"seguranca@ufcat.edu.br")</f>
        <v>seguranca@ufcat.edu.br</v>
      </c>
      <c r="D807" s="45" t="str">
        <f>IFERROR(__xludf.DUMMYFUNCTION("""COMPUTED_VALUE"""),"Maria Duarte")</f>
        <v>Maria Duarte</v>
      </c>
      <c r="E807" s="47">
        <f>IFERROR(__xludf.DUMMYFUNCTION("""COMPUTED_VALUE"""),5318.0)</f>
        <v>5318</v>
      </c>
      <c r="F807" s="45" t="str">
        <f>IFERROR(__xludf.DUMMYFUNCTION("""COMPUTED_VALUE"""),"CENTRAL DE OPERAÇÕES VIGILÂNCIA")</f>
        <v>CENTRAL DE OPERAÇÕES VIGILÂNCIA</v>
      </c>
      <c r="G807" s="45" t="str">
        <f>IFERROR(__xludf.DUMMYFUNCTION("""COMPUTED_VALUE"""),"Auditório Paulo de Bastos")</f>
        <v>Auditório Paulo de Bastos</v>
      </c>
      <c r="H807" s="46" t="str">
        <f>IFERROR(__xludf.DUMMYFUNCTION("""COMPUTED_VALUE"""),"DVR do Bloco Auditório ")</f>
        <v>DVR do Bloco Auditório </v>
      </c>
      <c r="I807" s="7" t="str">
        <f>IFERROR(__xludf.DUMMYFUNCTION("""COMPUTED_VALUE"""),"Instalações e/ou Manutenção em Cabeamento de Rede")</f>
        <v>Instalações e/ou Manutenção em Cabeamento de Rede</v>
      </c>
      <c r="J807" s="13" t="str">
        <f>IFERROR(__xludf.DUMMYFUNCTION("""COMPUTED_VALUE"""),"05 Telecomunicações / 39 - CFTV")</f>
        <v>05 Telecomunicações / 39 - CFTV</v>
      </c>
      <c r="K807" s="13"/>
      <c r="L807" s="13" t="str">
        <f>IFERROR(__xludf.DUMMYFUNCTION("""COMPUTED_VALUE"""),"Câmera do DVR do Bloco Auditório, identificada como GARAGEM 1 (Porém essa é a dos fundos do auditório onde fica parte do alambrado). Está com a imagem totalmente ''ESCURA''.")</f>
        <v>Câmera do DVR do Bloco Auditório, identificada como GARAGEM 1 (Porém essa é a dos fundos do auditório onde fica parte do alambrado). Está com a imagem totalmente ''ESCURA''.</v>
      </c>
      <c r="M807" s="20"/>
      <c r="N807" s="26" t="str">
        <f>IFERROR(__xludf.DUMMYFUNCTION("""COMPUTED_VALUE"""),"Realizado")</f>
        <v>Realizado</v>
      </c>
      <c r="O807" s="11">
        <f>IFERROR(__xludf.DUMMYFUNCTION("""COMPUTED_VALUE"""),45404.0)</f>
        <v>45404</v>
      </c>
      <c r="P807" s="11"/>
    </row>
    <row r="808" ht="27.0" customHeight="1">
      <c r="A808" s="20" t="str">
        <f>IFERROR(__xludf.DUMMYFUNCTION("""COMPUTED_VALUE"""),"806/2024")</f>
        <v>806/2024</v>
      </c>
      <c r="B808" s="8">
        <f>IFERROR(__xludf.DUMMYFUNCTION("""COMPUTED_VALUE"""),45401.470589687495)</f>
        <v>45401.47059</v>
      </c>
      <c r="C808" s="44" t="str">
        <f>IFERROR(__xludf.DUMMYFUNCTION("""COMPUTED_VALUE"""),"sergio_junior@ufcat.edu.br")</f>
        <v>sergio_junior@ufcat.edu.br</v>
      </c>
      <c r="D808" s="45" t="str">
        <f>IFERROR(__xludf.DUMMYFUNCTION("""COMPUTED_VALUE"""),"Sérgio")</f>
        <v>Sérgio</v>
      </c>
      <c r="E808" s="47" t="str">
        <f>IFERROR(__xludf.DUMMYFUNCTION("""COMPUTED_VALUE"""),"64 98422-8673")</f>
        <v>64 98422-8673</v>
      </c>
      <c r="F808" s="45" t="str">
        <f>IFERROR(__xludf.DUMMYFUNCTION("""COMPUTED_VALUE"""),"DCMP")</f>
        <v>DCMP</v>
      </c>
      <c r="G808" s="45" t="str">
        <f>IFERROR(__xludf.DUMMYFUNCTION("""COMPUTED_VALUE"""),"Bloco Administrativo")</f>
        <v>Bloco Administrativo</v>
      </c>
      <c r="H808" s="46" t="str">
        <f>IFERROR(__xludf.DUMMYFUNCTION("""COMPUTED_VALUE"""),"Sala 04")</f>
        <v>Sala 04</v>
      </c>
      <c r="I808" s="7" t="str">
        <f>IFERROR(__xludf.DUMMYFUNCTION("""COMPUTED_VALUE"""),"Reparos (alvenaria, piso, forro e telhado)")</f>
        <v>Reparos (alvenaria, piso, forro e telhado)</v>
      </c>
      <c r="J808" s="13" t="str">
        <f>IFERROR(__xludf.DUMMYFUNCTION("""COMPUTED_VALUE"""),"01 Alvenaria / 06 - Outros")</f>
        <v>01 Alvenaria / 06 - Outros</v>
      </c>
      <c r="K808" s="13"/>
      <c r="L808" s="13" t="str">
        <f>IFERROR(__xludf.DUMMYFUNCTION("""COMPUTED_VALUE"""),"Retirada de persiana da sala 09 e reinstalação na sala 04 da PROAF.")</f>
        <v>Retirada de persiana da sala 09 e reinstalação na sala 04 da PROAF.</v>
      </c>
      <c r="M808" s="20"/>
      <c r="N808" s="26" t="str">
        <f>IFERROR(__xludf.DUMMYFUNCTION("""COMPUTED_VALUE"""),"Aguardando análise")</f>
        <v>Aguardando análise</v>
      </c>
      <c r="O808" s="11"/>
      <c r="P808" s="11"/>
    </row>
    <row r="809" ht="27.0" customHeight="1">
      <c r="A809" s="20" t="str">
        <f>IFERROR(__xludf.DUMMYFUNCTION("""COMPUTED_VALUE"""),"807/2024")</f>
        <v>807/2024</v>
      </c>
      <c r="B809" s="8">
        <f>IFERROR(__xludf.DUMMYFUNCTION("""COMPUTED_VALUE"""),45404.30633412037)</f>
        <v>45404.30633</v>
      </c>
      <c r="C809" s="44" t="str">
        <f>IFERROR(__xludf.DUMMYFUNCTION("""COMPUTED_VALUE"""),"amanda.lopes@ufcat.edu.br")</f>
        <v>amanda.lopes@ufcat.edu.br</v>
      </c>
      <c r="D809" s="45" t="str">
        <f>IFERROR(__xludf.DUMMYFUNCTION("""COMPUTED_VALUE"""),"Amanda Matos ")</f>
        <v>Amanda Matos </v>
      </c>
      <c r="E809" s="47">
        <f>IFERROR(__xludf.DUMMYFUNCTION("""COMPUTED_VALUE"""),5340.0)</f>
        <v>5340</v>
      </c>
      <c r="F809" s="45" t="str">
        <f>IFERROR(__xludf.DUMMYFUNCTION("""COMPUTED_VALUE"""),"PREF")</f>
        <v>PREF</v>
      </c>
      <c r="G809" s="45" t="str">
        <f>IFERROR(__xludf.DUMMYFUNCTION("""COMPUTED_VALUE"""),"Bloco Administrativo")</f>
        <v>Bloco Administrativo</v>
      </c>
      <c r="H809" s="46" t="str">
        <f>IFERROR(__xludf.DUMMYFUNCTION("""COMPUTED_VALUE"""),"Sala do setor de compras ")</f>
        <v>Sala do setor de compras </v>
      </c>
      <c r="I809" s="7" t="str">
        <f>IFERROR(__xludf.DUMMYFUNCTION("""COMPUTED_VALUE"""),"Instalações Hidrossanitárias")</f>
        <v>Instalações Hidrossanitárias</v>
      </c>
      <c r="J809" s="13" t="str">
        <f>IFERROR(__xludf.DUMMYFUNCTION("""COMPUTED_VALUE"""),"02 Hidráulica / 22 - Outros")</f>
        <v>02 Hidráulica / 22 - Outros</v>
      </c>
      <c r="K809" s="13"/>
      <c r="L809" s="13" t="str">
        <f>IFERROR(__xludf.DUMMYFUNCTION("""COMPUTED_VALUE"""),"Desentupir dreno do ar condicionado ")</f>
        <v>Desentupir dreno do ar condicionado </v>
      </c>
      <c r="M809" s="20"/>
      <c r="N809" s="26" t="str">
        <f>IFERROR(__xludf.DUMMYFUNCTION("""COMPUTED_VALUE"""),"Aguardando análise")</f>
        <v>Aguardando análise</v>
      </c>
      <c r="O809" s="11"/>
      <c r="P809" s="11"/>
    </row>
    <row r="810" ht="27.0" customHeight="1">
      <c r="A810" s="20" t="str">
        <f>IFERROR(__xludf.DUMMYFUNCTION("""COMPUTED_VALUE"""),"808/2024")</f>
        <v>808/2024</v>
      </c>
      <c r="B810" s="8">
        <f>IFERROR(__xludf.DUMMYFUNCTION("""COMPUTED_VALUE"""),45404.37318181713)</f>
        <v>45404.37318</v>
      </c>
      <c r="C810" s="44" t="str">
        <f>IFERROR(__xludf.DUMMYFUNCTION("""COMPUTED_VALUE"""),"pref@ufcat.edu.br")</f>
        <v>pref@ufcat.edu.br</v>
      </c>
      <c r="D810" s="45" t="str">
        <f>IFERROR(__xludf.DUMMYFUNCTION("""COMPUTED_VALUE"""),"Nátaly Félix")</f>
        <v>Nátaly Félix</v>
      </c>
      <c r="E810" s="47">
        <f>IFERROR(__xludf.DUMMYFUNCTION("""COMPUTED_VALUE"""),5379.0)</f>
        <v>5379</v>
      </c>
      <c r="F810" s="45" t="str">
        <f>IFERROR(__xludf.DUMMYFUNCTION("""COMPUTED_VALUE"""),"PREF")</f>
        <v>PREF</v>
      </c>
      <c r="G810" s="45" t="str">
        <f>IFERROR(__xludf.DUMMYFUNCTION("""COMPUTED_VALUE"""),"Bloco E")</f>
        <v>Bloco E</v>
      </c>
      <c r="H810" s="46" t="str">
        <f>IFERROR(__xludf.DUMMYFUNCTION("""COMPUTED_VALUE"""),"poste de iluminação da rua do Bloco E")</f>
        <v>poste de iluminação da rua do Bloco E</v>
      </c>
      <c r="I810" s="7" t="str">
        <f>IFERROR(__xludf.DUMMYFUNCTION("""COMPUTED_VALUE"""),"Instalações elétricas")</f>
        <v>Instalações elétricas</v>
      </c>
      <c r="J810" s="13" t="str">
        <f>IFERROR(__xludf.DUMMYFUNCTION("""COMPUTED_VALUE"""),"04 Elétrica / 31 - Iluminação Externa")</f>
        <v>04 Elétrica / 31 - Iluminação Externa</v>
      </c>
      <c r="K810" s="13"/>
      <c r="L810" s="13" t="str">
        <f>IFERROR(__xludf.DUMMYFUNCTION("""COMPUTED_VALUE"""),"no dia 19/04/2024 às 20:18 horas, fui informada pelo Bravo (1) que o poste de iluminação da rua do Bloco E está sem iluminação.")</f>
        <v>no dia 19/04/2024 às 20:18 horas, fui informada pelo Bravo (1) que o poste de iluminação da rua do Bloco E está sem iluminação.</v>
      </c>
      <c r="M810" s="20" t="str">
        <f>IFERROR(__xludf.DUMMYFUNCTION("""COMPUTED_VALUE"""),"Poste de iluminação publica ")</f>
        <v>Poste de iluminação publica </v>
      </c>
      <c r="N810" s="26" t="str">
        <f>IFERROR(__xludf.DUMMYFUNCTION("""COMPUTED_VALUE"""),"Não é atribuição da PREF")</f>
        <v>Não é atribuição da PREF</v>
      </c>
      <c r="O810" s="11">
        <f>IFERROR(__xludf.DUMMYFUNCTION("""COMPUTED_VALUE"""),45405.0)</f>
        <v>45405</v>
      </c>
      <c r="P810" s="11"/>
    </row>
    <row r="811" ht="27.0" customHeight="1">
      <c r="A811" s="20" t="str">
        <f>IFERROR(__xludf.DUMMYFUNCTION("""COMPUTED_VALUE"""),"809/2024")</f>
        <v>809/2024</v>
      </c>
      <c r="B811" s="8">
        <f>IFERROR(__xludf.DUMMYFUNCTION("""COMPUTED_VALUE"""),45404.39938469908)</f>
        <v>45404.39938</v>
      </c>
      <c r="C811" s="44" t="str">
        <f>IFERROR(__xludf.DUMMYFUNCTION("""COMPUTED_VALUE"""),"nataly_felix@ufcat.edu.br")</f>
        <v>nataly_felix@ufcat.edu.br</v>
      </c>
      <c r="D811" s="45" t="str">
        <f>IFERROR(__xludf.DUMMYFUNCTION("""COMPUTED_VALUE"""),"Nátaly Félix")</f>
        <v>Nátaly Félix</v>
      </c>
      <c r="E811" s="47">
        <f>IFERROR(__xludf.DUMMYFUNCTION("""COMPUTED_VALUE"""),5379.0)</f>
        <v>5379</v>
      </c>
      <c r="F811" s="45" t="str">
        <f>IFERROR(__xludf.DUMMYFUNCTION("""COMPUTED_VALUE"""),"PREF")</f>
        <v>PREF</v>
      </c>
      <c r="G811" s="45" t="str">
        <f>IFERROR(__xludf.DUMMYFUNCTION("""COMPUTED_VALUE"""),"Bloco K")</f>
        <v>Bloco K</v>
      </c>
      <c r="H811" s="46" t="str">
        <f>IFERROR(__xludf.DUMMYFUNCTION("""COMPUTED_VALUE"""),"PORTA DE ENTRADA")</f>
        <v>PORTA DE ENTRADA</v>
      </c>
      <c r="I811" s="7" t="str">
        <f>IFERROR(__xludf.DUMMYFUNCTION("""COMPUTED_VALUE"""),"Pequenos serviços de reparos em Marcenaria")</f>
        <v>Pequenos serviços de reparos em Marcenaria</v>
      </c>
      <c r="J811" s="13" t="str">
        <f>IFERROR(__xludf.DUMMYFUNCTION("""COMPUTED_VALUE"""),"03 Marcenaria / 28 -Troca de Fechaduras")</f>
        <v>03 Marcenaria / 28 -Troca de Fechaduras</v>
      </c>
      <c r="K811" s="13"/>
      <c r="L811" s="13" t="str">
        <f>IFERROR(__xludf.DUMMYFUNCTION("""COMPUTED_VALUE"""),"no dia 20/04/2024 às 18:26 horas, a vigilante Neide da Costa (Bravo 03) relatou que a porta do Bloco K, está danificada. Relato também, que a porta ficará destrancada até que seja feito o reparo.")</f>
        <v>no dia 20/04/2024 às 18:26 horas, a vigilante Neide da Costa (Bravo 03) relatou que a porta do Bloco K, está danificada. Relato também, que a porta ficará destrancada até que seja feito o reparo.</v>
      </c>
      <c r="M811" s="20"/>
      <c r="N811" s="26" t="str">
        <f>IFERROR(__xludf.DUMMYFUNCTION("""COMPUTED_VALUE"""),"Aguardando análise")</f>
        <v>Aguardando análise</v>
      </c>
      <c r="O811" s="11"/>
      <c r="P811" s="11"/>
    </row>
    <row r="812" ht="27.0" customHeight="1">
      <c r="A812" s="20" t="str">
        <f>IFERROR(__xludf.DUMMYFUNCTION("""COMPUTED_VALUE"""),"810/2024")</f>
        <v>810/2024</v>
      </c>
      <c r="B812" s="8">
        <f>IFERROR(__xludf.DUMMYFUNCTION("""COMPUTED_VALUE"""),45404.456397256945)</f>
        <v>45404.4564</v>
      </c>
      <c r="C812" s="44" t="str">
        <f>IFERROR(__xludf.DUMMYFUNCTION("""COMPUTED_VALUE"""),"cpatri.proaf@ufcat.edu.br")</f>
        <v>cpatri.proaf@ufcat.edu.br</v>
      </c>
      <c r="D812" s="45" t="str">
        <f>IFERROR(__xludf.DUMMYFUNCTION("""COMPUTED_VALUE"""),"Oidê Sobrinho")</f>
        <v>Oidê Sobrinho</v>
      </c>
      <c r="E812" s="47">
        <f>IFERROR(__xludf.DUMMYFUNCTION("""COMPUTED_VALUE"""),5343.0)</f>
        <v>5343</v>
      </c>
      <c r="F812" s="45" t="str">
        <f>IFERROR(__xludf.DUMMYFUNCTION("""COMPUTED_VALUE"""),"CPATRI")</f>
        <v>CPATRI</v>
      </c>
      <c r="G812" s="45" t="str">
        <f>IFERROR(__xludf.DUMMYFUNCTION("""COMPUTED_VALUE"""),"Bloco Administrativo")</f>
        <v>Bloco Administrativo</v>
      </c>
      <c r="H812" s="46" t="str">
        <f>IFERROR(__xludf.DUMMYFUNCTION("""COMPUTED_VALUE"""),"Almoxarifado")</f>
        <v>Almoxarifado</v>
      </c>
      <c r="I812" s="7" t="str">
        <f>IFERROR(__xludf.DUMMYFUNCTION("""COMPUTED_VALUE"""),"Serralheria")</f>
        <v>Serralheria</v>
      </c>
      <c r="J812" s="13" t="str">
        <f>IFERROR(__xludf.DUMMYFUNCTION("""COMPUTED_VALUE"""),"08 Serralheria / 56 - Outros")</f>
        <v>08 Serralheria / 56 - Outros</v>
      </c>
      <c r="K812" s="13"/>
      <c r="L812" s="13" t="str">
        <f>IFERROR(__xludf.DUMMYFUNCTION("""COMPUTED_VALUE"""),"Foi conversado com o Aurelio sobre a confecção de 06 mãos francesas, sendo que a medida ele ja pegou!")</f>
        <v>Foi conversado com o Aurelio sobre a confecção de 06 mãos francesas, sendo que a medida ele ja pegou!</v>
      </c>
      <c r="M812" s="20"/>
      <c r="N812" s="26" t="str">
        <f>IFERROR(__xludf.DUMMYFUNCTION("""COMPUTED_VALUE"""),"Aguardando análise")</f>
        <v>Aguardando análise</v>
      </c>
      <c r="O812" s="11"/>
      <c r="P812" s="11"/>
    </row>
    <row r="813" ht="27.0" customHeight="1">
      <c r="A813" s="20" t="str">
        <f>IFERROR(__xludf.DUMMYFUNCTION("""COMPUTED_VALUE"""),"811/2024")</f>
        <v>811/2024</v>
      </c>
      <c r="B813" s="8">
        <f>IFERROR(__xludf.DUMMYFUNCTION("""COMPUTED_VALUE"""),45404.4564990162)</f>
        <v>45404.4565</v>
      </c>
      <c r="C813" s="44" t="str">
        <f>IFERROR(__xludf.DUMMYFUNCTION("""COMPUTED_VALUE"""),"nataly_felix@ufcat.edu.br")</f>
        <v>nataly_felix@ufcat.edu.br</v>
      </c>
      <c r="D813" s="45" t="str">
        <f>IFERROR(__xludf.DUMMYFUNCTION("""COMPUTED_VALUE"""),"Nátaly Félix")</f>
        <v>Nátaly Félix</v>
      </c>
      <c r="E813" s="47">
        <f>IFERROR(__xludf.DUMMYFUNCTION("""COMPUTED_VALUE"""),5379.0)</f>
        <v>5379</v>
      </c>
      <c r="F813" s="45" t="str">
        <f>IFERROR(__xludf.DUMMYFUNCTION("""COMPUTED_VALUE"""),"PREF")</f>
        <v>PREF</v>
      </c>
      <c r="G813" s="45" t="str">
        <f>IFERROR(__xludf.DUMMYFUNCTION("""COMPUTED_VALUE"""),"Bloco M")</f>
        <v>Bloco M</v>
      </c>
      <c r="H813" s="46" t="str">
        <f>IFERROR(__xludf.DUMMYFUNCTION("""COMPUTED_VALUE"""),"BANHEIRO FEMININO TÉRREO - BLOCO M")</f>
        <v>BANHEIRO FEMININO TÉRREO - BLOCO M</v>
      </c>
      <c r="I813" s="7" t="str">
        <f>IFERROR(__xludf.DUMMYFUNCTION("""COMPUTED_VALUE"""),"Instalações Hidrossanitárias")</f>
        <v>Instalações Hidrossanitárias</v>
      </c>
      <c r="J813" s="13" t="str">
        <f>IFERROR(__xludf.DUMMYFUNCTION("""COMPUTED_VALUE"""),"02 Hidráulica / 10 - Vazamento de Torneira")</f>
        <v>02 Hidráulica / 10 - Vazamento de Torneira</v>
      </c>
      <c r="K813" s="13"/>
      <c r="L813" s="13" t="str">
        <f>IFERROR(__xludf.DUMMYFUNCTION("""COMPUTED_VALUE"""),"Informo ao fiscal técnico responsável pelo contrato da vigilância, que no dia de hoje 22/04/2024 às 07:15 horas, a vigia Erivaldene Rocha (Delta 02) relatou que a torneira do banheiro feminino do térreo do Bloco M, está quebrada e que a água foi desligada"&amp;".")</f>
        <v>Informo ao fiscal técnico responsável pelo contrato da vigilância, que no dia de hoje 22/04/2024 às 07:15 horas, a vigia Erivaldene Rocha (Delta 02) relatou que a torneira do banheiro feminino do térreo do Bloco M, está quebrada e que a água foi desligada.</v>
      </c>
      <c r="M813" s="20"/>
      <c r="N813" s="26" t="str">
        <f>IFERROR(__xludf.DUMMYFUNCTION("""COMPUTED_VALUE"""),"Aguardando análise")</f>
        <v>Aguardando análise</v>
      </c>
      <c r="O813" s="11"/>
      <c r="P813" s="11"/>
    </row>
    <row r="814" ht="27.0" customHeight="1">
      <c r="A814" s="20" t="str">
        <f>IFERROR(__xludf.DUMMYFUNCTION("""COMPUTED_VALUE"""),"812/2024")</f>
        <v>812/2024</v>
      </c>
      <c r="B814" s="8">
        <f>IFERROR(__xludf.DUMMYFUNCTION("""COMPUTED_VALUE"""),45404.46143991898)</f>
        <v>45404.46144</v>
      </c>
      <c r="C814" s="44" t="str">
        <f>IFERROR(__xludf.DUMMYFUNCTION("""COMPUTED_VALUE"""),"nataly_felix@ufcat.edu.br")</f>
        <v>nataly_felix@ufcat.edu.br</v>
      </c>
      <c r="D814" s="45" t="str">
        <f>IFERROR(__xludf.DUMMYFUNCTION("""COMPUTED_VALUE"""),"Nátaly Félix")</f>
        <v>Nátaly Félix</v>
      </c>
      <c r="E814" s="47">
        <f>IFERROR(__xludf.DUMMYFUNCTION("""COMPUTED_VALUE"""),5379.0)</f>
        <v>5379</v>
      </c>
      <c r="F814" s="45" t="str">
        <f>IFERROR(__xludf.DUMMYFUNCTION("""COMPUTED_VALUE"""),"PREF")</f>
        <v>PREF</v>
      </c>
      <c r="G814" s="45" t="str">
        <f>IFERROR(__xludf.DUMMYFUNCTION("""COMPUTED_VALUE"""),"Estacionamento")</f>
        <v>Estacionamento</v>
      </c>
      <c r="H814" s="46" t="str">
        <f>IFERROR(__xludf.DUMMYFUNCTION("""COMPUTED_VALUE"""),"ENTRADA AV. DR. LAMARTINE / BANHEIRO GUARITA")</f>
        <v>ENTRADA AV. DR. LAMARTINE / BANHEIRO GUARITA</v>
      </c>
      <c r="I814" s="7" t="str">
        <f>IFERROR(__xludf.DUMMYFUNCTION("""COMPUTED_VALUE"""),"Instalações Hidrossanitárias")</f>
        <v>Instalações Hidrossanitárias</v>
      </c>
      <c r="J814" s="13" t="str">
        <f>IFERROR(__xludf.DUMMYFUNCTION("""COMPUTED_VALUE"""),"02 Hidráulica / 18 - Vazamento nas válvulas de vasos sanitários e mictórios")</f>
        <v>02 Hidráulica / 18 - Vazamento nas válvulas de vasos sanitários e mictórios</v>
      </c>
      <c r="K814" s="13"/>
      <c r="L814" s="13" t="str">
        <f>IFERROR(__xludf.DUMMYFUNCTION("""COMPUTED_VALUE"""),"Informo ao fiscal técnico responsável pelo contrato da vigilância, que no dia de hoje 22/04/2024 ás 07:25 horas, o vigilante Warley Cândido (Bravo 01) relatou que no banheiro da guarita, a água do vaso sanitário está passando direto.")</f>
        <v>Informo ao fiscal técnico responsável pelo contrato da vigilância, que no dia de hoje 22/04/2024 ás 07:25 horas, o vigilante Warley Cândido (Bravo 01) relatou que no banheiro da guarita, a água do vaso sanitário está passando direto.</v>
      </c>
      <c r="M814" s="20"/>
      <c r="N814" s="26" t="str">
        <f>IFERROR(__xludf.DUMMYFUNCTION("""COMPUTED_VALUE"""),"Aguardando análise")</f>
        <v>Aguardando análise</v>
      </c>
      <c r="O814" s="11"/>
      <c r="P814" s="11"/>
    </row>
    <row r="815" ht="27.0" customHeight="1">
      <c r="A815" s="20" t="str">
        <f>IFERROR(__xludf.DUMMYFUNCTION("""COMPUTED_VALUE"""),"813/2024")</f>
        <v>813/2024</v>
      </c>
      <c r="B815" s="8">
        <f>IFERROR(__xludf.DUMMYFUNCTION("""COMPUTED_VALUE"""),45404.46417685185)</f>
        <v>45404.46418</v>
      </c>
      <c r="C815" s="44" t="str">
        <f>IFERROR(__xludf.DUMMYFUNCTION("""COMPUTED_VALUE"""),"nataly_felix@ufcat.edu.br")</f>
        <v>nataly_felix@ufcat.edu.br</v>
      </c>
      <c r="D815" s="45" t="str">
        <f>IFERROR(__xludf.DUMMYFUNCTION("""COMPUTED_VALUE"""),"Nátaly Félix")</f>
        <v>Nátaly Félix</v>
      </c>
      <c r="E815" s="47">
        <f>IFERROR(__xludf.DUMMYFUNCTION("""COMPUTED_VALUE"""),5379.0)</f>
        <v>5379</v>
      </c>
      <c r="F815" s="45" t="str">
        <f>IFERROR(__xludf.DUMMYFUNCTION("""COMPUTED_VALUE"""),"PREF")</f>
        <v>PREF</v>
      </c>
      <c r="G815" s="45" t="str">
        <f>IFERROR(__xludf.DUMMYFUNCTION("""COMPUTED_VALUE"""),"Bloco M")</f>
        <v>Bloco M</v>
      </c>
      <c r="H815" s="46" t="str">
        <f>IFERROR(__xludf.DUMMYFUNCTION("""COMPUTED_VALUE"""),"BLOCO M - COZINHA 1º PISO")</f>
        <v>BLOCO M - COZINHA 1º PISO</v>
      </c>
      <c r="I815" s="7" t="str">
        <f>IFERROR(__xludf.DUMMYFUNCTION("""COMPUTED_VALUE"""),"Instalações elétricas")</f>
        <v>Instalações elétricas</v>
      </c>
      <c r="J815" s="13" t="str">
        <f>IFERROR(__xludf.DUMMYFUNCTION("""COMPUTED_VALUE"""),"04 Elétrica / 34 - Tomada Uso Geral")</f>
        <v>04 Elétrica / 34 - Tomada Uso Geral</v>
      </c>
      <c r="K815" s="13"/>
      <c r="L815" s="13" t="str">
        <f>IFERROR(__xludf.DUMMYFUNCTION("""COMPUTED_VALUE"""),"Informo ao fiscal técnico responsável pelo contrato da vigilância, que no dia de hoje 22/04/2024 às 10:27 horas, a vigia Erivaldene Rocha (Delta 02) relatou que as tomadas da cozinha do 1º piso do Bloco M, estão sem funcionamento.")</f>
        <v>Informo ao fiscal técnico responsável pelo contrato da vigilância, que no dia de hoje 22/04/2024 às 10:27 horas, a vigia Erivaldene Rocha (Delta 02) relatou que as tomadas da cozinha do 1º piso do Bloco M, estão sem funcionamento.</v>
      </c>
      <c r="M815" s="20"/>
      <c r="N815" s="26" t="str">
        <f>IFERROR(__xludf.DUMMYFUNCTION("""COMPUTED_VALUE"""),"Aguardando análise")</f>
        <v>Aguardando análise</v>
      </c>
      <c r="O815" s="11"/>
      <c r="P815" s="11"/>
    </row>
    <row r="816" ht="27.0" customHeight="1">
      <c r="A816" s="20" t="str">
        <f>IFERROR(__xludf.DUMMYFUNCTION("""COMPUTED_VALUE"""),"814/2024")</f>
        <v>814/2024</v>
      </c>
      <c r="B816" s="8">
        <f>IFERROR(__xludf.DUMMYFUNCTION("""COMPUTED_VALUE"""),45404.612375462966)</f>
        <v>45404.61238</v>
      </c>
      <c r="C816" s="44" t="str">
        <f>IFERROR(__xludf.DUMMYFUNCTION("""COMPUTED_VALUE"""),"divinosilva@ufcat.edu.br")</f>
        <v>divinosilva@ufcat.edu.br</v>
      </c>
      <c r="D816" s="45" t="str">
        <f>IFERROR(__xludf.DUMMYFUNCTION("""COMPUTED_VALUE"""),"Divino")</f>
        <v>Divino</v>
      </c>
      <c r="E816" s="47">
        <f>IFERROR(__xludf.DUMMYFUNCTION("""COMPUTED_VALUE"""),5320.0)</f>
        <v>5320</v>
      </c>
      <c r="F816" s="45" t="str">
        <f>IFERROR(__xludf.DUMMYFUNCTION("""COMPUTED_VALUE"""),"IMTec")</f>
        <v>IMTec</v>
      </c>
      <c r="G816" s="45" t="str">
        <f>IFERROR(__xludf.DUMMYFUNCTION("""COMPUTED_VALUE"""),"Bloco J")</f>
        <v>Bloco J</v>
      </c>
      <c r="H816" s="46" t="str">
        <f>IFERROR(__xludf.DUMMYFUNCTION("""COMPUTED_VALUE"""),"Sala 6 Laboratório de Mestrado/OBMEP")</f>
        <v>Sala 6 Laboratório de Mestrado/OBMEP</v>
      </c>
      <c r="I816" s="7" t="str">
        <f>IFERROR(__xludf.DUMMYFUNCTION("""COMPUTED_VALUE"""),"Instalações elétricas")</f>
        <v>Instalações elétricas</v>
      </c>
      <c r="J816" s="13" t="str">
        <f>IFERROR(__xludf.DUMMYFUNCTION("""COMPUTED_VALUE"""),"04 Elétrica / 37 - Outros")</f>
        <v>04 Elétrica / 37 - Outros</v>
      </c>
      <c r="K816" s="13"/>
      <c r="L816" s="13" t="str">
        <f>IFERROR(__xludf.DUMMYFUNCTION("""COMPUTED_VALUE"""),"Verificação de interruptores (soltando faísca)")</f>
        <v>Verificação de interruptores (soltando faísca)</v>
      </c>
      <c r="M816" s="20"/>
      <c r="N816" s="26" t="str">
        <f>IFERROR(__xludf.DUMMYFUNCTION("""COMPUTED_VALUE"""),"Aguardando análise")</f>
        <v>Aguardando análise</v>
      </c>
      <c r="O816" s="11"/>
      <c r="P816" s="11"/>
    </row>
    <row r="817" ht="27.0" customHeight="1">
      <c r="A817" s="20" t="str">
        <f>IFERROR(__xludf.DUMMYFUNCTION("""COMPUTED_VALUE"""),"815/2024")</f>
        <v>815/2024</v>
      </c>
      <c r="B817" s="8">
        <f>IFERROR(__xludf.DUMMYFUNCTION("""COMPUTED_VALUE"""),45404.62675159722)</f>
        <v>45404.62675</v>
      </c>
      <c r="C817" s="44" t="str">
        <f>IFERROR(__xludf.DUMMYFUNCTION("""COMPUTED_VALUE"""),"welington_silva@ufcat.edu.br")</f>
        <v>welington_silva@ufcat.edu.br</v>
      </c>
      <c r="D817" s="45" t="str">
        <f>IFERROR(__xludf.DUMMYFUNCTION("""COMPUTED_VALUE"""),"Welington Cesar Silva")</f>
        <v>Welington Cesar Silva</v>
      </c>
      <c r="E817" s="47">
        <f>IFERROR(__xludf.DUMMYFUNCTION("""COMPUTED_VALUE"""),5311.0)</f>
        <v>5311</v>
      </c>
      <c r="F817" s="45" t="str">
        <f>IFERROR(__xludf.DUMMYFUNCTION("""COMPUTED_VALUE"""),"IBIOTEC  - Educação Física")</f>
        <v>IBIOTEC  - Educação Física</v>
      </c>
      <c r="G817" s="45" t="str">
        <f>IFERROR(__xludf.DUMMYFUNCTION("""COMPUTED_VALUE"""),"Bloco D")</f>
        <v>Bloco D</v>
      </c>
      <c r="H817" s="46" t="str">
        <f>IFERROR(__xludf.DUMMYFUNCTION("""COMPUTED_VALUE"""),"Quadra ")</f>
        <v>Quadra </v>
      </c>
      <c r="I817" s="7" t="str">
        <f>IFERROR(__xludf.DUMMYFUNCTION("""COMPUTED_VALUE"""),"Serviços gerais")</f>
        <v>Serviços gerais</v>
      </c>
      <c r="J817" s="13" t="str">
        <f>IFERROR(__xludf.DUMMYFUNCTION("""COMPUTED_VALUE"""),"Serviços Gerais ")</f>
        <v>Serviços Gerais </v>
      </c>
      <c r="K817" s="13"/>
      <c r="L817" s="13" t="str">
        <f>IFERROR(__xludf.DUMMYFUNCTION("""COMPUTED_VALUE"""),"Retirar uma bola que ficou presa no teto da quadra.")</f>
        <v>Retirar uma bola que ficou presa no teto da quadra.</v>
      </c>
      <c r="M817" s="20"/>
      <c r="N817" s="26" t="str">
        <f>IFERROR(__xludf.DUMMYFUNCTION("""COMPUTED_VALUE"""),"Realizado")</f>
        <v>Realizado</v>
      </c>
      <c r="O817" s="11">
        <f>IFERROR(__xludf.DUMMYFUNCTION("""COMPUTED_VALUE"""),45405.0)</f>
        <v>45405</v>
      </c>
      <c r="P817" s="11"/>
    </row>
    <row r="818" ht="27.0" customHeight="1">
      <c r="A818" s="20" t="str">
        <f>IFERROR(__xludf.DUMMYFUNCTION("""COMPUTED_VALUE"""),"816/2024")</f>
        <v>816/2024</v>
      </c>
      <c r="B818" s="8">
        <f>IFERROR(__xludf.DUMMYFUNCTION("""COMPUTED_VALUE"""),45405.3335125)</f>
        <v>45405.33351</v>
      </c>
      <c r="C818" s="44" t="str">
        <f>IFERROR(__xludf.DUMMYFUNCTION("""COMPUTED_VALUE"""),"amanda.lopes@ufcat.edu.br")</f>
        <v>amanda.lopes@ufcat.edu.br</v>
      </c>
      <c r="D818" s="45" t="str">
        <f>IFERROR(__xludf.DUMMYFUNCTION("""COMPUTED_VALUE"""),"Amanda Matos ")</f>
        <v>Amanda Matos </v>
      </c>
      <c r="E818" s="47">
        <f>IFERROR(__xludf.DUMMYFUNCTION("""COMPUTED_VALUE"""),5340.0)</f>
        <v>5340</v>
      </c>
      <c r="F818" s="45" t="str">
        <f>IFERROR(__xludf.DUMMYFUNCTION("""COMPUTED_VALUE"""),"PREF")</f>
        <v>PREF</v>
      </c>
      <c r="G818" s="45" t="str">
        <f>IFERROR(__xludf.DUMMYFUNCTION("""COMPUTED_VALUE"""),"Bloco M")</f>
        <v>Bloco M</v>
      </c>
      <c r="H818" s="46" t="str">
        <f>IFERROR(__xludf.DUMMYFUNCTION("""COMPUTED_VALUE"""),"Elevedor")</f>
        <v>Elevedor</v>
      </c>
      <c r="I818" s="7" t="str">
        <f>IFERROR(__xludf.DUMMYFUNCTION("""COMPUTED_VALUE"""),"Instalações elétricas")</f>
        <v>Instalações elétricas</v>
      </c>
      <c r="J818" s="13" t="str">
        <f>IFERROR(__xludf.DUMMYFUNCTION("""COMPUTED_VALUE"""),"04 Elétrica / 35 - Troca de Lâmpadas")</f>
        <v>04 Elétrica / 35 - Troca de Lâmpadas</v>
      </c>
      <c r="K818" s="13"/>
      <c r="L818" s="13" t="str">
        <f>IFERROR(__xludf.DUMMYFUNCTION("""COMPUTED_VALUE"""),"Troca de lampada do elevador ")</f>
        <v>Troca de lampada do elevador </v>
      </c>
      <c r="M818" s="20"/>
      <c r="N818" s="26" t="str">
        <f>IFERROR(__xludf.DUMMYFUNCTION("""COMPUTED_VALUE"""),"Realizado")</f>
        <v>Realizado</v>
      </c>
      <c r="O818" s="11">
        <f>IFERROR(__xludf.DUMMYFUNCTION("""COMPUTED_VALUE"""),45405.0)</f>
        <v>45405</v>
      </c>
      <c r="P818" s="11"/>
    </row>
    <row r="819" ht="27.0" customHeight="1">
      <c r="A819" s="20" t="str">
        <f>IFERROR(__xludf.DUMMYFUNCTION("""COMPUTED_VALUE"""),"817/2024")</f>
        <v>817/2024</v>
      </c>
      <c r="B819" s="8">
        <f>IFERROR(__xludf.DUMMYFUNCTION("""COMPUTED_VALUE"""),45405.33798696759)</f>
        <v>45405.33799</v>
      </c>
      <c r="C819" s="44" t="str">
        <f>IFERROR(__xludf.DUMMYFUNCTION("""COMPUTED_VALUE"""),"nataly_felix@ufcat.edu.br")</f>
        <v>nataly_felix@ufcat.edu.br</v>
      </c>
      <c r="D819" s="45" t="str">
        <f>IFERROR(__xludf.DUMMYFUNCTION("""COMPUTED_VALUE"""),"Nátaly Félix")</f>
        <v>Nátaly Félix</v>
      </c>
      <c r="E819" s="47">
        <f>IFERROR(__xludf.DUMMYFUNCTION("""COMPUTED_VALUE"""),5379.0)</f>
        <v>5379</v>
      </c>
      <c r="F819" s="45" t="str">
        <f>IFERROR(__xludf.DUMMYFUNCTION("""COMPUTED_VALUE"""),"PREF")</f>
        <v>PREF</v>
      </c>
      <c r="G819" s="45" t="str">
        <f>IFERROR(__xludf.DUMMYFUNCTION("""COMPUTED_VALUE"""),"Bloco E")</f>
        <v>Bloco E</v>
      </c>
      <c r="H819" s="46" t="str">
        <f>IFERROR(__xludf.DUMMYFUNCTION("""COMPUTED_VALUE"""),"RUA PRINCIPAL - Bandeira Mastro")</f>
        <v>RUA PRINCIPAL - Bandeira Mastro</v>
      </c>
      <c r="I819" s="7" t="str">
        <f>IFERROR(__xludf.DUMMYFUNCTION("""COMPUTED_VALUE"""),"Pequenos serviços de reparos em Marcenaria")</f>
        <v>Pequenos serviços de reparos em Marcenaria</v>
      </c>
      <c r="J819" s="13" t="str">
        <f>IFERROR(__xludf.DUMMYFUNCTION("""COMPUTED_VALUE"""),"03 Marcenaria / 29 - Outros")</f>
        <v>03 Marcenaria / 29 - Outros</v>
      </c>
      <c r="K819" s="13"/>
      <c r="L819" s="13" t="str">
        <f>IFERROR(__xludf.DUMMYFUNCTION("""COMPUTED_VALUE"""),"Informo ao fiscal técnico responsável pelo contrato da vigilância, que no dia 22/04/2024 às 18:15 horas, o vigilante Sirlei da Silva (Bravo 01) relatou que a bandeira que fica localizada na rua principal do Campus está travada no mastro, não sendo possíve"&amp;"l retirar a mesma.")</f>
        <v>Informo ao fiscal técnico responsável pelo contrato da vigilância, que no dia 22/04/2024 às 18:15 horas, o vigilante Sirlei da Silva (Bravo 01) relatou que a bandeira que fica localizada na rua principal do Campus está travada no mastro, não sendo possível retirar a mesma.</v>
      </c>
      <c r="M819" s="20"/>
      <c r="N819" s="26" t="str">
        <f>IFERROR(__xludf.DUMMYFUNCTION("""COMPUTED_VALUE"""),"Aguardando análise")</f>
        <v>Aguardando análise</v>
      </c>
      <c r="O819" s="11"/>
      <c r="P819" s="11"/>
    </row>
    <row r="820" ht="27.0" customHeight="1">
      <c r="A820" s="20" t="str">
        <f>IFERROR(__xludf.DUMMYFUNCTION("""COMPUTED_VALUE"""),"818/2024")</f>
        <v>818/2024</v>
      </c>
      <c r="B820" s="8">
        <f>IFERROR(__xludf.DUMMYFUNCTION("""COMPUTED_VALUE"""),45405.43109702546)</f>
        <v>45405.4311</v>
      </c>
      <c r="C820" s="44" t="str">
        <f>IFERROR(__xludf.DUMMYFUNCTION("""COMPUTED_VALUE"""),"amanda.lopes@ufcat.edu.br")</f>
        <v>amanda.lopes@ufcat.edu.br</v>
      </c>
      <c r="D820" s="45" t="str">
        <f>IFERROR(__xludf.DUMMYFUNCTION("""COMPUTED_VALUE"""),"Amanda Matos ")</f>
        <v>Amanda Matos </v>
      </c>
      <c r="E820" s="47">
        <f>IFERROR(__xludf.DUMMYFUNCTION("""COMPUTED_VALUE"""),5340.0)</f>
        <v>5340</v>
      </c>
      <c r="F820" s="45" t="str">
        <f>IFERROR(__xludf.DUMMYFUNCTION("""COMPUTED_VALUE"""),"PREF")</f>
        <v>PREF</v>
      </c>
      <c r="G820" s="45" t="str">
        <f>IFERROR(__xludf.DUMMYFUNCTION("""COMPUTED_VALUE"""),"Biblioteca")</f>
        <v>Biblioteca</v>
      </c>
      <c r="H820" s="46" t="str">
        <f>IFERROR(__xludf.DUMMYFUNCTION("""COMPUTED_VALUE"""),"Toda a sala")</f>
        <v>Toda a sala</v>
      </c>
      <c r="I820" s="7" t="str">
        <f>IFERROR(__xludf.DUMMYFUNCTION("""COMPUTED_VALUE"""),"Instalações elétricas")</f>
        <v>Instalações elétricas</v>
      </c>
      <c r="J820" s="13" t="str">
        <f>IFERROR(__xludf.DUMMYFUNCTION("""COMPUTED_VALUE"""),"04 Elétrica / 37 - Outros")</f>
        <v>04 Elétrica / 37 - Outros</v>
      </c>
      <c r="K820" s="13"/>
      <c r="L820" s="13" t="str">
        <f>IFERROR(__xludf.DUMMYFUNCTION("""COMPUTED_VALUE"""),"Revisão de lampadas queimadas")</f>
        <v>Revisão de lampadas queimadas</v>
      </c>
      <c r="M820" s="20"/>
      <c r="N820" s="26" t="str">
        <f>IFERROR(__xludf.DUMMYFUNCTION("""COMPUTED_VALUE"""),"Aguardando análise")</f>
        <v>Aguardando análise</v>
      </c>
      <c r="O820" s="11"/>
      <c r="P820" s="11"/>
    </row>
    <row r="821" ht="27.0" customHeight="1">
      <c r="A821" s="20" t="str">
        <f>IFERROR(__xludf.DUMMYFUNCTION("""COMPUTED_VALUE"""),"819/2024")</f>
        <v>819/2024</v>
      </c>
      <c r="B821" s="8">
        <f>IFERROR(__xludf.DUMMYFUNCTION("""COMPUTED_VALUE"""),45405.433454618054)</f>
        <v>45405.43345</v>
      </c>
      <c r="C821" s="44" t="str">
        <f>IFERROR(__xludf.DUMMYFUNCTION("""COMPUTED_VALUE"""),"nataly_felix@ufcat.edu.br")</f>
        <v>nataly_felix@ufcat.edu.br</v>
      </c>
      <c r="D821" s="45" t="str">
        <f>IFERROR(__xludf.DUMMYFUNCTION("""COMPUTED_VALUE"""),"Nátaly Félix")</f>
        <v>Nátaly Félix</v>
      </c>
      <c r="E821" s="47">
        <f>IFERROR(__xludf.DUMMYFUNCTION("""COMPUTED_VALUE"""),5379.0)</f>
        <v>5379</v>
      </c>
      <c r="F821" s="45" t="str">
        <f>IFERROR(__xludf.DUMMYFUNCTION("""COMPUTED_VALUE"""),"PREF")</f>
        <v>PREF</v>
      </c>
      <c r="G821" s="45" t="str">
        <f>IFERROR(__xludf.DUMMYFUNCTION("""COMPUTED_VALUE"""),"Bloco K")</f>
        <v>Bloco K</v>
      </c>
      <c r="H821" s="46" t="str">
        <f>IFERROR(__xludf.DUMMYFUNCTION("""COMPUTED_VALUE"""),"entre a Cantina e o Bloco K")</f>
        <v>entre a Cantina e o Bloco K</v>
      </c>
      <c r="I821" s="7" t="str">
        <f>IFERROR(__xludf.DUMMYFUNCTION("""COMPUTED_VALUE"""),"Reparos (alvenaria, piso, forro e telhado)")</f>
        <v>Reparos (alvenaria, piso, forro e telhado)</v>
      </c>
      <c r="J821" s="13" t="str">
        <f>IFERROR(__xludf.DUMMYFUNCTION("""COMPUTED_VALUE"""),"01 Alvenaria / 06 - Outros")</f>
        <v>01 Alvenaria / 06 - Outros</v>
      </c>
      <c r="K821" s="13"/>
      <c r="L821" s="13" t="str">
        <f>IFERROR(__xludf.DUMMYFUNCTION("""COMPUTED_VALUE"""),"Informo que no dia  23/04/2024 às 10:09 horas, que o vigilante Sérgio Antônio (Bravo-2), relatou que há um buraco ao lado de um esgoto, entre a Cantina e o Bloco K. Onde o mesmo foi devidamente sinalizado.")</f>
        <v>Informo que no dia  23/04/2024 às 10:09 horas, que o vigilante Sérgio Antônio (Bravo-2), relatou que há um buraco ao lado de um esgoto, entre a Cantina e o Bloco K. Onde o mesmo foi devidamente sinalizado.</v>
      </c>
      <c r="M821" s="20"/>
      <c r="N821" s="26" t="str">
        <f>IFERROR(__xludf.DUMMYFUNCTION("""COMPUTED_VALUE"""),"Aguardando análise")</f>
        <v>Aguardando análise</v>
      </c>
      <c r="O821" s="11"/>
      <c r="P821" s="11"/>
    </row>
    <row r="822" ht="27.0" customHeight="1">
      <c r="A822" s="20" t="str">
        <f>IFERROR(__xludf.DUMMYFUNCTION("""COMPUTED_VALUE"""),"820/2024")</f>
        <v>820/2024</v>
      </c>
      <c r="B822" s="8">
        <f>IFERROR(__xludf.DUMMYFUNCTION("""COMPUTED_VALUE"""),45405.43956767361)</f>
        <v>45405.43957</v>
      </c>
      <c r="C822" s="44" t="str">
        <f>IFERROR(__xludf.DUMMYFUNCTION("""COMPUTED_VALUE"""),"amanda.lopes@ufcat.edu.br")</f>
        <v>amanda.lopes@ufcat.edu.br</v>
      </c>
      <c r="D822" s="45" t="str">
        <f>IFERROR(__xludf.DUMMYFUNCTION("""COMPUTED_VALUE"""),"Amanda Matos ")</f>
        <v>Amanda Matos </v>
      </c>
      <c r="E822" s="47">
        <f>IFERROR(__xludf.DUMMYFUNCTION("""COMPUTED_VALUE"""),5340.0)</f>
        <v>5340</v>
      </c>
      <c r="F822" s="45" t="str">
        <f>IFERROR(__xludf.DUMMYFUNCTION("""COMPUTED_VALUE"""),"PREF")</f>
        <v>PREF</v>
      </c>
      <c r="G822" s="45" t="str">
        <f>IFERROR(__xludf.DUMMYFUNCTION("""COMPUTED_VALUE"""),"Bloco Administrativo")</f>
        <v>Bloco Administrativo</v>
      </c>
      <c r="H822" s="46" t="str">
        <f>IFERROR(__xludf.DUMMYFUNCTION("""COMPUTED_VALUE"""),"Sala 04 - Subsolo ")</f>
        <v>Sala 04 - Subsolo </v>
      </c>
      <c r="I822" s="7" t="str">
        <f>IFERROR(__xludf.DUMMYFUNCTION("""COMPUTED_VALUE"""),"Pequenos serviços de reparos em Marcenaria")</f>
        <v>Pequenos serviços de reparos em Marcenaria</v>
      </c>
      <c r="J822" s="13" t="str">
        <f>IFERROR(__xludf.DUMMYFUNCTION("""COMPUTED_VALUE"""),"03 Marcenaria / 29 - Outros")</f>
        <v>03 Marcenaria / 29 - Outros</v>
      </c>
      <c r="K822" s="13"/>
      <c r="L822" s="13" t="str">
        <f>IFERROR(__xludf.DUMMYFUNCTION("""COMPUTED_VALUE"""),"Reparo e colocação de trava na porta ")</f>
        <v>Reparo e colocação de trava na porta </v>
      </c>
      <c r="M822" s="20"/>
      <c r="N822" s="26" t="str">
        <f>IFERROR(__xludf.DUMMYFUNCTION("""COMPUTED_VALUE"""),"Aguardando análise")</f>
        <v>Aguardando análise</v>
      </c>
      <c r="O822" s="11"/>
      <c r="P822" s="11"/>
    </row>
    <row r="823" ht="27.0" customHeight="1">
      <c r="A823" s="20" t="str">
        <f>IFERROR(__xludf.DUMMYFUNCTION("""COMPUTED_VALUE"""),"821/2024")</f>
        <v>821/2024</v>
      </c>
      <c r="B823" s="8">
        <f>IFERROR(__xludf.DUMMYFUNCTION("""COMPUTED_VALUE"""),45405.48258121528)</f>
        <v>45405.48258</v>
      </c>
      <c r="C823" s="44" t="str">
        <f>IFERROR(__xludf.DUMMYFUNCTION("""COMPUTED_VALUE"""),"muc.prpe@ufcat.edu.br")</f>
        <v>muc.prpe@ufcat.edu.br</v>
      </c>
      <c r="D823" s="45" t="str">
        <f>IFERROR(__xludf.DUMMYFUNCTION("""COMPUTED_VALUE"""),"Ludmila")</f>
        <v>Ludmila</v>
      </c>
      <c r="E823" s="47">
        <f>IFERROR(__xludf.DUMMYFUNCTION("""COMPUTED_VALUE"""),5333.0)</f>
        <v>5333</v>
      </c>
      <c r="F823" s="45" t="str">
        <f>IFERROR(__xludf.DUMMYFUNCTION("""COMPUTED_VALUE"""),"PRPE")</f>
        <v>PRPE</v>
      </c>
      <c r="G823" s="45" t="str">
        <f>IFERROR(__xludf.DUMMYFUNCTION("""COMPUTED_VALUE"""),"MUC")</f>
        <v>MUC</v>
      </c>
      <c r="H823" s="46" t="str">
        <f>IFERROR(__xludf.DUMMYFUNCTION("""COMPUTED_VALUE"""),"sala administrativa")</f>
        <v>sala administrativa</v>
      </c>
      <c r="I823" s="7" t="str">
        <f>IFERROR(__xludf.DUMMYFUNCTION("""COMPUTED_VALUE"""),"Reparos (alvenaria, piso, forro e telhado)")</f>
        <v>Reparos (alvenaria, piso, forro e telhado)</v>
      </c>
      <c r="J823" s="13" t="str">
        <f>IFERROR(__xludf.DUMMYFUNCTION("""COMPUTED_VALUE"""),"01 Alvenaria / 06 - Outros")</f>
        <v>01 Alvenaria / 06 - Outros</v>
      </c>
      <c r="K823" s="13"/>
      <c r="L823" s="13" t="str">
        <f>IFERROR(__xludf.DUMMYFUNCTION("""COMPUTED_VALUE"""),"colocar aparador de porta")</f>
        <v>colocar aparador de porta</v>
      </c>
      <c r="M823" s="20"/>
      <c r="N823" s="26" t="str">
        <f>IFERROR(__xludf.DUMMYFUNCTION("""COMPUTED_VALUE"""),"Aguardando análise")</f>
        <v>Aguardando análise</v>
      </c>
      <c r="O823" s="11"/>
      <c r="P823" s="11"/>
    </row>
    <row r="824" ht="27.0" customHeight="1">
      <c r="A824" s="20" t="str">
        <f>IFERROR(__xludf.DUMMYFUNCTION("""COMPUTED_VALUE"""),"822/2024")</f>
        <v>822/2024</v>
      </c>
      <c r="B824" s="8">
        <f>IFERROR(__xludf.DUMMYFUNCTION("""COMPUTED_VALUE"""),45405.484043599536)</f>
        <v>45405.48404</v>
      </c>
      <c r="C824" s="44" t="str">
        <f>IFERROR(__xludf.DUMMYFUNCTION("""COMPUTED_VALUE"""),"muc.prpe@ufcat.edu.br")</f>
        <v>muc.prpe@ufcat.edu.br</v>
      </c>
      <c r="D824" s="45" t="str">
        <f>IFERROR(__xludf.DUMMYFUNCTION("""COMPUTED_VALUE"""),"Ludmila Jardim da Conceição")</f>
        <v>Ludmila Jardim da Conceição</v>
      </c>
      <c r="E824" s="47">
        <f>IFERROR(__xludf.DUMMYFUNCTION("""COMPUTED_VALUE"""),5333.0)</f>
        <v>5333</v>
      </c>
      <c r="F824" s="45" t="str">
        <f>IFERROR(__xludf.DUMMYFUNCTION("""COMPUTED_VALUE"""),"PRPE")</f>
        <v>PRPE</v>
      </c>
      <c r="G824" s="45" t="str">
        <f>IFERROR(__xludf.DUMMYFUNCTION("""COMPUTED_VALUE"""),"MUC")</f>
        <v>MUC</v>
      </c>
      <c r="H824" s="46" t="str">
        <f>IFERROR(__xludf.DUMMYFUNCTION("""COMPUTED_VALUE"""),"apto 405")</f>
        <v>apto 405</v>
      </c>
      <c r="I824" s="7" t="str">
        <f>IFERROR(__xludf.DUMMYFUNCTION("""COMPUTED_VALUE"""),"Instalações Hidrossanitárias")</f>
        <v>Instalações Hidrossanitárias</v>
      </c>
      <c r="J824" s="13" t="str">
        <f>IFERROR(__xludf.DUMMYFUNCTION("""COMPUTED_VALUE"""),"02 Hidráulica / 17 - Troca de sifão, registro")</f>
        <v>02 Hidráulica / 17 - Troca de sifão, registro</v>
      </c>
      <c r="K824" s="13"/>
      <c r="L824" s="13" t="str">
        <f>IFERROR(__xludf.DUMMYFUNCTION("""COMPUTED_VALUE"""),"registro do chuveiro da agua fria esta soltando")</f>
        <v>registro do chuveiro da agua fria esta soltando</v>
      </c>
      <c r="M824" s="20"/>
      <c r="N824" s="26" t="str">
        <f>IFERROR(__xludf.DUMMYFUNCTION("""COMPUTED_VALUE"""),"Aguardando análise")</f>
        <v>Aguardando análise</v>
      </c>
      <c r="O824" s="11"/>
      <c r="P824" s="11"/>
    </row>
    <row r="825">
      <c r="A825" s="20">
        <f>IFERROR(__xludf.DUMMYFUNCTION("""COMPUTED_VALUE"""),823.0)</f>
        <v>823</v>
      </c>
      <c r="B825" s="59"/>
      <c r="C825" s="59"/>
      <c r="D825" s="25"/>
      <c r="E825" s="25"/>
      <c r="F825" s="25"/>
      <c r="G825" s="25"/>
      <c r="H825" s="25"/>
      <c r="I825" s="25"/>
      <c r="J825" s="25"/>
      <c r="K825" s="25"/>
      <c r="L825" s="25"/>
      <c r="M825" s="25"/>
      <c r="N825" s="26"/>
      <c r="O825" s="12"/>
      <c r="P825" s="12"/>
    </row>
    <row r="826">
      <c r="A826" s="20">
        <f>IFERROR(__xludf.DUMMYFUNCTION("""COMPUTED_VALUE"""),824.0)</f>
        <v>824</v>
      </c>
      <c r="B826" s="59"/>
      <c r="C826" s="59"/>
      <c r="D826" s="25"/>
      <c r="E826" s="25"/>
      <c r="F826" s="25"/>
      <c r="G826" s="25"/>
      <c r="H826" s="25"/>
      <c r="I826" s="25"/>
      <c r="J826" s="25"/>
      <c r="K826" s="25"/>
      <c r="L826" s="25"/>
      <c r="M826" s="25"/>
      <c r="N826" s="26"/>
      <c r="O826" s="12"/>
      <c r="P826" s="12"/>
    </row>
    <row r="827">
      <c r="A827" s="20">
        <f>IFERROR(__xludf.DUMMYFUNCTION("""COMPUTED_VALUE"""),825.0)</f>
        <v>825</v>
      </c>
      <c r="B827" s="59"/>
      <c r="C827" s="59"/>
      <c r="D827" s="25"/>
      <c r="E827" s="25"/>
      <c r="F827" s="25"/>
      <c r="G827" s="25"/>
      <c r="H827" s="25"/>
      <c r="I827" s="25"/>
      <c r="J827" s="25"/>
      <c r="K827" s="25"/>
      <c r="L827" s="25"/>
      <c r="M827" s="25"/>
      <c r="N827" s="26"/>
      <c r="O827" s="12"/>
      <c r="P827" s="12"/>
    </row>
    <row r="828">
      <c r="A828" s="20">
        <f>IFERROR(__xludf.DUMMYFUNCTION("""COMPUTED_VALUE"""),826.0)</f>
        <v>826</v>
      </c>
      <c r="B828" s="59"/>
      <c r="C828" s="59"/>
      <c r="D828" s="25"/>
      <c r="E828" s="25"/>
      <c r="F828" s="25"/>
      <c r="G828" s="25"/>
      <c r="H828" s="25"/>
      <c r="I828" s="25"/>
      <c r="J828" s="25"/>
      <c r="K828" s="25"/>
      <c r="L828" s="25"/>
      <c r="M828" s="25"/>
      <c r="N828" s="26"/>
      <c r="O828" s="12"/>
      <c r="P828" s="12"/>
    </row>
    <row r="829">
      <c r="A829" s="20">
        <f>IFERROR(__xludf.DUMMYFUNCTION("""COMPUTED_VALUE"""),827.0)</f>
        <v>827</v>
      </c>
      <c r="B829" s="59"/>
      <c r="C829" s="59"/>
      <c r="D829" s="25"/>
      <c r="E829" s="25"/>
      <c r="F829" s="25"/>
      <c r="G829" s="25"/>
      <c r="H829" s="25"/>
      <c r="I829" s="25"/>
      <c r="J829" s="25"/>
      <c r="K829" s="25"/>
      <c r="L829" s="25"/>
      <c r="M829" s="25"/>
      <c r="N829" s="26"/>
      <c r="O829" s="12"/>
      <c r="P829" s="12"/>
    </row>
    <row r="830">
      <c r="A830" s="20">
        <f>IFERROR(__xludf.DUMMYFUNCTION("""COMPUTED_VALUE"""),828.0)</f>
        <v>828</v>
      </c>
      <c r="B830" s="59"/>
      <c r="C830" s="59"/>
      <c r="D830" s="25"/>
      <c r="E830" s="25"/>
      <c r="F830" s="25"/>
      <c r="G830" s="25"/>
      <c r="H830" s="25"/>
      <c r="I830" s="25"/>
      <c r="J830" s="25"/>
      <c r="K830" s="25"/>
      <c r="L830" s="25"/>
      <c r="M830" s="25"/>
      <c r="N830" s="26"/>
      <c r="O830" s="12"/>
      <c r="P830" s="12"/>
    </row>
    <row r="831">
      <c r="A831" s="20">
        <f>IFERROR(__xludf.DUMMYFUNCTION("""COMPUTED_VALUE"""),829.0)</f>
        <v>829</v>
      </c>
      <c r="B831" s="59"/>
      <c r="C831" s="59"/>
      <c r="D831" s="25"/>
      <c r="E831" s="25"/>
      <c r="F831" s="25"/>
      <c r="G831" s="25"/>
      <c r="H831" s="25"/>
      <c r="I831" s="25"/>
      <c r="J831" s="25"/>
      <c r="K831" s="25"/>
      <c r="L831" s="25"/>
      <c r="M831" s="25"/>
      <c r="N831" s="26"/>
      <c r="O831" s="12"/>
      <c r="P831" s="12"/>
    </row>
    <row r="832">
      <c r="A832" s="20">
        <f>IFERROR(__xludf.DUMMYFUNCTION("""COMPUTED_VALUE"""),830.0)</f>
        <v>830</v>
      </c>
      <c r="B832" s="59"/>
      <c r="C832" s="59"/>
      <c r="D832" s="25"/>
      <c r="E832" s="25"/>
      <c r="F832" s="25"/>
      <c r="G832" s="25"/>
      <c r="H832" s="25"/>
      <c r="I832" s="25"/>
      <c r="J832" s="25"/>
      <c r="K832" s="25"/>
      <c r="L832" s="25"/>
      <c r="M832" s="25"/>
      <c r="N832" s="26"/>
      <c r="O832" s="12"/>
      <c r="P832" s="12"/>
    </row>
    <row r="833">
      <c r="A833" s="20">
        <f>IFERROR(__xludf.DUMMYFUNCTION("""COMPUTED_VALUE"""),831.0)</f>
        <v>831</v>
      </c>
      <c r="B833" s="8"/>
      <c r="C833" s="8"/>
      <c r="D833" s="7"/>
      <c r="E833" s="7"/>
      <c r="F833" s="7"/>
      <c r="G833" s="7"/>
      <c r="H833" s="9"/>
      <c r="I833" s="25"/>
      <c r="J833" s="25"/>
      <c r="K833" s="25"/>
      <c r="L833" s="60"/>
      <c r="M833" s="54"/>
      <c r="N833" s="10"/>
      <c r="O833" s="43"/>
      <c r="P833" s="43"/>
    </row>
    <row r="834">
      <c r="A834" s="20">
        <f>IFERROR(__xludf.DUMMYFUNCTION("""COMPUTED_VALUE"""),832.0)</f>
        <v>832</v>
      </c>
      <c r="B834" s="59"/>
      <c r="C834" s="59"/>
      <c r="D834" s="25"/>
      <c r="E834" s="25"/>
      <c r="F834" s="25"/>
      <c r="G834" s="25"/>
      <c r="H834" s="25"/>
      <c r="I834" s="25"/>
      <c r="J834" s="25"/>
      <c r="K834" s="25"/>
      <c r="L834" s="25"/>
      <c r="M834" s="25"/>
      <c r="N834" s="26"/>
      <c r="O834" s="12"/>
      <c r="P834" s="12"/>
    </row>
    <row r="835">
      <c r="A835" s="20">
        <f>IFERROR(__xludf.DUMMYFUNCTION("""COMPUTED_VALUE"""),833.0)</f>
        <v>833</v>
      </c>
      <c r="B835" s="59"/>
      <c r="C835" s="59"/>
      <c r="D835" s="25"/>
      <c r="E835" s="25"/>
      <c r="F835" s="25"/>
      <c r="G835" s="25"/>
      <c r="H835" s="25"/>
      <c r="I835" s="25"/>
      <c r="J835" s="25"/>
      <c r="K835" s="25"/>
      <c r="L835" s="25"/>
      <c r="M835" s="25"/>
      <c r="N835" s="26"/>
      <c r="O835" s="12"/>
      <c r="P835" s="12"/>
    </row>
    <row r="836">
      <c r="A836" s="20">
        <f>IFERROR(__xludf.DUMMYFUNCTION("""COMPUTED_VALUE"""),834.0)</f>
        <v>834</v>
      </c>
      <c r="B836" s="59"/>
      <c r="C836" s="59"/>
      <c r="D836" s="25"/>
      <c r="E836" s="25"/>
      <c r="F836" s="25"/>
      <c r="G836" s="25"/>
      <c r="H836" s="25"/>
      <c r="I836" s="25"/>
      <c r="J836" s="25"/>
      <c r="K836" s="25"/>
      <c r="L836" s="25"/>
      <c r="M836" s="25"/>
      <c r="N836" s="26"/>
      <c r="O836" s="12"/>
      <c r="P836" s="12"/>
    </row>
    <row r="837">
      <c r="A837" s="20">
        <f>IFERROR(__xludf.DUMMYFUNCTION("""COMPUTED_VALUE"""),835.0)</f>
        <v>835</v>
      </c>
      <c r="B837" s="59"/>
      <c r="C837" s="59"/>
      <c r="D837" s="25"/>
      <c r="E837" s="25"/>
      <c r="F837" s="25"/>
      <c r="G837" s="25"/>
      <c r="H837" s="25"/>
      <c r="I837" s="25"/>
      <c r="J837" s="25"/>
      <c r="K837" s="25"/>
      <c r="L837" s="25"/>
      <c r="M837" s="25"/>
      <c r="N837" s="26"/>
      <c r="O837" s="12"/>
      <c r="P837" s="12"/>
    </row>
    <row r="838">
      <c r="A838" s="20">
        <f>IFERROR(__xludf.DUMMYFUNCTION("""COMPUTED_VALUE"""),836.0)</f>
        <v>836</v>
      </c>
      <c r="B838" s="59"/>
      <c r="C838" s="59"/>
      <c r="D838" s="25"/>
      <c r="E838" s="25"/>
      <c r="F838" s="25"/>
      <c r="G838" s="25"/>
      <c r="H838" s="25"/>
      <c r="I838" s="25"/>
      <c r="J838" s="25"/>
      <c r="K838" s="25"/>
      <c r="L838" s="25"/>
      <c r="M838" s="25"/>
      <c r="N838" s="26"/>
      <c r="O838" s="12"/>
      <c r="P838" s="12"/>
    </row>
    <row r="839">
      <c r="A839" s="20">
        <f>IFERROR(__xludf.DUMMYFUNCTION("""COMPUTED_VALUE"""),837.0)</f>
        <v>837</v>
      </c>
      <c r="B839" s="59"/>
      <c r="C839" s="59"/>
      <c r="D839" s="25"/>
      <c r="E839" s="25"/>
      <c r="F839" s="25"/>
      <c r="G839" s="25"/>
      <c r="H839" s="25"/>
      <c r="I839" s="25"/>
      <c r="J839" s="25"/>
      <c r="K839" s="25"/>
      <c r="L839" s="25"/>
      <c r="M839" s="25"/>
      <c r="N839" s="26"/>
      <c r="O839" s="12"/>
      <c r="P839" s="12"/>
    </row>
    <row r="840">
      <c r="A840" s="20">
        <f>IFERROR(__xludf.DUMMYFUNCTION("""COMPUTED_VALUE"""),838.0)</f>
        <v>838</v>
      </c>
      <c r="B840" s="59"/>
      <c r="C840" s="59"/>
      <c r="D840" s="25"/>
      <c r="E840" s="25"/>
      <c r="F840" s="25"/>
      <c r="G840" s="25"/>
      <c r="H840" s="25"/>
      <c r="I840" s="25"/>
      <c r="J840" s="25"/>
      <c r="K840" s="25"/>
      <c r="L840" s="25"/>
      <c r="M840" s="25"/>
      <c r="N840" s="26"/>
      <c r="O840" s="12"/>
      <c r="P840" s="12"/>
    </row>
    <row r="841">
      <c r="A841" s="20">
        <f>IFERROR(__xludf.DUMMYFUNCTION("""COMPUTED_VALUE"""),839.0)</f>
        <v>839</v>
      </c>
      <c r="B841" s="59"/>
      <c r="C841" s="59"/>
      <c r="D841" s="25"/>
      <c r="E841" s="25"/>
      <c r="F841" s="25"/>
      <c r="G841" s="25"/>
      <c r="H841" s="25"/>
      <c r="I841" s="25"/>
      <c r="J841" s="25"/>
      <c r="K841" s="25"/>
      <c r="L841" s="25"/>
      <c r="M841" s="25"/>
      <c r="N841" s="26"/>
      <c r="O841" s="12"/>
      <c r="P841" s="12"/>
    </row>
    <row r="842">
      <c r="A842" s="20">
        <f>IFERROR(__xludf.DUMMYFUNCTION("""COMPUTED_VALUE"""),840.0)</f>
        <v>840</v>
      </c>
      <c r="B842" s="59"/>
      <c r="C842" s="59"/>
      <c r="D842" s="25"/>
      <c r="E842" s="25"/>
      <c r="F842" s="25"/>
      <c r="G842" s="25"/>
      <c r="H842" s="25"/>
      <c r="I842" s="25"/>
      <c r="J842" s="25"/>
      <c r="K842" s="25"/>
      <c r="L842" s="25"/>
      <c r="M842" s="25"/>
      <c r="N842" s="26"/>
      <c r="O842" s="12"/>
      <c r="P842" s="12"/>
    </row>
    <row r="843">
      <c r="A843" s="20">
        <f>IFERROR(__xludf.DUMMYFUNCTION("""COMPUTED_VALUE"""),841.0)</f>
        <v>841</v>
      </c>
      <c r="B843" s="59"/>
      <c r="C843" s="59"/>
      <c r="D843" s="25"/>
      <c r="E843" s="25"/>
      <c r="F843" s="25"/>
      <c r="G843" s="25"/>
      <c r="H843" s="25"/>
      <c r="I843" s="25"/>
      <c r="J843" s="25"/>
      <c r="K843" s="25"/>
      <c r="L843" s="25"/>
      <c r="M843" s="25"/>
      <c r="N843" s="26"/>
      <c r="O843" s="12"/>
      <c r="P843" s="12"/>
    </row>
    <row r="844">
      <c r="A844" s="20">
        <f>IFERROR(__xludf.DUMMYFUNCTION("""COMPUTED_VALUE"""),842.0)</f>
        <v>842</v>
      </c>
      <c r="B844" s="59"/>
      <c r="C844" s="59"/>
      <c r="D844" s="25"/>
      <c r="E844" s="25"/>
      <c r="F844" s="25"/>
      <c r="G844" s="25"/>
      <c r="H844" s="25"/>
      <c r="I844" s="25"/>
      <c r="J844" s="25"/>
      <c r="K844" s="25"/>
      <c r="L844" s="25"/>
      <c r="M844" s="25"/>
      <c r="N844" s="26"/>
      <c r="O844" s="12"/>
      <c r="P844" s="12"/>
    </row>
    <row r="845">
      <c r="A845" s="20">
        <f>IFERROR(__xludf.DUMMYFUNCTION("""COMPUTED_VALUE"""),843.0)</f>
        <v>843</v>
      </c>
      <c r="B845" s="59"/>
      <c r="C845" s="59"/>
      <c r="D845" s="25"/>
      <c r="E845" s="25"/>
      <c r="F845" s="25"/>
      <c r="G845" s="25"/>
      <c r="H845" s="25"/>
      <c r="I845" s="25"/>
      <c r="J845" s="25"/>
      <c r="K845" s="25"/>
      <c r="L845" s="25"/>
      <c r="M845" s="25"/>
      <c r="N845" s="26"/>
      <c r="O845" s="12"/>
      <c r="P845" s="12"/>
    </row>
    <row r="846">
      <c r="A846" s="20">
        <f>IFERROR(__xludf.DUMMYFUNCTION("""COMPUTED_VALUE"""),844.0)</f>
        <v>844</v>
      </c>
      <c r="B846" s="59"/>
      <c r="C846" s="59"/>
      <c r="D846" s="25"/>
      <c r="E846" s="25"/>
      <c r="F846" s="25"/>
      <c r="G846" s="25"/>
      <c r="H846" s="25"/>
      <c r="I846" s="25"/>
      <c r="J846" s="25"/>
      <c r="K846" s="25"/>
      <c r="L846" s="25"/>
      <c r="M846" s="25"/>
      <c r="N846" s="26"/>
      <c r="O846" s="12"/>
      <c r="P846" s="12"/>
    </row>
    <row r="847">
      <c r="A847" s="20">
        <f>IFERROR(__xludf.DUMMYFUNCTION("""COMPUTED_VALUE"""),845.0)</f>
        <v>845</v>
      </c>
      <c r="B847" s="59"/>
      <c r="C847" s="59"/>
      <c r="D847" s="25"/>
      <c r="E847" s="25"/>
      <c r="F847" s="25"/>
      <c r="G847" s="25"/>
      <c r="H847" s="25"/>
      <c r="I847" s="25"/>
      <c r="J847" s="25"/>
      <c r="K847" s="25"/>
      <c r="L847" s="25"/>
      <c r="M847" s="25"/>
      <c r="N847" s="26"/>
      <c r="O847" s="12"/>
      <c r="P847" s="12"/>
    </row>
    <row r="848">
      <c r="A848" s="20">
        <f>IFERROR(__xludf.DUMMYFUNCTION("""COMPUTED_VALUE"""),846.0)</f>
        <v>846</v>
      </c>
      <c r="B848" s="59"/>
      <c r="C848" s="59"/>
      <c r="D848" s="25"/>
      <c r="E848" s="25"/>
      <c r="F848" s="25"/>
      <c r="G848" s="25"/>
      <c r="H848" s="25"/>
      <c r="I848" s="25"/>
      <c r="J848" s="25"/>
      <c r="K848" s="25"/>
      <c r="L848" s="25"/>
      <c r="M848" s="25"/>
      <c r="N848" s="26"/>
      <c r="O848" s="12"/>
      <c r="P848" s="12"/>
    </row>
    <row r="849">
      <c r="A849" s="20">
        <f>IFERROR(__xludf.DUMMYFUNCTION("""COMPUTED_VALUE"""),847.0)</f>
        <v>847</v>
      </c>
      <c r="B849" s="59"/>
      <c r="C849" s="59"/>
      <c r="D849" s="25"/>
      <c r="E849" s="25"/>
      <c r="F849" s="25"/>
      <c r="G849" s="25"/>
      <c r="H849" s="25"/>
      <c r="I849" s="25"/>
      <c r="J849" s="25"/>
      <c r="K849" s="25"/>
      <c r="L849" s="25"/>
      <c r="M849" s="25"/>
      <c r="N849" s="26"/>
      <c r="O849" s="12"/>
      <c r="P849" s="12"/>
    </row>
    <row r="850">
      <c r="A850" s="20">
        <f>IFERROR(__xludf.DUMMYFUNCTION("""COMPUTED_VALUE"""),848.0)</f>
        <v>848</v>
      </c>
      <c r="B850" s="59"/>
      <c r="C850" s="59"/>
      <c r="D850" s="25"/>
      <c r="E850" s="25"/>
      <c r="F850" s="25"/>
      <c r="G850" s="25"/>
      <c r="H850" s="25"/>
      <c r="I850" s="25"/>
      <c r="J850" s="25"/>
      <c r="K850" s="25"/>
      <c r="L850" s="25"/>
      <c r="M850" s="25"/>
      <c r="N850" s="26"/>
      <c r="O850" s="12"/>
      <c r="P850" s="12"/>
    </row>
    <row r="851">
      <c r="A851" s="20">
        <f>IFERROR(__xludf.DUMMYFUNCTION("""COMPUTED_VALUE"""),849.0)</f>
        <v>849</v>
      </c>
      <c r="B851" s="59"/>
      <c r="C851" s="59"/>
      <c r="D851" s="25"/>
      <c r="E851" s="25"/>
      <c r="F851" s="25"/>
      <c r="G851" s="25"/>
      <c r="H851" s="25"/>
      <c r="I851" s="25"/>
      <c r="J851" s="25"/>
      <c r="K851" s="25"/>
      <c r="L851" s="25"/>
      <c r="M851" s="25"/>
      <c r="N851" s="26"/>
      <c r="O851" s="12"/>
      <c r="P851" s="12"/>
    </row>
    <row r="852">
      <c r="A852" s="20">
        <f>IFERROR(__xludf.DUMMYFUNCTION("""COMPUTED_VALUE"""),850.0)</f>
        <v>850</v>
      </c>
      <c r="B852" s="59"/>
      <c r="C852" s="59"/>
      <c r="D852" s="25"/>
      <c r="E852" s="25"/>
      <c r="F852" s="25"/>
      <c r="G852" s="25"/>
      <c r="H852" s="25"/>
      <c r="I852" s="25"/>
      <c r="J852" s="25"/>
      <c r="K852" s="25"/>
      <c r="L852" s="25"/>
      <c r="M852" s="25"/>
      <c r="N852" s="26"/>
      <c r="O852" s="12"/>
      <c r="P852" s="12"/>
    </row>
    <row r="853">
      <c r="A853" s="20">
        <f>IFERROR(__xludf.DUMMYFUNCTION("""COMPUTED_VALUE"""),851.0)</f>
        <v>851</v>
      </c>
      <c r="B853" s="59"/>
      <c r="C853" s="59"/>
      <c r="D853" s="25"/>
      <c r="E853" s="25"/>
      <c r="F853" s="25"/>
      <c r="G853" s="25"/>
      <c r="H853" s="25"/>
      <c r="I853" s="25"/>
      <c r="J853" s="25"/>
      <c r="K853" s="25"/>
      <c r="L853" s="25"/>
      <c r="M853" s="25"/>
      <c r="N853" s="26"/>
      <c r="O853" s="12"/>
      <c r="P853" s="12"/>
    </row>
    <row r="854">
      <c r="A854" s="20">
        <f>IFERROR(__xludf.DUMMYFUNCTION("""COMPUTED_VALUE"""),852.0)</f>
        <v>852</v>
      </c>
      <c r="B854" s="59"/>
      <c r="C854" s="59"/>
      <c r="D854" s="25"/>
      <c r="E854" s="25"/>
      <c r="F854" s="25"/>
      <c r="G854" s="25"/>
      <c r="H854" s="25"/>
      <c r="I854" s="25"/>
      <c r="J854" s="25"/>
      <c r="K854" s="25"/>
      <c r="L854" s="25"/>
      <c r="M854" s="25"/>
      <c r="N854" s="26"/>
      <c r="O854" s="12"/>
      <c r="P854" s="12"/>
    </row>
    <row r="855">
      <c r="A855" s="20">
        <f>IFERROR(__xludf.DUMMYFUNCTION("""COMPUTED_VALUE"""),853.0)</f>
        <v>853</v>
      </c>
      <c r="B855" s="59"/>
      <c r="C855" s="59"/>
      <c r="D855" s="25"/>
      <c r="E855" s="25"/>
      <c r="F855" s="25"/>
      <c r="G855" s="25"/>
      <c r="H855" s="25"/>
      <c r="I855" s="25"/>
      <c r="J855" s="25"/>
      <c r="K855" s="25"/>
      <c r="L855" s="25"/>
      <c r="M855" s="25"/>
      <c r="N855" s="26"/>
      <c r="O855" s="12"/>
      <c r="P855" s="12"/>
    </row>
    <row r="856">
      <c r="A856" s="20">
        <f>IFERROR(__xludf.DUMMYFUNCTION("""COMPUTED_VALUE"""),854.0)</f>
        <v>854</v>
      </c>
      <c r="B856" s="59"/>
      <c r="C856" s="59"/>
      <c r="D856" s="25"/>
      <c r="E856" s="25"/>
      <c r="F856" s="25"/>
      <c r="G856" s="25"/>
      <c r="H856" s="25"/>
      <c r="I856" s="25"/>
      <c r="J856" s="25"/>
      <c r="K856" s="25"/>
      <c r="L856" s="25"/>
      <c r="M856" s="25"/>
      <c r="N856" s="26"/>
      <c r="O856" s="12"/>
      <c r="P856" s="12"/>
    </row>
    <row r="857">
      <c r="A857" s="20">
        <f>IFERROR(__xludf.DUMMYFUNCTION("""COMPUTED_VALUE"""),855.0)</f>
        <v>855</v>
      </c>
      <c r="B857" s="59"/>
      <c r="C857" s="59"/>
      <c r="D857" s="25"/>
      <c r="E857" s="25"/>
      <c r="F857" s="25"/>
      <c r="G857" s="25"/>
      <c r="H857" s="25"/>
      <c r="I857" s="25"/>
      <c r="J857" s="25"/>
      <c r="K857" s="25"/>
      <c r="L857" s="25"/>
      <c r="M857" s="25"/>
      <c r="N857" s="26"/>
      <c r="O857" s="12"/>
      <c r="P857" s="12"/>
    </row>
    <row r="858">
      <c r="A858" s="20">
        <f>IFERROR(__xludf.DUMMYFUNCTION("""COMPUTED_VALUE"""),856.0)</f>
        <v>856</v>
      </c>
      <c r="B858" s="59"/>
      <c r="C858" s="59"/>
      <c r="D858" s="25"/>
      <c r="E858" s="25"/>
      <c r="F858" s="25"/>
      <c r="G858" s="25"/>
      <c r="H858" s="25"/>
      <c r="I858" s="25"/>
      <c r="J858" s="25"/>
      <c r="K858" s="25"/>
      <c r="L858" s="25"/>
      <c r="M858" s="25"/>
      <c r="N858" s="26"/>
      <c r="O858" s="12"/>
      <c r="P858" s="12"/>
    </row>
    <row r="859">
      <c r="A859" s="20">
        <f>IFERROR(__xludf.DUMMYFUNCTION("""COMPUTED_VALUE"""),857.0)</f>
        <v>857</v>
      </c>
      <c r="B859" s="59"/>
      <c r="C859" s="59"/>
      <c r="D859" s="25"/>
      <c r="E859" s="25"/>
      <c r="F859" s="25"/>
      <c r="G859" s="25"/>
      <c r="H859" s="25"/>
      <c r="I859" s="25"/>
      <c r="J859" s="25"/>
      <c r="K859" s="25"/>
      <c r="L859" s="25"/>
      <c r="M859" s="25"/>
      <c r="N859" s="26"/>
      <c r="O859" s="12"/>
      <c r="P859" s="12"/>
    </row>
    <row r="860">
      <c r="A860" s="20">
        <f>IFERROR(__xludf.DUMMYFUNCTION("""COMPUTED_VALUE"""),858.0)</f>
        <v>858</v>
      </c>
      <c r="B860" s="59"/>
      <c r="C860" s="59"/>
      <c r="D860" s="25"/>
      <c r="E860" s="25"/>
      <c r="F860" s="25"/>
      <c r="G860" s="25"/>
      <c r="H860" s="25"/>
      <c r="I860" s="25"/>
      <c r="J860" s="25"/>
      <c r="K860" s="25"/>
      <c r="L860" s="25"/>
      <c r="M860" s="20"/>
      <c r="N860" s="61"/>
      <c r="O860" s="62"/>
      <c r="P860" s="62"/>
    </row>
    <row r="861">
      <c r="A861" s="20">
        <f>IFERROR(__xludf.DUMMYFUNCTION("""COMPUTED_VALUE"""),859.0)</f>
        <v>859</v>
      </c>
      <c r="B861" s="59"/>
      <c r="C861" s="59"/>
      <c r="D861" s="25"/>
      <c r="E861" s="25"/>
      <c r="F861" s="25"/>
      <c r="G861" s="25"/>
      <c r="H861" s="25"/>
      <c r="I861" s="25"/>
      <c r="J861" s="25"/>
      <c r="K861" s="25"/>
      <c r="L861" s="25"/>
      <c r="M861" s="25"/>
      <c r="N861" s="26"/>
      <c r="O861" s="12"/>
      <c r="P861" s="12"/>
    </row>
    <row r="862">
      <c r="A862" s="20">
        <f>IFERROR(__xludf.DUMMYFUNCTION("""COMPUTED_VALUE"""),860.0)</f>
        <v>860</v>
      </c>
      <c r="B862" s="8"/>
      <c r="C862" s="8"/>
      <c r="D862" s="7"/>
      <c r="E862" s="7"/>
      <c r="F862" s="7"/>
      <c r="G862" s="7"/>
      <c r="H862" s="9"/>
      <c r="I862" s="7"/>
      <c r="J862" s="7"/>
      <c r="K862" s="7"/>
      <c r="L862" s="60"/>
      <c r="M862" s="60"/>
      <c r="N862" s="10"/>
      <c r="O862" s="55"/>
      <c r="P862" s="55"/>
    </row>
    <row r="863">
      <c r="A863" s="20">
        <f>IFERROR(__xludf.DUMMYFUNCTION("""COMPUTED_VALUE"""),861.0)</f>
        <v>861</v>
      </c>
      <c r="B863" s="59"/>
      <c r="C863" s="59"/>
      <c r="D863" s="25"/>
      <c r="E863" s="25"/>
      <c r="F863" s="25"/>
      <c r="G863" s="25"/>
      <c r="H863" s="25"/>
      <c r="I863" s="25"/>
      <c r="J863" s="25"/>
      <c r="K863" s="25"/>
      <c r="L863" s="25"/>
      <c r="M863" s="25"/>
      <c r="N863" s="26"/>
      <c r="O863" s="12"/>
      <c r="P863" s="12"/>
    </row>
    <row r="864">
      <c r="A864" s="20">
        <f>IFERROR(__xludf.DUMMYFUNCTION("""COMPUTED_VALUE"""),862.0)</f>
        <v>862</v>
      </c>
      <c r="B864" s="59"/>
      <c r="C864" s="59"/>
      <c r="D864" s="25"/>
      <c r="E864" s="25"/>
      <c r="F864" s="25"/>
      <c r="G864" s="25"/>
      <c r="H864" s="25"/>
      <c r="I864" s="25"/>
      <c r="J864" s="25"/>
      <c r="K864" s="25"/>
      <c r="L864" s="25"/>
      <c r="M864" s="25"/>
      <c r="N864" s="26"/>
      <c r="O864" s="12"/>
      <c r="P864" s="12"/>
    </row>
    <row r="865">
      <c r="A865" s="20">
        <f>IFERROR(__xludf.DUMMYFUNCTION("""COMPUTED_VALUE"""),863.0)</f>
        <v>863</v>
      </c>
      <c r="B865" s="59"/>
      <c r="C865" s="59"/>
      <c r="D865" s="25"/>
      <c r="E865" s="25"/>
      <c r="F865" s="25"/>
      <c r="G865" s="20"/>
      <c r="H865" s="25"/>
      <c r="I865" s="25"/>
      <c r="J865" s="25"/>
      <c r="K865" s="25"/>
      <c r="L865" s="25"/>
      <c r="M865" s="25"/>
      <c r="N865" s="26"/>
      <c r="O865" s="12"/>
      <c r="P865" s="12"/>
    </row>
    <row r="866">
      <c r="A866" s="20">
        <f>IFERROR(__xludf.DUMMYFUNCTION("""COMPUTED_VALUE"""),864.0)</f>
        <v>864</v>
      </c>
      <c r="B866" s="8"/>
      <c r="C866" s="8"/>
      <c r="D866" s="7"/>
      <c r="E866" s="7"/>
      <c r="F866" s="7"/>
      <c r="G866" s="7"/>
      <c r="H866" s="9"/>
      <c r="I866" s="7"/>
      <c r="J866" s="7"/>
      <c r="K866" s="7"/>
      <c r="L866" s="60"/>
      <c r="M866" s="54"/>
      <c r="N866" s="10"/>
      <c r="O866" s="43"/>
      <c r="P866" s="43"/>
    </row>
    <row r="867">
      <c r="A867" s="20">
        <f>IFERROR(__xludf.DUMMYFUNCTION("""COMPUTED_VALUE"""),865.0)</f>
        <v>865</v>
      </c>
      <c r="B867" s="59"/>
      <c r="C867" s="59"/>
      <c r="D867" s="25"/>
      <c r="E867" s="25"/>
      <c r="F867" s="25"/>
      <c r="G867" s="25"/>
      <c r="H867" s="25"/>
      <c r="I867" s="25"/>
      <c r="J867" s="25"/>
      <c r="K867" s="25"/>
      <c r="L867" s="25"/>
      <c r="M867" s="25"/>
      <c r="N867" s="26"/>
      <c r="O867" s="12"/>
      <c r="P867" s="12"/>
    </row>
    <row r="868">
      <c r="A868" s="20">
        <f>IFERROR(__xludf.DUMMYFUNCTION("""COMPUTED_VALUE"""),866.0)</f>
        <v>866</v>
      </c>
      <c r="B868" s="59"/>
      <c r="C868" s="59"/>
      <c r="D868" s="25"/>
      <c r="E868" s="25"/>
      <c r="F868" s="25"/>
      <c r="G868" s="25"/>
      <c r="H868" s="25"/>
      <c r="I868" s="25"/>
      <c r="J868" s="25"/>
      <c r="K868" s="25"/>
      <c r="L868" s="25"/>
      <c r="M868" s="25"/>
      <c r="N868" s="26"/>
      <c r="O868" s="12"/>
      <c r="P868" s="12"/>
    </row>
    <row r="869">
      <c r="A869" s="20">
        <f>IFERROR(__xludf.DUMMYFUNCTION("""COMPUTED_VALUE"""),867.0)</f>
        <v>867</v>
      </c>
      <c r="B869" s="59"/>
      <c r="C869" s="59"/>
      <c r="D869" s="25"/>
      <c r="E869" s="25"/>
      <c r="F869" s="25"/>
      <c r="G869" s="25"/>
      <c r="H869" s="25"/>
      <c r="I869" s="25"/>
      <c r="J869" s="25"/>
      <c r="K869" s="25"/>
      <c r="L869" s="25"/>
      <c r="M869" s="25"/>
      <c r="N869" s="26"/>
      <c r="O869" s="12"/>
      <c r="P869" s="12"/>
    </row>
    <row r="870">
      <c r="A870" s="20">
        <f>IFERROR(__xludf.DUMMYFUNCTION("""COMPUTED_VALUE"""),868.0)</f>
        <v>868</v>
      </c>
      <c r="B870" s="59"/>
      <c r="C870" s="59"/>
      <c r="D870" s="25"/>
      <c r="E870" s="25"/>
      <c r="F870" s="25"/>
      <c r="G870" s="25"/>
      <c r="H870" s="25"/>
      <c r="I870" s="25"/>
      <c r="J870" s="25"/>
      <c r="K870" s="25"/>
      <c r="L870" s="25"/>
      <c r="M870" s="25"/>
      <c r="N870" s="26"/>
      <c r="O870" s="12"/>
      <c r="P870" s="12"/>
    </row>
    <row r="871">
      <c r="A871" s="20">
        <f>IFERROR(__xludf.DUMMYFUNCTION("""COMPUTED_VALUE"""),869.0)</f>
        <v>869</v>
      </c>
      <c r="B871" s="59"/>
      <c r="C871" s="59"/>
      <c r="D871" s="25"/>
      <c r="E871" s="25"/>
      <c r="F871" s="25"/>
      <c r="G871" s="25"/>
      <c r="H871" s="25"/>
      <c r="I871" s="25"/>
      <c r="J871" s="25"/>
      <c r="K871" s="25"/>
      <c r="L871" s="25"/>
      <c r="M871" s="25"/>
      <c r="N871" s="26"/>
      <c r="O871" s="12"/>
      <c r="P871" s="12"/>
    </row>
    <row r="872">
      <c r="A872" s="20">
        <f>IFERROR(__xludf.DUMMYFUNCTION("""COMPUTED_VALUE"""),870.0)</f>
        <v>870</v>
      </c>
      <c r="B872" s="59"/>
      <c r="C872" s="59"/>
      <c r="D872" s="25"/>
      <c r="E872" s="25"/>
      <c r="F872" s="25"/>
      <c r="G872" s="25"/>
      <c r="H872" s="25"/>
      <c r="I872" s="25"/>
      <c r="J872" s="25"/>
      <c r="K872" s="25"/>
      <c r="L872" s="25"/>
      <c r="M872" s="25"/>
      <c r="N872" s="61"/>
      <c r="O872" s="62"/>
      <c r="P872" s="62"/>
    </row>
    <row r="873">
      <c r="A873" s="20">
        <f>IFERROR(__xludf.DUMMYFUNCTION("""COMPUTED_VALUE"""),871.0)</f>
        <v>871</v>
      </c>
      <c r="B873" s="59"/>
      <c r="C873" s="59"/>
      <c r="D873" s="25"/>
      <c r="E873" s="25"/>
      <c r="F873" s="25"/>
      <c r="G873" s="25"/>
      <c r="H873" s="25"/>
      <c r="I873" s="25"/>
      <c r="J873" s="25"/>
      <c r="K873" s="25"/>
      <c r="L873" s="25"/>
      <c r="M873" s="25"/>
      <c r="N873" s="26"/>
      <c r="O873" s="12"/>
      <c r="P873" s="12"/>
    </row>
    <row r="874">
      <c r="A874" s="20">
        <f>IFERROR(__xludf.DUMMYFUNCTION("""COMPUTED_VALUE"""),872.0)</f>
        <v>872</v>
      </c>
      <c r="B874" s="59"/>
      <c r="C874" s="59"/>
      <c r="D874" s="25"/>
      <c r="E874" s="25"/>
      <c r="F874" s="25"/>
      <c r="G874" s="25"/>
      <c r="H874" s="25"/>
      <c r="I874" s="25"/>
      <c r="J874" s="25"/>
      <c r="K874" s="25"/>
      <c r="L874" s="25"/>
      <c r="M874" s="25"/>
      <c r="N874" s="61"/>
      <c r="O874" s="62"/>
      <c r="P874" s="62"/>
    </row>
    <row r="875">
      <c r="A875" s="20">
        <f>IFERROR(__xludf.DUMMYFUNCTION("""COMPUTED_VALUE"""),873.0)</f>
        <v>873</v>
      </c>
      <c r="B875" s="59"/>
      <c r="C875" s="59"/>
      <c r="D875" s="25"/>
      <c r="E875" s="25"/>
      <c r="F875" s="25"/>
      <c r="G875" s="25"/>
      <c r="H875" s="25"/>
      <c r="I875" s="25"/>
      <c r="J875" s="25"/>
      <c r="K875" s="25"/>
      <c r="L875" s="25"/>
      <c r="M875" s="25"/>
      <c r="N875" s="61"/>
      <c r="O875" s="62"/>
      <c r="P875" s="62"/>
    </row>
    <row r="876">
      <c r="A876" s="20">
        <f>IFERROR(__xludf.DUMMYFUNCTION("""COMPUTED_VALUE"""),874.0)</f>
        <v>874</v>
      </c>
      <c r="B876" s="59"/>
      <c r="C876" s="59"/>
      <c r="D876" s="25"/>
      <c r="E876" s="25"/>
      <c r="F876" s="25"/>
      <c r="G876" s="25"/>
      <c r="H876" s="25"/>
      <c r="I876" s="25"/>
      <c r="J876" s="25"/>
      <c r="K876" s="25"/>
      <c r="L876" s="25"/>
      <c r="M876" s="25"/>
      <c r="N876" s="61"/>
      <c r="O876" s="62"/>
      <c r="P876" s="62"/>
    </row>
    <row r="877">
      <c r="A877" s="20">
        <f>IFERROR(__xludf.DUMMYFUNCTION("""COMPUTED_VALUE"""),875.0)</f>
        <v>875</v>
      </c>
      <c r="B877" s="59"/>
      <c r="C877" s="59"/>
      <c r="D877" s="25"/>
      <c r="E877" s="25"/>
      <c r="F877" s="25"/>
      <c r="G877" s="25"/>
      <c r="H877" s="25"/>
      <c r="I877" s="25"/>
      <c r="J877" s="25"/>
      <c r="K877" s="25"/>
      <c r="L877" s="25"/>
      <c r="M877" s="25"/>
      <c r="N877" s="26"/>
      <c r="O877" s="12"/>
      <c r="P877" s="12"/>
    </row>
    <row r="878">
      <c r="A878" s="20">
        <f>IFERROR(__xludf.DUMMYFUNCTION("""COMPUTED_VALUE"""),876.0)</f>
        <v>876</v>
      </c>
      <c r="B878" s="59"/>
      <c r="C878" s="59"/>
      <c r="D878" s="25"/>
      <c r="E878" s="25"/>
      <c r="F878" s="25"/>
      <c r="G878" s="25"/>
      <c r="H878" s="25"/>
      <c r="I878" s="25"/>
      <c r="J878" s="25"/>
      <c r="K878" s="25"/>
      <c r="L878" s="25"/>
      <c r="M878" s="25"/>
      <c r="N878" s="26"/>
      <c r="O878" s="12"/>
      <c r="P878" s="12"/>
    </row>
    <row r="879">
      <c r="A879" s="20">
        <f>IFERROR(__xludf.DUMMYFUNCTION("""COMPUTED_VALUE"""),877.0)</f>
        <v>877</v>
      </c>
      <c r="B879" s="59"/>
      <c r="C879" s="59"/>
      <c r="D879" s="25"/>
      <c r="E879" s="25"/>
      <c r="F879" s="25"/>
      <c r="G879" s="25"/>
      <c r="H879" s="25"/>
      <c r="I879" s="25"/>
      <c r="J879" s="25"/>
      <c r="K879" s="25"/>
      <c r="L879" s="25"/>
      <c r="M879" s="25"/>
      <c r="N879" s="26"/>
      <c r="O879" s="12"/>
      <c r="P879" s="12"/>
    </row>
    <row r="880">
      <c r="A880" s="20">
        <f>IFERROR(__xludf.DUMMYFUNCTION("""COMPUTED_VALUE"""),878.0)</f>
        <v>878</v>
      </c>
      <c r="B880" s="59"/>
      <c r="C880" s="59"/>
      <c r="D880" s="25"/>
      <c r="E880" s="25"/>
      <c r="F880" s="25"/>
      <c r="G880" s="25"/>
      <c r="H880" s="25"/>
      <c r="I880" s="25"/>
      <c r="J880" s="25"/>
      <c r="K880" s="25"/>
      <c r="L880" s="25"/>
      <c r="M880" s="25"/>
      <c r="N880" s="26"/>
      <c r="O880" s="12"/>
      <c r="P880" s="12"/>
    </row>
    <row r="881">
      <c r="A881" s="20">
        <f>IFERROR(__xludf.DUMMYFUNCTION("""COMPUTED_VALUE"""),879.0)</f>
        <v>879</v>
      </c>
      <c r="B881" s="59"/>
      <c r="C881" s="59"/>
      <c r="D881" s="25"/>
      <c r="E881" s="25"/>
      <c r="F881" s="25"/>
      <c r="G881" s="25"/>
      <c r="H881" s="25"/>
      <c r="I881" s="25"/>
      <c r="J881" s="25"/>
      <c r="K881" s="25"/>
      <c r="L881" s="25"/>
      <c r="M881" s="25"/>
      <c r="N881" s="26"/>
      <c r="O881" s="12"/>
      <c r="P881" s="12"/>
    </row>
    <row r="882">
      <c r="A882" s="20">
        <f>IFERROR(__xludf.DUMMYFUNCTION("""COMPUTED_VALUE"""),880.0)</f>
        <v>880</v>
      </c>
      <c r="B882" s="59"/>
      <c r="C882" s="59"/>
      <c r="D882" s="25"/>
      <c r="E882" s="25"/>
      <c r="F882" s="25"/>
      <c r="G882" s="20"/>
      <c r="H882" s="25"/>
      <c r="I882" s="25"/>
      <c r="J882" s="25"/>
      <c r="K882" s="25"/>
      <c r="L882" s="25"/>
      <c r="M882" s="25"/>
      <c r="N882" s="26"/>
      <c r="O882" s="12"/>
      <c r="P882" s="12"/>
    </row>
    <row r="883">
      <c r="A883" s="20">
        <f>IFERROR(__xludf.DUMMYFUNCTION("""COMPUTED_VALUE"""),881.0)</f>
        <v>881</v>
      </c>
      <c r="B883" s="59"/>
      <c r="C883" s="59"/>
      <c r="D883" s="25"/>
      <c r="E883" s="25"/>
      <c r="F883" s="25"/>
      <c r="G883" s="25"/>
      <c r="H883" s="25"/>
      <c r="I883" s="25"/>
      <c r="J883" s="25"/>
      <c r="K883" s="25"/>
      <c r="L883" s="25"/>
      <c r="M883" s="25"/>
      <c r="N883" s="26"/>
      <c r="O883" s="12"/>
      <c r="P883" s="12"/>
    </row>
    <row r="884">
      <c r="A884" s="20">
        <f>IFERROR(__xludf.DUMMYFUNCTION("""COMPUTED_VALUE"""),882.0)</f>
        <v>882</v>
      </c>
      <c r="B884" s="59"/>
      <c r="C884" s="59"/>
      <c r="D884" s="25"/>
      <c r="E884" s="25"/>
      <c r="F884" s="25"/>
      <c r="G884" s="25"/>
      <c r="H884" s="25"/>
      <c r="I884" s="25"/>
      <c r="J884" s="25"/>
      <c r="K884" s="25"/>
      <c r="L884" s="25"/>
      <c r="M884" s="25"/>
      <c r="N884" s="26"/>
      <c r="O884" s="12"/>
      <c r="P884" s="12"/>
    </row>
    <row r="885">
      <c r="A885" s="20">
        <f>IFERROR(__xludf.DUMMYFUNCTION("""COMPUTED_VALUE"""),883.0)</f>
        <v>883</v>
      </c>
      <c r="B885" s="8"/>
      <c r="C885" s="8"/>
      <c r="D885" s="7"/>
      <c r="E885" s="7"/>
      <c r="F885" s="7"/>
      <c r="G885" s="7"/>
      <c r="H885" s="9"/>
      <c r="I885" s="7"/>
      <c r="J885" s="7"/>
      <c r="K885" s="7"/>
      <c r="L885" s="60"/>
      <c r="M885" s="54"/>
      <c r="N885" s="10"/>
      <c r="O885" s="43"/>
      <c r="P885" s="43"/>
    </row>
    <row r="886">
      <c r="A886" s="20">
        <f>IFERROR(__xludf.DUMMYFUNCTION("""COMPUTED_VALUE"""),884.0)</f>
        <v>884</v>
      </c>
      <c r="B886" s="59"/>
      <c r="C886" s="59"/>
      <c r="D886" s="25"/>
      <c r="E886" s="25"/>
      <c r="F886" s="25"/>
      <c r="G886" s="25"/>
      <c r="H886" s="25"/>
      <c r="I886" s="25"/>
      <c r="J886" s="25"/>
      <c r="K886" s="25"/>
      <c r="L886" s="25"/>
      <c r="M886" s="25"/>
      <c r="N886" s="26"/>
      <c r="O886" s="12"/>
      <c r="P886" s="12"/>
    </row>
    <row r="887">
      <c r="A887" s="20">
        <f>IFERROR(__xludf.DUMMYFUNCTION("""COMPUTED_VALUE"""),885.0)</f>
        <v>885</v>
      </c>
      <c r="B887" s="59"/>
      <c r="C887" s="59"/>
      <c r="D887" s="25"/>
      <c r="E887" s="25"/>
      <c r="F887" s="25"/>
      <c r="G887" s="25"/>
      <c r="H887" s="25"/>
      <c r="I887" s="25"/>
      <c r="J887" s="25"/>
      <c r="K887" s="25"/>
      <c r="L887" s="25"/>
      <c r="M887" s="25"/>
      <c r="N887" s="26"/>
      <c r="O887" s="12"/>
      <c r="P887" s="12"/>
    </row>
    <row r="888">
      <c r="A888" s="20">
        <f>IFERROR(__xludf.DUMMYFUNCTION("""COMPUTED_VALUE"""),886.0)</f>
        <v>886</v>
      </c>
      <c r="B888" s="59"/>
      <c r="C888" s="59"/>
      <c r="D888" s="25"/>
      <c r="E888" s="25"/>
      <c r="F888" s="25"/>
      <c r="G888" s="25"/>
      <c r="H888" s="25"/>
      <c r="I888" s="25"/>
      <c r="J888" s="25"/>
      <c r="K888" s="25"/>
      <c r="L888" s="25"/>
      <c r="M888" s="25"/>
      <c r="N888" s="26"/>
      <c r="O888" s="12"/>
      <c r="P888" s="12"/>
    </row>
    <row r="889">
      <c r="A889" s="20">
        <f>IFERROR(__xludf.DUMMYFUNCTION("""COMPUTED_VALUE"""),887.0)</f>
        <v>887</v>
      </c>
      <c r="B889" s="59"/>
      <c r="C889" s="59"/>
      <c r="D889" s="25"/>
      <c r="E889" s="25"/>
      <c r="F889" s="25"/>
      <c r="G889" s="25"/>
      <c r="H889" s="25"/>
      <c r="I889" s="25"/>
      <c r="J889" s="25"/>
      <c r="K889" s="25"/>
      <c r="L889" s="25"/>
      <c r="M889" s="25"/>
      <c r="N889" s="26"/>
      <c r="O889" s="12"/>
      <c r="P889" s="12"/>
    </row>
    <row r="890">
      <c r="A890" s="20">
        <f>IFERROR(__xludf.DUMMYFUNCTION("""COMPUTED_VALUE"""),888.0)</f>
        <v>888</v>
      </c>
      <c r="B890" s="8"/>
      <c r="C890" s="8"/>
      <c r="D890" s="7"/>
      <c r="E890" s="7"/>
      <c r="F890" s="7"/>
      <c r="G890" s="7"/>
      <c r="H890" s="9"/>
      <c r="I890" s="7"/>
      <c r="J890" s="7"/>
      <c r="K890" s="7"/>
      <c r="L890" s="60"/>
      <c r="M890" s="54"/>
      <c r="N890" s="10"/>
      <c r="O890" s="43"/>
      <c r="P890" s="43"/>
    </row>
    <row r="891">
      <c r="A891" s="20">
        <f>IFERROR(__xludf.DUMMYFUNCTION("""COMPUTED_VALUE"""),889.0)</f>
        <v>889</v>
      </c>
      <c r="B891" s="59"/>
      <c r="C891" s="59"/>
      <c r="D891" s="25"/>
      <c r="E891" s="25"/>
      <c r="F891" s="25"/>
      <c r="G891" s="25"/>
      <c r="H891" s="25"/>
      <c r="I891" s="25"/>
      <c r="J891" s="25"/>
      <c r="K891" s="25"/>
      <c r="L891" s="25"/>
      <c r="M891" s="25"/>
      <c r="N891" s="26"/>
      <c r="O891" s="12"/>
      <c r="P891" s="12"/>
    </row>
    <row r="892">
      <c r="A892" s="20">
        <f>IFERROR(__xludf.DUMMYFUNCTION("""COMPUTED_VALUE"""),890.0)</f>
        <v>890</v>
      </c>
      <c r="B892" s="59"/>
      <c r="C892" s="59"/>
      <c r="D892" s="25"/>
      <c r="E892" s="25"/>
      <c r="F892" s="25"/>
      <c r="G892" s="25"/>
      <c r="H892" s="25"/>
      <c r="I892" s="25"/>
      <c r="J892" s="25"/>
      <c r="K892" s="25"/>
      <c r="L892" s="25"/>
      <c r="M892" s="25"/>
      <c r="N892" s="26"/>
      <c r="O892" s="12"/>
      <c r="P892" s="12"/>
    </row>
    <row r="893">
      <c r="A893" s="20">
        <f>IFERROR(__xludf.DUMMYFUNCTION("""COMPUTED_VALUE"""),891.0)</f>
        <v>891</v>
      </c>
      <c r="B893" s="8"/>
      <c r="C893" s="8"/>
      <c r="D893" s="7"/>
      <c r="E893" s="7"/>
      <c r="F893" s="7"/>
      <c r="G893" s="7"/>
      <c r="H893" s="9"/>
      <c r="I893" s="7"/>
      <c r="J893" s="7"/>
      <c r="K893" s="7"/>
      <c r="L893" s="60"/>
      <c r="M893" s="60"/>
      <c r="N893" s="10"/>
      <c r="O893" s="55"/>
      <c r="P893" s="55"/>
    </row>
    <row r="894">
      <c r="A894" s="20">
        <f>IFERROR(__xludf.DUMMYFUNCTION("""COMPUTED_VALUE"""),892.0)</f>
        <v>892</v>
      </c>
      <c r="B894" s="59"/>
      <c r="C894" s="59"/>
      <c r="D894" s="25"/>
      <c r="E894" s="25"/>
      <c r="F894" s="25"/>
      <c r="G894" s="25"/>
      <c r="H894" s="25"/>
      <c r="I894" s="25"/>
      <c r="J894" s="25"/>
      <c r="K894" s="25"/>
      <c r="L894" s="25"/>
      <c r="M894" s="25"/>
      <c r="N894" s="26"/>
      <c r="O894" s="12"/>
      <c r="P894" s="12"/>
    </row>
    <row r="895">
      <c r="A895" s="20">
        <f>IFERROR(__xludf.DUMMYFUNCTION("""COMPUTED_VALUE"""),893.0)</f>
        <v>893</v>
      </c>
      <c r="B895" s="59"/>
      <c r="C895" s="59"/>
      <c r="D895" s="25"/>
      <c r="E895" s="25"/>
      <c r="F895" s="25"/>
      <c r="G895" s="25"/>
      <c r="H895" s="25"/>
      <c r="I895" s="25"/>
      <c r="J895" s="25"/>
      <c r="K895" s="25"/>
      <c r="L895" s="25"/>
      <c r="M895" s="25"/>
      <c r="N895" s="26"/>
      <c r="O895" s="12"/>
      <c r="P895" s="12"/>
    </row>
    <row r="896">
      <c r="A896" s="20">
        <f>IFERROR(__xludf.DUMMYFUNCTION("""COMPUTED_VALUE"""),894.0)</f>
        <v>894</v>
      </c>
      <c r="B896" s="59"/>
      <c r="C896" s="59"/>
      <c r="D896" s="25"/>
      <c r="E896" s="25"/>
      <c r="F896" s="25"/>
      <c r="G896" s="25"/>
      <c r="H896" s="25"/>
      <c r="I896" s="25"/>
      <c r="J896" s="25"/>
      <c r="K896" s="25"/>
      <c r="L896" s="25"/>
      <c r="M896" s="25"/>
      <c r="N896" s="26"/>
      <c r="O896" s="12"/>
      <c r="P896" s="12"/>
    </row>
    <row r="897">
      <c r="A897" s="20">
        <f>IFERROR(__xludf.DUMMYFUNCTION("""COMPUTED_VALUE"""),895.0)</f>
        <v>895</v>
      </c>
      <c r="B897" s="59"/>
      <c r="C897" s="59"/>
      <c r="D897" s="25"/>
      <c r="E897" s="25"/>
      <c r="F897" s="25"/>
      <c r="G897" s="25"/>
      <c r="H897" s="25"/>
      <c r="I897" s="25"/>
      <c r="J897" s="25"/>
      <c r="K897" s="25"/>
      <c r="L897" s="25"/>
      <c r="M897" s="25"/>
      <c r="N897" s="26"/>
      <c r="O897" s="12"/>
      <c r="P897" s="12"/>
    </row>
    <row r="898">
      <c r="A898" s="20">
        <f>IFERROR(__xludf.DUMMYFUNCTION("""COMPUTED_VALUE"""),896.0)</f>
        <v>896</v>
      </c>
      <c r="B898" s="59"/>
      <c r="C898" s="59"/>
      <c r="D898" s="25"/>
      <c r="E898" s="25"/>
      <c r="F898" s="25"/>
      <c r="G898" s="25"/>
      <c r="H898" s="25"/>
      <c r="I898" s="25"/>
      <c r="J898" s="25"/>
      <c r="K898" s="25"/>
      <c r="L898" s="25"/>
      <c r="M898" s="25"/>
      <c r="N898" s="26"/>
      <c r="O898" s="12"/>
      <c r="P898" s="12"/>
    </row>
    <row r="899">
      <c r="A899" s="20">
        <f>IFERROR(__xludf.DUMMYFUNCTION("""COMPUTED_VALUE"""),897.0)</f>
        <v>897</v>
      </c>
      <c r="B899" s="59"/>
      <c r="C899" s="59"/>
      <c r="D899" s="25"/>
      <c r="E899" s="25"/>
      <c r="F899" s="25"/>
      <c r="G899" s="25"/>
      <c r="H899" s="25"/>
      <c r="I899" s="25"/>
      <c r="J899" s="25"/>
      <c r="K899" s="25"/>
      <c r="L899" s="25"/>
      <c r="M899" s="25"/>
      <c r="N899" s="26"/>
      <c r="O899" s="12"/>
      <c r="P899" s="12"/>
    </row>
    <row r="900">
      <c r="A900" s="20">
        <f>IFERROR(__xludf.DUMMYFUNCTION("""COMPUTED_VALUE"""),898.0)</f>
        <v>898</v>
      </c>
      <c r="B900" s="59"/>
      <c r="C900" s="59"/>
      <c r="D900" s="25"/>
      <c r="E900" s="25"/>
      <c r="F900" s="25"/>
      <c r="G900" s="25"/>
      <c r="H900" s="25"/>
      <c r="I900" s="25"/>
      <c r="J900" s="25"/>
      <c r="K900" s="25"/>
      <c r="L900" s="25"/>
      <c r="M900" s="25"/>
      <c r="N900" s="26"/>
      <c r="O900" s="12"/>
      <c r="P900" s="12"/>
    </row>
    <row r="901">
      <c r="A901" s="20">
        <f>IFERROR(__xludf.DUMMYFUNCTION("""COMPUTED_VALUE"""),899.0)</f>
        <v>899</v>
      </c>
      <c r="B901" s="59"/>
      <c r="C901" s="59"/>
      <c r="D901" s="25"/>
      <c r="E901" s="25"/>
      <c r="F901" s="25"/>
      <c r="G901" s="25"/>
      <c r="H901" s="25"/>
      <c r="I901" s="25"/>
      <c r="J901" s="25"/>
      <c r="K901" s="25"/>
      <c r="L901" s="25"/>
      <c r="M901" s="25"/>
      <c r="N901" s="26"/>
      <c r="O901" s="12"/>
      <c r="P901" s="12"/>
    </row>
    <row r="902">
      <c r="A902" s="20">
        <f>IFERROR(__xludf.DUMMYFUNCTION("""COMPUTED_VALUE"""),900.0)</f>
        <v>900</v>
      </c>
      <c r="B902" s="59"/>
      <c r="C902" s="59"/>
      <c r="D902" s="25"/>
      <c r="E902" s="25"/>
      <c r="F902" s="25"/>
      <c r="G902" s="25"/>
      <c r="H902" s="25"/>
      <c r="I902" s="25"/>
      <c r="J902" s="25"/>
      <c r="K902" s="25"/>
      <c r="L902" s="25"/>
      <c r="M902" s="25"/>
      <c r="N902" s="26"/>
      <c r="O902" s="12"/>
      <c r="P902" s="12"/>
    </row>
    <row r="903">
      <c r="A903" s="20">
        <f>IFERROR(__xludf.DUMMYFUNCTION("""COMPUTED_VALUE"""),901.0)</f>
        <v>901</v>
      </c>
      <c r="B903" s="59"/>
      <c r="C903" s="59"/>
      <c r="D903" s="25"/>
      <c r="E903" s="25"/>
      <c r="F903" s="25"/>
      <c r="G903" s="25"/>
      <c r="H903" s="25"/>
      <c r="I903" s="25"/>
      <c r="J903" s="25"/>
      <c r="K903" s="25"/>
      <c r="L903" s="25"/>
      <c r="M903" s="25"/>
      <c r="N903" s="26"/>
      <c r="O903" s="12"/>
      <c r="P903" s="12"/>
    </row>
    <row r="904">
      <c r="A904" s="20">
        <f>IFERROR(__xludf.DUMMYFUNCTION("""COMPUTED_VALUE"""),902.0)</f>
        <v>902</v>
      </c>
      <c r="B904" s="59"/>
      <c r="C904" s="59"/>
      <c r="D904" s="25"/>
      <c r="E904" s="25"/>
      <c r="F904" s="25"/>
      <c r="G904" s="25"/>
      <c r="H904" s="25"/>
      <c r="I904" s="25"/>
      <c r="J904" s="25"/>
      <c r="K904" s="25"/>
      <c r="L904" s="25"/>
      <c r="M904" s="25"/>
      <c r="N904" s="26"/>
      <c r="O904" s="12"/>
      <c r="P904" s="12"/>
    </row>
    <row r="905">
      <c r="A905" s="20">
        <f>IFERROR(__xludf.DUMMYFUNCTION("""COMPUTED_VALUE"""),903.0)</f>
        <v>903</v>
      </c>
      <c r="B905" s="59"/>
      <c r="C905" s="59"/>
      <c r="D905" s="25"/>
      <c r="E905" s="25"/>
      <c r="F905" s="25"/>
      <c r="G905" s="25"/>
      <c r="H905" s="25"/>
      <c r="I905" s="25"/>
      <c r="J905" s="25"/>
      <c r="K905" s="25"/>
      <c r="L905" s="25"/>
      <c r="M905" s="25"/>
      <c r="N905" s="26"/>
      <c r="O905" s="12"/>
      <c r="P905" s="12"/>
    </row>
    <row r="906">
      <c r="A906" s="20">
        <f>IFERROR(__xludf.DUMMYFUNCTION("""COMPUTED_VALUE"""),904.0)</f>
        <v>904</v>
      </c>
      <c r="B906" s="8"/>
      <c r="C906" s="8"/>
      <c r="D906" s="7"/>
      <c r="E906" s="7"/>
      <c r="F906" s="7"/>
      <c r="G906" s="7"/>
      <c r="H906" s="9"/>
      <c r="I906" s="7"/>
      <c r="J906" s="7"/>
      <c r="K906" s="7"/>
      <c r="L906" s="60"/>
      <c r="M906" s="54"/>
      <c r="N906" s="10"/>
      <c r="O906" s="43"/>
      <c r="P906" s="43"/>
    </row>
    <row r="907">
      <c r="A907" s="20">
        <f>IFERROR(__xludf.DUMMYFUNCTION("""COMPUTED_VALUE"""),905.0)</f>
        <v>905</v>
      </c>
      <c r="B907" s="59"/>
      <c r="C907" s="59"/>
      <c r="D907" s="25"/>
      <c r="E907" s="25"/>
      <c r="F907" s="25"/>
      <c r="G907" s="25"/>
      <c r="H907" s="25"/>
      <c r="I907" s="25"/>
      <c r="J907" s="25"/>
      <c r="K907" s="25"/>
      <c r="L907" s="25"/>
      <c r="M907" s="25"/>
      <c r="N907" s="26"/>
      <c r="O907" s="12"/>
      <c r="P907" s="12"/>
    </row>
    <row r="908">
      <c r="A908" s="20">
        <f>IFERROR(__xludf.DUMMYFUNCTION("""COMPUTED_VALUE"""),906.0)</f>
        <v>906</v>
      </c>
      <c r="B908" s="59"/>
      <c r="C908" s="59"/>
      <c r="D908" s="25"/>
      <c r="E908" s="25"/>
      <c r="F908" s="25"/>
      <c r="G908" s="25"/>
      <c r="H908" s="25"/>
      <c r="I908" s="25"/>
      <c r="J908" s="25"/>
      <c r="K908" s="25"/>
      <c r="L908" s="25"/>
      <c r="M908" s="25"/>
      <c r="N908" s="26"/>
      <c r="O908" s="12"/>
      <c r="P908" s="12"/>
    </row>
    <row r="909">
      <c r="A909" s="20">
        <f>IFERROR(__xludf.DUMMYFUNCTION("""COMPUTED_VALUE"""),907.0)</f>
        <v>907</v>
      </c>
      <c r="B909" s="59"/>
      <c r="C909" s="59"/>
      <c r="D909" s="25"/>
      <c r="E909" s="25"/>
      <c r="F909" s="25"/>
      <c r="G909" s="25"/>
      <c r="H909" s="25"/>
      <c r="I909" s="25"/>
      <c r="J909" s="25"/>
      <c r="K909" s="25"/>
      <c r="L909" s="25"/>
      <c r="M909" s="25"/>
      <c r="N909" s="26"/>
      <c r="O909" s="12"/>
      <c r="P909" s="12"/>
    </row>
    <row r="910">
      <c r="A910" s="20">
        <f>IFERROR(__xludf.DUMMYFUNCTION("""COMPUTED_VALUE"""),908.0)</f>
        <v>908</v>
      </c>
      <c r="B910" s="59"/>
      <c r="C910" s="59"/>
      <c r="D910" s="25"/>
      <c r="E910" s="25"/>
      <c r="F910" s="25"/>
      <c r="G910" s="25"/>
      <c r="H910" s="25"/>
      <c r="I910" s="25"/>
      <c r="J910" s="25"/>
      <c r="K910" s="25"/>
      <c r="L910" s="25"/>
      <c r="M910" s="25"/>
      <c r="N910" s="26"/>
      <c r="O910" s="12"/>
      <c r="P910" s="12"/>
    </row>
    <row r="911">
      <c r="A911" s="20">
        <f>IFERROR(__xludf.DUMMYFUNCTION("""COMPUTED_VALUE"""),909.0)</f>
        <v>909</v>
      </c>
      <c r="B911" s="59"/>
      <c r="C911" s="59"/>
      <c r="D911" s="25"/>
      <c r="E911" s="25"/>
      <c r="F911" s="25"/>
      <c r="G911" s="25"/>
      <c r="H911" s="25"/>
      <c r="I911" s="25"/>
      <c r="J911" s="25"/>
      <c r="K911" s="25"/>
      <c r="L911" s="25"/>
      <c r="M911" s="25"/>
      <c r="N911" s="26"/>
      <c r="O911" s="12"/>
      <c r="P911" s="12"/>
    </row>
    <row r="912">
      <c r="A912" s="20">
        <f>IFERROR(__xludf.DUMMYFUNCTION("""COMPUTED_VALUE"""),910.0)</f>
        <v>910</v>
      </c>
      <c r="B912" s="59"/>
      <c r="C912" s="59"/>
      <c r="D912" s="25"/>
      <c r="E912" s="25"/>
      <c r="F912" s="25"/>
      <c r="G912" s="25"/>
      <c r="H912" s="25"/>
      <c r="I912" s="25"/>
      <c r="J912" s="25"/>
      <c r="K912" s="25"/>
      <c r="L912" s="25"/>
      <c r="M912" s="25"/>
      <c r="N912" s="26"/>
      <c r="O912" s="12"/>
      <c r="P912" s="12"/>
    </row>
    <row r="913">
      <c r="A913" s="20">
        <f>IFERROR(__xludf.DUMMYFUNCTION("""COMPUTED_VALUE"""),911.0)</f>
        <v>911</v>
      </c>
      <c r="B913" s="59"/>
      <c r="C913" s="59"/>
      <c r="D913" s="25"/>
      <c r="E913" s="25"/>
      <c r="F913" s="25"/>
      <c r="G913" s="25"/>
      <c r="H913" s="25"/>
      <c r="I913" s="25"/>
      <c r="J913" s="25"/>
      <c r="K913" s="25"/>
      <c r="L913" s="25"/>
      <c r="M913" s="25"/>
      <c r="N913" s="26"/>
      <c r="O913" s="12"/>
      <c r="P913" s="12"/>
    </row>
    <row r="914">
      <c r="A914" s="20">
        <f>IFERROR(__xludf.DUMMYFUNCTION("""COMPUTED_VALUE"""),912.0)</f>
        <v>912</v>
      </c>
      <c r="B914" s="59"/>
      <c r="C914" s="59"/>
      <c r="D914" s="25"/>
      <c r="E914" s="25"/>
      <c r="F914" s="25"/>
      <c r="G914" s="25"/>
      <c r="H914" s="25"/>
      <c r="I914" s="25"/>
      <c r="J914" s="25"/>
      <c r="K914" s="25"/>
      <c r="L914" s="25"/>
      <c r="M914" s="25"/>
      <c r="N914" s="26"/>
      <c r="O914" s="12"/>
      <c r="P914" s="12"/>
    </row>
    <row r="915">
      <c r="A915" s="20">
        <f>IFERROR(__xludf.DUMMYFUNCTION("""COMPUTED_VALUE"""),913.0)</f>
        <v>913</v>
      </c>
      <c r="B915" s="59"/>
      <c r="C915" s="59"/>
      <c r="D915" s="25"/>
      <c r="E915" s="25"/>
      <c r="F915" s="25"/>
      <c r="G915" s="25"/>
      <c r="H915" s="25"/>
      <c r="I915" s="25"/>
      <c r="J915" s="25"/>
      <c r="K915" s="25"/>
      <c r="L915" s="25"/>
      <c r="M915" s="25"/>
      <c r="N915" s="26"/>
      <c r="O915" s="12"/>
      <c r="P915" s="12"/>
    </row>
    <row r="916">
      <c r="A916" s="20">
        <f>IFERROR(__xludf.DUMMYFUNCTION("""COMPUTED_VALUE"""),914.0)</f>
        <v>914</v>
      </c>
      <c r="B916" s="59"/>
      <c r="C916" s="59"/>
      <c r="D916" s="25"/>
      <c r="E916" s="25"/>
      <c r="F916" s="25"/>
      <c r="G916" s="25"/>
      <c r="H916" s="25"/>
      <c r="I916" s="25"/>
      <c r="J916" s="25"/>
      <c r="K916" s="25"/>
      <c r="L916" s="25"/>
      <c r="M916" s="25"/>
      <c r="N916" s="26"/>
      <c r="O916" s="12"/>
      <c r="P916" s="12"/>
    </row>
    <row r="917">
      <c r="A917" s="20">
        <f>IFERROR(__xludf.DUMMYFUNCTION("""COMPUTED_VALUE"""),915.0)</f>
        <v>915</v>
      </c>
      <c r="B917" s="59"/>
      <c r="C917" s="59"/>
      <c r="D917" s="25"/>
      <c r="E917" s="25"/>
      <c r="F917" s="25"/>
      <c r="G917" s="25"/>
      <c r="H917" s="25"/>
      <c r="I917" s="25"/>
      <c r="J917" s="25"/>
      <c r="K917" s="25"/>
      <c r="L917" s="25"/>
      <c r="M917" s="25"/>
      <c r="N917" s="26"/>
      <c r="O917" s="12"/>
      <c r="P917" s="12"/>
    </row>
    <row r="918">
      <c r="A918" s="20">
        <f>IFERROR(__xludf.DUMMYFUNCTION("""COMPUTED_VALUE"""),916.0)</f>
        <v>916</v>
      </c>
      <c r="B918" s="59"/>
      <c r="C918" s="59"/>
      <c r="D918" s="25"/>
      <c r="E918" s="25"/>
      <c r="F918" s="25"/>
      <c r="G918" s="25"/>
      <c r="H918" s="25"/>
      <c r="I918" s="25"/>
      <c r="J918" s="25"/>
      <c r="K918" s="25"/>
      <c r="L918" s="25"/>
      <c r="M918" s="25"/>
      <c r="N918" s="26"/>
      <c r="O918" s="12"/>
      <c r="P918" s="12"/>
    </row>
    <row r="919">
      <c r="A919" s="20">
        <f>IFERROR(__xludf.DUMMYFUNCTION("""COMPUTED_VALUE"""),917.0)</f>
        <v>917</v>
      </c>
      <c r="B919" s="59"/>
      <c r="C919" s="59"/>
      <c r="D919" s="25"/>
      <c r="E919" s="25"/>
      <c r="F919" s="25"/>
      <c r="G919" s="25"/>
      <c r="H919" s="25"/>
      <c r="I919" s="25"/>
      <c r="J919" s="25"/>
      <c r="K919" s="25"/>
      <c r="L919" s="25"/>
      <c r="M919" s="25"/>
      <c r="N919" s="26"/>
      <c r="O919" s="12"/>
      <c r="P919" s="12"/>
    </row>
    <row r="920">
      <c r="A920" s="20">
        <f>IFERROR(__xludf.DUMMYFUNCTION("""COMPUTED_VALUE"""),918.0)</f>
        <v>918</v>
      </c>
      <c r="B920" s="59"/>
      <c r="C920" s="59"/>
      <c r="D920" s="25"/>
      <c r="E920" s="25"/>
      <c r="F920" s="25"/>
      <c r="G920" s="25"/>
      <c r="H920" s="25"/>
      <c r="I920" s="25"/>
      <c r="J920" s="25"/>
      <c r="K920" s="25"/>
      <c r="L920" s="25"/>
      <c r="M920" s="25"/>
      <c r="N920" s="26"/>
      <c r="O920" s="12"/>
      <c r="P920" s="12"/>
    </row>
    <row r="921">
      <c r="A921" s="20">
        <f>IFERROR(__xludf.DUMMYFUNCTION("""COMPUTED_VALUE"""),919.0)</f>
        <v>919</v>
      </c>
      <c r="B921" s="59"/>
      <c r="C921" s="59"/>
      <c r="D921" s="25"/>
      <c r="E921" s="25"/>
      <c r="F921" s="25"/>
      <c r="G921" s="25"/>
      <c r="H921" s="25"/>
      <c r="I921" s="25"/>
      <c r="J921" s="25"/>
      <c r="K921" s="25"/>
      <c r="L921" s="25"/>
      <c r="M921" s="25"/>
      <c r="N921" s="26"/>
      <c r="O921" s="12"/>
      <c r="P921" s="12"/>
    </row>
    <row r="922">
      <c r="A922" s="20">
        <f>IFERROR(__xludf.DUMMYFUNCTION("""COMPUTED_VALUE"""),920.0)</f>
        <v>920</v>
      </c>
      <c r="B922" s="59"/>
      <c r="C922" s="59"/>
      <c r="D922" s="25"/>
      <c r="E922" s="25"/>
      <c r="F922" s="25"/>
      <c r="G922" s="25"/>
      <c r="H922" s="25"/>
      <c r="I922" s="25"/>
      <c r="J922" s="25"/>
      <c r="K922" s="25"/>
      <c r="L922" s="25"/>
      <c r="M922" s="25"/>
      <c r="N922" s="26"/>
      <c r="O922" s="12"/>
      <c r="P922" s="12"/>
    </row>
    <row r="923">
      <c r="A923" s="20">
        <f>IFERROR(__xludf.DUMMYFUNCTION("""COMPUTED_VALUE"""),921.0)</f>
        <v>921</v>
      </c>
      <c r="B923" s="59"/>
      <c r="C923" s="59"/>
      <c r="D923" s="25"/>
      <c r="E923" s="25"/>
      <c r="F923" s="25"/>
      <c r="G923" s="25"/>
      <c r="H923" s="25"/>
      <c r="I923" s="25"/>
      <c r="J923" s="25"/>
      <c r="K923" s="25"/>
      <c r="L923" s="25"/>
      <c r="M923" s="25"/>
      <c r="N923" s="26"/>
      <c r="O923" s="12"/>
      <c r="P923" s="12"/>
    </row>
    <row r="924">
      <c r="A924" s="20">
        <f>IFERROR(__xludf.DUMMYFUNCTION("""COMPUTED_VALUE"""),922.0)</f>
        <v>922</v>
      </c>
      <c r="B924" s="59"/>
      <c r="C924" s="59"/>
      <c r="D924" s="25"/>
      <c r="E924" s="25"/>
      <c r="F924" s="25"/>
      <c r="G924" s="25"/>
      <c r="H924" s="25"/>
      <c r="I924" s="25"/>
      <c r="J924" s="25"/>
      <c r="K924" s="25"/>
      <c r="L924" s="25"/>
      <c r="M924" s="25"/>
      <c r="N924" s="26"/>
      <c r="O924" s="12"/>
      <c r="P924" s="12"/>
    </row>
    <row r="925">
      <c r="A925" s="20">
        <f>IFERROR(__xludf.DUMMYFUNCTION("""COMPUTED_VALUE"""),923.0)</f>
        <v>923</v>
      </c>
      <c r="B925" s="59"/>
      <c r="C925" s="59"/>
      <c r="D925" s="25"/>
      <c r="E925" s="25"/>
      <c r="F925" s="25"/>
      <c r="G925" s="25"/>
      <c r="H925" s="25"/>
      <c r="I925" s="25"/>
      <c r="J925" s="25"/>
      <c r="K925" s="25"/>
      <c r="L925" s="25"/>
      <c r="M925" s="25"/>
      <c r="N925" s="26"/>
      <c r="O925" s="12"/>
      <c r="P925" s="12"/>
    </row>
    <row r="926">
      <c r="A926" s="20">
        <f>IFERROR(__xludf.DUMMYFUNCTION("""COMPUTED_VALUE"""),924.0)</f>
        <v>924</v>
      </c>
      <c r="B926" s="59"/>
      <c r="C926" s="59"/>
      <c r="D926" s="25"/>
      <c r="E926" s="25"/>
      <c r="F926" s="25"/>
      <c r="G926" s="25"/>
      <c r="H926" s="25"/>
      <c r="I926" s="25"/>
      <c r="J926" s="25"/>
      <c r="K926" s="25"/>
      <c r="L926" s="25"/>
      <c r="M926" s="25"/>
      <c r="N926" s="26"/>
      <c r="O926" s="12"/>
      <c r="P926" s="12"/>
    </row>
    <row r="927">
      <c r="A927" s="20">
        <f>IFERROR(__xludf.DUMMYFUNCTION("""COMPUTED_VALUE"""),925.0)</f>
        <v>925</v>
      </c>
      <c r="B927" s="59"/>
      <c r="C927" s="59"/>
      <c r="D927" s="25"/>
      <c r="E927" s="25"/>
      <c r="F927" s="25"/>
      <c r="G927" s="25"/>
      <c r="H927" s="25"/>
      <c r="I927" s="25"/>
      <c r="J927" s="25"/>
      <c r="K927" s="25"/>
      <c r="L927" s="25"/>
      <c r="M927" s="25"/>
      <c r="N927" s="26"/>
      <c r="O927" s="12"/>
      <c r="P927" s="12"/>
    </row>
    <row r="928">
      <c r="A928" s="20">
        <f>IFERROR(__xludf.DUMMYFUNCTION("""COMPUTED_VALUE"""),926.0)</f>
        <v>926</v>
      </c>
      <c r="B928" s="59"/>
      <c r="C928" s="59"/>
      <c r="D928" s="25"/>
      <c r="E928" s="25"/>
      <c r="F928" s="25"/>
      <c r="G928" s="25"/>
      <c r="H928" s="25"/>
      <c r="I928" s="25"/>
      <c r="J928" s="25"/>
      <c r="K928" s="25"/>
      <c r="L928" s="25"/>
      <c r="M928" s="25"/>
      <c r="N928" s="26"/>
      <c r="O928" s="12"/>
      <c r="P928" s="12"/>
    </row>
    <row r="929">
      <c r="A929" s="20">
        <f>IFERROR(__xludf.DUMMYFUNCTION("""COMPUTED_VALUE"""),927.0)</f>
        <v>927</v>
      </c>
      <c r="B929" s="59"/>
      <c r="C929" s="59"/>
      <c r="D929" s="25"/>
      <c r="E929" s="25"/>
      <c r="F929" s="25"/>
      <c r="G929" s="25"/>
      <c r="H929" s="25"/>
      <c r="I929" s="25"/>
      <c r="J929" s="25"/>
      <c r="K929" s="25"/>
      <c r="L929" s="25"/>
      <c r="M929" s="25"/>
      <c r="N929" s="26"/>
      <c r="O929" s="12"/>
      <c r="P929" s="12"/>
    </row>
    <row r="930">
      <c r="A930" s="20">
        <f>IFERROR(__xludf.DUMMYFUNCTION("""COMPUTED_VALUE"""),928.0)</f>
        <v>928</v>
      </c>
      <c r="B930" s="59"/>
      <c r="C930" s="59"/>
      <c r="D930" s="25"/>
      <c r="E930" s="25"/>
      <c r="F930" s="25"/>
      <c r="G930" s="25"/>
      <c r="H930" s="25"/>
      <c r="I930" s="25"/>
      <c r="J930" s="25"/>
      <c r="K930" s="25"/>
      <c r="L930" s="25"/>
      <c r="M930" s="25"/>
      <c r="N930" s="26"/>
      <c r="O930" s="12"/>
      <c r="P930" s="12"/>
    </row>
    <row r="931">
      <c r="A931" s="20">
        <f>IFERROR(__xludf.DUMMYFUNCTION("""COMPUTED_VALUE"""),929.0)</f>
        <v>929</v>
      </c>
      <c r="B931" s="59"/>
      <c r="C931" s="59"/>
      <c r="D931" s="25"/>
      <c r="E931" s="25"/>
      <c r="F931" s="25"/>
      <c r="G931" s="25"/>
      <c r="H931" s="25"/>
      <c r="I931" s="25"/>
      <c r="J931" s="25"/>
      <c r="K931" s="25"/>
      <c r="L931" s="25"/>
      <c r="M931" s="25"/>
      <c r="N931" s="26"/>
      <c r="O931" s="12"/>
      <c r="P931" s="12"/>
    </row>
    <row r="932">
      <c r="A932" s="20">
        <f>IFERROR(__xludf.DUMMYFUNCTION("""COMPUTED_VALUE"""),930.0)</f>
        <v>930</v>
      </c>
      <c r="B932" s="59"/>
      <c r="C932" s="59"/>
      <c r="D932" s="25"/>
      <c r="E932" s="25"/>
      <c r="F932" s="25"/>
      <c r="G932" s="25"/>
      <c r="H932" s="25"/>
      <c r="I932" s="25"/>
      <c r="J932" s="25"/>
      <c r="K932" s="25"/>
      <c r="L932" s="25"/>
      <c r="M932" s="25"/>
      <c r="N932" s="26"/>
      <c r="O932" s="12"/>
      <c r="P932" s="12"/>
    </row>
    <row r="933">
      <c r="A933" s="20">
        <f>IFERROR(__xludf.DUMMYFUNCTION("""COMPUTED_VALUE"""),931.0)</f>
        <v>931</v>
      </c>
      <c r="B933" s="8"/>
      <c r="C933" s="8"/>
      <c r="D933" s="7"/>
      <c r="E933" s="7"/>
      <c r="F933" s="7"/>
      <c r="G933" s="7"/>
      <c r="H933" s="9"/>
      <c r="I933" s="7"/>
      <c r="J933" s="7"/>
      <c r="K933" s="7"/>
      <c r="L933" s="60"/>
      <c r="M933" s="60"/>
      <c r="N933" s="10"/>
      <c r="O933" s="55"/>
      <c r="P933" s="55"/>
    </row>
    <row r="934">
      <c r="A934" s="20">
        <f>IFERROR(__xludf.DUMMYFUNCTION("""COMPUTED_VALUE"""),932.0)</f>
        <v>932</v>
      </c>
      <c r="B934" s="59"/>
      <c r="C934" s="59"/>
      <c r="D934" s="25"/>
      <c r="E934" s="25"/>
      <c r="F934" s="25"/>
      <c r="G934" s="25"/>
      <c r="H934" s="25"/>
      <c r="I934" s="25"/>
      <c r="J934" s="25"/>
      <c r="K934" s="25"/>
      <c r="L934" s="25"/>
      <c r="M934" s="25"/>
      <c r="N934" s="26"/>
      <c r="O934" s="12"/>
      <c r="P934" s="12"/>
    </row>
    <row r="935">
      <c r="A935" s="20">
        <f>IFERROR(__xludf.DUMMYFUNCTION("""COMPUTED_VALUE"""),933.0)</f>
        <v>933</v>
      </c>
      <c r="B935" s="59"/>
      <c r="C935" s="59"/>
      <c r="D935" s="25"/>
      <c r="E935" s="25"/>
      <c r="F935" s="25"/>
      <c r="G935" s="25"/>
      <c r="H935" s="25"/>
      <c r="I935" s="25"/>
      <c r="J935" s="25"/>
      <c r="K935" s="25"/>
      <c r="L935" s="25"/>
      <c r="M935" s="25"/>
      <c r="N935" s="26"/>
      <c r="O935" s="12"/>
      <c r="P935" s="12"/>
    </row>
    <row r="936">
      <c r="A936" s="20">
        <f>IFERROR(__xludf.DUMMYFUNCTION("""COMPUTED_VALUE"""),934.0)</f>
        <v>934</v>
      </c>
      <c r="B936" s="59"/>
      <c r="C936" s="59"/>
      <c r="D936" s="25"/>
      <c r="E936" s="25"/>
      <c r="F936" s="25"/>
      <c r="G936" s="25"/>
      <c r="H936" s="25"/>
      <c r="I936" s="25"/>
      <c r="J936" s="25"/>
      <c r="K936" s="25"/>
      <c r="L936" s="25"/>
      <c r="M936" s="25"/>
      <c r="N936" s="26"/>
      <c r="O936" s="12"/>
      <c r="P936" s="12"/>
    </row>
    <row r="937">
      <c r="A937" s="20">
        <f>IFERROR(__xludf.DUMMYFUNCTION("""COMPUTED_VALUE"""),935.0)</f>
        <v>935</v>
      </c>
      <c r="B937" s="59"/>
      <c r="C937" s="59"/>
      <c r="D937" s="25"/>
      <c r="E937" s="25"/>
      <c r="F937" s="25"/>
      <c r="G937" s="25"/>
      <c r="H937" s="25"/>
      <c r="I937" s="25"/>
      <c r="J937" s="25"/>
      <c r="K937" s="25"/>
      <c r="L937" s="25"/>
      <c r="M937" s="25"/>
      <c r="N937" s="26"/>
      <c r="O937" s="12"/>
      <c r="P937" s="12"/>
    </row>
    <row r="938">
      <c r="A938" s="20">
        <f>IFERROR(__xludf.DUMMYFUNCTION("""COMPUTED_VALUE"""),936.0)</f>
        <v>936</v>
      </c>
      <c r="B938" s="59"/>
      <c r="C938" s="59"/>
      <c r="D938" s="25"/>
      <c r="E938" s="25"/>
      <c r="F938" s="25"/>
      <c r="G938" s="25"/>
      <c r="H938" s="25"/>
      <c r="I938" s="25"/>
      <c r="J938" s="25"/>
      <c r="K938" s="25"/>
      <c r="L938" s="25"/>
      <c r="M938" s="25"/>
      <c r="N938" s="26"/>
      <c r="O938" s="12"/>
      <c r="P938" s="12"/>
    </row>
    <row r="939">
      <c r="A939" s="20">
        <f>IFERROR(__xludf.DUMMYFUNCTION("""COMPUTED_VALUE"""),937.0)</f>
        <v>937</v>
      </c>
      <c r="B939" s="59"/>
      <c r="C939" s="59"/>
      <c r="D939" s="25"/>
      <c r="E939" s="25"/>
      <c r="F939" s="25"/>
      <c r="G939" s="25"/>
      <c r="H939" s="25"/>
      <c r="I939" s="25"/>
      <c r="J939" s="25"/>
      <c r="K939" s="25"/>
      <c r="L939" s="25"/>
      <c r="M939" s="25"/>
      <c r="N939" s="26"/>
      <c r="O939" s="12"/>
      <c r="P939" s="12"/>
    </row>
    <row r="940">
      <c r="A940" s="20">
        <f>IFERROR(__xludf.DUMMYFUNCTION("""COMPUTED_VALUE"""),938.0)</f>
        <v>938</v>
      </c>
      <c r="B940" s="59"/>
      <c r="C940" s="59"/>
      <c r="D940" s="25"/>
      <c r="E940" s="25"/>
      <c r="F940" s="25"/>
      <c r="G940" s="25"/>
      <c r="H940" s="25"/>
      <c r="I940" s="25"/>
      <c r="J940" s="25"/>
      <c r="K940" s="25"/>
      <c r="L940" s="25"/>
      <c r="M940" s="25"/>
      <c r="N940" s="26"/>
      <c r="O940" s="12"/>
      <c r="P940" s="12"/>
    </row>
    <row r="941">
      <c r="A941" s="20">
        <f>IFERROR(__xludf.DUMMYFUNCTION("""COMPUTED_VALUE"""),939.0)</f>
        <v>939</v>
      </c>
      <c r="B941" s="59"/>
      <c r="C941" s="59"/>
      <c r="D941" s="25"/>
      <c r="E941" s="25"/>
      <c r="F941" s="25"/>
      <c r="G941" s="25"/>
      <c r="H941" s="25"/>
      <c r="I941" s="25"/>
      <c r="J941" s="25"/>
      <c r="K941" s="25"/>
      <c r="L941" s="25"/>
      <c r="M941" s="25"/>
      <c r="N941" s="26"/>
      <c r="O941" s="12"/>
      <c r="P941" s="12"/>
    </row>
    <row r="942">
      <c r="A942" s="20">
        <f>IFERROR(__xludf.DUMMYFUNCTION("""COMPUTED_VALUE"""),940.0)</f>
        <v>940</v>
      </c>
      <c r="B942" s="59"/>
      <c r="C942" s="59"/>
      <c r="D942" s="25"/>
      <c r="E942" s="25"/>
      <c r="F942" s="25"/>
      <c r="G942" s="25"/>
      <c r="H942" s="25"/>
      <c r="I942" s="25"/>
      <c r="J942" s="25"/>
      <c r="K942" s="25"/>
      <c r="L942" s="25"/>
      <c r="M942" s="25"/>
      <c r="N942" s="26"/>
      <c r="O942" s="12"/>
      <c r="P942" s="12"/>
    </row>
    <row r="943">
      <c r="A943" s="20">
        <f>IFERROR(__xludf.DUMMYFUNCTION("""COMPUTED_VALUE"""),941.0)</f>
        <v>941</v>
      </c>
      <c r="B943" s="59"/>
      <c r="C943" s="59"/>
      <c r="D943" s="25"/>
      <c r="E943" s="25"/>
      <c r="F943" s="25"/>
      <c r="G943" s="25"/>
      <c r="H943" s="25"/>
      <c r="I943" s="25"/>
      <c r="J943" s="25"/>
      <c r="K943" s="25"/>
      <c r="L943" s="25"/>
      <c r="M943" s="25"/>
      <c r="N943" s="26"/>
      <c r="O943" s="12"/>
      <c r="P943" s="12"/>
    </row>
    <row r="944">
      <c r="A944" s="20">
        <f>IFERROR(__xludf.DUMMYFUNCTION("""COMPUTED_VALUE"""),942.0)</f>
        <v>942</v>
      </c>
      <c r="B944" s="59"/>
      <c r="C944" s="59"/>
      <c r="D944" s="25"/>
      <c r="E944" s="25"/>
      <c r="F944" s="25"/>
      <c r="G944" s="25"/>
      <c r="H944" s="25"/>
      <c r="I944" s="25"/>
      <c r="J944" s="25"/>
      <c r="K944" s="25"/>
      <c r="L944" s="25"/>
      <c r="M944" s="25"/>
      <c r="N944" s="26"/>
      <c r="O944" s="12"/>
      <c r="P944" s="12"/>
    </row>
    <row r="945">
      <c r="A945" s="20">
        <f>IFERROR(__xludf.DUMMYFUNCTION("""COMPUTED_VALUE"""),943.0)</f>
        <v>943</v>
      </c>
      <c r="B945" s="59"/>
      <c r="C945" s="59"/>
      <c r="D945" s="25"/>
      <c r="E945" s="25"/>
      <c r="F945" s="25"/>
      <c r="G945" s="25"/>
      <c r="H945" s="25"/>
      <c r="I945" s="25"/>
      <c r="J945" s="25"/>
      <c r="K945" s="25"/>
      <c r="L945" s="25"/>
      <c r="M945" s="25"/>
      <c r="N945" s="26"/>
      <c r="O945" s="12"/>
      <c r="P945" s="12"/>
    </row>
    <row r="946">
      <c r="A946" s="20">
        <f>IFERROR(__xludf.DUMMYFUNCTION("""COMPUTED_VALUE"""),944.0)</f>
        <v>944</v>
      </c>
      <c r="B946" s="59"/>
      <c r="C946" s="59"/>
      <c r="D946" s="25"/>
      <c r="E946" s="25"/>
      <c r="F946" s="25"/>
      <c r="G946" s="25"/>
      <c r="H946" s="25"/>
      <c r="I946" s="25"/>
      <c r="J946" s="25"/>
      <c r="K946" s="25"/>
      <c r="L946" s="25"/>
      <c r="M946" s="25"/>
      <c r="N946" s="26"/>
      <c r="O946" s="12"/>
      <c r="P946" s="12"/>
    </row>
    <row r="947">
      <c r="A947" s="20">
        <f>IFERROR(__xludf.DUMMYFUNCTION("""COMPUTED_VALUE"""),945.0)</f>
        <v>945</v>
      </c>
      <c r="B947" s="59"/>
      <c r="C947" s="59"/>
      <c r="D947" s="25"/>
      <c r="E947" s="25"/>
      <c r="F947" s="25"/>
      <c r="G947" s="25"/>
      <c r="H947" s="25"/>
      <c r="I947" s="25"/>
      <c r="J947" s="25"/>
      <c r="K947" s="25"/>
      <c r="L947" s="25"/>
      <c r="M947" s="25"/>
      <c r="N947" s="26"/>
      <c r="O947" s="12"/>
      <c r="P947" s="12"/>
    </row>
    <row r="948">
      <c r="A948" s="20">
        <f>IFERROR(__xludf.DUMMYFUNCTION("""COMPUTED_VALUE"""),946.0)</f>
        <v>946</v>
      </c>
      <c r="B948" s="59"/>
      <c r="C948" s="59"/>
      <c r="D948" s="25"/>
      <c r="E948" s="25"/>
      <c r="F948" s="25"/>
      <c r="G948" s="25"/>
      <c r="H948" s="25"/>
      <c r="I948" s="25"/>
      <c r="J948" s="25"/>
      <c r="K948" s="25"/>
      <c r="L948" s="25"/>
      <c r="M948" s="25"/>
      <c r="N948" s="26"/>
      <c r="O948" s="12"/>
      <c r="P948" s="12"/>
    </row>
    <row r="949">
      <c r="A949" s="20">
        <f>IFERROR(__xludf.DUMMYFUNCTION("""COMPUTED_VALUE"""),947.0)</f>
        <v>947</v>
      </c>
      <c r="B949" s="59"/>
      <c r="C949" s="59"/>
      <c r="D949" s="25"/>
      <c r="E949" s="25"/>
      <c r="F949" s="25"/>
      <c r="G949" s="25"/>
      <c r="H949" s="25"/>
      <c r="I949" s="25"/>
      <c r="J949" s="25"/>
      <c r="K949" s="25"/>
      <c r="L949" s="25"/>
      <c r="M949" s="25"/>
      <c r="N949" s="26"/>
      <c r="O949" s="12"/>
      <c r="P949" s="12"/>
    </row>
    <row r="950">
      <c r="A950" s="20">
        <f>IFERROR(__xludf.DUMMYFUNCTION("""COMPUTED_VALUE"""),948.0)</f>
        <v>948</v>
      </c>
      <c r="B950" s="59"/>
      <c r="C950" s="59"/>
      <c r="D950" s="25"/>
      <c r="E950" s="25"/>
      <c r="F950" s="25"/>
      <c r="G950" s="25"/>
      <c r="H950" s="25"/>
      <c r="I950" s="25"/>
      <c r="J950" s="25"/>
      <c r="K950" s="25"/>
      <c r="L950" s="25"/>
      <c r="M950" s="25"/>
      <c r="N950" s="26"/>
      <c r="O950" s="12"/>
      <c r="P950" s="12"/>
    </row>
    <row r="951">
      <c r="A951" s="20">
        <f>IFERROR(__xludf.DUMMYFUNCTION("""COMPUTED_VALUE"""),949.0)</f>
        <v>949</v>
      </c>
      <c r="B951" s="59"/>
      <c r="C951" s="59"/>
      <c r="D951" s="25"/>
      <c r="E951" s="25"/>
      <c r="F951" s="25"/>
      <c r="G951" s="25"/>
      <c r="H951" s="25"/>
      <c r="I951" s="25"/>
      <c r="J951" s="25"/>
      <c r="K951" s="25"/>
      <c r="L951" s="25"/>
      <c r="M951" s="25"/>
      <c r="N951" s="26"/>
      <c r="O951" s="12"/>
      <c r="P951" s="12"/>
    </row>
    <row r="952">
      <c r="A952" s="20">
        <f>IFERROR(__xludf.DUMMYFUNCTION("""COMPUTED_VALUE"""),950.0)</f>
        <v>950</v>
      </c>
      <c r="B952" s="59"/>
      <c r="C952" s="59"/>
      <c r="D952" s="25"/>
      <c r="E952" s="25"/>
      <c r="F952" s="25"/>
      <c r="G952" s="25"/>
      <c r="H952" s="25"/>
      <c r="I952" s="25"/>
      <c r="J952" s="25"/>
      <c r="K952" s="25"/>
      <c r="L952" s="25"/>
      <c r="M952" s="25"/>
      <c r="N952" s="26"/>
      <c r="O952" s="12"/>
      <c r="P952" s="12"/>
    </row>
    <row r="953">
      <c r="A953" s="20">
        <f>IFERROR(__xludf.DUMMYFUNCTION("""COMPUTED_VALUE"""),951.0)</f>
        <v>951</v>
      </c>
      <c r="B953" s="59"/>
      <c r="C953" s="59"/>
      <c r="D953" s="25"/>
      <c r="E953" s="25"/>
      <c r="F953" s="25"/>
      <c r="G953" s="25"/>
      <c r="H953" s="25"/>
      <c r="I953" s="25"/>
      <c r="J953" s="25"/>
      <c r="K953" s="25"/>
      <c r="L953" s="25"/>
      <c r="M953" s="25"/>
      <c r="N953" s="26"/>
      <c r="O953" s="12"/>
      <c r="P953" s="12"/>
    </row>
    <row r="954">
      <c r="A954" s="20">
        <f>IFERROR(__xludf.DUMMYFUNCTION("""COMPUTED_VALUE"""),952.0)</f>
        <v>952</v>
      </c>
      <c r="B954" s="8"/>
      <c r="C954" s="8"/>
      <c r="D954" s="7"/>
      <c r="E954" s="7"/>
      <c r="F954" s="7"/>
      <c r="G954" s="7"/>
      <c r="H954" s="9"/>
      <c r="I954" s="7"/>
      <c r="J954" s="7"/>
      <c r="K954" s="7"/>
      <c r="L954" s="60"/>
      <c r="M954" s="60"/>
      <c r="N954" s="10"/>
      <c r="O954" s="55"/>
      <c r="P954" s="55"/>
    </row>
    <row r="955">
      <c r="A955" s="20">
        <f>IFERROR(__xludf.DUMMYFUNCTION("""COMPUTED_VALUE"""),953.0)</f>
        <v>953</v>
      </c>
      <c r="B955" s="59"/>
      <c r="C955" s="59"/>
      <c r="D955" s="25"/>
      <c r="E955" s="25"/>
      <c r="F955" s="25"/>
      <c r="G955" s="25"/>
      <c r="H955" s="25"/>
      <c r="I955" s="25"/>
      <c r="J955" s="25"/>
      <c r="K955" s="25"/>
      <c r="L955" s="25"/>
      <c r="M955" s="25"/>
      <c r="N955" s="26"/>
      <c r="O955" s="12"/>
      <c r="P955" s="12"/>
    </row>
    <row r="956">
      <c r="A956" s="20">
        <f>IFERROR(__xludf.DUMMYFUNCTION("""COMPUTED_VALUE"""),954.0)</f>
        <v>954</v>
      </c>
      <c r="B956" s="59"/>
      <c r="C956" s="59"/>
      <c r="D956" s="25"/>
      <c r="E956" s="25"/>
      <c r="F956" s="25"/>
      <c r="G956" s="25"/>
      <c r="H956" s="25"/>
      <c r="I956" s="25"/>
      <c r="J956" s="25"/>
      <c r="K956" s="25"/>
      <c r="L956" s="25"/>
      <c r="M956" s="25"/>
      <c r="N956" s="26"/>
      <c r="O956" s="12"/>
      <c r="P956" s="12"/>
    </row>
    <row r="957">
      <c r="A957" s="20">
        <f>IFERROR(__xludf.DUMMYFUNCTION("""COMPUTED_VALUE"""),955.0)</f>
        <v>955</v>
      </c>
      <c r="B957" s="59"/>
      <c r="C957" s="59"/>
      <c r="D957" s="25"/>
      <c r="E957" s="25"/>
      <c r="F957" s="25"/>
      <c r="G957" s="25"/>
      <c r="H957" s="25"/>
      <c r="I957" s="25"/>
      <c r="J957" s="25"/>
      <c r="K957" s="25"/>
      <c r="L957" s="25"/>
      <c r="M957" s="25"/>
      <c r="N957" s="26"/>
      <c r="O957" s="12"/>
      <c r="P957" s="12"/>
    </row>
    <row r="958">
      <c r="A958" s="20">
        <f>IFERROR(__xludf.DUMMYFUNCTION("""COMPUTED_VALUE"""),956.0)</f>
        <v>956</v>
      </c>
      <c r="B958" s="59"/>
      <c r="C958" s="59"/>
      <c r="D958" s="25"/>
      <c r="E958" s="25"/>
      <c r="F958" s="25"/>
      <c r="G958" s="25"/>
      <c r="H958" s="25"/>
      <c r="I958" s="25"/>
      <c r="J958" s="25"/>
      <c r="K958" s="25"/>
      <c r="L958" s="25"/>
      <c r="M958" s="25"/>
      <c r="N958" s="26"/>
      <c r="O958" s="12"/>
      <c r="P958" s="12"/>
    </row>
    <row r="959">
      <c r="A959" s="20">
        <f>IFERROR(__xludf.DUMMYFUNCTION("""COMPUTED_VALUE"""),957.0)</f>
        <v>957</v>
      </c>
      <c r="B959" s="59"/>
      <c r="C959" s="59"/>
      <c r="D959" s="25"/>
      <c r="E959" s="25"/>
      <c r="F959" s="25"/>
      <c r="G959" s="25"/>
      <c r="H959" s="25"/>
      <c r="I959" s="25"/>
      <c r="J959" s="25"/>
      <c r="K959" s="25"/>
      <c r="L959" s="25"/>
      <c r="M959" s="25"/>
      <c r="N959" s="26"/>
      <c r="O959" s="12"/>
      <c r="P959" s="12"/>
    </row>
    <row r="960">
      <c r="A960" s="20">
        <f>IFERROR(__xludf.DUMMYFUNCTION("""COMPUTED_VALUE"""),958.0)</f>
        <v>958</v>
      </c>
      <c r="B960" s="59"/>
      <c r="C960" s="59"/>
      <c r="D960" s="25"/>
      <c r="E960" s="25"/>
      <c r="F960" s="25"/>
      <c r="G960" s="25"/>
      <c r="H960" s="25"/>
      <c r="I960" s="25"/>
      <c r="J960" s="25"/>
      <c r="K960" s="25"/>
      <c r="L960" s="25"/>
      <c r="M960" s="25"/>
      <c r="N960" s="26"/>
      <c r="O960" s="12"/>
      <c r="P960" s="12"/>
    </row>
    <row r="961">
      <c r="A961" s="20">
        <f>IFERROR(__xludf.DUMMYFUNCTION("""COMPUTED_VALUE"""),959.0)</f>
        <v>959</v>
      </c>
      <c r="B961" s="8"/>
      <c r="C961" s="8"/>
      <c r="D961" s="7"/>
      <c r="E961" s="7"/>
      <c r="F961" s="7"/>
      <c r="G961" s="25"/>
      <c r="H961" s="9"/>
      <c r="I961" s="7"/>
      <c r="J961" s="7"/>
      <c r="K961" s="7"/>
      <c r="L961" s="60"/>
      <c r="M961" s="60"/>
      <c r="N961" s="10"/>
      <c r="O961" s="55"/>
      <c r="P961" s="55"/>
    </row>
    <row r="962">
      <c r="A962" s="20">
        <f>IFERROR(__xludf.DUMMYFUNCTION("""COMPUTED_VALUE"""),960.0)</f>
        <v>960</v>
      </c>
      <c r="B962" s="59"/>
      <c r="C962" s="59"/>
      <c r="D962" s="25"/>
      <c r="E962" s="25"/>
      <c r="F962" s="25"/>
      <c r="G962" s="25"/>
      <c r="H962" s="25"/>
      <c r="I962" s="25"/>
      <c r="J962" s="25"/>
      <c r="K962" s="25"/>
      <c r="L962" s="25"/>
      <c r="M962" s="25"/>
      <c r="N962" s="26"/>
      <c r="O962" s="12"/>
      <c r="P962" s="12"/>
    </row>
    <row r="963">
      <c r="A963" s="20">
        <f>IFERROR(__xludf.DUMMYFUNCTION("""COMPUTED_VALUE"""),961.0)</f>
        <v>961</v>
      </c>
      <c r="B963" s="59"/>
      <c r="C963" s="59"/>
      <c r="D963" s="25"/>
      <c r="E963" s="25"/>
      <c r="F963" s="25"/>
      <c r="G963" s="25"/>
      <c r="H963" s="25"/>
      <c r="I963" s="25"/>
      <c r="J963" s="25"/>
      <c r="K963" s="25"/>
      <c r="L963" s="25"/>
      <c r="M963" s="25"/>
      <c r="N963" s="26"/>
      <c r="O963" s="12"/>
      <c r="P963" s="12"/>
    </row>
    <row r="964">
      <c r="A964" s="20">
        <f>IFERROR(__xludf.DUMMYFUNCTION("""COMPUTED_VALUE"""),962.0)</f>
        <v>962</v>
      </c>
      <c r="B964" s="8"/>
      <c r="C964" s="8"/>
      <c r="D964" s="7"/>
      <c r="E964" s="7"/>
      <c r="F964" s="7"/>
      <c r="G964" s="7"/>
      <c r="H964" s="9"/>
      <c r="I964" s="7"/>
      <c r="J964" s="7"/>
      <c r="K964" s="7"/>
      <c r="L964" s="60"/>
      <c r="M964" s="60"/>
      <c r="N964" s="10"/>
      <c r="O964" s="55"/>
      <c r="P964" s="55"/>
    </row>
    <row r="965">
      <c r="A965" s="20">
        <f>IFERROR(__xludf.DUMMYFUNCTION("""COMPUTED_VALUE"""),963.0)</f>
        <v>963</v>
      </c>
      <c r="B965" s="59"/>
      <c r="C965" s="59"/>
      <c r="D965" s="25"/>
      <c r="E965" s="25"/>
      <c r="F965" s="25"/>
      <c r="G965" s="25"/>
      <c r="H965" s="25"/>
      <c r="I965" s="25"/>
      <c r="J965" s="25"/>
      <c r="K965" s="25"/>
      <c r="L965" s="25"/>
      <c r="M965" s="25"/>
      <c r="N965" s="26"/>
      <c r="O965" s="12"/>
      <c r="P965" s="12"/>
    </row>
    <row r="966">
      <c r="A966" s="20">
        <f>IFERROR(__xludf.DUMMYFUNCTION("""COMPUTED_VALUE"""),964.0)</f>
        <v>964</v>
      </c>
      <c r="B966" s="59"/>
      <c r="C966" s="59"/>
      <c r="D966" s="25"/>
      <c r="E966" s="25"/>
      <c r="F966" s="25"/>
      <c r="G966" s="25"/>
      <c r="H966" s="25"/>
      <c r="I966" s="25"/>
      <c r="J966" s="25"/>
      <c r="K966" s="25"/>
      <c r="L966" s="25"/>
      <c r="M966" s="25"/>
      <c r="N966" s="26"/>
      <c r="O966" s="12"/>
      <c r="P966" s="12"/>
    </row>
    <row r="967">
      <c r="A967" s="20">
        <f>IFERROR(__xludf.DUMMYFUNCTION("""COMPUTED_VALUE"""),965.0)</f>
        <v>965</v>
      </c>
      <c r="B967" s="59"/>
      <c r="C967" s="59"/>
      <c r="D967" s="25"/>
      <c r="E967" s="25"/>
      <c r="F967" s="25"/>
      <c r="G967" s="25"/>
      <c r="H967" s="25"/>
      <c r="I967" s="25"/>
      <c r="J967" s="25"/>
      <c r="K967" s="25"/>
      <c r="L967" s="25"/>
      <c r="M967" s="25"/>
      <c r="N967" s="26"/>
      <c r="O967" s="12"/>
      <c r="P967" s="12"/>
    </row>
    <row r="968">
      <c r="A968" s="20">
        <f>IFERROR(__xludf.DUMMYFUNCTION("""COMPUTED_VALUE"""),966.0)</f>
        <v>966</v>
      </c>
      <c r="B968" s="59"/>
      <c r="C968" s="59"/>
      <c r="D968" s="25"/>
      <c r="E968" s="25"/>
      <c r="F968" s="25"/>
      <c r="G968" s="25"/>
      <c r="H968" s="25"/>
      <c r="I968" s="25"/>
      <c r="J968" s="25"/>
      <c r="K968" s="25"/>
      <c r="L968" s="25"/>
      <c r="M968" s="25"/>
      <c r="N968" s="26"/>
      <c r="O968" s="12"/>
      <c r="P968" s="12"/>
    </row>
    <row r="969">
      <c r="A969" s="20">
        <f>IFERROR(__xludf.DUMMYFUNCTION("""COMPUTED_VALUE"""),967.0)</f>
        <v>967</v>
      </c>
      <c r="B969" s="59"/>
      <c r="C969" s="59"/>
      <c r="D969" s="25"/>
      <c r="E969" s="25"/>
      <c r="F969" s="25"/>
      <c r="G969" s="25"/>
      <c r="H969" s="25"/>
      <c r="I969" s="25"/>
      <c r="J969" s="25"/>
      <c r="K969" s="25"/>
      <c r="L969" s="25"/>
      <c r="M969" s="25"/>
      <c r="N969" s="26"/>
      <c r="O969" s="12"/>
      <c r="P969" s="12"/>
    </row>
    <row r="970">
      <c r="A970" s="20">
        <f>IFERROR(__xludf.DUMMYFUNCTION("""COMPUTED_VALUE"""),968.0)</f>
        <v>968</v>
      </c>
      <c r="B970" s="59"/>
      <c r="C970" s="59"/>
      <c r="D970" s="25"/>
      <c r="E970" s="25"/>
      <c r="F970" s="25"/>
      <c r="G970" s="25"/>
      <c r="H970" s="25"/>
      <c r="I970" s="25"/>
      <c r="J970" s="25"/>
      <c r="K970" s="25"/>
      <c r="L970" s="25"/>
      <c r="M970" s="25"/>
      <c r="N970" s="26"/>
      <c r="O970" s="12"/>
      <c r="P970" s="12"/>
    </row>
    <row r="971">
      <c r="A971" s="20">
        <f>IFERROR(__xludf.DUMMYFUNCTION("""COMPUTED_VALUE"""),969.0)</f>
        <v>969</v>
      </c>
      <c r="B971" s="59"/>
      <c r="C971" s="59"/>
      <c r="D971" s="25"/>
      <c r="E971" s="25"/>
      <c r="F971" s="25"/>
      <c r="G971" s="25"/>
      <c r="H971" s="25"/>
      <c r="I971" s="25"/>
      <c r="J971" s="25"/>
      <c r="K971" s="25"/>
      <c r="L971" s="25"/>
      <c r="M971" s="25"/>
      <c r="N971" s="26"/>
      <c r="O971" s="12"/>
      <c r="P971" s="12"/>
    </row>
    <row r="972">
      <c r="A972" s="20">
        <f>IFERROR(__xludf.DUMMYFUNCTION("""COMPUTED_VALUE"""),970.0)</f>
        <v>970</v>
      </c>
      <c r="B972" s="59"/>
      <c r="C972" s="59"/>
      <c r="D972" s="25"/>
      <c r="E972" s="25"/>
      <c r="F972" s="25"/>
      <c r="G972" s="25"/>
      <c r="H972" s="25"/>
      <c r="I972" s="25"/>
      <c r="J972" s="25"/>
      <c r="K972" s="25"/>
      <c r="L972" s="25"/>
      <c r="M972" s="25"/>
      <c r="N972" s="26"/>
      <c r="O972" s="12"/>
      <c r="P972" s="12"/>
    </row>
    <row r="973">
      <c r="A973" s="20">
        <f>IFERROR(__xludf.DUMMYFUNCTION("""COMPUTED_VALUE"""),971.0)</f>
        <v>971</v>
      </c>
      <c r="B973" s="59"/>
      <c r="C973" s="59"/>
      <c r="D973" s="25"/>
      <c r="E973" s="25"/>
      <c r="F973" s="25"/>
      <c r="G973" s="25"/>
      <c r="H973" s="25"/>
      <c r="I973" s="25"/>
      <c r="J973" s="25"/>
      <c r="K973" s="25"/>
      <c r="L973" s="25"/>
      <c r="M973" s="25"/>
      <c r="N973" s="26"/>
      <c r="O973" s="12"/>
      <c r="P973" s="12"/>
    </row>
    <row r="974">
      <c r="A974" s="20">
        <f>IFERROR(__xludf.DUMMYFUNCTION("""COMPUTED_VALUE"""),972.0)</f>
        <v>972</v>
      </c>
      <c r="B974" s="8"/>
      <c r="C974" s="8"/>
      <c r="D974" s="7"/>
      <c r="E974" s="7"/>
      <c r="F974" s="7"/>
      <c r="G974" s="25"/>
      <c r="H974" s="9"/>
      <c r="I974" s="7"/>
      <c r="J974" s="7"/>
      <c r="K974" s="7"/>
      <c r="L974" s="60"/>
      <c r="M974" s="7"/>
      <c r="N974" s="10"/>
      <c r="O974" s="55"/>
      <c r="P974" s="55"/>
    </row>
    <row r="975">
      <c r="A975" s="20">
        <f>IFERROR(__xludf.DUMMYFUNCTION("""COMPUTED_VALUE"""),973.0)</f>
        <v>973</v>
      </c>
      <c r="B975" s="59"/>
      <c r="C975" s="59"/>
      <c r="D975" s="25"/>
      <c r="E975" s="25"/>
      <c r="F975" s="25"/>
      <c r="G975" s="25"/>
      <c r="H975" s="25"/>
      <c r="I975" s="25"/>
      <c r="J975" s="25"/>
      <c r="K975" s="25"/>
      <c r="L975" s="25"/>
      <c r="M975" s="25"/>
      <c r="N975" s="26"/>
      <c r="O975" s="12"/>
      <c r="P975" s="12"/>
    </row>
    <row r="976">
      <c r="A976" s="20">
        <f>IFERROR(__xludf.DUMMYFUNCTION("""COMPUTED_VALUE"""),974.0)</f>
        <v>974</v>
      </c>
      <c r="B976" s="59"/>
      <c r="C976" s="59"/>
      <c r="D976" s="25"/>
      <c r="E976" s="25"/>
      <c r="F976" s="25"/>
      <c r="G976" s="25"/>
      <c r="H976" s="25"/>
      <c r="I976" s="25"/>
      <c r="J976" s="25"/>
      <c r="K976" s="25"/>
      <c r="L976" s="25"/>
      <c r="M976" s="25"/>
      <c r="N976" s="26"/>
      <c r="O976" s="12"/>
      <c r="P976" s="12"/>
    </row>
    <row r="977">
      <c r="A977" s="20">
        <f>IFERROR(__xludf.DUMMYFUNCTION("""COMPUTED_VALUE"""),975.0)</f>
        <v>975</v>
      </c>
      <c r="B977" s="59"/>
      <c r="C977" s="59"/>
      <c r="D977" s="25"/>
      <c r="E977" s="25"/>
      <c r="F977" s="25"/>
      <c r="G977" s="25"/>
      <c r="H977" s="25"/>
      <c r="I977" s="25"/>
      <c r="J977" s="25"/>
      <c r="K977" s="25"/>
      <c r="L977" s="25"/>
      <c r="M977" s="25"/>
      <c r="N977" s="26"/>
      <c r="O977" s="12"/>
      <c r="P977" s="12"/>
    </row>
    <row r="978">
      <c r="A978" s="20">
        <f>IFERROR(__xludf.DUMMYFUNCTION("""COMPUTED_VALUE"""),976.0)</f>
        <v>976</v>
      </c>
      <c r="B978" s="8"/>
      <c r="C978" s="8"/>
      <c r="D978" s="7"/>
      <c r="E978" s="7"/>
      <c r="F978" s="7"/>
      <c r="G978" s="25"/>
      <c r="H978" s="9"/>
      <c r="I978" s="7"/>
      <c r="J978" s="7"/>
      <c r="K978" s="7"/>
      <c r="L978" s="60"/>
      <c r="M978" s="60"/>
      <c r="N978" s="10"/>
      <c r="O978" s="55"/>
      <c r="P978" s="55"/>
    </row>
    <row r="979">
      <c r="A979" s="20">
        <f>IFERROR(__xludf.DUMMYFUNCTION("""COMPUTED_VALUE"""),977.0)</f>
        <v>977</v>
      </c>
      <c r="B979" s="8"/>
      <c r="C979" s="8"/>
      <c r="D979" s="7"/>
      <c r="E979" s="7"/>
      <c r="F979" s="7"/>
      <c r="G979" s="7"/>
      <c r="H979" s="9"/>
      <c r="I979" s="7"/>
      <c r="J979" s="7"/>
      <c r="K979" s="7"/>
      <c r="L979" s="60"/>
      <c r="M979" s="54"/>
      <c r="N979" s="10"/>
      <c r="O979" s="43"/>
      <c r="P979" s="43"/>
    </row>
    <row r="980">
      <c r="A980" s="20">
        <f>IFERROR(__xludf.DUMMYFUNCTION("""COMPUTED_VALUE"""),978.0)</f>
        <v>978</v>
      </c>
      <c r="B980" s="8"/>
      <c r="C980" s="8"/>
      <c r="D980" s="7"/>
      <c r="E980" s="7"/>
      <c r="F980" s="7"/>
      <c r="G980" s="25"/>
      <c r="H980" s="9"/>
      <c r="I980" s="7"/>
      <c r="J980" s="7"/>
      <c r="K980" s="7"/>
      <c r="L980" s="60"/>
      <c r="M980" s="60"/>
      <c r="N980" s="10"/>
      <c r="O980" s="55"/>
      <c r="P980" s="55"/>
    </row>
    <row r="981">
      <c r="A981" s="20">
        <f>IFERROR(__xludf.DUMMYFUNCTION("""COMPUTED_VALUE"""),979.0)</f>
        <v>979</v>
      </c>
      <c r="B981" s="59"/>
      <c r="C981" s="59"/>
      <c r="D981" s="25"/>
      <c r="E981" s="25"/>
      <c r="F981" s="25"/>
      <c r="G981" s="25"/>
      <c r="H981" s="25"/>
      <c r="I981" s="25"/>
      <c r="J981" s="25"/>
      <c r="K981" s="25"/>
      <c r="L981" s="25"/>
      <c r="M981" s="25"/>
      <c r="N981" s="26"/>
      <c r="O981" s="12"/>
      <c r="P981" s="12"/>
    </row>
    <row r="982">
      <c r="A982" s="20">
        <f>IFERROR(__xludf.DUMMYFUNCTION("""COMPUTED_VALUE"""),980.0)</f>
        <v>980</v>
      </c>
      <c r="B982" s="59"/>
      <c r="C982" s="59"/>
      <c r="D982" s="25"/>
      <c r="E982" s="25"/>
      <c r="F982" s="25"/>
      <c r="G982" s="25"/>
      <c r="H982" s="25"/>
      <c r="I982" s="25"/>
      <c r="J982" s="25"/>
      <c r="K982" s="25"/>
      <c r="L982" s="25"/>
      <c r="M982" s="25"/>
      <c r="N982" s="26"/>
      <c r="O982" s="12"/>
      <c r="P982" s="12"/>
    </row>
    <row r="983">
      <c r="A983" s="20">
        <f>IFERROR(__xludf.DUMMYFUNCTION("""COMPUTED_VALUE"""),981.0)</f>
        <v>981</v>
      </c>
      <c r="B983" s="59"/>
      <c r="C983" s="59"/>
      <c r="D983" s="25"/>
      <c r="E983" s="25"/>
      <c r="F983" s="25"/>
      <c r="G983" s="25"/>
      <c r="H983" s="25"/>
      <c r="I983" s="25"/>
      <c r="J983" s="25"/>
      <c r="K983" s="25"/>
      <c r="L983" s="25"/>
      <c r="M983" s="25"/>
      <c r="N983" s="26"/>
      <c r="O983" s="12"/>
      <c r="P983" s="12"/>
    </row>
    <row r="984">
      <c r="A984" s="20">
        <f>IFERROR(__xludf.DUMMYFUNCTION("""COMPUTED_VALUE"""),982.0)</f>
        <v>982</v>
      </c>
      <c r="B984" s="59"/>
      <c r="C984" s="59"/>
      <c r="D984" s="25"/>
      <c r="E984" s="25"/>
      <c r="F984" s="25"/>
      <c r="G984" s="25"/>
      <c r="H984" s="25"/>
      <c r="I984" s="25"/>
      <c r="J984" s="25"/>
      <c r="K984" s="25"/>
      <c r="L984" s="25"/>
      <c r="M984" s="25"/>
      <c r="N984" s="26"/>
      <c r="O984" s="12"/>
      <c r="P984" s="12"/>
    </row>
    <row r="985">
      <c r="A985" s="20">
        <f>IFERROR(__xludf.DUMMYFUNCTION("""COMPUTED_VALUE"""),983.0)</f>
        <v>983</v>
      </c>
      <c r="B985" s="59"/>
      <c r="C985" s="59"/>
      <c r="D985" s="25"/>
      <c r="E985" s="25"/>
      <c r="F985" s="25"/>
      <c r="G985" s="25"/>
      <c r="H985" s="25"/>
      <c r="I985" s="25"/>
      <c r="J985" s="25"/>
      <c r="K985" s="25"/>
      <c r="L985" s="25"/>
      <c r="M985" s="25"/>
      <c r="N985" s="61"/>
      <c r="O985" s="62"/>
      <c r="P985" s="62"/>
    </row>
    <row r="986">
      <c r="A986" s="20">
        <f>IFERROR(__xludf.DUMMYFUNCTION("""COMPUTED_VALUE"""),984.0)</f>
        <v>984</v>
      </c>
      <c r="B986" s="59"/>
      <c r="C986" s="59"/>
      <c r="D986" s="25"/>
      <c r="E986" s="25"/>
      <c r="F986" s="25"/>
      <c r="G986" s="25"/>
      <c r="H986" s="25"/>
      <c r="I986" s="25"/>
      <c r="J986" s="25"/>
      <c r="K986" s="25"/>
      <c r="L986" s="25"/>
      <c r="M986" s="25"/>
      <c r="N986" s="26"/>
      <c r="O986" s="12"/>
      <c r="P986" s="12"/>
    </row>
    <row r="987">
      <c r="A987" s="20">
        <f>IFERROR(__xludf.DUMMYFUNCTION("""COMPUTED_VALUE"""),985.0)</f>
        <v>985</v>
      </c>
      <c r="B987" s="59"/>
      <c r="C987" s="59"/>
      <c r="D987" s="25"/>
      <c r="E987" s="25"/>
      <c r="F987" s="25"/>
      <c r="G987" s="25"/>
      <c r="H987" s="25"/>
      <c r="I987" s="25"/>
      <c r="J987" s="25"/>
      <c r="K987" s="25"/>
      <c r="L987" s="25"/>
      <c r="M987" s="25"/>
      <c r="N987" s="26"/>
      <c r="O987" s="12"/>
      <c r="P987" s="12"/>
    </row>
    <row r="988">
      <c r="A988" s="20">
        <f>IFERROR(__xludf.DUMMYFUNCTION("""COMPUTED_VALUE"""),986.0)</f>
        <v>986</v>
      </c>
      <c r="B988" s="59"/>
      <c r="C988" s="59"/>
      <c r="D988" s="25"/>
      <c r="E988" s="25"/>
      <c r="F988" s="25"/>
      <c r="G988" s="25"/>
      <c r="H988" s="25"/>
      <c r="I988" s="25"/>
      <c r="J988" s="25"/>
      <c r="K988" s="25"/>
      <c r="L988" s="25"/>
      <c r="M988" s="25"/>
      <c r="N988" s="26"/>
      <c r="O988" s="12"/>
      <c r="P988" s="12"/>
    </row>
    <row r="989">
      <c r="A989" s="20">
        <f>IFERROR(__xludf.DUMMYFUNCTION("""COMPUTED_VALUE"""),987.0)</f>
        <v>987</v>
      </c>
      <c r="B989" s="59"/>
      <c r="C989" s="59"/>
      <c r="D989" s="25"/>
      <c r="E989" s="25"/>
      <c r="F989" s="25"/>
      <c r="G989" s="25"/>
      <c r="H989" s="25"/>
      <c r="I989" s="25"/>
      <c r="J989" s="25"/>
      <c r="K989" s="25"/>
      <c r="L989" s="25"/>
      <c r="M989" s="25"/>
      <c r="N989" s="26"/>
      <c r="O989" s="12"/>
      <c r="P989" s="12"/>
    </row>
    <row r="990">
      <c r="A990" s="20">
        <f>IFERROR(__xludf.DUMMYFUNCTION("""COMPUTED_VALUE"""),988.0)</f>
        <v>988</v>
      </c>
      <c r="B990" s="59"/>
      <c r="C990" s="59"/>
      <c r="D990" s="25"/>
      <c r="E990" s="25"/>
      <c r="F990" s="25"/>
      <c r="G990" s="25"/>
      <c r="H990" s="25"/>
      <c r="I990" s="25"/>
      <c r="J990" s="25"/>
      <c r="K990" s="25"/>
      <c r="L990" s="25"/>
      <c r="M990" s="25"/>
      <c r="N990" s="26"/>
      <c r="O990" s="12"/>
      <c r="P990" s="12"/>
    </row>
    <row r="991">
      <c r="A991" s="20">
        <f>IFERROR(__xludf.DUMMYFUNCTION("""COMPUTED_VALUE"""),989.0)</f>
        <v>989</v>
      </c>
      <c r="B991" s="59"/>
      <c r="C991" s="59"/>
      <c r="D991" s="25"/>
      <c r="E991" s="25"/>
      <c r="F991" s="25"/>
      <c r="G991" s="25"/>
      <c r="H991" s="25"/>
      <c r="I991" s="25"/>
      <c r="J991" s="25"/>
      <c r="K991" s="25"/>
      <c r="L991" s="25"/>
      <c r="M991" s="25"/>
      <c r="N991" s="26"/>
      <c r="O991" s="12"/>
      <c r="P991" s="12"/>
    </row>
    <row r="992">
      <c r="A992" s="20">
        <f>IFERROR(__xludf.DUMMYFUNCTION("""COMPUTED_VALUE"""),990.0)</f>
        <v>990</v>
      </c>
      <c r="B992" s="59"/>
      <c r="C992" s="59"/>
      <c r="D992" s="25"/>
      <c r="E992" s="25"/>
      <c r="F992" s="25"/>
      <c r="G992" s="25"/>
      <c r="H992" s="25"/>
      <c r="I992" s="25"/>
      <c r="J992" s="25"/>
      <c r="K992" s="25"/>
      <c r="L992" s="25"/>
      <c r="M992" s="25"/>
      <c r="N992" s="26"/>
      <c r="O992" s="12"/>
      <c r="P992" s="12"/>
    </row>
    <row r="993">
      <c r="A993" s="20">
        <f>IFERROR(__xludf.DUMMYFUNCTION("""COMPUTED_VALUE"""),991.0)</f>
        <v>991</v>
      </c>
      <c r="B993" s="59"/>
      <c r="C993" s="59"/>
      <c r="D993" s="25"/>
      <c r="E993" s="25"/>
      <c r="F993" s="25"/>
      <c r="G993" s="25"/>
      <c r="H993" s="25"/>
      <c r="I993" s="25"/>
      <c r="J993" s="25"/>
      <c r="K993" s="25"/>
      <c r="L993" s="25"/>
      <c r="M993" s="25"/>
      <c r="N993" s="26"/>
      <c r="O993" s="12"/>
      <c r="P993" s="12"/>
    </row>
    <row r="994">
      <c r="A994" s="20">
        <f>IFERROR(__xludf.DUMMYFUNCTION("""COMPUTED_VALUE"""),992.0)</f>
        <v>992</v>
      </c>
      <c r="B994" s="59"/>
      <c r="C994" s="59"/>
      <c r="D994" s="25"/>
      <c r="E994" s="25"/>
      <c r="F994" s="25"/>
      <c r="G994" s="25"/>
      <c r="H994" s="25"/>
      <c r="I994" s="25"/>
      <c r="J994" s="25"/>
      <c r="K994" s="25"/>
      <c r="L994" s="25"/>
      <c r="M994" s="25"/>
      <c r="N994" s="26"/>
      <c r="O994" s="12"/>
      <c r="P994" s="12"/>
    </row>
    <row r="995">
      <c r="A995" s="20">
        <f>IFERROR(__xludf.DUMMYFUNCTION("""COMPUTED_VALUE"""),993.0)</f>
        <v>993</v>
      </c>
      <c r="B995" s="59"/>
      <c r="C995" s="59"/>
      <c r="D995" s="25"/>
      <c r="E995" s="25"/>
      <c r="F995" s="25"/>
      <c r="G995" s="25"/>
      <c r="H995" s="25"/>
      <c r="I995" s="25"/>
      <c r="J995" s="25"/>
      <c r="K995" s="25"/>
      <c r="L995" s="25"/>
      <c r="M995" s="25"/>
      <c r="N995" s="26"/>
      <c r="O995" s="12"/>
      <c r="P995" s="12"/>
    </row>
    <row r="996">
      <c r="A996" s="20">
        <f>IFERROR(__xludf.DUMMYFUNCTION("""COMPUTED_VALUE"""),994.0)</f>
        <v>994</v>
      </c>
      <c r="B996" s="59"/>
      <c r="C996" s="59"/>
      <c r="D996" s="25"/>
      <c r="E996" s="25"/>
      <c r="F996" s="25"/>
      <c r="G996" s="25"/>
      <c r="H996" s="25"/>
      <c r="I996" s="25"/>
      <c r="J996" s="25"/>
      <c r="K996" s="25"/>
      <c r="L996" s="25"/>
      <c r="M996" s="25"/>
      <c r="N996" s="26"/>
      <c r="O996" s="12"/>
      <c r="P996" s="12"/>
    </row>
    <row r="997">
      <c r="A997" s="20">
        <f>IFERROR(__xludf.DUMMYFUNCTION("""COMPUTED_VALUE"""),995.0)</f>
        <v>995</v>
      </c>
      <c r="B997" s="59"/>
      <c r="C997" s="59"/>
      <c r="D997" s="25"/>
      <c r="E997" s="25"/>
      <c r="F997" s="25"/>
      <c r="G997" s="25"/>
      <c r="H997" s="25"/>
      <c r="I997" s="25"/>
      <c r="J997" s="25"/>
      <c r="K997" s="25"/>
      <c r="L997" s="25"/>
      <c r="M997" s="25"/>
      <c r="N997" s="26"/>
      <c r="O997" s="12"/>
      <c r="P997" s="12"/>
    </row>
    <row r="998">
      <c r="A998" s="20">
        <f>IFERROR(__xludf.DUMMYFUNCTION("""COMPUTED_VALUE"""),996.0)</f>
        <v>996</v>
      </c>
      <c r="B998" s="59"/>
      <c r="C998" s="59"/>
      <c r="D998" s="25"/>
      <c r="E998" s="25"/>
      <c r="F998" s="25"/>
      <c r="G998" s="25"/>
      <c r="H998" s="25"/>
      <c r="I998" s="25"/>
      <c r="J998" s="25"/>
      <c r="K998" s="25"/>
      <c r="L998" s="25"/>
      <c r="M998" s="25"/>
      <c r="N998" s="26"/>
      <c r="O998" s="12"/>
      <c r="P998" s="12"/>
    </row>
    <row r="999">
      <c r="A999" s="20">
        <f>IFERROR(__xludf.DUMMYFUNCTION("""COMPUTED_VALUE"""),997.0)</f>
        <v>997</v>
      </c>
      <c r="B999" s="59"/>
      <c r="C999" s="59"/>
      <c r="D999" s="25"/>
      <c r="E999" s="25"/>
      <c r="F999" s="25"/>
      <c r="G999" s="25"/>
      <c r="H999" s="25"/>
      <c r="I999" s="25"/>
      <c r="J999" s="25"/>
      <c r="K999" s="25"/>
      <c r="L999" s="25"/>
      <c r="M999" s="25"/>
      <c r="N999" s="26"/>
      <c r="O999" s="12"/>
      <c r="P999" s="12"/>
    </row>
    <row r="1000">
      <c r="A1000" s="20">
        <f>IFERROR(__xludf.DUMMYFUNCTION("""COMPUTED_VALUE"""),998.0)</f>
        <v>998</v>
      </c>
      <c r="B1000" s="59"/>
      <c r="C1000" s="59"/>
      <c r="D1000" s="25"/>
      <c r="E1000" s="25"/>
      <c r="F1000" s="25"/>
      <c r="G1000" s="25"/>
      <c r="H1000" s="25"/>
      <c r="I1000" s="25"/>
      <c r="J1000" s="25"/>
      <c r="K1000" s="25"/>
      <c r="L1000" s="25"/>
      <c r="M1000" s="25"/>
      <c r="N1000" s="61"/>
      <c r="O1000" s="62"/>
      <c r="P1000" s="62"/>
    </row>
    <row r="1001">
      <c r="A1001" s="20"/>
      <c r="B1001" s="59"/>
      <c r="C1001" s="59"/>
      <c r="D1001" s="25"/>
      <c r="E1001" s="25"/>
      <c r="F1001" s="25"/>
      <c r="G1001" s="25"/>
      <c r="H1001" s="25"/>
      <c r="I1001" s="25"/>
      <c r="J1001" s="25"/>
      <c r="K1001" s="25"/>
      <c r="L1001" s="25"/>
      <c r="M1001" s="25"/>
      <c r="N1001" s="26"/>
      <c r="O1001" s="12"/>
      <c r="P1001" s="12"/>
    </row>
    <row r="1002">
      <c r="A1002" s="20"/>
      <c r="B1002" s="8"/>
      <c r="C1002" s="8"/>
      <c r="D1002" s="7"/>
      <c r="E1002" s="7"/>
      <c r="F1002" s="7"/>
      <c r="G1002" s="25"/>
      <c r="H1002" s="9"/>
      <c r="I1002" s="7"/>
      <c r="J1002" s="7"/>
      <c r="K1002" s="7"/>
      <c r="L1002" s="60"/>
      <c r="M1002" s="60"/>
      <c r="N1002" s="10"/>
      <c r="O1002" s="55"/>
      <c r="P1002" s="55"/>
    </row>
    <row r="1003">
      <c r="A1003" s="25"/>
      <c r="B1003" s="59"/>
      <c r="C1003" s="59"/>
      <c r="D1003" s="25"/>
      <c r="E1003" s="25"/>
      <c r="F1003" s="25"/>
      <c r="G1003" s="25"/>
      <c r="H1003" s="25"/>
      <c r="I1003" s="25"/>
      <c r="J1003" s="25"/>
      <c r="K1003" s="25"/>
      <c r="L1003" s="25"/>
      <c r="M1003" s="25"/>
      <c r="N1003" s="26"/>
      <c r="O1003" s="12"/>
      <c r="P1003" s="12"/>
    </row>
    <row r="1004">
      <c r="A1004" s="25"/>
      <c r="B1004" s="59"/>
      <c r="C1004" s="59"/>
      <c r="D1004" s="25"/>
      <c r="E1004" s="25"/>
      <c r="F1004" s="25"/>
      <c r="G1004" s="25"/>
      <c r="H1004" s="25"/>
      <c r="I1004" s="25"/>
      <c r="J1004" s="25"/>
      <c r="K1004" s="25"/>
      <c r="L1004" s="25"/>
      <c r="M1004" s="25"/>
      <c r="N1004" s="26"/>
      <c r="O1004" s="12"/>
      <c r="P1004" s="12"/>
    </row>
    <row r="1005">
      <c r="A1005" s="25"/>
      <c r="B1005" s="59"/>
      <c r="C1005" s="59"/>
      <c r="D1005" s="25"/>
      <c r="E1005" s="25"/>
      <c r="F1005" s="25"/>
      <c r="G1005" s="25"/>
      <c r="H1005" s="25"/>
      <c r="I1005" s="25"/>
      <c r="J1005" s="25"/>
      <c r="K1005" s="25"/>
      <c r="L1005" s="25"/>
      <c r="M1005" s="25"/>
      <c r="N1005" s="26"/>
      <c r="O1005" s="12"/>
      <c r="P1005" s="12"/>
    </row>
    <row r="1006">
      <c r="A1006" s="25"/>
      <c r="B1006" s="59"/>
      <c r="C1006" s="59"/>
      <c r="D1006" s="25"/>
      <c r="E1006" s="25"/>
      <c r="F1006" s="25"/>
      <c r="G1006" s="25"/>
      <c r="H1006" s="25"/>
      <c r="I1006" s="25"/>
      <c r="J1006" s="25"/>
      <c r="K1006" s="25"/>
      <c r="L1006" s="25"/>
      <c r="M1006" s="25"/>
      <c r="N1006" s="26"/>
      <c r="O1006" s="12"/>
      <c r="P1006" s="12"/>
    </row>
    <row r="1007">
      <c r="A1007" s="25"/>
      <c r="B1007" s="59"/>
      <c r="C1007" s="59"/>
      <c r="D1007" s="25"/>
      <c r="E1007" s="25"/>
      <c r="F1007" s="25"/>
      <c r="G1007" s="25"/>
      <c r="H1007" s="25"/>
      <c r="I1007" s="25"/>
      <c r="J1007" s="25"/>
      <c r="K1007" s="25"/>
      <c r="L1007" s="25"/>
      <c r="M1007" s="25"/>
      <c r="N1007" s="26"/>
      <c r="O1007" s="12"/>
      <c r="P1007" s="12"/>
    </row>
    <row r="1008">
      <c r="A1008" s="25"/>
      <c r="B1008" s="59"/>
      <c r="C1008" s="59"/>
      <c r="D1008" s="25"/>
      <c r="E1008" s="25"/>
      <c r="F1008" s="25"/>
      <c r="G1008" s="25"/>
      <c r="H1008" s="25"/>
      <c r="I1008" s="25"/>
      <c r="J1008" s="25"/>
      <c r="K1008" s="25"/>
      <c r="L1008" s="25"/>
      <c r="M1008" s="25"/>
      <c r="N1008" s="26"/>
      <c r="O1008" s="12"/>
      <c r="P1008" s="12"/>
    </row>
    <row r="1009">
      <c r="A1009" s="25"/>
      <c r="B1009" s="59"/>
      <c r="C1009" s="59"/>
      <c r="D1009" s="25"/>
      <c r="E1009" s="25"/>
      <c r="F1009" s="25"/>
      <c r="G1009" s="25"/>
      <c r="H1009" s="25"/>
      <c r="I1009" s="25"/>
      <c r="J1009" s="25"/>
      <c r="K1009" s="25"/>
      <c r="L1009" s="25"/>
      <c r="M1009" s="25"/>
      <c r="N1009" s="26"/>
      <c r="O1009" s="12"/>
      <c r="P1009" s="12"/>
    </row>
    <row r="1010">
      <c r="A1010" s="25"/>
      <c r="B1010" s="59"/>
      <c r="C1010" s="59"/>
      <c r="D1010" s="25"/>
      <c r="E1010" s="25"/>
      <c r="F1010" s="25"/>
      <c r="G1010" s="25"/>
      <c r="H1010" s="25"/>
      <c r="I1010" s="25"/>
      <c r="J1010" s="25"/>
      <c r="K1010" s="25"/>
      <c r="L1010" s="25"/>
      <c r="M1010" s="25"/>
      <c r="N1010" s="26"/>
      <c r="O1010" s="12"/>
      <c r="P1010" s="12"/>
    </row>
    <row r="1011">
      <c r="A1011" s="25"/>
      <c r="B1011" s="59"/>
      <c r="C1011" s="59"/>
      <c r="D1011" s="25"/>
      <c r="E1011" s="25"/>
      <c r="F1011" s="25"/>
      <c r="G1011" s="25"/>
      <c r="H1011" s="25"/>
      <c r="I1011" s="25"/>
      <c r="J1011" s="25"/>
      <c r="K1011" s="25"/>
      <c r="L1011" s="25"/>
      <c r="M1011" s="25"/>
      <c r="N1011" s="26"/>
      <c r="O1011" s="12"/>
      <c r="P1011" s="12"/>
    </row>
    <row r="1012">
      <c r="A1012" s="25"/>
      <c r="B1012" s="59"/>
      <c r="C1012" s="59"/>
      <c r="D1012" s="25"/>
      <c r="E1012" s="25"/>
      <c r="F1012" s="25"/>
      <c r="G1012" s="25"/>
      <c r="H1012" s="25"/>
      <c r="I1012" s="25"/>
      <c r="J1012" s="25"/>
      <c r="K1012" s="25"/>
      <c r="L1012" s="25"/>
      <c r="M1012" s="25"/>
      <c r="N1012" s="26"/>
      <c r="O1012" s="12"/>
      <c r="P1012" s="12"/>
    </row>
    <row r="1013">
      <c r="A1013" s="25"/>
      <c r="B1013" s="59"/>
      <c r="C1013" s="59"/>
      <c r="D1013" s="25"/>
      <c r="E1013" s="25"/>
      <c r="F1013" s="25"/>
      <c r="G1013" s="25"/>
      <c r="H1013" s="25"/>
      <c r="I1013" s="25"/>
      <c r="J1013" s="25"/>
      <c r="K1013" s="25"/>
      <c r="L1013" s="25"/>
      <c r="M1013" s="25"/>
      <c r="N1013" s="26"/>
      <c r="O1013" s="12"/>
      <c r="P1013" s="12"/>
    </row>
    <row r="1014">
      <c r="A1014" s="7"/>
      <c r="B1014" s="8"/>
      <c r="C1014" s="8"/>
      <c r="D1014" s="7"/>
      <c r="E1014" s="7"/>
      <c r="F1014" s="7"/>
      <c r="G1014" s="7"/>
      <c r="H1014" s="9"/>
      <c r="I1014" s="7"/>
      <c r="J1014" s="7"/>
      <c r="K1014" s="7"/>
      <c r="L1014" s="60"/>
      <c r="M1014" s="54"/>
      <c r="N1014" s="10"/>
      <c r="O1014" s="43"/>
      <c r="P1014" s="43"/>
    </row>
    <row r="1015">
      <c r="A1015" s="25"/>
      <c r="B1015" s="59"/>
      <c r="C1015" s="59"/>
      <c r="D1015" s="25"/>
      <c r="E1015" s="25"/>
      <c r="F1015" s="25"/>
      <c r="G1015" s="25"/>
      <c r="H1015" s="25"/>
      <c r="I1015" s="25"/>
      <c r="J1015" s="25"/>
      <c r="K1015" s="25"/>
      <c r="L1015" s="25"/>
      <c r="M1015" s="25"/>
      <c r="N1015" s="26"/>
      <c r="O1015" s="12"/>
      <c r="P1015" s="12"/>
    </row>
    <row r="1016">
      <c r="A1016" s="25"/>
      <c r="B1016" s="59"/>
      <c r="C1016" s="59"/>
      <c r="D1016" s="25"/>
      <c r="E1016" s="25"/>
      <c r="F1016" s="25"/>
      <c r="G1016" s="25"/>
      <c r="H1016" s="25"/>
      <c r="I1016" s="25"/>
      <c r="J1016" s="25"/>
      <c r="K1016" s="25"/>
      <c r="L1016" s="25"/>
      <c r="M1016" s="25"/>
      <c r="N1016" s="26"/>
      <c r="O1016" s="12"/>
      <c r="P1016" s="12"/>
    </row>
    <row r="1017">
      <c r="A1017" s="25"/>
      <c r="B1017" s="59"/>
      <c r="C1017" s="59"/>
      <c r="D1017" s="25"/>
      <c r="E1017" s="25"/>
      <c r="F1017" s="25"/>
      <c r="G1017" s="25"/>
      <c r="H1017" s="25"/>
      <c r="I1017" s="25"/>
      <c r="J1017" s="25"/>
      <c r="K1017" s="25"/>
      <c r="L1017" s="25"/>
      <c r="M1017" s="25"/>
      <c r="N1017" s="26"/>
      <c r="O1017" s="12"/>
      <c r="P1017" s="12"/>
    </row>
    <row r="1018">
      <c r="A1018" s="25"/>
      <c r="B1018" s="59"/>
      <c r="C1018" s="59"/>
      <c r="D1018" s="25"/>
      <c r="E1018" s="25"/>
      <c r="F1018" s="25"/>
      <c r="G1018" s="25"/>
      <c r="H1018" s="25"/>
      <c r="I1018" s="25"/>
      <c r="J1018" s="25"/>
      <c r="K1018" s="25"/>
      <c r="L1018" s="25"/>
      <c r="M1018" s="25"/>
      <c r="N1018" s="26"/>
      <c r="O1018" s="12"/>
      <c r="P1018" s="12"/>
    </row>
    <row r="1019">
      <c r="A1019" s="25"/>
      <c r="B1019" s="59"/>
      <c r="C1019" s="59"/>
      <c r="D1019" s="25"/>
      <c r="E1019" s="25"/>
      <c r="F1019" s="25"/>
      <c r="G1019" s="25"/>
      <c r="H1019" s="25"/>
      <c r="I1019" s="25"/>
      <c r="J1019" s="25"/>
      <c r="K1019" s="25"/>
      <c r="L1019" s="25"/>
      <c r="M1019" s="25"/>
      <c r="N1019" s="26"/>
      <c r="O1019" s="12"/>
      <c r="P1019" s="12"/>
    </row>
    <row r="1020">
      <c r="A1020" s="25"/>
      <c r="B1020" s="59"/>
      <c r="C1020" s="59"/>
      <c r="D1020" s="25"/>
      <c r="E1020" s="25"/>
      <c r="F1020" s="25"/>
      <c r="G1020" s="25"/>
      <c r="H1020" s="25"/>
      <c r="I1020" s="25"/>
      <c r="J1020" s="25"/>
      <c r="K1020" s="25"/>
      <c r="L1020" s="25"/>
      <c r="M1020" s="25"/>
      <c r="N1020" s="26"/>
      <c r="O1020" s="12"/>
      <c r="P1020" s="12"/>
    </row>
    <row r="1021">
      <c r="A1021" s="25"/>
      <c r="B1021" s="59"/>
      <c r="C1021" s="59"/>
      <c r="D1021" s="25"/>
      <c r="E1021" s="25"/>
      <c r="F1021" s="25"/>
      <c r="G1021" s="25"/>
      <c r="H1021" s="25"/>
      <c r="I1021" s="25"/>
      <c r="J1021" s="25"/>
      <c r="K1021" s="25"/>
      <c r="L1021" s="25"/>
      <c r="M1021" s="25"/>
      <c r="N1021" s="26"/>
      <c r="O1021" s="12"/>
      <c r="P1021" s="12"/>
    </row>
    <row r="1022">
      <c r="A1022" s="25"/>
      <c r="B1022" s="59"/>
      <c r="C1022" s="59"/>
      <c r="D1022" s="25"/>
      <c r="E1022" s="25"/>
      <c r="F1022" s="25"/>
      <c r="G1022" s="25"/>
      <c r="H1022" s="25"/>
      <c r="I1022" s="25"/>
      <c r="J1022" s="25"/>
      <c r="K1022" s="25"/>
      <c r="L1022" s="25"/>
      <c r="M1022" s="25"/>
      <c r="N1022" s="26"/>
      <c r="O1022" s="12"/>
      <c r="P1022" s="12"/>
    </row>
    <row r="1023">
      <c r="A1023" s="25"/>
      <c r="B1023" s="59"/>
      <c r="C1023" s="59"/>
      <c r="D1023" s="25"/>
      <c r="E1023" s="25"/>
      <c r="F1023" s="25"/>
      <c r="G1023" s="25"/>
      <c r="H1023" s="25"/>
      <c r="I1023" s="25"/>
      <c r="J1023" s="25"/>
      <c r="K1023" s="25"/>
      <c r="L1023" s="25"/>
      <c r="M1023" s="25"/>
      <c r="N1023" s="26"/>
      <c r="O1023" s="12"/>
      <c r="P1023" s="12"/>
    </row>
    <row r="1024">
      <c r="A1024" s="25"/>
      <c r="B1024" s="59"/>
      <c r="C1024" s="59"/>
      <c r="D1024" s="25"/>
      <c r="E1024" s="25"/>
      <c r="F1024" s="25"/>
      <c r="G1024" s="25"/>
      <c r="H1024" s="25"/>
      <c r="I1024" s="25"/>
      <c r="J1024" s="25"/>
      <c r="K1024" s="25"/>
      <c r="L1024" s="25"/>
      <c r="M1024" s="25"/>
      <c r="N1024" s="26"/>
      <c r="O1024" s="12"/>
      <c r="P1024" s="12"/>
    </row>
    <row r="1025">
      <c r="A1025" s="25"/>
      <c r="B1025" s="59"/>
      <c r="C1025" s="59"/>
      <c r="D1025" s="25"/>
      <c r="E1025" s="25"/>
      <c r="F1025" s="25"/>
      <c r="G1025" s="25"/>
      <c r="H1025" s="25"/>
      <c r="I1025" s="25"/>
      <c r="J1025" s="25"/>
      <c r="K1025" s="25"/>
      <c r="L1025" s="25"/>
      <c r="M1025" s="25"/>
      <c r="N1025" s="26"/>
      <c r="O1025" s="12"/>
      <c r="P1025" s="12"/>
    </row>
    <row r="1026">
      <c r="A1026" s="25"/>
      <c r="B1026" s="59"/>
      <c r="C1026" s="59"/>
      <c r="D1026" s="25"/>
      <c r="E1026" s="25"/>
      <c r="F1026" s="25"/>
      <c r="G1026" s="25"/>
      <c r="H1026" s="25"/>
      <c r="I1026" s="25"/>
      <c r="J1026" s="25"/>
      <c r="K1026" s="25"/>
      <c r="L1026" s="25"/>
      <c r="M1026" s="25"/>
      <c r="N1026" s="26"/>
      <c r="O1026" s="12"/>
      <c r="P1026" s="12"/>
    </row>
    <row r="1027">
      <c r="A1027" s="25"/>
      <c r="B1027" s="59"/>
      <c r="C1027" s="59"/>
      <c r="D1027" s="25"/>
      <c r="E1027" s="25"/>
      <c r="F1027" s="25"/>
      <c r="G1027" s="25"/>
      <c r="H1027" s="25"/>
      <c r="I1027" s="25"/>
      <c r="J1027" s="25"/>
      <c r="K1027" s="25"/>
      <c r="L1027" s="25"/>
      <c r="M1027" s="25"/>
      <c r="N1027" s="26"/>
      <c r="O1027" s="12"/>
      <c r="P1027" s="12"/>
    </row>
    <row r="1028">
      <c r="A1028" s="25"/>
      <c r="B1028" s="59"/>
      <c r="C1028" s="59"/>
      <c r="D1028" s="25"/>
      <c r="E1028" s="25"/>
      <c r="F1028" s="25"/>
      <c r="G1028" s="25"/>
      <c r="H1028" s="25"/>
      <c r="I1028" s="25"/>
      <c r="J1028" s="25"/>
      <c r="K1028" s="25"/>
      <c r="L1028" s="25"/>
      <c r="M1028" s="25"/>
      <c r="N1028" s="26"/>
      <c r="O1028" s="12"/>
      <c r="P1028" s="12"/>
    </row>
    <row r="1029">
      <c r="A1029" s="25"/>
      <c r="B1029" s="59"/>
      <c r="C1029" s="59"/>
      <c r="D1029" s="25"/>
      <c r="E1029" s="25"/>
      <c r="F1029" s="25"/>
      <c r="G1029" s="25"/>
      <c r="H1029" s="25"/>
      <c r="I1029" s="25"/>
      <c r="J1029" s="25"/>
      <c r="K1029" s="25"/>
      <c r="L1029" s="25"/>
      <c r="M1029" s="25"/>
      <c r="N1029" s="26"/>
      <c r="O1029" s="12"/>
      <c r="P1029" s="12"/>
    </row>
    <row r="1030">
      <c r="A1030" s="25"/>
      <c r="B1030" s="59"/>
      <c r="C1030" s="59"/>
      <c r="D1030" s="25"/>
      <c r="E1030" s="25"/>
      <c r="F1030" s="25"/>
      <c r="G1030" s="25"/>
      <c r="H1030" s="25"/>
      <c r="I1030" s="25"/>
      <c r="J1030" s="25"/>
      <c r="K1030" s="25"/>
      <c r="L1030" s="25"/>
      <c r="M1030" s="25"/>
      <c r="N1030" s="26"/>
      <c r="O1030" s="12"/>
      <c r="P1030" s="12"/>
    </row>
    <row r="1031">
      <c r="A1031" s="25"/>
      <c r="B1031" s="59"/>
      <c r="C1031" s="59"/>
      <c r="D1031" s="25"/>
      <c r="E1031" s="25"/>
      <c r="F1031" s="25"/>
      <c r="G1031" s="25"/>
      <c r="H1031" s="25"/>
      <c r="I1031" s="25"/>
      <c r="J1031" s="25"/>
      <c r="K1031" s="25"/>
      <c r="L1031" s="25"/>
      <c r="M1031" s="25"/>
      <c r="N1031" s="26"/>
      <c r="O1031" s="12"/>
      <c r="P1031" s="12"/>
    </row>
    <row r="1032">
      <c r="A1032" s="25"/>
      <c r="B1032" s="59"/>
      <c r="C1032" s="59"/>
      <c r="D1032" s="25"/>
      <c r="E1032" s="25"/>
      <c r="F1032" s="25"/>
      <c r="G1032" s="25"/>
      <c r="H1032" s="25"/>
      <c r="I1032" s="25"/>
      <c r="J1032" s="25"/>
      <c r="K1032" s="25"/>
      <c r="L1032" s="25"/>
      <c r="M1032" s="25"/>
      <c r="N1032" s="26"/>
      <c r="O1032" s="12"/>
      <c r="P1032" s="12"/>
    </row>
    <row r="1033">
      <c r="A1033" s="25"/>
      <c r="B1033" s="59"/>
      <c r="C1033" s="59"/>
      <c r="D1033" s="25"/>
      <c r="E1033" s="25"/>
      <c r="F1033" s="25"/>
      <c r="G1033" s="25"/>
      <c r="H1033" s="25"/>
      <c r="I1033" s="25"/>
      <c r="J1033" s="25"/>
      <c r="K1033" s="25"/>
      <c r="L1033" s="25"/>
      <c r="M1033" s="25"/>
      <c r="N1033" s="26"/>
      <c r="O1033" s="12"/>
      <c r="P1033" s="12"/>
    </row>
    <row r="1034">
      <c r="A1034" s="25"/>
      <c r="B1034" s="59"/>
      <c r="C1034" s="59"/>
      <c r="D1034" s="25"/>
      <c r="E1034" s="25"/>
      <c r="F1034" s="25"/>
      <c r="G1034" s="25"/>
      <c r="H1034" s="25"/>
      <c r="I1034" s="25"/>
      <c r="J1034" s="25"/>
      <c r="K1034" s="25"/>
      <c r="L1034" s="25"/>
      <c r="M1034" s="25"/>
      <c r="N1034" s="26"/>
      <c r="O1034" s="12"/>
      <c r="P1034" s="12"/>
    </row>
    <row r="1035">
      <c r="A1035" s="25"/>
      <c r="B1035" s="59"/>
      <c r="C1035" s="59"/>
      <c r="D1035" s="25"/>
      <c r="E1035" s="25"/>
      <c r="F1035" s="25"/>
      <c r="G1035" s="25"/>
      <c r="H1035" s="25"/>
      <c r="I1035" s="25"/>
      <c r="J1035" s="25"/>
      <c r="K1035" s="25"/>
      <c r="L1035" s="25"/>
      <c r="M1035" s="25"/>
      <c r="N1035" s="26"/>
      <c r="O1035" s="12"/>
      <c r="P1035" s="12"/>
    </row>
    <row r="1036">
      <c r="A1036" s="25"/>
      <c r="B1036" s="59"/>
      <c r="C1036" s="59"/>
      <c r="D1036" s="25"/>
      <c r="E1036" s="25"/>
      <c r="F1036" s="25"/>
      <c r="G1036" s="25"/>
      <c r="H1036" s="25"/>
      <c r="I1036" s="25"/>
      <c r="J1036" s="25"/>
      <c r="K1036" s="25"/>
      <c r="L1036" s="25"/>
      <c r="M1036" s="25"/>
      <c r="N1036" s="26"/>
      <c r="O1036" s="12"/>
      <c r="P1036" s="12"/>
    </row>
    <row r="1037">
      <c r="A1037" s="25"/>
      <c r="B1037" s="59"/>
      <c r="C1037" s="59"/>
      <c r="D1037" s="25"/>
      <c r="E1037" s="25"/>
      <c r="F1037" s="25"/>
      <c r="G1037" s="25"/>
      <c r="H1037" s="25"/>
      <c r="I1037" s="25"/>
      <c r="J1037" s="25"/>
      <c r="K1037" s="25"/>
      <c r="L1037" s="25"/>
      <c r="M1037" s="25"/>
      <c r="N1037" s="26"/>
      <c r="O1037" s="12"/>
      <c r="P1037" s="12"/>
    </row>
    <row r="1038">
      <c r="A1038" s="25"/>
      <c r="B1038" s="59"/>
      <c r="C1038" s="59"/>
      <c r="D1038" s="25"/>
      <c r="E1038" s="25"/>
      <c r="F1038" s="25"/>
      <c r="G1038" s="25"/>
      <c r="H1038" s="25"/>
      <c r="I1038" s="25"/>
      <c r="J1038" s="25"/>
      <c r="K1038" s="25"/>
      <c r="L1038" s="25"/>
      <c r="M1038" s="25"/>
      <c r="N1038" s="26"/>
      <c r="O1038" s="12"/>
      <c r="P1038" s="12"/>
    </row>
    <row r="1039">
      <c r="A1039" s="25"/>
      <c r="B1039" s="59"/>
      <c r="C1039" s="59"/>
      <c r="D1039" s="25"/>
      <c r="E1039" s="25"/>
      <c r="F1039" s="25"/>
      <c r="G1039" s="25"/>
      <c r="H1039" s="25"/>
      <c r="I1039" s="25"/>
      <c r="J1039" s="25"/>
      <c r="K1039" s="25"/>
      <c r="L1039" s="25"/>
      <c r="M1039" s="25"/>
      <c r="N1039" s="26"/>
      <c r="O1039" s="12"/>
      <c r="P1039" s="12"/>
    </row>
    <row r="1040">
      <c r="A1040" s="25"/>
      <c r="B1040" s="59"/>
      <c r="C1040" s="59"/>
      <c r="D1040" s="25"/>
      <c r="E1040" s="25"/>
      <c r="F1040" s="25"/>
      <c r="G1040" s="25"/>
      <c r="H1040" s="25"/>
      <c r="I1040" s="25"/>
      <c r="J1040" s="25"/>
      <c r="K1040" s="25"/>
      <c r="L1040" s="25"/>
      <c r="M1040" s="25"/>
      <c r="N1040" s="26"/>
      <c r="O1040" s="12"/>
      <c r="P1040" s="12"/>
    </row>
    <row r="1041">
      <c r="A1041" s="25"/>
      <c r="B1041" s="59"/>
      <c r="C1041" s="59"/>
      <c r="D1041" s="25"/>
      <c r="E1041" s="25"/>
      <c r="F1041" s="25"/>
      <c r="G1041" s="25"/>
      <c r="H1041" s="25"/>
      <c r="I1041" s="25"/>
      <c r="J1041" s="25"/>
      <c r="K1041" s="25"/>
      <c r="L1041" s="25"/>
      <c r="M1041" s="25"/>
      <c r="N1041" s="26"/>
      <c r="O1041" s="12"/>
      <c r="P1041" s="12"/>
    </row>
    <row r="1042">
      <c r="A1042" s="25"/>
      <c r="B1042" s="59"/>
      <c r="C1042" s="59"/>
      <c r="D1042" s="25"/>
      <c r="E1042" s="25"/>
      <c r="F1042" s="25"/>
      <c r="G1042" s="25"/>
      <c r="H1042" s="25"/>
      <c r="I1042" s="25"/>
      <c r="J1042" s="25"/>
      <c r="K1042" s="25"/>
      <c r="L1042" s="25"/>
      <c r="M1042" s="25"/>
      <c r="N1042" s="26"/>
      <c r="O1042" s="12"/>
      <c r="P1042" s="12"/>
    </row>
    <row r="1043">
      <c r="A1043" s="25"/>
      <c r="B1043" s="59"/>
      <c r="C1043" s="59"/>
      <c r="D1043" s="25"/>
      <c r="E1043" s="25"/>
      <c r="F1043" s="25"/>
      <c r="G1043" s="25"/>
      <c r="H1043" s="25"/>
      <c r="I1043" s="25"/>
      <c r="J1043" s="25"/>
      <c r="K1043" s="25"/>
      <c r="L1043" s="25"/>
      <c r="M1043" s="25"/>
      <c r="N1043" s="26"/>
      <c r="O1043" s="12"/>
      <c r="P1043" s="12"/>
    </row>
    <row r="1044">
      <c r="A1044" s="7"/>
      <c r="B1044" s="8"/>
      <c r="C1044" s="8"/>
      <c r="D1044" s="7"/>
      <c r="E1044" s="7"/>
      <c r="F1044" s="7"/>
      <c r="G1044" s="7"/>
      <c r="H1044" s="9"/>
      <c r="I1044" s="7"/>
      <c r="J1044" s="7"/>
      <c r="K1044" s="7"/>
      <c r="L1044" s="60"/>
      <c r="M1044" s="54"/>
      <c r="N1044" s="10"/>
      <c r="O1044" s="43"/>
      <c r="P1044" s="43"/>
    </row>
    <row r="1045">
      <c r="A1045" s="25"/>
      <c r="B1045" s="59"/>
      <c r="C1045" s="59"/>
      <c r="D1045" s="25"/>
      <c r="E1045" s="25"/>
      <c r="F1045" s="25"/>
      <c r="G1045" s="25"/>
      <c r="H1045" s="25"/>
      <c r="I1045" s="25"/>
      <c r="J1045" s="25"/>
      <c r="K1045" s="25"/>
      <c r="L1045" s="25"/>
      <c r="M1045" s="25"/>
      <c r="N1045" s="26"/>
      <c r="O1045" s="12"/>
      <c r="P1045" s="12"/>
    </row>
    <row r="1046">
      <c r="A1046" s="7"/>
      <c r="B1046" s="8"/>
      <c r="C1046" s="8"/>
      <c r="D1046" s="7"/>
      <c r="E1046" s="7"/>
      <c r="F1046" s="7"/>
      <c r="G1046" s="7"/>
      <c r="H1046" s="9"/>
      <c r="I1046" s="7"/>
      <c r="J1046" s="7"/>
      <c r="K1046" s="7"/>
      <c r="L1046" s="60"/>
      <c r="M1046" s="54"/>
      <c r="N1046" s="10"/>
      <c r="O1046" s="43"/>
      <c r="P1046" s="43"/>
    </row>
    <row r="1047">
      <c r="A1047" s="25"/>
      <c r="B1047" s="59"/>
      <c r="C1047" s="59"/>
      <c r="D1047" s="25"/>
      <c r="E1047" s="25"/>
      <c r="F1047" s="25"/>
      <c r="G1047" s="25"/>
      <c r="H1047" s="25"/>
      <c r="I1047" s="25"/>
      <c r="J1047" s="25"/>
      <c r="K1047" s="25"/>
      <c r="L1047" s="25"/>
      <c r="M1047" s="25"/>
      <c r="N1047" s="26"/>
      <c r="O1047" s="12"/>
      <c r="P1047" s="12"/>
    </row>
    <row r="1048">
      <c r="A1048" s="25"/>
      <c r="B1048" s="59"/>
      <c r="C1048" s="59"/>
      <c r="D1048" s="25"/>
      <c r="E1048" s="25"/>
      <c r="F1048" s="25"/>
      <c r="G1048" s="25"/>
      <c r="H1048" s="25"/>
      <c r="I1048" s="25"/>
      <c r="J1048" s="25"/>
      <c r="K1048" s="25"/>
      <c r="L1048" s="25"/>
      <c r="M1048" s="25"/>
      <c r="N1048" s="26"/>
      <c r="O1048" s="12"/>
      <c r="P1048" s="12"/>
    </row>
    <row r="1049">
      <c r="A1049" s="25"/>
      <c r="B1049" s="59"/>
      <c r="C1049" s="59"/>
      <c r="D1049" s="25"/>
      <c r="E1049" s="25"/>
      <c r="F1049" s="25"/>
      <c r="G1049" s="25"/>
      <c r="H1049" s="25"/>
      <c r="I1049" s="25"/>
      <c r="J1049" s="25"/>
      <c r="K1049" s="25"/>
      <c r="L1049" s="25"/>
      <c r="M1049" s="25"/>
      <c r="N1049" s="26"/>
      <c r="O1049" s="12"/>
      <c r="P1049" s="12"/>
    </row>
    <row r="1050">
      <c r="A1050" s="25"/>
      <c r="B1050" s="59"/>
      <c r="C1050" s="59"/>
      <c r="D1050" s="25"/>
      <c r="E1050" s="25"/>
      <c r="F1050" s="25"/>
      <c r="G1050" s="25"/>
      <c r="H1050" s="25"/>
      <c r="I1050" s="25"/>
      <c r="J1050" s="25"/>
      <c r="K1050" s="25"/>
      <c r="L1050" s="25"/>
      <c r="M1050" s="25"/>
      <c r="N1050" s="26"/>
      <c r="O1050" s="12"/>
      <c r="P1050" s="12"/>
    </row>
    <row r="1051">
      <c r="A1051" s="25"/>
      <c r="B1051" s="59"/>
      <c r="C1051" s="59"/>
      <c r="D1051" s="25"/>
      <c r="E1051" s="25"/>
      <c r="F1051" s="25"/>
      <c r="G1051" s="25"/>
      <c r="H1051" s="25"/>
      <c r="I1051" s="25"/>
      <c r="J1051" s="25"/>
      <c r="K1051" s="25"/>
      <c r="L1051" s="25"/>
      <c r="M1051" s="25"/>
      <c r="N1051" s="26"/>
      <c r="O1051" s="12"/>
      <c r="P1051" s="12"/>
    </row>
    <row r="1052">
      <c r="A1052" s="25"/>
      <c r="B1052" s="59"/>
      <c r="C1052" s="59"/>
      <c r="D1052" s="25"/>
      <c r="E1052" s="25"/>
      <c r="F1052" s="25"/>
      <c r="G1052" s="25"/>
      <c r="H1052" s="25"/>
      <c r="I1052" s="25"/>
      <c r="J1052" s="25"/>
      <c r="K1052" s="25"/>
      <c r="L1052" s="25"/>
      <c r="M1052" s="25"/>
      <c r="N1052" s="26"/>
      <c r="O1052" s="12"/>
      <c r="P1052" s="12"/>
    </row>
    <row r="1053">
      <c r="A1053" s="7"/>
      <c r="B1053" s="8"/>
      <c r="C1053" s="8"/>
      <c r="D1053" s="7"/>
      <c r="E1053" s="7"/>
      <c r="F1053" s="7"/>
      <c r="G1053" s="7"/>
      <c r="H1053" s="9"/>
      <c r="I1053" s="7"/>
      <c r="J1053" s="7"/>
      <c r="K1053" s="7"/>
      <c r="L1053" s="60"/>
      <c r="M1053" s="54"/>
      <c r="N1053" s="10"/>
      <c r="O1053" s="43"/>
      <c r="P1053" s="43"/>
    </row>
    <row r="1054">
      <c r="A1054" s="25"/>
      <c r="B1054" s="59"/>
      <c r="C1054" s="59"/>
      <c r="D1054" s="25"/>
      <c r="E1054" s="25"/>
      <c r="F1054" s="25"/>
      <c r="G1054" s="25"/>
      <c r="H1054" s="25"/>
      <c r="I1054" s="25"/>
      <c r="J1054" s="25"/>
      <c r="K1054" s="25"/>
      <c r="L1054" s="25"/>
      <c r="M1054" s="25"/>
      <c r="N1054" s="26"/>
      <c r="O1054" s="12"/>
      <c r="P1054" s="12"/>
    </row>
    <row r="1055">
      <c r="A1055" s="25"/>
      <c r="B1055" s="59"/>
      <c r="C1055" s="59"/>
      <c r="D1055" s="25"/>
      <c r="E1055" s="25"/>
      <c r="F1055" s="25"/>
      <c r="G1055" s="25"/>
      <c r="H1055" s="25"/>
      <c r="I1055" s="25"/>
      <c r="J1055" s="25"/>
      <c r="K1055" s="25"/>
      <c r="L1055" s="25"/>
      <c r="M1055" s="25"/>
      <c r="N1055" s="26"/>
      <c r="O1055" s="12"/>
      <c r="P1055" s="12"/>
    </row>
    <row r="1056">
      <c r="A1056" s="25"/>
      <c r="B1056" s="59"/>
      <c r="C1056" s="59"/>
      <c r="D1056" s="25"/>
      <c r="E1056" s="25"/>
      <c r="F1056" s="25"/>
      <c r="G1056" s="25"/>
      <c r="H1056" s="25"/>
      <c r="I1056" s="25"/>
      <c r="J1056" s="25"/>
      <c r="K1056" s="25"/>
      <c r="L1056" s="25"/>
      <c r="M1056" s="25"/>
      <c r="N1056" s="26"/>
      <c r="O1056" s="12"/>
      <c r="P1056" s="12"/>
    </row>
    <row r="1057">
      <c r="A1057" s="25"/>
      <c r="B1057" s="59"/>
      <c r="C1057" s="59"/>
      <c r="D1057" s="25"/>
      <c r="E1057" s="25"/>
      <c r="F1057" s="25"/>
      <c r="G1057" s="25"/>
      <c r="H1057" s="25"/>
      <c r="I1057" s="25"/>
      <c r="J1057" s="25"/>
      <c r="K1057" s="25"/>
      <c r="L1057" s="25"/>
      <c r="M1057" s="25"/>
      <c r="N1057" s="26"/>
      <c r="O1057" s="12"/>
      <c r="P1057" s="12"/>
    </row>
    <row r="1058">
      <c r="A1058" s="7"/>
      <c r="B1058" s="8"/>
      <c r="C1058" s="8"/>
      <c r="D1058" s="7"/>
      <c r="E1058" s="7"/>
      <c r="F1058" s="7"/>
      <c r="G1058" s="25"/>
      <c r="H1058" s="9"/>
      <c r="I1058" s="7"/>
      <c r="J1058" s="7"/>
      <c r="K1058" s="7"/>
      <c r="L1058" s="60"/>
      <c r="M1058" s="60"/>
      <c r="N1058" s="10"/>
      <c r="O1058" s="55"/>
      <c r="P1058" s="55"/>
    </row>
    <row r="1059">
      <c r="A1059" s="25"/>
      <c r="B1059" s="59"/>
      <c r="C1059" s="59"/>
      <c r="D1059" s="25"/>
      <c r="E1059" s="25"/>
      <c r="F1059" s="25"/>
      <c r="G1059" s="25"/>
      <c r="H1059" s="25"/>
      <c r="I1059" s="25"/>
      <c r="J1059" s="25"/>
      <c r="K1059" s="25"/>
      <c r="L1059" s="25"/>
      <c r="M1059" s="25"/>
      <c r="N1059" s="26"/>
      <c r="O1059" s="12"/>
      <c r="P1059" s="12"/>
    </row>
    <row r="1060">
      <c r="A1060" s="25"/>
      <c r="B1060" s="59"/>
      <c r="C1060" s="59"/>
      <c r="D1060" s="25"/>
      <c r="E1060" s="25"/>
      <c r="F1060" s="25"/>
      <c r="G1060" s="25"/>
      <c r="H1060" s="25"/>
      <c r="I1060" s="25"/>
      <c r="J1060" s="25"/>
      <c r="K1060" s="25"/>
      <c r="L1060" s="25"/>
      <c r="M1060" s="25"/>
      <c r="N1060" s="26"/>
      <c r="O1060" s="12"/>
      <c r="P1060" s="12"/>
    </row>
    <row r="1061">
      <c r="A1061" s="25"/>
      <c r="B1061" s="59"/>
      <c r="C1061" s="59"/>
      <c r="D1061" s="25"/>
      <c r="E1061" s="25"/>
      <c r="F1061" s="25"/>
      <c r="G1061" s="25"/>
      <c r="H1061" s="25"/>
      <c r="I1061" s="25"/>
      <c r="J1061" s="25"/>
      <c r="K1061" s="25"/>
      <c r="L1061" s="25"/>
      <c r="M1061" s="25"/>
      <c r="N1061" s="26"/>
      <c r="O1061" s="12"/>
      <c r="P1061" s="12"/>
    </row>
    <row r="1062">
      <c r="A1062" s="7"/>
      <c r="B1062" s="8"/>
      <c r="C1062" s="8"/>
      <c r="D1062" s="7"/>
      <c r="E1062" s="7"/>
      <c r="F1062" s="7"/>
      <c r="G1062" s="25"/>
      <c r="H1062" s="9"/>
      <c r="I1062" s="7"/>
      <c r="J1062" s="7"/>
      <c r="K1062" s="7"/>
      <c r="L1062" s="60"/>
      <c r="M1062" s="60"/>
      <c r="N1062" s="10"/>
      <c r="O1062" s="55"/>
      <c r="P1062" s="55"/>
    </row>
    <row r="1063">
      <c r="A1063" s="7"/>
      <c r="B1063" s="8"/>
      <c r="C1063" s="8"/>
      <c r="D1063" s="7"/>
      <c r="E1063" s="7"/>
      <c r="F1063" s="7"/>
      <c r="G1063" s="25"/>
      <c r="H1063" s="9"/>
      <c r="I1063" s="7"/>
      <c r="J1063" s="7"/>
      <c r="K1063" s="7"/>
      <c r="L1063" s="60"/>
      <c r="M1063" s="63"/>
      <c r="N1063" s="10"/>
      <c r="O1063" s="55"/>
      <c r="P1063" s="55"/>
    </row>
    <row r="1064">
      <c r="A1064" s="7"/>
      <c r="B1064" s="8"/>
      <c r="C1064" s="8"/>
      <c r="D1064" s="7"/>
      <c r="E1064" s="7"/>
      <c r="F1064" s="7"/>
      <c r="G1064" s="25"/>
      <c r="H1064" s="9"/>
      <c r="I1064" s="7"/>
      <c r="J1064" s="7"/>
      <c r="K1064" s="7"/>
      <c r="L1064" s="60"/>
      <c r="M1064" s="54"/>
      <c r="N1064" s="10"/>
      <c r="O1064" s="43"/>
      <c r="P1064" s="43"/>
    </row>
    <row r="1065">
      <c r="A1065" s="25"/>
      <c r="B1065" s="59"/>
      <c r="C1065" s="59"/>
      <c r="D1065" s="25"/>
      <c r="E1065" s="25"/>
      <c r="F1065" s="25"/>
      <c r="G1065" s="25"/>
      <c r="H1065" s="25"/>
      <c r="I1065" s="25"/>
      <c r="J1065" s="25"/>
      <c r="K1065" s="25"/>
      <c r="L1065" s="25"/>
      <c r="M1065" s="25"/>
      <c r="N1065" s="26"/>
      <c r="O1065" s="12"/>
      <c r="P1065" s="12"/>
    </row>
    <row r="1066">
      <c r="A1066" s="25"/>
      <c r="B1066" s="59"/>
      <c r="C1066" s="59"/>
      <c r="D1066" s="25"/>
      <c r="E1066" s="25"/>
      <c r="F1066" s="25"/>
      <c r="G1066" s="25"/>
      <c r="H1066" s="25"/>
      <c r="I1066" s="25"/>
      <c r="J1066" s="25"/>
      <c r="K1066" s="25"/>
      <c r="L1066" s="25"/>
      <c r="M1066" s="25"/>
      <c r="N1066" s="26"/>
      <c r="O1066" s="12"/>
      <c r="P1066" s="12"/>
    </row>
    <row r="1067">
      <c r="A1067" s="25"/>
      <c r="B1067" s="59"/>
      <c r="C1067" s="59"/>
      <c r="D1067" s="25"/>
      <c r="E1067" s="25"/>
      <c r="F1067" s="25"/>
      <c r="G1067" s="25"/>
      <c r="H1067" s="25"/>
      <c r="I1067" s="25"/>
      <c r="J1067" s="25"/>
      <c r="K1067" s="25"/>
      <c r="L1067" s="25"/>
      <c r="M1067" s="25"/>
      <c r="N1067" s="26"/>
      <c r="O1067" s="12"/>
      <c r="P1067" s="12"/>
    </row>
    <row r="1068">
      <c r="A1068" s="25"/>
      <c r="B1068" s="59"/>
      <c r="C1068" s="59"/>
      <c r="D1068" s="25"/>
      <c r="E1068" s="25"/>
      <c r="F1068" s="25"/>
      <c r="G1068" s="25"/>
      <c r="H1068" s="25"/>
      <c r="I1068" s="25"/>
      <c r="J1068" s="25"/>
      <c r="K1068" s="25"/>
      <c r="L1068" s="25"/>
      <c r="M1068" s="25"/>
      <c r="N1068" s="26"/>
      <c r="O1068" s="12"/>
      <c r="P1068" s="12"/>
    </row>
    <row r="1069">
      <c r="A1069" s="25"/>
      <c r="B1069" s="59"/>
      <c r="C1069" s="59"/>
      <c r="D1069" s="25"/>
      <c r="E1069" s="25"/>
      <c r="F1069" s="25"/>
      <c r="G1069" s="25"/>
      <c r="H1069" s="25"/>
      <c r="I1069" s="25"/>
      <c r="J1069" s="25"/>
      <c r="K1069" s="25"/>
      <c r="L1069" s="25"/>
      <c r="M1069" s="25"/>
      <c r="N1069" s="26"/>
      <c r="O1069" s="12"/>
      <c r="P1069" s="12"/>
    </row>
    <row r="1070">
      <c r="A1070" s="25"/>
      <c r="B1070" s="59"/>
      <c r="C1070" s="59"/>
      <c r="D1070" s="25"/>
      <c r="E1070" s="25"/>
      <c r="F1070" s="25"/>
      <c r="G1070" s="25"/>
      <c r="H1070" s="25"/>
      <c r="I1070" s="25"/>
      <c r="J1070" s="25"/>
      <c r="K1070" s="25"/>
      <c r="L1070" s="25"/>
      <c r="M1070" s="25"/>
      <c r="N1070" s="26"/>
      <c r="O1070" s="12"/>
      <c r="P1070" s="12"/>
    </row>
    <row r="1071">
      <c r="A1071" s="25"/>
      <c r="B1071" s="59"/>
      <c r="C1071" s="59"/>
      <c r="D1071" s="25"/>
      <c r="E1071" s="25"/>
      <c r="F1071" s="25"/>
      <c r="G1071" s="25"/>
      <c r="H1071" s="25"/>
      <c r="I1071" s="25"/>
      <c r="J1071" s="25"/>
      <c r="K1071" s="25"/>
      <c r="L1071" s="25"/>
      <c r="M1071" s="25"/>
      <c r="N1071" s="26"/>
      <c r="O1071" s="12"/>
      <c r="P1071" s="12"/>
    </row>
    <row r="1072">
      <c r="A1072" s="7"/>
      <c r="B1072" s="8"/>
      <c r="C1072" s="8"/>
      <c r="D1072" s="7"/>
      <c r="E1072" s="7"/>
      <c r="F1072" s="7"/>
      <c r="G1072" s="7"/>
      <c r="H1072" s="9"/>
      <c r="I1072" s="7"/>
      <c r="J1072" s="7"/>
      <c r="K1072" s="7"/>
      <c r="L1072" s="60"/>
      <c r="M1072" s="54"/>
      <c r="N1072" s="10"/>
      <c r="O1072" s="43"/>
      <c r="P1072" s="43"/>
    </row>
    <row r="1073">
      <c r="A1073" s="7"/>
      <c r="B1073" s="8"/>
      <c r="C1073" s="8"/>
      <c r="D1073" s="7"/>
      <c r="E1073" s="7"/>
      <c r="F1073" s="7"/>
      <c r="G1073" s="7"/>
      <c r="H1073" s="9"/>
      <c r="I1073" s="7"/>
      <c r="J1073" s="7"/>
      <c r="K1073" s="7"/>
      <c r="L1073" s="60"/>
      <c r="M1073" s="60"/>
      <c r="N1073" s="10"/>
      <c r="O1073" s="55"/>
      <c r="P1073" s="55"/>
    </row>
    <row r="1074">
      <c r="A1074" s="25"/>
      <c r="B1074" s="59"/>
      <c r="C1074" s="59"/>
      <c r="D1074" s="25"/>
      <c r="E1074" s="25"/>
      <c r="F1074" s="25"/>
      <c r="G1074" s="25"/>
      <c r="H1074" s="25"/>
      <c r="I1074" s="25"/>
      <c r="J1074" s="25"/>
      <c r="K1074" s="25"/>
      <c r="L1074" s="25"/>
      <c r="M1074" s="25"/>
      <c r="N1074" s="26"/>
      <c r="O1074" s="12"/>
      <c r="P1074" s="12"/>
    </row>
    <row r="1075">
      <c r="A1075" s="25"/>
      <c r="B1075" s="59"/>
      <c r="C1075" s="59"/>
      <c r="D1075" s="25"/>
      <c r="E1075" s="25"/>
      <c r="F1075" s="25"/>
      <c r="G1075" s="25"/>
      <c r="H1075" s="25"/>
      <c r="I1075" s="25"/>
      <c r="J1075" s="25"/>
      <c r="K1075" s="25"/>
      <c r="L1075" s="25"/>
      <c r="M1075" s="25"/>
      <c r="N1075" s="26"/>
      <c r="O1075" s="12"/>
      <c r="P1075" s="12"/>
    </row>
    <row r="1076">
      <c r="A1076" s="25"/>
      <c r="B1076" s="59"/>
      <c r="C1076" s="59"/>
      <c r="D1076" s="25"/>
      <c r="E1076" s="25"/>
      <c r="F1076" s="25"/>
      <c r="G1076" s="25"/>
      <c r="H1076" s="25"/>
      <c r="I1076" s="25"/>
      <c r="J1076" s="25"/>
      <c r="K1076" s="25"/>
      <c r="L1076" s="25"/>
      <c r="M1076" s="25"/>
      <c r="N1076" s="26"/>
      <c r="O1076" s="12"/>
      <c r="P1076" s="12"/>
    </row>
    <row r="1077">
      <c r="A1077" s="25"/>
      <c r="B1077" s="59"/>
      <c r="C1077" s="59"/>
      <c r="D1077" s="25"/>
      <c r="E1077" s="25"/>
      <c r="F1077" s="25"/>
      <c r="G1077" s="25"/>
      <c r="H1077" s="25"/>
      <c r="I1077" s="25"/>
      <c r="J1077" s="25"/>
      <c r="K1077" s="25"/>
      <c r="L1077" s="25"/>
      <c r="M1077" s="25"/>
      <c r="N1077" s="26"/>
      <c r="O1077" s="12"/>
      <c r="P1077" s="12"/>
    </row>
    <row r="1078">
      <c r="A1078" s="25"/>
      <c r="B1078" s="59"/>
      <c r="C1078" s="59"/>
      <c r="D1078" s="25"/>
      <c r="E1078" s="25"/>
      <c r="F1078" s="25"/>
      <c r="G1078" s="25"/>
      <c r="H1078" s="25"/>
      <c r="I1078" s="25"/>
      <c r="J1078" s="25"/>
      <c r="K1078" s="25"/>
      <c r="L1078" s="25"/>
      <c r="M1078" s="25"/>
      <c r="N1078" s="26"/>
      <c r="O1078" s="12"/>
      <c r="P1078" s="12"/>
    </row>
    <row r="1079">
      <c r="A1079" s="25"/>
      <c r="B1079" s="59"/>
      <c r="C1079" s="59"/>
      <c r="D1079" s="25"/>
      <c r="E1079" s="25"/>
      <c r="F1079" s="25"/>
      <c r="G1079" s="25"/>
      <c r="H1079" s="25"/>
      <c r="I1079" s="25"/>
      <c r="J1079" s="25"/>
      <c r="K1079" s="25"/>
      <c r="L1079" s="25"/>
      <c r="M1079" s="25"/>
      <c r="N1079" s="26"/>
      <c r="O1079" s="12"/>
      <c r="P1079" s="12"/>
    </row>
    <row r="1080">
      <c r="A1080" s="25"/>
      <c r="B1080" s="59"/>
      <c r="C1080" s="59"/>
      <c r="D1080" s="25"/>
      <c r="E1080" s="25"/>
      <c r="F1080" s="25"/>
      <c r="G1080" s="25"/>
      <c r="H1080" s="25"/>
      <c r="I1080" s="25"/>
      <c r="J1080" s="25"/>
      <c r="K1080" s="25"/>
      <c r="L1080" s="25"/>
      <c r="M1080" s="25"/>
      <c r="N1080" s="26"/>
      <c r="O1080" s="12"/>
      <c r="P1080" s="12"/>
    </row>
    <row r="1081">
      <c r="A1081" s="25"/>
      <c r="B1081" s="59"/>
      <c r="C1081" s="59"/>
      <c r="D1081" s="25"/>
      <c r="E1081" s="25"/>
      <c r="F1081" s="25"/>
      <c r="G1081" s="25"/>
      <c r="H1081" s="25"/>
      <c r="I1081" s="25"/>
      <c r="J1081" s="25"/>
      <c r="K1081" s="25"/>
      <c r="L1081" s="25"/>
      <c r="M1081" s="25"/>
      <c r="N1081" s="26"/>
      <c r="O1081" s="12"/>
      <c r="P1081" s="12"/>
    </row>
    <row r="1082">
      <c r="A1082" s="25"/>
      <c r="B1082" s="59"/>
      <c r="C1082" s="59"/>
      <c r="D1082" s="25"/>
      <c r="E1082" s="25"/>
      <c r="F1082" s="25"/>
      <c r="G1082" s="25"/>
      <c r="H1082" s="25"/>
      <c r="I1082" s="25"/>
      <c r="J1082" s="25"/>
      <c r="K1082" s="25"/>
      <c r="L1082" s="25"/>
      <c r="M1082" s="25"/>
      <c r="N1082" s="26"/>
      <c r="O1082" s="12"/>
      <c r="P1082" s="12"/>
    </row>
    <row r="1083">
      <c r="A1083" s="25"/>
      <c r="B1083" s="59"/>
      <c r="C1083" s="59"/>
      <c r="D1083" s="25"/>
      <c r="E1083" s="25"/>
      <c r="F1083" s="25"/>
      <c r="G1083" s="25"/>
      <c r="H1083" s="25"/>
      <c r="I1083" s="25"/>
      <c r="J1083" s="25"/>
      <c r="K1083" s="25"/>
      <c r="L1083" s="25"/>
      <c r="M1083" s="25"/>
      <c r="N1083" s="26"/>
      <c r="O1083" s="12"/>
      <c r="P1083" s="12"/>
    </row>
    <row r="1084">
      <c r="A1084" s="25"/>
      <c r="B1084" s="59"/>
      <c r="C1084" s="59"/>
      <c r="D1084" s="25"/>
      <c r="E1084" s="25"/>
      <c r="F1084" s="25"/>
      <c r="G1084" s="25"/>
      <c r="H1084" s="25"/>
      <c r="I1084" s="25"/>
      <c r="J1084" s="25"/>
      <c r="K1084" s="25"/>
      <c r="L1084" s="25"/>
      <c r="M1084" s="25"/>
      <c r="N1084" s="26"/>
      <c r="O1084" s="12"/>
      <c r="P1084" s="12"/>
    </row>
    <row r="1085">
      <c r="A1085" s="7"/>
      <c r="B1085" s="8"/>
      <c r="C1085" s="8"/>
      <c r="D1085" s="7"/>
      <c r="E1085" s="7"/>
      <c r="F1085" s="7"/>
      <c r="G1085" s="7"/>
      <c r="H1085" s="9"/>
      <c r="I1085" s="7"/>
      <c r="J1085" s="7"/>
      <c r="K1085" s="7"/>
      <c r="L1085" s="60"/>
      <c r="M1085" s="54"/>
      <c r="N1085" s="10"/>
      <c r="O1085" s="43"/>
      <c r="P1085" s="43"/>
    </row>
    <row r="1086">
      <c r="A1086" s="7"/>
      <c r="B1086" s="8"/>
      <c r="C1086" s="8"/>
      <c r="D1086" s="7"/>
      <c r="E1086" s="7"/>
      <c r="F1086" s="7"/>
      <c r="G1086" s="7"/>
      <c r="H1086" s="9"/>
      <c r="I1086" s="7"/>
      <c r="J1086" s="7"/>
      <c r="K1086" s="7"/>
      <c r="L1086" s="60"/>
      <c r="M1086" s="54"/>
      <c r="N1086" s="10"/>
      <c r="O1086" s="43"/>
      <c r="P1086" s="43"/>
    </row>
    <row r="1087">
      <c r="A1087" s="25"/>
      <c r="B1087" s="59"/>
      <c r="C1087" s="59"/>
      <c r="D1087" s="25"/>
      <c r="E1087" s="25"/>
      <c r="F1087" s="25"/>
      <c r="G1087" s="25"/>
      <c r="H1087" s="25"/>
      <c r="I1087" s="25"/>
      <c r="J1087" s="25"/>
      <c r="K1087" s="25"/>
      <c r="L1087" s="25"/>
      <c r="M1087" s="25"/>
      <c r="N1087" s="26"/>
      <c r="O1087" s="12"/>
      <c r="P1087" s="12"/>
    </row>
    <row r="1088">
      <c r="A1088" s="25"/>
      <c r="B1088" s="59"/>
      <c r="C1088" s="59"/>
      <c r="D1088" s="25"/>
      <c r="E1088" s="25"/>
      <c r="F1088" s="25"/>
      <c r="G1088" s="25"/>
      <c r="H1088" s="25"/>
      <c r="I1088" s="25"/>
      <c r="J1088" s="25"/>
      <c r="K1088" s="25"/>
      <c r="L1088" s="25"/>
      <c r="M1088" s="25"/>
      <c r="N1088" s="26"/>
      <c r="O1088" s="12"/>
      <c r="P1088" s="12"/>
    </row>
    <row r="1089">
      <c r="A1089" s="7"/>
      <c r="B1089" s="8"/>
      <c r="C1089" s="8"/>
      <c r="D1089" s="7"/>
      <c r="E1089" s="7"/>
      <c r="F1089" s="7"/>
      <c r="G1089" s="7"/>
      <c r="H1089" s="9"/>
      <c r="I1089" s="7"/>
      <c r="J1089" s="7"/>
      <c r="K1089" s="7"/>
      <c r="L1089" s="60"/>
      <c r="M1089" s="54"/>
      <c r="N1089" s="10"/>
      <c r="O1089" s="43"/>
      <c r="P1089" s="43"/>
    </row>
    <row r="1090">
      <c r="A1090" s="7"/>
      <c r="B1090" s="8"/>
      <c r="C1090" s="8"/>
      <c r="D1090" s="7"/>
      <c r="E1090" s="7"/>
      <c r="F1090" s="7"/>
      <c r="G1090" s="7"/>
      <c r="H1090" s="9"/>
      <c r="I1090" s="7"/>
      <c r="J1090" s="7"/>
      <c r="K1090" s="7"/>
      <c r="L1090" s="60"/>
      <c r="M1090" s="60"/>
      <c r="N1090" s="10"/>
      <c r="O1090" s="55"/>
      <c r="P1090" s="55"/>
    </row>
    <row r="1091">
      <c r="A1091" s="25"/>
      <c r="B1091" s="59"/>
      <c r="C1091" s="59"/>
      <c r="D1091" s="25"/>
      <c r="E1091" s="25"/>
      <c r="F1091" s="25"/>
      <c r="G1091" s="25"/>
      <c r="H1091" s="25"/>
      <c r="I1091" s="25"/>
      <c r="J1091" s="25"/>
      <c r="K1091" s="25"/>
      <c r="L1091" s="25"/>
      <c r="M1091" s="25"/>
      <c r="N1091" s="26"/>
      <c r="O1091" s="12"/>
      <c r="P1091" s="12"/>
    </row>
    <row r="1092">
      <c r="A1092" s="25"/>
      <c r="B1092" s="59"/>
      <c r="C1092" s="59"/>
      <c r="D1092" s="25"/>
      <c r="E1092" s="25"/>
      <c r="F1092" s="25"/>
      <c r="G1092" s="25"/>
      <c r="H1092" s="25"/>
      <c r="I1092" s="25"/>
      <c r="J1092" s="25"/>
      <c r="K1092" s="25"/>
      <c r="L1092" s="25"/>
      <c r="M1092" s="25"/>
      <c r="N1092" s="26"/>
      <c r="O1092" s="12"/>
      <c r="P1092" s="12"/>
    </row>
    <row r="1093">
      <c r="A1093" s="25"/>
      <c r="B1093" s="59"/>
      <c r="C1093" s="59"/>
      <c r="D1093" s="25"/>
      <c r="E1093" s="25"/>
      <c r="F1093" s="25"/>
      <c r="G1093" s="25"/>
      <c r="H1093" s="25"/>
      <c r="I1093" s="25"/>
      <c r="J1093" s="25"/>
      <c r="K1093" s="25"/>
      <c r="L1093" s="25"/>
      <c r="M1093" s="25"/>
      <c r="N1093" s="26"/>
      <c r="O1093" s="12"/>
      <c r="P1093" s="12"/>
    </row>
    <row r="1094">
      <c r="A1094" s="25"/>
      <c r="B1094" s="59"/>
      <c r="C1094" s="59"/>
      <c r="D1094" s="25"/>
      <c r="E1094" s="25"/>
      <c r="F1094" s="25"/>
      <c r="G1094" s="25"/>
      <c r="H1094" s="25"/>
      <c r="I1094" s="25"/>
      <c r="J1094" s="25"/>
      <c r="K1094" s="25"/>
      <c r="L1094" s="25"/>
      <c r="M1094" s="25"/>
      <c r="N1094" s="26"/>
      <c r="O1094" s="12"/>
      <c r="P1094" s="12"/>
    </row>
    <row r="1095">
      <c r="A1095" s="25"/>
      <c r="B1095" s="59"/>
      <c r="C1095" s="59"/>
      <c r="D1095" s="25"/>
      <c r="E1095" s="25"/>
      <c r="F1095" s="25"/>
      <c r="G1095" s="25"/>
      <c r="H1095" s="25"/>
      <c r="I1095" s="25"/>
      <c r="J1095" s="25"/>
      <c r="K1095" s="25"/>
      <c r="L1095" s="25"/>
      <c r="M1095" s="25"/>
      <c r="N1095" s="26"/>
      <c r="O1095" s="12"/>
      <c r="P1095" s="12"/>
    </row>
    <row r="1096">
      <c r="A1096" s="25"/>
      <c r="B1096" s="59"/>
      <c r="C1096" s="59"/>
      <c r="D1096" s="25"/>
      <c r="E1096" s="25"/>
      <c r="F1096" s="25"/>
      <c r="G1096" s="25"/>
      <c r="H1096" s="25"/>
      <c r="I1096" s="25"/>
      <c r="J1096" s="25"/>
      <c r="K1096" s="25"/>
      <c r="L1096" s="25"/>
      <c r="M1096" s="25"/>
      <c r="N1096" s="26"/>
      <c r="O1096" s="12"/>
      <c r="P1096" s="12"/>
    </row>
    <row r="1097">
      <c r="A1097" s="25"/>
      <c r="B1097" s="59"/>
      <c r="C1097" s="59"/>
      <c r="D1097" s="25"/>
      <c r="E1097" s="25"/>
      <c r="F1097" s="25"/>
      <c r="G1097" s="25"/>
      <c r="H1097" s="25"/>
      <c r="I1097" s="25"/>
      <c r="J1097" s="25"/>
      <c r="K1097" s="25"/>
      <c r="L1097" s="25"/>
      <c r="M1097" s="25"/>
      <c r="N1097" s="26"/>
      <c r="O1097" s="12"/>
      <c r="P1097" s="12"/>
    </row>
    <row r="1098">
      <c r="A1098" s="25"/>
      <c r="B1098" s="59"/>
      <c r="C1098" s="59"/>
      <c r="D1098" s="25"/>
      <c r="E1098" s="25"/>
      <c r="F1098" s="25"/>
      <c r="G1098" s="25"/>
      <c r="H1098" s="25"/>
      <c r="I1098" s="25"/>
      <c r="J1098" s="25"/>
      <c r="K1098" s="25"/>
      <c r="L1098" s="25"/>
      <c r="M1098" s="25"/>
      <c r="N1098" s="26"/>
      <c r="O1098" s="12"/>
      <c r="P1098" s="12"/>
    </row>
    <row r="1099">
      <c r="A1099" s="25"/>
      <c r="B1099" s="59"/>
      <c r="C1099" s="59"/>
      <c r="D1099" s="25"/>
      <c r="E1099" s="25"/>
      <c r="F1099" s="25"/>
      <c r="G1099" s="25"/>
      <c r="H1099" s="25"/>
      <c r="I1099" s="25"/>
      <c r="J1099" s="25"/>
      <c r="K1099" s="25"/>
      <c r="L1099" s="25"/>
      <c r="M1099" s="25"/>
      <c r="N1099" s="26"/>
      <c r="O1099" s="12"/>
      <c r="P1099" s="12"/>
    </row>
    <row r="1100">
      <c r="A1100" s="25"/>
      <c r="B1100" s="59"/>
      <c r="C1100" s="59"/>
      <c r="D1100" s="25"/>
      <c r="E1100" s="25"/>
      <c r="F1100" s="25"/>
      <c r="G1100" s="25"/>
      <c r="H1100" s="25"/>
      <c r="I1100" s="25"/>
      <c r="J1100" s="25"/>
      <c r="K1100" s="25"/>
      <c r="L1100" s="25"/>
      <c r="M1100" s="25"/>
      <c r="N1100" s="26"/>
      <c r="O1100" s="64"/>
      <c r="P1100" s="64"/>
    </row>
    <row r="1101">
      <c r="A1101" s="25"/>
      <c r="B1101" s="59"/>
      <c r="C1101" s="59"/>
      <c r="D1101" s="25"/>
      <c r="E1101" s="25"/>
      <c r="F1101" s="25"/>
      <c r="G1101" s="25"/>
      <c r="H1101" s="25"/>
      <c r="I1101" s="25"/>
      <c r="J1101" s="25"/>
      <c r="K1101" s="25"/>
      <c r="L1101" s="25"/>
      <c r="M1101" s="25"/>
      <c r="N1101" s="26"/>
      <c r="O1101" s="64"/>
      <c r="P1101" s="64"/>
    </row>
    <row r="1102">
      <c r="A1102" s="25"/>
      <c r="B1102" s="59"/>
      <c r="C1102" s="59"/>
      <c r="D1102" s="25"/>
      <c r="E1102" s="25"/>
      <c r="F1102" s="25"/>
      <c r="G1102" s="25"/>
      <c r="H1102" s="25"/>
      <c r="I1102" s="25"/>
      <c r="J1102" s="25"/>
      <c r="K1102" s="25"/>
      <c r="L1102" s="25"/>
      <c r="M1102" s="25"/>
      <c r="N1102" s="26"/>
      <c r="O1102" s="64"/>
      <c r="P1102" s="64"/>
    </row>
    <row r="1103">
      <c r="A1103" s="7"/>
      <c r="B1103" s="8"/>
      <c r="C1103" s="8"/>
      <c r="D1103" s="7"/>
      <c r="E1103" s="7"/>
      <c r="F1103" s="7"/>
      <c r="G1103" s="25"/>
      <c r="H1103" s="9"/>
      <c r="I1103" s="7"/>
      <c r="J1103" s="7"/>
      <c r="K1103" s="7"/>
      <c r="L1103" s="60"/>
      <c r="M1103" s="60"/>
      <c r="N1103" s="10"/>
      <c r="O1103" s="55"/>
      <c r="P1103" s="55"/>
    </row>
    <row r="1104">
      <c r="A1104" s="25"/>
      <c r="B1104" s="59"/>
      <c r="C1104" s="59"/>
      <c r="D1104" s="25"/>
      <c r="E1104" s="25"/>
      <c r="F1104" s="25"/>
      <c r="G1104" s="25"/>
      <c r="H1104" s="25"/>
      <c r="I1104" s="25"/>
      <c r="J1104" s="25"/>
      <c r="K1104" s="25"/>
      <c r="L1104" s="25"/>
      <c r="M1104" s="25"/>
      <c r="N1104" s="26"/>
      <c r="O1104" s="64"/>
      <c r="P1104" s="64"/>
    </row>
    <row r="1105">
      <c r="A1105" s="25"/>
      <c r="B1105" s="59"/>
      <c r="C1105" s="59"/>
      <c r="D1105" s="25"/>
      <c r="E1105" s="25"/>
      <c r="F1105" s="25"/>
      <c r="G1105" s="25"/>
      <c r="H1105" s="25"/>
      <c r="I1105" s="25"/>
      <c r="J1105" s="25"/>
      <c r="K1105" s="25"/>
      <c r="L1105" s="25"/>
      <c r="M1105" s="25"/>
      <c r="N1105" s="26"/>
      <c r="O1105" s="64"/>
      <c r="P1105" s="64"/>
    </row>
    <row r="1106">
      <c r="A1106" s="25"/>
      <c r="B1106" s="59"/>
      <c r="C1106" s="59"/>
      <c r="D1106" s="25"/>
      <c r="E1106" s="25"/>
      <c r="F1106" s="25"/>
      <c r="G1106" s="25"/>
      <c r="H1106" s="25"/>
      <c r="I1106" s="25"/>
      <c r="J1106" s="25"/>
      <c r="K1106" s="25"/>
      <c r="L1106" s="25"/>
      <c r="M1106" s="25"/>
      <c r="N1106" s="26"/>
      <c r="O1106" s="64"/>
      <c r="P1106" s="64"/>
    </row>
    <row r="1107">
      <c r="A1107" s="25"/>
      <c r="B1107" s="59"/>
      <c r="C1107" s="59"/>
      <c r="D1107" s="25"/>
      <c r="E1107" s="25"/>
      <c r="F1107" s="25"/>
      <c r="G1107" s="25"/>
      <c r="H1107" s="25"/>
      <c r="I1107" s="25"/>
      <c r="J1107" s="25"/>
      <c r="K1107" s="25"/>
      <c r="L1107" s="25"/>
      <c r="M1107" s="25"/>
      <c r="N1107" s="26"/>
      <c r="O1107" s="64"/>
      <c r="P1107" s="64"/>
    </row>
    <row r="1108">
      <c r="A1108" s="25"/>
      <c r="B1108" s="59"/>
      <c r="C1108" s="59"/>
      <c r="D1108" s="25"/>
      <c r="E1108" s="25"/>
      <c r="F1108" s="25"/>
      <c r="G1108" s="25"/>
      <c r="H1108" s="25"/>
      <c r="I1108" s="25"/>
      <c r="J1108" s="25"/>
      <c r="K1108" s="25"/>
      <c r="L1108" s="25"/>
      <c r="M1108" s="25"/>
      <c r="N1108" s="26"/>
      <c r="O1108" s="64"/>
      <c r="P1108" s="64"/>
    </row>
    <row r="1109">
      <c r="A1109" s="25"/>
      <c r="B1109" s="59"/>
      <c r="C1109" s="59"/>
      <c r="D1109" s="25"/>
      <c r="E1109" s="25"/>
      <c r="F1109" s="25"/>
      <c r="G1109" s="25"/>
      <c r="H1109" s="25"/>
      <c r="I1109" s="25"/>
      <c r="J1109" s="25"/>
      <c r="K1109" s="25"/>
      <c r="L1109" s="25"/>
      <c r="M1109" s="25"/>
      <c r="N1109" s="26"/>
      <c r="O1109" s="64"/>
      <c r="P1109" s="64"/>
    </row>
    <row r="1110">
      <c r="A1110" s="25"/>
      <c r="B1110" s="59"/>
      <c r="C1110" s="59"/>
      <c r="D1110" s="25"/>
      <c r="E1110" s="25"/>
      <c r="F1110" s="25"/>
      <c r="G1110" s="25"/>
      <c r="H1110" s="25"/>
      <c r="I1110" s="25"/>
      <c r="J1110" s="25"/>
      <c r="K1110" s="25"/>
      <c r="L1110" s="25"/>
      <c r="M1110" s="25"/>
      <c r="N1110" s="26"/>
      <c r="O1110" s="64"/>
      <c r="P1110" s="64"/>
    </row>
    <row r="1111">
      <c r="A1111" s="25"/>
      <c r="B1111" s="59"/>
      <c r="C1111" s="59"/>
      <c r="D1111" s="25"/>
      <c r="E1111" s="25"/>
      <c r="F1111" s="25"/>
      <c r="G1111" s="25"/>
      <c r="H1111" s="25"/>
      <c r="I1111" s="25"/>
      <c r="J1111" s="25"/>
      <c r="K1111" s="25"/>
      <c r="L1111" s="25"/>
      <c r="M1111" s="25"/>
      <c r="N1111" s="26"/>
      <c r="O1111" s="64"/>
      <c r="P1111" s="64"/>
    </row>
    <row r="1112">
      <c r="A1112" s="25"/>
      <c r="B1112" s="59"/>
      <c r="C1112" s="59"/>
      <c r="D1112" s="25"/>
      <c r="E1112" s="25"/>
      <c r="F1112" s="25"/>
      <c r="G1112" s="25"/>
      <c r="H1112" s="25"/>
      <c r="I1112" s="25"/>
      <c r="J1112" s="25"/>
      <c r="K1112" s="25"/>
      <c r="L1112" s="25"/>
      <c r="M1112" s="25"/>
      <c r="N1112" s="26"/>
      <c r="O1112" s="64"/>
      <c r="P1112" s="64"/>
    </row>
    <row r="1113">
      <c r="A1113" s="25"/>
      <c r="B1113" s="59"/>
      <c r="C1113" s="59"/>
      <c r="D1113" s="25"/>
      <c r="E1113" s="25"/>
      <c r="F1113" s="25"/>
      <c r="G1113" s="20"/>
      <c r="H1113" s="25"/>
      <c r="I1113" s="25"/>
      <c r="J1113" s="25"/>
      <c r="K1113" s="25"/>
      <c r="L1113" s="25"/>
      <c r="M1113" s="25"/>
      <c r="N1113" s="26"/>
      <c r="O1113" s="64"/>
      <c r="P1113" s="64"/>
    </row>
    <row r="1114">
      <c r="A1114" s="25"/>
      <c r="B1114" s="59"/>
      <c r="C1114" s="59"/>
      <c r="D1114" s="25"/>
      <c r="E1114" s="25"/>
      <c r="F1114" s="25"/>
      <c r="G1114" s="25"/>
      <c r="H1114" s="25"/>
      <c r="I1114" s="25"/>
      <c r="J1114" s="25"/>
      <c r="K1114" s="25"/>
      <c r="L1114" s="25"/>
      <c r="M1114" s="25"/>
      <c r="N1114" s="26"/>
      <c r="O1114" s="64"/>
      <c r="P1114" s="64"/>
    </row>
    <row r="1115">
      <c r="A1115" s="7"/>
      <c r="B1115" s="8"/>
      <c r="C1115" s="8"/>
      <c r="D1115" s="7"/>
      <c r="E1115" s="7"/>
      <c r="F1115" s="7"/>
      <c r="G1115" s="25"/>
      <c r="H1115" s="9"/>
      <c r="I1115" s="7"/>
      <c r="J1115" s="7"/>
      <c r="K1115" s="7"/>
      <c r="L1115" s="60"/>
      <c r="M1115" s="60"/>
      <c r="N1115" s="10"/>
      <c r="O1115" s="55"/>
      <c r="P1115" s="55"/>
    </row>
    <row r="1116">
      <c r="A1116" s="25"/>
      <c r="B1116" s="59"/>
      <c r="C1116" s="59"/>
      <c r="D1116" s="25"/>
      <c r="E1116" s="25"/>
      <c r="F1116" s="25"/>
      <c r="G1116" s="25"/>
      <c r="H1116" s="25"/>
      <c r="I1116" s="25"/>
      <c r="J1116" s="25"/>
      <c r="K1116" s="25"/>
      <c r="L1116" s="25"/>
      <c r="M1116" s="25"/>
      <c r="N1116" s="26"/>
      <c r="O1116" s="64"/>
      <c r="P1116" s="64"/>
    </row>
    <row r="1117">
      <c r="A1117" s="25"/>
      <c r="B1117" s="59"/>
      <c r="C1117" s="59"/>
      <c r="D1117" s="25"/>
      <c r="E1117" s="25"/>
      <c r="F1117" s="25"/>
      <c r="G1117" s="25"/>
      <c r="H1117" s="25"/>
      <c r="I1117" s="25"/>
      <c r="J1117" s="25"/>
      <c r="K1117" s="25"/>
      <c r="L1117" s="25"/>
      <c r="M1117" s="25"/>
      <c r="N1117" s="26"/>
      <c r="O1117" s="64"/>
      <c r="P1117" s="64"/>
    </row>
    <row r="1118">
      <c r="A1118" s="7"/>
      <c r="B1118" s="8"/>
      <c r="C1118" s="8"/>
      <c r="D1118" s="7"/>
      <c r="E1118" s="7"/>
      <c r="F1118" s="7"/>
      <c r="G1118" s="25"/>
      <c r="H1118" s="9"/>
      <c r="I1118" s="7"/>
      <c r="J1118" s="7"/>
      <c r="K1118" s="7"/>
      <c r="L1118" s="60"/>
      <c r="M1118" s="60"/>
      <c r="N1118" s="10"/>
      <c r="O1118" s="55"/>
      <c r="P1118" s="55"/>
    </row>
    <row r="1119">
      <c r="A1119" s="25"/>
      <c r="B1119" s="59"/>
      <c r="C1119" s="59"/>
      <c r="D1119" s="25"/>
      <c r="E1119" s="25"/>
      <c r="F1119" s="25"/>
      <c r="G1119" s="20"/>
      <c r="H1119" s="25"/>
      <c r="I1119" s="25"/>
      <c r="J1119" s="25"/>
      <c r="K1119" s="25"/>
      <c r="L1119" s="25"/>
      <c r="M1119" s="25"/>
      <c r="N1119" s="26"/>
      <c r="O1119" s="64"/>
      <c r="P1119" s="64"/>
    </row>
    <row r="1120">
      <c r="A1120" s="25"/>
      <c r="B1120" s="59"/>
      <c r="C1120" s="59"/>
      <c r="D1120" s="25"/>
      <c r="E1120" s="25"/>
      <c r="F1120" s="25"/>
      <c r="G1120" s="25"/>
      <c r="H1120" s="25"/>
      <c r="I1120" s="25"/>
      <c r="J1120" s="25"/>
      <c r="K1120" s="25"/>
      <c r="L1120" s="25"/>
      <c r="M1120" s="25"/>
      <c r="N1120" s="26"/>
      <c r="O1120" s="64"/>
      <c r="P1120" s="64"/>
    </row>
    <row r="1121">
      <c r="A1121" s="25"/>
      <c r="B1121" s="59"/>
      <c r="C1121" s="59"/>
      <c r="D1121" s="25"/>
      <c r="E1121" s="25"/>
      <c r="F1121" s="25"/>
      <c r="G1121" s="25"/>
      <c r="H1121" s="25"/>
      <c r="I1121" s="25"/>
      <c r="J1121" s="25"/>
      <c r="K1121" s="25"/>
      <c r="L1121" s="25"/>
      <c r="M1121" s="25"/>
      <c r="N1121" s="26"/>
      <c r="O1121" s="64"/>
      <c r="P1121" s="64"/>
    </row>
    <row r="1122">
      <c r="A1122" s="25"/>
      <c r="B1122" s="59"/>
      <c r="C1122" s="59"/>
      <c r="D1122" s="25"/>
      <c r="E1122" s="25"/>
      <c r="F1122" s="25"/>
      <c r="G1122" s="25"/>
      <c r="H1122" s="25"/>
      <c r="I1122" s="25"/>
      <c r="J1122" s="25"/>
      <c r="K1122" s="25"/>
      <c r="L1122" s="25"/>
      <c r="M1122" s="25"/>
      <c r="N1122" s="26"/>
      <c r="O1122" s="64"/>
      <c r="P1122" s="64"/>
    </row>
    <row r="1123">
      <c r="A1123" s="25"/>
      <c r="B1123" s="59"/>
      <c r="C1123" s="59"/>
      <c r="D1123" s="25"/>
      <c r="E1123" s="25"/>
      <c r="F1123" s="25"/>
      <c r="G1123" s="25"/>
      <c r="H1123" s="25"/>
      <c r="I1123" s="25"/>
      <c r="J1123" s="25"/>
      <c r="K1123" s="25"/>
      <c r="L1123" s="25"/>
      <c r="M1123" s="25"/>
      <c r="N1123" s="26"/>
      <c r="O1123" s="64"/>
      <c r="P1123" s="64"/>
    </row>
    <row r="1124">
      <c r="A1124" s="25"/>
      <c r="B1124" s="59"/>
      <c r="C1124" s="59"/>
      <c r="D1124" s="25"/>
      <c r="E1124" s="25"/>
      <c r="F1124" s="25"/>
      <c r="G1124" s="25"/>
      <c r="H1124" s="25"/>
      <c r="I1124" s="25"/>
      <c r="J1124" s="25"/>
      <c r="K1124" s="25"/>
      <c r="L1124" s="25"/>
      <c r="M1124" s="25"/>
      <c r="N1124" s="26"/>
      <c r="O1124" s="64"/>
      <c r="P1124" s="64"/>
    </row>
    <row r="1125">
      <c r="A1125" s="25"/>
      <c r="B1125" s="59"/>
      <c r="C1125" s="59"/>
      <c r="D1125" s="25"/>
      <c r="E1125" s="25"/>
      <c r="F1125" s="25"/>
      <c r="G1125" s="25"/>
      <c r="H1125" s="25"/>
      <c r="I1125" s="25"/>
      <c r="J1125" s="25"/>
      <c r="K1125" s="25"/>
      <c r="L1125" s="25"/>
      <c r="M1125" s="25"/>
      <c r="N1125" s="26"/>
      <c r="O1125" s="64"/>
      <c r="P1125" s="64"/>
    </row>
    <row r="1126">
      <c r="A1126" s="25"/>
      <c r="B1126" s="59"/>
      <c r="C1126" s="59"/>
      <c r="D1126" s="25"/>
      <c r="E1126" s="25"/>
      <c r="F1126" s="25"/>
      <c r="G1126" s="65"/>
      <c r="H1126" s="25"/>
      <c r="I1126" s="25"/>
      <c r="J1126" s="25"/>
      <c r="K1126" s="25"/>
      <c r="L1126" s="25"/>
      <c r="M1126" s="25"/>
      <c r="N1126" s="26"/>
      <c r="O1126" s="64"/>
      <c r="P1126" s="64"/>
    </row>
    <row r="1127">
      <c r="A1127" s="25"/>
      <c r="B1127" s="59"/>
      <c r="C1127" s="59"/>
      <c r="D1127" s="25"/>
      <c r="E1127" s="25"/>
      <c r="F1127" s="25"/>
      <c r="G1127" s="25"/>
      <c r="H1127" s="25"/>
      <c r="I1127" s="25"/>
      <c r="J1127" s="25"/>
      <c r="K1127" s="25"/>
      <c r="L1127" s="25"/>
      <c r="M1127" s="25"/>
      <c r="N1127" s="26"/>
      <c r="O1127" s="64"/>
      <c r="P1127" s="64"/>
    </row>
    <row r="1128">
      <c r="A1128" s="7"/>
      <c r="B1128" s="8"/>
      <c r="C1128" s="8"/>
      <c r="D1128" s="7"/>
      <c r="E1128" s="7"/>
      <c r="F1128" s="7"/>
      <c r="G1128" s="7"/>
      <c r="H1128" s="9"/>
      <c r="I1128" s="7"/>
      <c r="J1128" s="7"/>
      <c r="K1128" s="7"/>
      <c r="L1128" s="60"/>
      <c r="M1128" s="60"/>
      <c r="N1128" s="10"/>
      <c r="O1128" s="55"/>
      <c r="P1128" s="55"/>
    </row>
    <row r="1129">
      <c r="A1129" s="7"/>
      <c r="B1129" s="8"/>
      <c r="C1129" s="8"/>
      <c r="D1129" s="7"/>
      <c r="E1129" s="7"/>
      <c r="F1129" s="7"/>
      <c r="G1129" s="25"/>
      <c r="H1129" s="9"/>
      <c r="I1129" s="7"/>
      <c r="J1129" s="7"/>
      <c r="K1129" s="7"/>
      <c r="L1129" s="60"/>
      <c r="M1129" s="54"/>
      <c r="N1129" s="10"/>
      <c r="O1129" s="43"/>
      <c r="P1129" s="43"/>
    </row>
    <row r="1130">
      <c r="A1130" s="25"/>
      <c r="B1130" s="59"/>
      <c r="C1130" s="59"/>
      <c r="D1130" s="25"/>
      <c r="E1130" s="25"/>
      <c r="F1130" s="25"/>
      <c r="G1130" s="25"/>
      <c r="H1130" s="25"/>
      <c r="I1130" s="25"/>
      <c r="J1130" s="25"/>
      <c r="K1130" s="25"/>
      <c r="L1130" s="25"/>
      <c r="M1130" s="25"/>
      <c r="N1130" s="26"/>
      <c r="O1130" s="64"/>
      <c r="P1130" s="64"/>
    </row>
    <row r="1131">
      <c r="A1131" s="7"/>
      <c r="B1131" s="8"/>
      <c r="C1131" s="8"/>
      <c r="D1131" s="7"/>
      <c r="E1131" s="7"/>
      <c r="F1131" s="7"/>
      <c r="G1131" s="25"/>
      <c r="H1131" s="9"/>
      <c r="I1131" s="25"/>
      <c r="J1131" s="25"/>
      <c r="K1131" s="25"/>
      <c r="L1131" s="60"/>
      <c r="M1131" s="54"/>
      <c r="N1131" s="10"/>
      <c r="O1131" s="43"/>
      <c r="P1131" s="43"/>
    </row>
    <row r="1132">
      <c r="A1132" s="25"/>
      <c r="B1132" s="59"/>
      <c r="C1132" s="59"/>
      <c r="D1132" s="25"/>
      <c r="E1132" s="25"/>
      <c r="F1132" s="25"/>
      <c r="G1132" s="25"/>
      <c r="H1132" s="25"/>
      <c r="I1132" s="25"/>
      <c r="J1132" s="25"/>
      <c r="K1132" s="25"/>
      <c r="L1132" s="25"/>
      <c r="M1132" s="25"/>
      <c r="N1132" s="26"/>
      <c r="O1132" s="64"/>
      <c r="P1132" s="64"/>
    </row>
    <row r="1133">
      <c r="A1133" s="25"/>
      <c r="B1133" s="59"/>
      <c r="C1133" s="59"/>
      <c r="D1133" s="25"/>
      <c r="E1133" s="25"/>
      <c r="F1133" s="25"/>
      <c r="G1133" s="25"/>
      <c r="H1133" s="25"/>
      <c r="I1133" s="25"/>
      <c r="J1133" s="25"/>
      <c r="K1133" s="25"/>
      <c r="L1133" s="25"/>
      <c r="M1133" s="25"/>
      <c r="N1133" s="26"/>
      <c r="O1133" s="64"/>
      <c r="P1133" s="64"/>
    </row>
    <row r="1134">
      <c r="A1134" s="25"/>
      <c r="B1134" s="59"/>
      <c r="C1134" s="59"/>
      <c r="D1134" s="25"/>
      <c r="E1134" s="25"/>
      <c r="F1134" s="25"/>
      <c r="G1134" s="25"/>
      <c r="H1134" s="25"/>
      <c r="I1134" s="25"/>
      <c r="J1134" s="25"/>
      <c r="K1134" s="25"/>
      <c r="L1134" s="25"/>
      <c r="M1134" s="25"/>
      <c r="N1134" s="26"/>
      <c r="O1134" s="64"/>
      <c r="P1134" s="64"/>
    </row>
    <row r="1135">
      <c r="A1135" s="25"/>
      <c r="B1135" s="59"/>
      <c r="C1135" s="59"/>
      <c r="D1135" s="25"/>
      <c r="E1135" s="25"/>
      <c r="F1135" s="25"/>
      <c r="G1135" s="20"/>
      <c r="H1135" s="25"/>
      <c r="I1135" s="25"/>
      <c r="J1135" s="25"/>
      <c r="K1135" s="25"/>
      <c r="L1135" s="25"/>
      <c r="M1135" s="25"/>
      <c r="N1135" s="26"/>
      <c r="O1135" s="64"/>
      <c r="P1135" s="64"/>
    </row>
    <row r="1136">
      <c r="A1136" s="25"/>
      <c r="B1136" s="59"/>
      <c r="C1136" s="59"/>
      <c r="D1136" s="25"/>
      <c r="E1136" s="25"/>
      <c r="F1136" s="25"/>
      <c r="G1136" s="25"/>
      <c r="H1136" s="25"/>
      <c r="I1136" s="25"/>
      <c r="J1136" s="25"/>
      <c r="K1136" s="25"/>
      <c r="L1136" s="25"/>
      <c r="M1136" s="25"/>
      <c r="N1136" s="26"/>
      <c r="O1136" s="64"/>
      <c r="P1136" s="64"/>
    </row>
    <row r="1137">
      <c r="A1137" s="25"/>
      <c r="B1137" s="59"/>
      <c r="C1137" s="59"/>
      <c r="D1137" s="25"/>
      <c r="E1137" s="25"/>
      <c r="F1137" s="25"/>
      <c r="G1137" s="25"/>
      <c r="H1137" s="25"/>
      <c r="I1137" s="25"/>
      <c r="J1137" s="25"/>
      <c r="K1137" s="25"/>
      <c r="L1137" s="25"/>
      <c r="M1137" s="25"/>
      <c r="N1137" s="26"/>
      <c r="O1137" s="64"/>
      <c r="P1137" s="64"/>
    </row>
    <row r="1138">
      <c r="A1138" s="7"/>
      <c r="B1138" s="8"/>
      <c r="C1138" s="8"/>
      <c r="D1138" s="7"/>
      <c r="E1138" s="7"/>
      <c r="F1138" s="7"/>
      <c r="G1138" s="25"/>
      <c r="H1138" s="9"/>
      <c r="I1138" s="7"/>
      <c r="J1138" s="7"/>
      <c r="K1138" s="7"/>
      <c r="L1138" s="60"/>
      <c r="M1138" s="54"/>
      <c r="N1138" s="10"/>
      <c r="O1138" s="43"/>
      <c r="P1138" s="43"/>
    </row>
    <row r="1139">
      <c r="A1139" s="25"/>
      <c r="B1139" s="59"/>
      <c r="C1139" s="59"/>
      <c r="D1139" s="25"/>
      <c r="E1139" s="25"/>
      <c r="F1139" s="25"/>
      <c r="G1139" s="25"/>
      <c r="H1139" s="25"/>
      <c r="I1139" s="25"/>
      <c r="J1139" s="25"/>
      <c r="K1139" s="25"/>
      <c r="L1139" s="25"/>
      <c r="M1139" s="25"/>
      <c r="N1139" s="26"/>
      <c r="O1139" s="64"/>
      <c r="P1139" s="64"/>
    </row>
    <row r="1140">
      <c r="A1140" s="25"/>
      <c r="B1140" s="59"/>
      <c r="C1140" s="59"/>
      <c r="D1140" s="25"/>
      <c r="E1140" s="25"/>
      <c r="F1140" s="25"/>
      <c r="G1140" s="25"/>
      <c r="H1140" s="25"/>
      <c r="I1140" s="25"/>
      <c r="J1140" s="25"/>
      <c r="K1140" s="25"/>
      <c r="L1140" s="25"/>
      <c r="M1140" s="25"/>
      <c r="N1140" s="26"/>
      <c r="O1140" s="64"/>
      <c r="P1140" s="64"/>
    </row>
    <row r="1141">
      <c r="A1141" s="7"/>
      <c r="B1141" s="8"/>
      <c r="C1141" s="8"/>
      <c r="D1141" s="7"/>
      <c r="E1141" s="7"/>
      <c r="F1141" s="7"/>
      <c r="G1141" s="20"/>
      <c r="H1141" s="9"/>
      <c r="I1141" s="7"/>
      <c r="J1141" s="7"/>
      <c r="K1141" s="7"/>
      <c r="L1141" s="60"/>
      <c r="M1141" s="60"/>
      <c r="N1141" s="10"/>
      <c r="O1141" s="55"/>
      <c r="P1141" s="55"/>
    </row>
    <row r="1142">
      <c r="A1142" s="7"/>
      <c r="B1142" s="8"/>
      <c r="C1142" s="8"/>
      <c r="D1142" s="7"/>
      <c r="E1142" s="7"/>
      <c r="F1142" s="7"/>
      <c r="G1142" s="7"/>
      <c r="H1142" s="9"/>
      <c r="I1142" s="7"/>
      <c r="J1142" s="7"/>
      <c r="K1142" s="7"/>
      <c r="L1142" s="60"/>
      <c r="M1142" s="54"/>
      <c r="N1142" s="10"/>
      <c r="O1142" s="43"/>
      <c r="P1142" s="43"/>
    </row>
    <row r="1143">
      <c r="A1143" s="25"/>
      <c r="B1143" s="59"/>
      <c r="C1143" s="59"/>
      <c r="D1143" s="25"/>
      <c r="E1143" s="25"/>
      <c r="F1143" s="25"/>
      <c r="G1143" s="25"/>
      <c r="H1143" s="25"/>
      <c r="I1143" s="25"/>
      <c r="J1143" s="25"/>
      <c r="K1143" s="25"/>
      <c r="L1143" s="25"/>
      <c r="M1143" s="25"/>
      <c r="N1143" s="26"/>
      <c r="O1143" s="64"/>
      <c r="P1143" s="64"/>
    </row>
    <row r="1144">
      <c r="A1144" s="25"/>
      <c r="B1144" s="59"/>
      <c r="C1144" s="59"/>
      <c r="D1144" s="25"/>
      <c r="E1144" s="25"/>
      <c r="F1144" s="25"/>
      <c r="G1144" s="25"/>
      <c r="H1144" s="25"/>
      <c r="I1144" s="25"/>
      <c r="J1144" s="25"/>
      <c r="K1144" s="25"/>
      <c r="L1144" s="25"/>
      <c r="M1144" s="25"/>
      <c r="N1144" s="26"/>
      <c r="O1144" s="64"/>
      <c r="P1144" s="64"/>
    </row>
    <row r="1145">
      <c r="A1145" s="25"/>
      <c r="B1145" s="59"/>
      <c r="C1145" s="59"/>
      <c r="D1145" s="25"/>
      <c r="E1145" s="25"/>
      <c r="F1145" s="25"/>
      <c r="G1145" s="25"/>
      <c r="H1145" s="25"/>
      <c r="I1145" s="25"/>
      <c r="J1145" s="25"/>
      <c r="K1145" s="25"/>
      <c r="L1145" s="25"/>
      <c r="M1145" s="25"/>
      <c r="N1145" s="26"/>
      <c r="O1145" s="64"/>
      <c r="P1145" s="64"/>
    </row>
    <row r="1146">
      <c r="A1146" s="25"/>
      <c r="B1146" s="59"/>
      <c r="C1146" s="59"/>
      <c r="D1146" s="25"/>
      <c r="E1146" s="25"/>
      <c r="F1146" s="25"/>
      <c r="G1146" s="25"/>
      <c r="H1146" s="25"/>
      <c r="I1146" s="25"/>
      <c r="J1146" s="25"/>
      <c r="K1146" s="25"/>
      <c r="L1146" s="25"/>
      <c r="M1146" s="25"/>
      <c r="N1146" s="26"/>
      <c r="O1146" s="64"/>
      <c r="P1146" s="64"/>
    </row>
    <row r="1147">
      <c r="A1147" s="25"/>
      <c r="B1147" s="59"/>
      <c r="C1147" s="59"/>
      <c r="D1147" s="25"/>
      <c r="E1147" s="25"/>
      <c r="F1147" s="25"/>
      <c r="G1147" s="25"/>
      <c r="H1147" s="25"/>
      <c r="I1147" s="25"/>
      <c r="J1147" s="25"/>
      <c r="K1147" s="25"/>
      <c r="L1147" s="25"/>
      <c r="M1147" s="25"/>
      <c r="N1147" s="26"/>
      <c r="O1147" s="64"/>
      <c r="P1147" s="64"/>
    </row>
    <row r="1148">
      <c r="A1148" s="25"/>
      <c r="B1148" s="59"/>
      <c r="C1148" s="59"/>
      <c r="D1148" s="25"/>
      <c r="E1148" s="25"/>
      <c r="F1148" s="25"/>
      <c r="G1148" s="25"/>
      <c r="H1148" s="25"/>
      <c r="I1148" s="25"/>
      <c r="J1148" s="25"/>
      <c r="K1148" s="25"/>
      <c r="L1148" s="25"/>
      <c r="M1148" s="25"/>
      <c r="N1148" s="26"/>
      <c r="O1148" s="64"/>
      <c r="P1148" s="64"/>
    </row>
    <row r="1149">
      <c r="A1149" s="25"/>
      <c r="B1149" s="59"/>
      <c r="C1149" s="59"/>
      <c r="D1149" s="25"/>
      <c r="E1149" s="25"/>
      <c r="F1149" s="25"/>
      <c r="G1149" s="25"/>
      <c r="H1149" s="25"/>
      <c r="I1149" s="25"/>
      <c r="J1149" s="25"/>
      <c r="K1149" s="25"/>
      <c r="L1149" s="25"/>
      <c r="M1149" s="25"/>
      <c r="N1149" s="26"/>
      <c r="O1149" s="64"/>
      <c r="P1149" s="64"/>
    </row>
    <row r="1150">
      <c r="A1150" s="25"/>
      <c r="B1150" s="59"/>
      <c r="C1150" s="59"/>
      <c r="D1150" s="25"/>
      <c r="E1150" s="25"/>
      <c r="F1150" s="25"/>
      <c r="G1150" s="25"/>
      <c r="H1150" s="25"/>
      <c r="I1150" s="25"/>
      <c r="J1150" s="25"/>
      <c r="K1150" s="25"/>
      <c r="L1150" s="25"/>
      <c r="M1150" s="25"/>
      <c r="N1150" s="26"/>
      <c r="O1150" s="64"/>
      <c r="P1150" s="64"/>
    </row>
    <row r="1151">
      <c r="A1151" s="7"/>
      <c r="B1151" s="8"/>
      <c r="C1151" s="8"/>
      <c r="D1151" s="7"/>
      <c r="E1151" s="7"/>
      <c r="F1151" s="7"/>
      <c r="G1151" s="7"/>
      <c r="H1151" s="9"/>
      <c r="I1151" s="7"/>
      <c r="J1151" s="7"/>
      <c r="K1151" s="7"/>
      <c r="L1151" s="60"/>
      <c r="M1151" s="54"/>
      <c r="N1151" s="10"/>
      <c r="O1151" s="43"/>
      <c r="P1151" s="43"/>
    </row>
    <row r="1152">
      <c r="A1152" s="25"/>
      <c r="B1152" s="59"/>
      <c r="C1152" s="59"/>
      <c r="D1152" s="25"/>
      <c r="E1152" s="25"/>
      <c r="F1152" s="25"/>
      <c r="G1152" s="25"/>
      <c r="H1152" s="25"/>
      <c r="I1152" s="25"/>
      <c r="J1152" s="25"/>
      <c r="K1152" s="25"/>
      <c r="L1152" s="25"/>
      <c r="M1152" s="25"/>
      <c r="N1152" s="26"/>
      <c r="O1152" s="64"/>
      <c r="P1152" s="64"/>
    </row>
    <row r="1153">
      <c r="A1153" s="25"/>
      <c r="B1153" s="59"/>
      <c r="C1153" s="59"/>
      <c r="D1153" s="25"/>
      <c r="E1153" s="25"/>
      <c r="F1153" s="25"/>
      <c r="G1153" s="25"/>
      <c r="H1153" s="25"/>
      <c r="I1153" s="25"/>
      <c r="J1153" s="25"/>
      <c r="K1153" s="25"/>
      <c r="L1153" s="25"/>
      <c r="M1153" s="25"/>
      <c r="N1153" s="26"/>
      <c r="O1153" s="64"/>
      <c r="P1153" s="64"/>
    </row>
    <row r="1154">
      <c r="A1154" s="25"/>
      <c r="B1154" s="59"/>
      <c r="C1154" s="59"/>
      <c r="D1154" s="25"/>
      <c r="E1154" s="25"/>
      <c r="F1154" s="25"/>
      <c r="G1154" s="25"/>
      <c r="H1154" s="25"/>
      <c r="I1154" s="25"/>
      <c r="J1154" s="25"/>
      <c r="K1154" s="25"/>
      <c r="L1154" s="25"/>
      <c r="M1154" s="25"/>
      <c r="N1154" s="26"/>
      <c r="O1154" s="64"/>
      <c r="P1154" s="64"/>
    </row>
    <row r="1155">
      <c r="A1155" s="25"/>
      <c r="B1155" s="59"/>
      <c r="C1155" s="59"/>
      <c r="D1155" s="25"/>
      <c r="E1155" s="25"/>
      <c r="F1155" s="25"/>
      <c r="G1155" s="25"/>
      <c r="H1155" s="25"/>
      <c r="I1155" s="25"/>
      <c r="J1155" s="25"/>
      <c r="K1155" s="25"/>
      <c r="L1155" s="25"/>
      <c r="M1155" s="25"/>
      <c r="N1155" s="26"/>
      <c r="O1155" s="64"/>
      <c r="P1155" s="64"/>
    </row>
    <row r="1156">
      <c r="A1156" s="25"/>
      <c r="B1156" s="59"/>
      <c r="C1156" s="59"/>
      <c r="D1156" s="25"/>
      <c r="E1156" s="25"/>
      <c r="F1156" s="25"/>
      <c r="G1156" s="25"/>
      <c r="H1156" s="25"/>
      <c r="I1156" s="25"/>
      <c r="J1156" s="25"/>
      <c r="K1156" s="25"/>
      <c r="L1156" s="25"/>
      <c r="M1156" s="25"/>
      <c r="N1156" s="26"/>
      <c r="O1156" s="64"/>
      <c r="P1156" s="64"/>
    </row>
    <row r="1157">
      <c r="A1157" s="7"/>
      <c r="B1157" s="8"/>
      <c r="C1157" s="8"/>
      <c r="D1157" s="7"/>
      <c r="E1157" s="7"/>
      <c r="F1157" s="7"/>
      <c r="G1157" s="7"/>
      <c r="H1157" s="9"/>
      <c r="I1157" s="7"/>
      <c r="J1157" s="7"/>
      <c r="K1157" s="7"/>
      <c r="L1157" s="60"/>
      <c r="M1157" s="54"/>
      <c r="N1157" s="10"/>
      <c r="O1157" s="43"/>
      <c r="P1157" s="43"/>
    </row>
    <row r="1158">
      <c r="A1158" s="25"/>
      <c r="B1158" s="59"/>
      <c r="C1158" s="59"/>
      <c r="D1158" s="25"/>
      <c r="E1158" s="25"/>
      <c r="F1158" s="25"/>
      <c r="G1158" s="25"/>
      <c r="H1158" s="25"/>
      <c r="I1158" s="25"/>
      <c r="J1158" s="25"/>
      <c r="K1158" s="25"/>
      <c r="L1158" s="25"/>
      <c r="M1158" s="25"/>
      <c r="N1158" s="26"/>
      <c r="O1158" s="64"/>
      <c r="P1158" s="64"/>
    </row>
    <row r="1159">
      <c r="A1159" s="25"/>
      <c r="B1159" s="59"/>
      <c r="C1159" s="59"/>
      <c r="D1159" s="25"/>
      <c r="E1159" s="25"/>
      <c r="F1159" s="25"/>
      <c r="G1159" s="25"/>
      <c r="H1159" s="25"/>
      <c r="I1159" s="25"/>
      <c r="J1159" s="25"/>
      <c r="K1159" s="25"/>
      <c r="L1159" s="25"/>
      <c r="M1159" s="25"/>
      <c r="N1159" s="26"/>
      <c r="O1159" s="64"/>
      <c r="P1159" s="64"/>
    </row>
    <row r="1160">
      <c r="A1160" s="25"/>
      <c r="B1160" s="59"/>
      <c r="C1160" s="59"/>
      <c r="D1160" s="25"/>
      <c r="E1160" s="25"/>
      <c r="F1160" s="25"/>
      <c r="G1160" s="25"/>
      <c r="H1160" s="25"/>
      <c r="I1160" s="25"/>
      <c r="J1160" s="25"/>
      <c r="K1160" s="25"/>
      <c r="L1160" s="25"/>
      <c r="M1160" s="25"/>
      <c r="N1160" s="26"/>
      <c r="O1160" s="64"/>
      <c r="P1160" s="64"/>
    </row>
    <row r="1161">
      <c r="A1161" s="7"/>
      <c r="B1161" s="8"/>
      <c r="C1161" s="8"/>
      <c r="D1161" s="7"/>
      <c r="E1161" s="7"/>
      <c r="F1161" s="7"/>
      <c r="G1161" s="65"/>
      <c r="H1161" s="9"/>
      <c r="I1161" s="7"/>
      <c r="J1161" s="7"/>
      <c r="K1161" s="7"/>
      <c r="L1161" s="60"/>
      <c r="M1161" s="60"/>
      <c r="N1161" s="10"/>
      <c r="O1161" s="55"/>
      <c r="P1161" s="55"/>
    </row>
    <row r="1162">
      <c r="A1162" s="25"/>
      <c r="B1162" s="59"/>
      <c r="C1162" s="59"/>
      <c r="D1162" s="25"/>
      <c r="E1162" s="25"/>
      <c r="F1162" s="25"/>
      <c r="G1162" s="65"/>
      <c r="H1162" s="25"/>
      <c r="I1162" s="25"/>
      <c r="J1162" s="25"/>
      <c r="K1162" s="25"/>
      <c r="L1162" s="25"/>
      <c r="M1162" s="25"/>
      <c r="N1162" s="26"/>
      <c r="O1162" s="64"/>
      <c r="P1162" s="64"/>
    </row>
    <row r="1163">
      <c r="A1163" s="25"/>
      <c r="B1163" s="59"/>
      <c r="C1163" s="59"/>
      <c r="D1163" s="25"/>
      <c r="E1163" s="25"/>
      <c r="F1163" s="25"/>
      <c r="G1163" s="25"/>
      <c r="H1163" s="25"/>
      <c r="I1163" s="25"/>
      <c r="J1163" s="25"/>
      <c r="K1163" s="25"/>
      <c r="L1163" s="25"/>
      <c r="M1163" s="25"/>
      <c r="N1163" s="26"/>
      <c r="O1163" s="64"/>
      <c r="P1163" s="64"/>
    </row>
    <row r="1164">
      <c r="A1164" s="25"/>
      <c r="B1164" s="59"/>
      <c r="C1164" s="59"/>
      <c r="D1164" s="25"/>
      <c r="E1164" s="25"/>
      <c r="F1164" s="25"/>
      <c r="G1164" s="65"/>
      <c r="H1164" s="25"/>
      <c r="I1164" s="25"/>
      <c r="J1164" s="25"/>
      <c r="K1164" s="25"/>
      <c r="L1164" s="25"/>
      <c r="M1164" s="25"/>
      <c r="N1164" s="26"/>
      <c r="O1164" s="64"/>
      <c r="P1164" s="64"/>
    </row>
    <row r="1165">
      <c r="A1165" s="25"/>
      <c r="B1165" s="59"/>
      <c r="C1165" s="59"/>
      <c r="D1165" s="25"/>
      <c r="E1165" s="25"/>
      <c r="F1165" s="25"/>
      <c r="G1165" s="25"/>
      <c r="H1165" s="25"/>
      <c r="I1165" s="25"/>
      <c r="J1165" s="25"/>
      <c r="K1165" s="25"/>
      <c r="L1165" s="25"/>
      <c r="M1165" s="25"/>
      <c r="N1165" s="26"/>
      <c r="O1165" s="64"/>
      <c r="P1165" s="64"/>
    </row>
    <row r="1166">
      <c r="A1166" s="7"/>
      <c r="B1166" s="8"/>
      <c r="C1166" s="8"/>
      <c r="D1166" s="7"/>
      <c r="E1166" s="7"/>
      <c r="F1166" s="7"/>
      <c r="G1166" s="7"/>
      <c r="H1166" s="9"/>
      <c r="I1166" s="7"/>
      <c r="J1166" s="7"/>
      <c r="K1166" s="7"/>
      <c r="L1166" s="60"/>
      <c r="M1166" s="60"/>
      <c r="N1166" s="10"/>
      <c r="O1166" s="55"/>
      <c r="P1166" s="55"/>
    </row>
    <row r="1167">
      <c r="A1167" s="25"/>
      <c r="B1167" s="59"/>
      <c r="C1167" s="59"/>
      <c r="D1167" s="25"/>
      <c r="E1167" s="25"/>
      <c r="F1167" s="25"/>
      <c r="G1167" s="25"/>
      <c r="H1167" s="25"/>
      <c r="I1167" s="25"/>
      <c r="J1167" s="25"/>
      <c r="K1167" s="25"/>
      <c r="L1167" s="25"/>
      <c r="M1167" s="25"/>
      <c r="N1167" s="26"/>
      <c r="O1167" s="64"/>
      <c r="P1167" s="64"/>
    </row>
    <row r="1168">
      <c r="A1168" s="25"/>
      <c r="B1168" s="59"/>
      <c r="C1168" s="59"/>
      <c r="D1168" s="25"/>
      <c r="E1168" s="25"/>
      <c r="F1168" s="25"/>
      <c r="G1168" s="25"/>
      <c r="H1168" s="25"/>
      <c r="I1168" s="25"/>
      <c r="J1168" s="25"/>
      <c r="K1168" s="25"/>
      <c r="L1168" s="25"/>
      <c r="M1168" s="25"/>
      <c r="N1168" s="26"/>
      <c r="O1168" s="64"/>
      <c r="P1168" s="64"/>
    </row>
    <row r="1169">
      <c r="A1169" s="25"/>
      <c r="B1169" s="59"/>
      <c r="C1169" s="59"/>
      <c r="D1169" s="25"/>
      <c r="E1169" s="25"/>
      <c r="F1169" s="25"/>
      <c r="G1169" s="25"/>
      <c r="H1169" s="25"/>
      <c r="I1169" s="25"/>
      <c r="J1169" s="25"/>
      <c r="K1169" s="25"/>
      <c r="L1169" s="25"/>
      <c r="M1169" s="25"/>
      <c r="N1169" s="26"/>
      <c r="O1169" s="64"/>
      <c r="P1169" s="64"/>
    </row>
    <row r="1170">
      <c r="A1170" s="25"/>
      <c r="B1170" s="59"/>
      <c r="C1170" s="59"/>
      <c r="D1170" s="25"/>
      <c r="E1170" s="25"/>
      <c r="F1170" s="25"/>
      <c r="G1170" s="25"/>
      <c r="H1170" s="25"/>
      <c r="I1170" s="25"/>
      <c r="J1170" s="25"/>
      <c r="K1170" s="25"/>
      <c r="L1170" s="25"/>
      <c r="M1170" s="25"/>
      <c r="N1170" s="26"/>
      <c r="O1170" s="64"/>
      <c r="P1170" s="64"/>
    </row>
    <row r="1171">
      <c r="A1171" s="25"/>
      <c r="B1171" s="59"/>
      <c r="C1171" s="59"/>
      <c r="D1171" s="25"/>
      <c r="E1171" s="25"/>
      <c r="F1171" s="25"/>
      <c r="G1171" s="25"/>
      <c r="H1171" s="25"/>
      <c r="I1171" s="25"/>
      <c r="J1171" s="25"/>
      <c r="K1171" s="25"/>
      <c r="L1171" s="25"/>
      <c r="M1171" s="25"/>
      <c r="N1171" s="26"/>
      <c r="O1171" s="64"/>
      <c r="P1171" s="64"/>
    </row>
    <row r="1172">
      <c r="A1172" s="25"/>
      <c r="B1172" s="59"/>
      <c r="C1172" s="59"/>
      <c r="D1172" s="25"/>
      <c r="E1172" s="25"/>
      <c r="F1172" s="25"/>
      <c r="G1172" s="25"/>
      <c r="H1172" s="25"/>
      <c r="I1172" s="25"/>
      <c r="J1172" s="25"/>
      <c r="K1172" s="25"/>
      <c r="L1172" s="25"/>
      <c r="M1172" s="25"/>
      <c r="N1172" s="26"/>
      <c r="O1172" s="64"/>
      <c r="P1172" s="64"/>
    </row>
    <row r="1173">
      <c r="A1173" s="25"/>
      <c r="B1173" s="59"/>
      <c r="C1173" s="59"/>
      <c r="D1173" s="25"/>
      <c r="E1173" s="25"/>
      <c r="F1173" s="25"/>
      <c r="G1173" s="25"/>
      <c r="H1173" s="25"/>
      <c r="I1173" s="25"/>
      <c r="J1173" s="25"/>
      <c r="K1173" s="25"/>
      <c r="L1173" s="25"/>
      <c r="M1173" s="25"/>
      <c r="N1173" s="26"/>
      <c r="O1173" s="64"/>
      <c r="P1173" s="64"/>
    </row>
    <row r="1174">
      <c r="A1174" s="25"/>
      <c r="B1174" s="59"/>
      <c r="C1174" s="59"/>
      <c r="D1174" s="25"/>
      <c r="E1174" s="25"/>
      <c r="F1174" s="25"/>
      <c r="G1174" s="25"/>
      <c r="H1174" s="25"/>
      <c r="I1174" s="25"/>
      <c r="J1174" s="25"/>
      <c r="K1174" s="25"/>
      <c r="L1174" s="25"/>
      <c r="M1174" s="25"/>
      <c r="N1174" s="26"/>
      <c r="O1174" s="64"/>
      <c r="P1174" s="64"/>
    </row>
    <row r="1175">
      <c r="A1175" s="25"/>
      <c r="B1175" s="59"/>
      <c r="C1175" s="59"/>
      <c r="D1175" s="25"/>
      <c r="E1175" s="25"/>
      <c r="F1175" s="25"/>
      <c r="G1175" s="25"/>
      <c r="H1175" s="25"/>
      <c r="I1175" s="25"/>
      <c r="J1175" s="25"/>
      <c r="K1175" s="25"/>
      <c r="L1175" s="25"/>
      <c r="M1175" s="25"/>
      <c r="N1175" s="26"/>
      <c r="O1175" s="64"/>
      <c r="P1175" s="64"/>
    </row>
    <row r="1176">
      <c r="A1176" s="25"/>
      <c r="B1176" s="59"/>
      <c r="C1176" s="59"/>
      <c r="D1176" s="25"/>
      <c r="E1176" s="25"/>
      <c r="F1176" s="25"/>
      <c r="G1176" s="25"/>
      <c r="H1176" s="25"/>
      <c r="I1176" s="25"/>
      <c r="J1176" s="25"/>
      <c r="K1176" s="25"/>
      <c r="L1176" s="25"/>
      <c r="M1176" s="25"/>
      <c r="N1176" s="26"/>
      <c r="O1176" s="64"/>
      <c r="P1176" s="64"/>
    </row>
    <row r="1177">
      <c r="A1177" s="25"/>
      <c r="B1177" s="59"/>
      <c r="C1177" s="59"/>
      <c r="D1177" s="25"/>
      <c r="E1177" s="25"/>
      <c r="F1177" s="25"/>
      <c r="G1177" s="25"/>
      <c r="H1177" s="25"/>
      <c r="I1177" s="25"/>
      <c r="J1177" s="25"/>
      <c r="K1177" s="25"/>
      <c r="L1177" s="25"/>
      <c r="M1177" s="25"/>
      <c r="N1177" s="26"/>
      <c r="O1177" s="64"/>
      <c r="P1177" s="64"/>
    </row>
    <row r="1178">
      <c r="A1178" s="7"/>
      <c r="B1178" s="8"/>
      <c r="C1178" s="8"/>
      <c r="D1178" s="7"/>
      <c r="E1178" s="7"/>
      <c r="F1178" s="7"/>
      <c r="G1178" s="25"/>
      <c r="H1178" s="9"/>
      <c r="I1178" s="7"/>
      <c r="J1178" s="7"/>
      <c r="K1178" s="7"/>
      <c r="L1178" s="60"/>
      <c r="M1178" s="60"/>
      <c r="N1178" s="10"/>
      <c r="O1178" s="55"/>
      <c r="P1178" s="55"/>
    </row>
    <row r="1179">
      <c r="A1179" s="25"/>
      <c r="B1179" s="59"/>
      <c r="C1179" s="59"/>
      <c r="D1179" s="25"/>
      <c r="E1179" s="25"/>
      <c r="F1179" s="25"/>
      <c r="G1179" s="25"/>
      <c r="H1179" s="25"/>
      <c r="I1179" s="25"/>
      <c r="J1179" s="25"/>
      <c r="K1179" s="25"/>
      <c r="L1179" s="25"/>
      <c r="M1179" s="25"/>
      <c r="N1179" s="26"/>
      <c r="O1179" s="64"/>
      <c r="P1179" s="64"/>
    </row>
    <row r="1180">
      <c r="A1180" s="25"/>
      <c r="B1180" s="59"/>
      <c r="C1180" s="59"/>
      <c r="D1180" s="25"/>
      <c r="E1180" s="25"/>
      <c r="F1180" s="25"/>
      <c r="G1180" s="25"/>
      <c r="H1180" s="25"/>
      <c r="I1180" s="25"/>
      <c r="J1180" s="25"/>
      <c r="K1180" s="25"/>
      <c r="L1180" s="25"/>
      <c r="M1180" s="25"/>
      <c r="N1180" s="26"/>
      <c r="O1180" s="64"/>
      <c r="P1180" s="64"/>
    </row>
    <row r="1181">
      <c r="A1181" s="25"/>
      <c r="B1181" s="59"/>
      <c r="C1181" s="59"/>
      <c r="D1181" s="25"/>
      <c r="E1181" s="25"/>
      <c r="F1181" s="25"/>
      <c r="G1181" s="25"/>
      <c r="H1181" s="25"/>
      <c r="I1181" s="25"/>
      <c r="J1181" s="25"/>
      <c r="K1181" s="25"/>
      <c r="L1181" s="25"/>
      <c r="M1181" s="25"/>
      <c r="N1181" s="26"/>
      <c r="O1181" s="64"/>
      <c r="P1181" s="64"/>
    </row>
    <row r="1182">
      <c r="A1182" s="25"/>
      <c r="B1182" s="59"/>
      <c r="C1182" s="59"/>
      <c r="D1182" s="25"/>
      <c r="E1182" s="25"/>
      <c r="F1182" s="25"/>
      <c r="G1182" s="25"/>
      <c r="H1182" s="25"/>
      <c r="I1182" s="25"/>
      <c r="J1182" s="25"/>
      <c r="K1182" s="25"/>
      <c r="L1182" s="25"/>
      <c r="M1182" s="25"/>
      <c r="N1182" s="26"/>
      <c r="O1182" s="64"/>
      <c r="P1182" s="64"/>
    </row>
    <row r="1183">
      <c r="A1183" s="25"/>
      <c r="B1183" s="59"/>
      <c r="C1183" s="59"/>
      <c r="D1183" s="25"/>
      <c r="E1183" s="25"/>
      <c r="F1183" s="25"/>
      <c r="G1183" s="25"/>
      <c r="H1183" s="25"/>
      <c r="I1183" s="25"/>
      <c r="J1183" s="25"/>
      <c r="K1183" s="25"/>
      <c r="L1183" s="25"/>
      <c r="M1183" s="25"/>
      <c r="N1183" s="26"/>
      <c r="O1183" s="64"/>
      <c r="P1183" s="64"/>
    </row>
    <row r="1184">
      <c r="A1184" s="25"/>
      <c r="B1184" s="59"/>
      <c r="C1184" s="59"/>
      <c r="D1184" s="25"/>
      <c r="E1184" s="25"/>
      <c r="F1184" s="25"/>
      <c r="G1184" s="25"/>
      <c r="H1184" s="25"/>
      <c r="I1184" s="25"/>
      <c r="J1184" s="25"/>
      <c r="K1184" s="25"/>
      <c r="L1184" s="25"/>
      <c r="M1184" s="25"/>
      <c r="N1184" s="26"/>
      <c r="O1184" s="64"/>
      <c r="P1184" s="64"/>
    </row>
    <row r="1185">
      <c r="A1185" s="25"/>
      <c r="B1185" s="59"/>
      <c r="C1185" s="59"/>
      <c r="D1185" s="25"/>
      <c r="E1185" s="25"/>
      <c r="F1185" s="25"/>
      <c r="G1185" s="25"/>
      <c r="H1185" s="25"/>
      <c r="I1185" s="25"/>
      <c r="J1185" s="25"/>
      <c r="K1185" s="25"/>
      <c r="L1185" s="25"/>
      <c r="M1185" s="25"/>
      <c r="N1185" s="26"/>
      <c r="O1185" s="64"/>
      <c r="P1185" s="64"/>
    </row>
    <row r="1186">
      <c r="A1186" s="25"/>
      <c r="B1186" s="59"/>
      <c r="C1186" s="59"/>
      <c r="D1186" s="25"/>
      <c r="E1186" s="25"/>
      <c r="F1186" s="25"/>
      <c r="G1186" s="25"/>
      <c r="H1186" s="25"/>
      <c r="I1186" s="25"/>
      <c r="J1186" s="25"/>
      <c r="K1186" s="25"/>
      <c r="L1186" s="25"/>
      <c r="M1186" s="25"/>
      <c r="N1186" s="26"/>
      <c r="O1186" s="64"/>
      <c r="P1186" s="64"/>
    </row>
    <row r="1187">
      <c r="A1187" s="25"/>
      <c r="B1187" s="59"/>
      <c r="C1187" s="59"/>
      <c r="D1187" s="25"/>
      <c r="E1187" s="25"/>
      <c r="F1187" s="25"/>
      <c r="G1187" s="25"/>
      <c r="H1187" s="25"/>
      <c r="I1187" s="25"/>
      <c r="J1187" s="25"/>
      <c r="K1187" s="25"/>
      <c r="L1187" s="25"/>
      <c r="M1187" s="25"/>
      <c r="N1187" s="26"/>
      <c r="O1187" s="64"/>
      <c r="P1187" s="64"/>
    </row>
    <row r="1188">
      <c r="A1188" s="25"/>
      <c r="B1188" s="59"/>
      <c r="C1188" s="59"/>
      <c r="D1188" s="25"/>
      <c r="E1188" s="25"/>
      <c r="F1188" s="25"/>
      <c r="G1188" s="25"/>
      <c r="H1188" s="25"/>
      <c r="I1188" s="25"/>
      <c r="J1188" s="25"/>
      <c r="K1188" s="25"/>
      <c r="L1188" s="25"/>
      <c r="M1188" s="25"/>
      <c r="N1188" s="26"/>
      <c r="O1188" s="64"/>
      <c r="P1188" s="64"/>
    </row>
    <row r="1189">
      <c r="A1189" s="25"/>
      <c r="B1189" s="59"/>
      <c r="C1189" s="59"/>
      <c r="D1189" s="25"/>
      <c r="E1189" s="25"/>
      <c r="F1189" s="25"/>
      <c r="G1189" s="25"/>
      <c r="H1189" s="25"/>
      <c r="I1189" s="25"/>
      <c r="J1189" s="25"/>
      <c r="K1189" s="25"/>
      <c r="L1189" s="25"/>
      <c r="M1189" s="25"/>
      <c r="N1189" s="26"/>
      <c r="O1189" s="64"/>
      <c r="P1189" s="64"/>
    </row>
    <row r="1190">
      <c r="A1190" s="25"/>
      <c r="B1190" s="59"/>
      <c r="C1190" s="59"/>
      <c r="D1190" s="25"/>
      <c r="E1190" s="25"/>
      <c r="F1190" s="25"/>
      <c r="G1190" s="25"/>
      <c r="H1190" s="25"/>
      <c r="I1190" s="25"/>
      <c r="J1190" s="25"/>
      <c r="K1190" s="25"/>
      <c r="L1190" s="25"/>
      <c r="M1190" s="25"/>
      <c r="N1190" s="26"/>
      <c r="O1190" s="64"/>
      <c r="P1190" s="64"/>
    </row>
    <row r="1191">
      <c r="A1191" s="25"/>
      <c r="B1191" s="59"/>
      <c r="C1191" s="59"/>
      <c r="D1191" s="25"/>
      <c r="E1191" s="25"/>
      <c r="F1191" s="25"/>
      <c r="G1191" s="25"/>
      <c r="H1191" s="25"/>
      <c r="I1191" s="25"/>
      <c r="J1191" s="25"/>
      <c r="K1191" s="25"/>
      <c r="L1191" s="25"/>
      <c r="M1191" s="25"/>
      <c r="N1191" s="26"/>
      <c r="O1191" s="64"/>
      <c r="P1191" s="64"/>
    </row>
    <row r="1192">
      <c r="A1192" s="25"/>
      <c r="B1192" s="59"/>
      <c r="C1192" s="59"/>
      <c r="D1192" s="25"/>
      <c r="E1192" s="25"/>
      <c r="F1192" s="25"/>
      <c r="G1192" s="25"/>
      <c r="H1192" s="25"/>
      <c r="I1192" s="25"/>
      <c r="J1192" s="25"/>
      <c r="K1192" s="25"/>
      <c r="L1192" s="25"/>
      <c r="M1192" s="25"/>
      <c r="N1192" s="26"/>
      <c r="O1192" s="64"/>
      <c r="P1192" s="64"/>
    </row>
    <row r="1193">
      <c r="A1193" s="25"/>
      <c r="B1193" s="59"/>
      <c r="C1193" s="59"/>
      <c r="D1193" s="25"/>
      <c r="E1193" s="25"/>
      <c r="F1193" s="25"/>
      <c r="G1193" s="25"/>
      <c r="H1193" s="25"/>
      <c r="I1193" s="25"/>
      <c r="J1193" s="25"/>
      <c r="K1193" s="25"/>
      <c r="L1193" s="25"/>
      <c r="M1193" s="25"/>
      <c r="N1193" s="26"/>
      <c r="O1193" s="64"/>
      <c r="P1193" s="64"/>
    </row>
    <row r="1194">
      <c r="A1194" s="25"/>
      <c r="B1194" s="59"/>
      <c r="C1194" s="59"/>
      <c r="D1194" s="25"/>
      <c r="E1194" s="25"/>
      <c r="F1194" s="25"/>
      <c r="G1194" s="25"/>
      <c r="H1194" s="25"/>
      <c r="I1194" s="25"/>
      <c r="J1194" s="25"/>
      <c r="K1194" s="25"/>
      <c r="L1194" s="25"/>
      <c r="M1194" s="25"/>
      <c r="N1194" s="26"/>
      <c r="O1194" s="64"/>
      <c r="P1194" s="64"/>
    </row>
    <row r="1195">
      <c r="A1195" s="25"/>
      <c r="B1195" s="59"/>
      <c r="C1195" s="59"/>
      <c r="D1195" s="25"/>
      <c r="E1195" s="25"/>
      <c r="F1195" s="25"/>
      <c r="G1195" s="25"/>
      <c r="H1195" s="25"/>
      <c r="I1195" s="25"/>
      <c r="J1195" s="25"/>
      <c r="K1195" s="25"/>
      <c r="L1195" s="25"/>
      <c r="M1195" s="25"/>
      <c r="N1195" s="26"/>
      <c r="O1195" s="64"/>
      <c r="P1195" s="64"/>
    </row>
    <row r="1196">
      <c r="A1196" s="25"/>
      <c r="B1196" s="59"/>
      <c r="C1196" s="59"/>
      <c r="D1196" s="25"/>
      <c r="E1196" s="25"/>
      <c r="F1196" s="25"/>
      <c r="G1196" s="25"/>
      <c r="H1196" s="25"/>
      <c r="I1196" s="25"/>
      <c r="J1196" s="25"/>
      <c r="K1196" s="25"/>
      <c r="L1196" s="25"/>
      <c r="M1196" s="25"/>
      <c r="N1196" s="26"/>
      <c r="O1196" s="64"/>
      <c r="P1196" s="64"/>
    </row>
    <row r="1197">
      <c r="A1197" s="25"/>
      <c r="B1197" s="59"/>
      <c r="C1197" s="59"/>
      <c r="D1197" s="25"/>
      <c r="E1197" s="25"/>
      <c r="F1197" s="25"/>
      <c r="G1197" s="25"/>
      <c r="H1197" s="25"/>
      <c r="I1197" s="25"/>
      <c r="J1197" s="25"/>
      <c r="K1197" s="25"/>
      <c r="L1197" s="25"/>
      <c r="M1197" s="25"/>
      <c r="N1197" s="26"/>
      <c r="O1197" s="64"/>
      <c r="P1197" s="64"/>
    </row>
    <row r="1198">
      <c r="A1198" s="25"/>
      <c r="B1198" s="59"/>
      <c r="C1198" s="59"/>
      <c r="D1198" s="25"/>
      <c r="E1198" s="25"/>
      <c r="F1198" s="25"/>
      <c r="G1198" s="25"/>
      <c r="H1198" s="25"/>
      <c r="I1198" s="25"/>
      <c r="J1198" s="25"/>
      <c r="K1198" s="25"/>
      <c r="L1198" s="25"/>
      <c r="M1198" s="25"/>
      <c r="N1198" s="26"/>
      <c r="O1198" s="64"/>
      <c r="P1198" s="64"/>
    </row>
    <row r="1199">
      <c r="A1199" s="7"/>
      <c r="B1199" s="8"/>
      <c r="C1199" s="8"/>
      <c r="D1199" s="7"/>
      <c r="E1199" s="7"/>
      <c r="F1199" s="7"/>
      <c r="G1199" s="7"/>
      <c r="H1199" s="9"/>
      <c r="I1199" s="7"/>
      <c r="J1199" s="7"/>
      <c r="K1199" s="7"/>
      <c r="L1199" s="60"/>
      <c r="M1199" s="60"/>
      <c r="N1199" s="10"/>
      <c r="O1199" s="55"/>
      <c r="P1199" s="55"/>
    </row>
    <row r="1200">
      <c r="A1200" s="25"/>
      <c r="B1200" s="59"/>
      <c r="C1200" s="59"/>
      <c r="D1200" s="25"/>
      <c r="E1200" s="25"/>
      <c r="F1200" s="25"/>
      <c r="G1200" s="25"/>
      <c r="H1200" s="25"/>
      <c r="I1200" s="25"/>
      <c r="J1200" s="25"/>
      <c r="K1200" s="25"/>
      <c r="L1200" s="25"/>
      <c r="M1200" s="25"/>
      <c r="N1200" s="26"/>
      <c r="O1200" s="64"/>
      <c r="P1200" s="64"/>
    </row>
    <row r="1201">
      <c r="A1201" s="25"/>
      <c r="B1201" s="59"/>
      <c r="C1201" s="59"/>
      <c r="D1201" s="25"/>
      <c r="E1201" s="25"/>
      <c r="F1201" s="25"/>
      <c r="G1201" s="25"/>
      <c r="H1201" s="25"/>
      <c r="I1201" s="25"/>
      <c r="J1201" s="25"/>
      <c r="K1201" s="25"/>
      <c r="L1201" s="25"/>
      <c r="M1201" s="25"/>
      <c r="N1201" s="26"/>
      <c r="O1201" s="64"/>
      <c r="P1201" s="64"/>
    </row>
    <row r="1202">
      <c r="A1202" s="25"/>
      <c r="B1202" s="59"/>
      <c r="C1202" s="59"/>
      <c r="D1202" s="25"/>
      <c r="E1202" s="25"/>
      <c r="F1202" s="25"/>
      <c r="G1202" s="25"/>
      <c r="H1202" s="25"/>
      <c r="I1202" s="25"/>
      <c r="J1202" s="25"/>
      <c r="K1202" s="25"/>
      <c r="L1202" s="25"/>
      <c r="M1202" s="25"/>
      <c r="N1202" s="26"/>
      <c r="O1202" s="64"/>
      <c r="P1202" s="64"/>
    </row>
    <row r="1203">
      <c r="A1203" s="7"/>
      <c r="B1203" s="8"/>
      <c r="C1203" s="8"/>
      <c r="D1203" s="7"/>
      <c r="E1203" s="7"/>
      <c r="F1203" s="7"/>
      <c r="G1203" s="25"/>
      <c r="H1203" s="9"/>
      <c r="I1203" s="7"/>
      <c r="J1203" s="7"/>
      <c r="K1203" s="7"/>
      <c r="L1203" s="60"/>
      <c r="M1203" s="60"/>
      <c r="N1203" s="10"/>
      <c r="O1203" s="55"/>
      <c r="P1203" s="55"/>
    </row>
    <row r="1204">
      <c r="A1204" s="25"/>
      <c r="B1204" s="59"/>
      <c r="C1204" s="59"/>
      <c r="D1204" s="25"/>
      <c r="E1204" s="25"/>
      <c r="F1204" s="25"/>
      <c r="G1204" s="25"/>
      <c r="H1204" s="25"/>
      <c r="I1204" s="25"/>
      <c r="J1204" s="25"/>
      <c r="K1204" s="25"/>
      <c r="L1204" s="25"/>
      <c r="M1204" s="25"/>
      <c r="N1204" s="26"/>
      <c r="O1204" s="64"/>
      <c r="P1204" s="64"/>
    </row>
    <row r="1205">
      <c r="A1205" s="7"/>
      <c r="B1205" s="8"/>
      <c r="C1205" s="8"/>
      <c r="D1205" s="7"/>
      <c r="E1205" s="7"/>
      <c r="F1205" s="7"/>
      <c r="G1205" s="7"/>
      <c r="H1205" s="9"/>
      <c r="I1205" s="7"/>
      <c r="J1205" s="7"/>
      <c r="K1205" s="7"/>
      <c r="L1205" s="60"/>
      <c r="M1205" s="60"/>
      <c r="N1205" s="10"/>
      <c r="O1205" s="55"/>
      <c r="P1205" s="55"/>
    </row>
    <row r="1206">
      <c r="A1206" s="7"/>
      <c r="B1206" s="8"/>
      <c r="C1206" s="8"/>
      <c r="D1206" s="7"/>
      <c r="E1206" s="7"/>
      <c r="F1206" s="7"/>
      <c r="G1206" s="7"/>
      <c r="H1206" s="9"/>
      <c r="I1206" s="7"/>
      <c r="J1206" s="7"/>
      <c r="K1206" s="7"/>
      <c r="L1206" s="60"/>
      <c r="M1206" s="60"/>
      <c r="N1206" s="10"/>
      <c r="O1206" s="55"/>
      <c r="P1206" s="55"/>
    </row>
    <row r="1207">
      <c r="A1207" s="7"/>
      <c r="B1207" s="8"/>
      <c r="C1207" s="8"/>
      <c r="D1207" s="7"/>
      <c r="E1207" s="7"/>
      <c r="F1207" s="7"/>
      <c r="G1207" s="7"/>
      <c r="H1207" s="9"/>
      <c r="I1207" s="7"/>
      <c r="J1207" s="7"/>
      <c r="K1207" s="7"/>
      <c r="L1207" s="60"/>
      <c r="M1207" s="54"/>
      <c r="N1207" s="10"/>
      <c r="O1207" s="43"/>
      <c r="P1207" s="43"/>
    </row>
    <row r="1208">
      <c r="A1208" s="25"/>
      <c r="B1208" s="59"/>
      <c r="C1208" s="59"/>
      <c r="D1208" s="25"/>
      <c r="E1208" s="25"/>
      <c r="F1208" s="25"/>
      <c r="G1208" s="25"/>
      <c r="H1208" s="25"/>
      <c r="I1208" s="25"/>
      <c r="J1208" s="25"/>
      <c r="K1208" s="25"/>
      <c r="L1208" s="25"/>
      <c r="M1208" s="25"/>
      <c r="N1208" s="26"/>
      <c r="O1208" s="64"/>
      <c r="P1208" s="64"/>
    </row>
    <row r="1209">
      <c r="A1209" s="25"/>
      <c r="B1209" s="59"/>
      <c r="C1209" s="59"/>
      <c r="D1209" s="25"/>
      <c r="E1209" s="25"/>
      <c r="F1209" s="25"/>
      <c r="G1209" s="25"/>
      <c r="H1209" s="25"/>
      <c r="I1209" s="25"/>
      <c r="J1209" s="25"/>
      <c r="K1209" s="25"/>
      <c r="L1209" s="25"/>
      <c r="M1209" s="25"/>
      <c r="N1209" s="26"/>
      <c r="O1209" s="64"/>
      <c r="P1209" s="64"/>
    </row>
    <row r="1210">
      <c r="A1210" s="25"/>
      <c r="B1210" s="59"/>
      <c r="C1210" s="59"/>
      <c r="D1210" s="25"/>
      <c r="E1210" s="25"/>
      <c r="F1210" s="25"/>
      <c r="G1210" s="25"/>
      <c r="H1210" s="25"/>
      <c r="I1210" s="25"/>
      <c r="J1210" s="25"/>
      <c r="K1210" s="25"/>
      <c r="L1210" s="25"/>
      <c r="M1210" s="25"/>
      <c r="N1210" s="26"/>
      <c r="O1210" s="64"/>
      <c r="P1210" s="64"/>
    </row>
    <row r="1211">
      <c r="A1211" s="7"/>
      <c r="B1211" s="8"/>
      <c r="C1211" s="8"/>
      <c r="D1211" s="7"/>
      <c r="E1211" s="7"/>
      <c r="F1211" s="7"/>
      <c r="G1211" s="7"/>
      <c r="H1211" s="9"/>
      <c r="I1211" s="7"/>
      <c r="J1211" s="7"/>
      <c r="K1211" s="7"/>
      <c r="L1211" s="60"/>
      <c r="M1211" s="60"/>
      <c r="N1211" s="10"/>
      <c r="O1211" s="55"/>
      <c r="P1211" s="55"/>
    </row>
    <row r="1212">
      <c r="A1212" s="25"/>
      <c r="B1212" s="59"/>
      <c r="C1212" s="59"/>
      <c r="D1212" s="25"/>
      <c r="E1212" s="25"/>
      <c r="F1212" s="25"/>
      <c r="G1212" s="25"/>
      <c r="H1212" s="25"/>
      <c r="I1212" s="25"/>
      <c r="J1212" s="25"/>
      <c r="K1212" s="25"/>
      <c r="L1212" s="25"/>
      <c r="M1212" s="25"/>
      <c r="N1212" s="26"/>
      <c r="O1212" s="64"/>
      <c r="P1212" s="64"/>
    </row>
    <row r="1213">
      <c r="A1213" s="25"/>
      <c r="B1213" s="59"/>
      <c r="C1213" s="59"/>
      <c r="D1213" s="25"/>
      <c r="E1213" s="25"/>
      <c r="F1213" s="25"/>
      <c r="G1213" s="25"/>
      <c r="H1213" s="25"/>
      <c r="I1213" s="25"/>
      <c r="J1213" s="25"/>
      <c r="K1213" s="25"/>
      <c r="L1213" s="25"/>
      <c r="M1213" s="25"/>
      <c r="N1213" s="26"/>
      <c r="O1213" s="64"/>
      <c r="P1213" s="64"/>
    </row>
    <row r="1214">
      <c r="A1214" s="25"/>
      <c r="B1214" s="59"/>
      <c r="C1214" s="59"/>
      <c r="D1214" s="25"/>
      <c r="E1214" s="25"/>
      <c r="F1214" s="25"/>
      <c r="G1214" s="25"/>
      <c r="H1214" s="25"/>
      <c r="I1214" s="25"/>
      <c r="J1214" s="25"/>
      <c r="K1214" s="25"/>
      <c r="L1214" s="25"/>
      <c r="M1214" s="25"/>
      <c r="N1214" s="26"/>
      <c r="O1214" s="64"/>
      <c r="P1214" s="64"/>
    </row>
    <row r="1215">
      <c r="A1215" s="7"/>
      <c r="B1215" s="8"/>
      <c r="C1215" s="8"/>
      <c r="D1215" s="7"/>
      <c r="E1215" s="7"/>
      <c r="F1215" s="7"/>
      <c r="G1215" s="7"/>
      <c r="H1215" s="9"/>
      <c r="I1215" s="7"/>
      <c r="J1215" s="7"/>
      <c r="K1215" s="7"/>
      <c r="L1215" s="60"/>
      <c r="M1215" s="60"/>
      <c r="N1215" s="10"/>
      <c r="O1215" s="55"/>
      <c r="P1215" s="55"/>
    </row>
    <row r="1216">
      <c r="A1216" s="7"/>
      <c r="B1216" s="8"/>
      <c r="C1216" s="8"/>
      <c r="D1216" s="7"/>
      <c r="E1216" s="7"/>
      <c r="F1216" s="7"/>
      <c r="G1216" s="7"/>
      <c r="H1216" s="9"/>
      <c r="I1216" s="7"/>
      <c r="J1216" s="7"/>
      <c r="K1216" s="7"/>
      <c r="L1216" s="60"/>
      <c r="M1216" s="60"/>
      <c r="N1216" s="10"/>
      <c r="O1216" s="55"/>
      <c r="P1216" s="55"/>
    </row>
    <row r="1217">
      <c r="A1217" s="25"/>
      <c r="B1217" s="59"/>
      <c r="C1217" s="59"/>
      <c r="D1217" s="25"/>
      <c r="E1217" s="25"/>
      <c r="F1217" s="25"/>
      <c r="G1217" s="25"/>
      <c r="H1217" s="25"/>
      <c r="I1217" s="25"/>
      <c r="J1217" s="25"/>
      <c r="K1217" s="25"/>
      <c r="L1217" s="25"/>
      <c r="M1217" s="25"/>
      <c r="N1217" s="26"/>
      <c r="O1217" s="64"/>
      <c r="P1217" s="64"/>
    </row>
    <row r="1218">
      <c r="A1218" s="25"/>
      <c r="B1218" s="59"/>
      <c r="C1218" s="59"/>
      <c r="D1218" s="25"/>
      <c r="E1218" s="25"/>
      <c r="F1218" s="25"/>
      <c r="G1218" s="25"/>
      <c r="H1218" s="25"/>
      <c r="I1218" s="25"/>
      <c r="J1218" s="25"/>
      <c r="K1218" s="25"/>
      <c r="L1218" s="25"/>
      <c r="M1218" s="25"/>
      <c r="N1218" s="26"/>
      <c r="O1218" s="64"/>
      <c r="P1218" s="64"/>
    </row>
    <row r="1219">
      <c r="A1219" s="25"/>
      <c r="B1219" s="59"/>
      <c r="C1219" s="59"/>
      <c r="D1219" s="25"/>
      <c r="E1219" s="25"/>
      <c r="F1219" s="25"/>
      <c r="G1219" s="25"/>
      <c r="H1219" s="25"/>
      <c r="I1219" s="25"/>
      <c r="J1219" s="25"/>
      <c r="K1219" s="25"/>
      <c r="L1219" s="25"/>
      <c r="M1219" s="25"/>
      <c r="N1219" s="26"/>
      <c r="O1219" s="64"/>
      <c r="P1219" s="64"/>
    </row>
    <row r="1220">
      <c r="A1220" s="25"/>
      <c r="B1220" s="59"/>
      <c r="C1220" s="59"/>
      <c r="D1220" s="25"/>
      <c r="E1220" s="25"/>
      <c r="F1220" s="25"/>
      <c r="G1220" s="25"/>
      <c r="H1220" s="25"/>
      <c r="I1220" s="25"/>
      <c r="J1220" s="25"/>
      <c r="K1220" s="25"/>
      <c r="L1220" s="25"/>
      <c r="M1220" s="25"/>
      <c r="N1220" s="26"/>
      <c r="O1220" s="64"/>
      <c r="P1220" s="64"/>
    </row>
    <row r="1221">
      <c r="A1221" s="7"/>
      <c r="B1221" s="8"/>
      <c r="C1221" s="8"/>
      <c r="D1221" s="7"/>
      <c r="E1221" s="7"/>
      <c r="F1221" s="7"/>
      <c r="G1221" s="7"/>
      <c r="H1221" s="9"/>
      <c r="I1221" s="7"/>
      <c r="J1221" s="7"/>
      <c r="K1221" s="7"/>
      <c r="L1221" s="60"/>
      <c r="M1221" s="60"/>
      <c r="N1221" s="10"/>
      <c r="O1221" s="55"/>
      <c r="P1221" s="55"/>
    </row>
    <row r="1222">
      <c r="A1222" s="25"/>
      <c r="B1222" s="59"/>
      <c r="C1222" s="59"/>
      <c r="D1222" s="25"/>
      <c r="E1222" s="25"/>
      <c r="F1222" s="25"/>
      <c r="G1222" s="25"/>
      <c r="H1222" s="25"/>
      <c r="I1222" s="25"/>
      <c r="J1222" s="25"/>
      <c r="K1222" s="25"/>
      <c r="L1222" s="25"/>
      <c r="M1222" s="25"/>
      <c r="N1222" s="26"/>
      <c r="O1222" s="64"/>
      <c r="P1222" s="64"/>
    </row>
    <row r="1223">
      <c r="A1223" s="25"/>
      <c r="B1223" s="59"/>
      <c r="C1223" s="59"/>
      <c r="D1223" s="25"/>
      <c r="E1223" s="25"/>
      <c r="F1223" s="25"/>
      <c r="G1223" s="25"/>
      <c r="H1223" s="25"/>
      <c r="I1223" s="25"/>
      <c r="J1223" s="25"/>
      <c r="K1223" s="25"/>
      <c r="L1223" s="25"/>
      <c r="M1223" s="25"/>
      <c r="N1223" s="26"/>
      <c r="O1223" s="64"/>
      <c r="P1223" s="64"/>
    </row>
    <row r="1224">
      <c r="A1224" s="25"/>
      <c r="B1224" s="59"/>
      <c r="C1224" s="59"/>
      <c r="D1224" s="25"/>
      <c r="E1224" s="25"/>
      <c r="F1224" s="25"/>
      <c r="G1224" s="25"/>
      <c r="H1224" s="25"/>
      <c r="I1224" s="25"/>
      <c r="J1224" s="25"/>
      <c r="K1224" s="25"/>
      <c r="L1224" s="25"/>
      <c r="M1224" s="25"/>
      <c r="N1224" s="26"/>
      <c r="O1224" s="64"/>
      <c r="P1224" s="64"/>
    </row>
    <row r="1225">
      <c r="A1225" s="25"/>
      <c r="B1225" s="59"/>
      <c r="C1225" s="59"/>
      <c r="D1225" s="25"/>
      <c r="E1225" s="25"/>
      <c r="F1225" s="25"/>
      <c r="G1225" s="25"/>
      <c r="H1225" s="25"/>
      <c r="I1225" s="25"/>
      <c r="J1225" s="25"/>
      <c r="K1225" s="25"/>
      <c r="L1225" s="25"/>
      <c r="M1225" s="25"/>
      <c r="N1225" s="26"/>
      <c r="O1225" s="64"/>
      <c r="P1225" s="64"/>
    </row>
    <row r="1226">
      <c r="A1226" s="25"/>
      <c r="B1226" s="59"/>
      <c r="C1226" s="59"/>
      <c r="D1226" s="25"/>
      <c r="E1226" s="25"/>
      <c r="F1226" s="25"/>
      <c r="G1226" s="25"/>
      <c r="H1226" s="25"/>
      <c r="I1226" s="25"/>
      <c r="J1226" s="25"/>
      <c r="K1226" s="25"/>
      <c r="L1226" s="25"/>
      <c r="M1226" s="25"/>
      <c r="N1226" s="26"/>
      <c r="O1226" s="64"/>
      <c r="P1226" s="64"/>
    </row>
    <row r="1227">
      <c r="A1227" s="25"/>
      <c r="B1227" s="59"/>
      <c r="C1227" s="59"/>
      <c r="D1227" s="25"/>
      <c r="E1227" s="25"/>
      <c r="F1227" s="25"/>
      <c r="G1227" s="25"/>
      <c r="H1227" s="25"/>
      <c r="I1227" s="25"/>
      <c r="J1227" s="25"/>
      <c r="K1227" s="25"/>
      <c r="L1227" s="25"/>
      <c r="M1227" s="25"/>
      <c r="N1227" s="26"/>
      <c r="O1227" s="64"/>
      <c r="P1227" s="64"/>
    </row>
    <row r="1228">
      <c r="A1228" s="25"/>
      <c r="B1228" s="59"/>
      <c r="C1228" s="59"/>
      <c r="D1228" s="25"/>
      <c r="E1228" s="25"/>
      <c r="F1228" s="25"/>
      <c r="G1228" s="25"/>
      <c r="H1228" s="25"/>
      <c r="I1228" s="25"/>
      <c r="J1228" s="25"/>
      <c r="K1228" s="25"/>
      <c r="L1228" s="25"/>
      <c r="M1228" s="25"/>
      <c r="N1228" s="26"/>
      <c r="O1228" s="64"/>
      <c r="P1228" s="64"/>
    </row>
    <row r="1229">
      <c r="A1229" s="25"/>
      <c r="B1229" s="59"/>
      <c r="C1229" s="59"/>
      <c r="D1229" s="25"/>
      <c r="E1229" s="25"/>
      <c r="F1229" s="25"/>
      <c r="G1229" s="25"/>
      <c r="H1229" s="25"/>
      <c r="I1229" s="25"/>
      <c r="J1229" s="25"/>
      <c r="K1229" s="25"/>
      <c r="L1229" s="25"/>
      <c r="M1229" s="25"/>
      <c r="N1229" s="26"/>
      <c r="O1229" s="64"/>
      <c r="P1229" s="64"/>
    </row>
    <row r="1230">
      <c r="A1230" s="25"/>
      <c r="B1230" s="59"/>
      <c r="C1230" s="59"/>
      <c r="D1230" s="25"/>
      <c r="E1230" s="25"/>
      <c r="F1230" s="25"/>
      <c r="G1230" s="25"/>
      <c r="H1230" s="25"/>
      <c r="I1230" s="25"/>
      <c r="J1230" s="25"/>
      <c r="K1230" s="25"/>
      <c r="L1230" s="25"/>
      <c r="M1230" s="25"/>
      <c r="N1230" s="26"/>
      <c r="O1230" s="64"/>
      <c r="P1230" s="64"/>
    </row>
    <row r="1231">
      <c r="A1231" s="25"/>
      <c r="B1231" s="59"/>
      <c r="C1231" s="59"/>
      <c r="D1231" s="25"/>
      <c r="E1231" s="25"/>
      <c r="F1231" s="25"/>
      <c r="G1231" s="25"/>
      <c r="H1231" s="25"/>
      <c r="I1231" s="25"/>
      <c r="J1231" s="25"/>
      <c r="K1231" s="25"/>
      <c r="L1231" s="25"/>
      <c r="M1231" s="25"/>
      <c r="N1231" s="26"/>
      <c r="O1231" s="64"/>
      <c r="P1231" s="64"/>
    </row>
    <row r="1232">
      <c r="A1232" s="25"/>
      <c r="B1232" s="59"/>
      <c r="C1232" s="59"/>
      <c r="D1232" s="25"/>
      <c r="E1232" s="25"/>
      <c r="F1232" s="25"/>
      <c r="G1232" s="25"/>
      <c r="H1232" s="25"/>
      <c r="I1232" s="25"/>
      <c r="J1232" s="25"/>
      <c r="K1232" s="25"/>
      <c r="L1232" s="25"/>
      <c r="M1232" s="25"/>
      <c r="N1232" s="26"/>
      <c r="O1232" s="64"/>
      <c r="P1232" s="64"/>
    </row>
    <row r="1233">
      <c r="A1233" s="7"/>
      <c r="B1233" s="8"/>
      <c r="C1233" s="8"/>
      <c r="D1233" s="7"/>
      <c r="E1233" s="7"/>
      <c r="F1233" s="7"/>
      <c r="G1233" s="25"/>
      <c r="H1233" s="9"/>
      <c r="I1233" s="7"/>
      <c r="J1233" s="7"/>
      <c r="K1233" s="7"/>
      <c r="L1233" s="60"/>
      <c r="M1233" s="54"/>
      <c r="N1233" s="10"/>
      <c r="O1233" s="43"/>
      <c r="P1233" s="43"/>
    </row>
    <row r="1234">
      <c r="A1234" s="25"/>
      <c r="B1234" s="59"/>
      <c r="C1234" s="59"/>
      <c r="D1234" s="25"/>
      <c r="E1234" s="25"/>
      <c r="F1234" s="25"/>
      <c r="G1234" s="25"/>
      <c r="H1234" s="25"/>
      <c r="I1234" s="25"/>
      <c r="J1234" s="25"/>
      <c r="K1234" s="25"/>
      <c r="L1234" s="25"/>
      <c r="M1234" s="25"/>
      <c r="N1234" s="26"/>
      <c r="O1234" s="64"/>
      <c r="P1234" s="64"/>
    </row>
    <row r="1235">
      <c r="A1235" s="25"/>
      <c r="B1235" s="59"/>
      <c r="C1235" s="59"/>
      <c r="D1235" s="25"/>
      <c r="E1235" s="25"/>
      <c r="F1235" s="25"/>
      <c r="G1235" s="25"/>
      <c r="H1235" s="25"/>
      <c r="I1235" s="25"/>
      <c r="J1235" s="25"/>
      <c r="K1235" s="25"/>
      <c r="L1235" s="25"/>
      <c r="M1235" s="25"/>
      <c r="N1235" s="26"/>
      <c r="O1235" s="64"/>
      <c r="P1235" s="64"/>
    </row>
    <row r="1236">
      <c r="A1236" s="25"/>
      <c r="B1236" s="59"/>
      <c r="C1236" s="59"/>
      <c r="D1236" s="25"/>
      <c r="E1236" s="25"/>
      <c r="F1236" s="25"/>
      <c r="G1236" s="25"/>
      <c r="H1236" s="25"/>
      <c r="I1236" s="25"/>
      <c r="J1236" s="25"/>
      <c r="K1236" s="25"/>
      <c r="L1236" s="25"/>
      <c r="M1236" s="25"/>
      <c r="N1236" s="26"/>
      <c r="O1236" s="64"/>
      <c r="P1236" s="64"/>
    </row>
    <row r="1237">
      <c r="A1237" s="25"/>
      <c r="B1237" s="59"/>
      <c r="C1237" s="59"/>
      <c r="D1237" s="25"/>
      <c r="E1237" s="25"/>
      <c r="F1237" s="25"/>
      <c r="G1237" s="25"/>
      <c r="H1237" s="25"/>
      <c r="I1237" s="25"/>
      <c r="J1237" s="25"/>
      <c r="K1237" s="25"/>
      <c r="L1237" s="25"/>
      <c r="M1237" s="25"/>
      <c r="N1237" s="26"/>
      <c r="O1237" s="64"/>
      <c r="P1237" s="64"/>
    </row>
    <row r="1238">
      <c r="A1238" s="25"/>
      <c r="B1238" s="59"/>
      <c r="C1238" s="59"/>
      <c r="D1238" s="25"/>
      <c r="E1238" s="25"/>
      <c r="F1238" s="25"/>
      <c r="G1238" s="25"/>
      <c r="H1238" s="25"/>
      <c r="I1238" s="25"/>
      <c r="J1238" s="25"/>
      <c r="K1238" s="25"/>
      <c r="L1238" s="25"/>
      <c r="M1238" s="25"/>
      <c r="N1238" s="26"/>
      <c r="O1238" s="64"/>
      <c r="P1238" s="64"/>
    </row>
    <row r="1239">
      <c r="A1239" s="25"/>
      <c r="B1239" s="59"/>
      <c r="C1239" s="59"/>
      <c r="D1239" s="25"/>
      <c r="E1239" s="25"/>
      <c r="F1239" s="25"/>
      <c r="G1239" s="25"/>
      <c r="H1239" s="25"/>
      <c r="I1239" s="25"/>
      <c r="J1239" s="25"/>
      <c r="K1239" s="25"/>
      <c r="L1239" s="25"/>
      <c r="M1239" s="25"/>
      <c r="N1239" s="26"/>
      <c r="O1239" s="64"/>
      <c r="P1239" s="64"/>
    </row>
    <row r="1240">
      <c r="A1240" s="25"/>
      <c r="B1240" s="59"/>
      <c r="C1240" s="59"/>
      <c r="D1240" s="25"/>
      <c r="E1240" s="25"/>
      <c r="F1240" s="25"/>
      <c r="G1240" s="25"/>
      <c r="H1240" s="25"/>
      <c r="I1240" s="25"/>
      <c r="J1240" s="25"/>
      <c r="K1240" s="25"/>
      <c r="L1240" s="25"/>
      <c r="M1240" s="25"/>
      <c r="N1240" s="26"/>
      <c r="O1240" s="64"/>
      <c r="P1240" s="64"/>
    </row>
    <row r="1241">
      <c r="A1241" s="7"/>
      <c r="B1241" s="8"/>
      <c r="C1241" s="8"/>
      <c r="D1241" s="7"/>
      <c r="E1241" s="7"/>
      <c r="F1241" s="7"/>
      <c r="G1241" s="7"/>
      <c r="H1241" s="9"/>
      <c r="I1241" s="7"/>
      <c r="J1241" s="7"/>
      <c r="K1241" s="7"/>
      <c r="L1241" s="60"/>
      <c r="M1241" s="54"/>
      <c r="N1241" s="10"/>
      <c r="O1241" s="43"/>
      <c r="P1241" s="43"/>
    </row>
    <row r="1242">
      <c r="A1242" s="25"/>
      <c r="B1242" s="59"/>
      <c r="C1242" s="59"/>
      <c r="D1242" s="25"/>
      <c r="E1242" s="25"/>
      <c r="F1242" s="25"/>
      <c r="G1242" s="25"/>
      <c r="H1242" s="25"/>
      <c r="I1242" s="25"/>
      <c r="J1242" s="25"/>
      <c r="K1242" s="25"/>
      <c r="L1242" s="25"/>
      <c r="M1242" s="25"/>
      <c r="N1242" s="26"/>
      <c r="O1242" s="64"/>
      <c r="P1242" s="64"/>
    </row>
    <row r="1243">
      <c r="A1243" s="25"/>
      <c r="B1243" s="59"/>
      <c r="C1243" s="59"/>
      <c r="D1243" s="25"/>
      <c r="E1243" s="25"/>
      <c r="F1243" s="25"/>
      <c r="G1243" s="25"/>
      <c r="H1243" s="25"/>
      <c r="I1243" s="25"/>
      <c r="J1243" s="25"/>
      <c r="K1243" s="25"/>
      <c r="L1243" s="25"/>
      <c r="M1243" s="25"/>
      <c r="N1243" s="26"/>
      <c r="O1243" s="64"/>
      <c r="P1243" s="64"/>
    </row>
    <row r="1244">
      <c r="A1244" s="25"/>
      <c r="B1244" s="59"/>
      <c r="C1244" s="59"/>
      <c r="D1244" s="25"/>
      <c r="E1244" s="25"/>
      <c r="F1244" s="25"/>
      <c r="G1244" s="25"/>
      <c r="H1244" s="25"/>
      <c r="I1244" s="25"/>
      <c r="J1244" s="25"/>
      <c r="K1244" s="25"/>
      <c r="L1244" s="25"/>
      <c r="M1244" s="25"/>
      <c r="N1244" s="26"/>
      <c r="O1244" s="64"/>
      <c r="P1244" s="64"/>
    </row>
    <row r="1245">
      <c r="A1245" s="25"/>
      <c r="B1245" s="59"/>
      <c r="C1245" s="59"/>
      <c r="D1245" s="25"/>
      <c r="E1245" s="25"/>
      <c r="F1245" s="25"/>
      <c r="G1245" s="25"/>
      <c r="H1245" s="25"/>
      <c r="I1245" s="25"/>
      <c r="J1245" s="25"/>
      <c r="K1245" s="25"/>
      <c r="L1245" s="25"/>
      <c r="M1245" s="25"/>
      <c r="N1245" s="26"/>
      <c r="O1245" s="64"/>
      <c r="P1245" s="64"/>
    </row>
    <row r="1246">
      <c r="A1246" s="25"/>
      <c r="B1246" s="59"/>
      <c r="C1246" s="59"/>
      <c r="D1246" s="25"/>
      <c r="E1246" s="25"/>
      <c r="F1246" s="25"/>
      <c r="G1246" s="25"/>
      <c r="H1246" s="25"/>
      <c r="I1246" s="25"/>
      <c r="J1246" s="25"/>
      <c r="K1246" s="25"/>
      <c r="L1246" s="25"/>
      <c r="M1246" s="25"/>
      <c r="N1246" s="26"/>
      <c r="O1246" s="64"/>
      <c r="P1246" s="64"/>
    </row>
    <row r="1247">
      <c r="A1247" s="7"/>
      <c r="B1247" s="8"/>
      <c r="C1247" s="8"/>
      <c r="D1247" s="7"/>
      <c r="E1247" s="7"/>
      <c r="F1247" s="7"/>
      <c r="G1247" s="25"/>
      <c r="H1247" s="9"/>
      <c r="I1247" s="7"/>
      <c r="J1247" s="7"/>
      <c r="K1247" s="7"/>
      <c r="L1247" s="60"/>
      <c r="M1247" s="7"/>
      <c r="N1247" s="10"/>
      <c r="O1247" s="55"/>
      <c r="P1247" s="55"/>
    </row>
    <row r="1248">
      <c r="A1248" s="25"/>
      <c r="B1248" s="59"/>
      <c r="C1248" s="59"/>
      <c r="D1248" s="25"/>
      <c r="E1248" s="25"/>
      <c r="F1248" s="25"/>
      <c r="G1248" s="25"/>
      <c r="H1248" s="25"/>
      <c r="I1248" s="25"/>
      <c r="J1248" s="25"/>
      <c r="K1248" s="25"/>
      <c r="L1248" s="25"/>
      <c r="M1248" s="25"/>
      <c r="N1248" s="26"/>
      <c r="O1248" s="64"/>
      <c r="P1248" s="64"/>
    </row>
    <row r="1249">
      <c r="A1249" s="25"/>
      <c r="B1249" s="59"/>
      <c r="C1249" s="59"/>
      <c r="D1249" s="25"/>
      <c r="E1249" s="25"/>
      <c r="F1249" s="25"/>
      <c r="G1249" s="25"/>
      <c r="H1249" s="25"/>
      <c r="I1249" s="25"/>
      <c r="J1249" s="25"/>
      <c r="K1249" s="25"/>
      <c r="L1249" s="25"/>
      <c r="M1249" s="25"/>
      <c r="N1249" s="26"/>
      <c r="O1249" s="64"/>
      <c r="P1249" s="64"/>
    </row>
    <row r="1250">
      <c r="A1250" s="25"/>
      <c r="B1250" s="59"/>
      <c r="C1250" s="59"/>
      <c r="D1250" s="25"/>
      <c r="E1250" s="25"/>
      <c r="F1250" s="25"/>
      <c r="G1250" s="25"/>
      <c r="H1250" s="25"/>
      <c r="I1250" s="25"/>
      <c r="J1250" s="25"/>
      <c r="K1250" s="25"/>
      <c r="L1250" s="25"/>
      <c r="M1250" s="25"/>
      <c r="N1250" s="26"/>
      <c r="O1250" s="64"/>
      <c r="P1250" s="64"/>
    </row>
    <row r="1251">
      <c r="A1251" s="7"/>
      <c r="B1251" s="8"/>
      <c r="C1251" s="8"/>
      <c r="D1251" s="7"/>
      <c r="E1251" s="7"/>
      <c r="F1251" s="7"/>
      <c r="G1251" s="25"/>
      <c r="H1251" s="9"/>
      <c r="I1251" s="7"/>
      <c r="J1251" s="7"/>
      <c r="K1251" s="7"/>
      <c r="L1251" s="60"/>
      <c r="M1251" s="60"/>
      <c r="N1251" s="10"/>
      <c r="O1251" s="55"/>
      <c r="P1251" s="55"/>
    </row>
    <row r="1252">
      <c r="A1252" s="7"/>
      <c r="B1252" s="8"/>
      <c r="C1252" s="8"/>
      <c r="D1252" s="7"/>
      <c r="E1252" s="7"/>
      <c r="F1252" s="7"/>
      <c r="G1252" s="7"/>
      <c r="H1252" s="9"/>
      <c r="I1252" s="7"/>
      <c r="J1252" s="7"/>
      <c r="K1252" s="7"/>
      <c r="L1252" s="60"/>
      <c r="M1252" s="10"/>
      <c r="N1252" s="10"/>
      <c r="O1252" s="43"/>
      <c r="P1252" s="43"/>
    </row>
    <row r="1253">
      <c r="A1253" s="7"/>
      <c r="B1253" s="8"/>
      <c r="C1253" s="8"/>
      <c r="D1253" s="7"/>
      <c r="E1253" s="7"/>
      <c r="F1253" s="7"/>
      <c r="G1253" s="7"/>
      <c r="H1253" s="9"/>
      <c r="I1253" s="25"/>
      <c r="J1253" s="25"/>
      <c r="K1253" s="25"/>
      <c r="L1253" s="60"/>
      <c r="M1253" s="54"/>
      <c r="N1253" s="10"/>
      <c r="O1253" s="43"/>
      <c r="P1253" s="43"/>
    </row>
    <row r="1254">
      <c r="A1254" s="25"/>
      <c r="B1254" s="59"/>
      <c r="C1254" s="59"/>
      <c r="D1254" s="25"/>
      <c r="E1254" s="25"/>
      <c r="F1254" s="25"/>
      <c r="G1254" s="25"/>
      <c r="H1254" s="25"/>
      <c r="I1254" s="25"/>
      <c r="J1254" s="25"/>
      <c r="K1254" s="25"/>
      <c r="L1254" s="25"/>
      <c r="M1254" s="25"/>
      <c r="N1254" s="26"/>
      <c r="O1254" s="64"/>
      <c r="P1254" s="64"/>
    </row>
    <row r="1255">
      <c r="A1255" s="25"/>
      <c r="B1255" s="59"/>
      <c r="C1255" s="59"/>
      <c r="D1255" s="25"/>
      <c r="E1255" s="25"/>
      <c r="F1255" s="25"/>
      <c r="G1255" s="25"/>
      <c r="H1255" s="25"/>
      <c r="I1255" s="25"/>
      <c r="J1255" s="25"/>
      <c r="K1255" s="25"/>
      <c r="L1255" s="25"/>
      <c r="M1255" s="25"/>
      <c r="N1255" s="26"/>
      <c r="O1255" s="64"/>
      <c r="P1255" s="64"/>
    </row>
    <row r="1256">
      <c r="A1256" s="7"/>
      <c r="B1256" s="8"/>
      <c r="C1256" s="8"/>
      <c r="D1256" s="7"/>
      <c r="E1256" s="7"/>
      <c r="F1256" s="7"/>
      <c r="G1256" s="7"/>
      <c r="H1256" s="9"/>
      <c r="I1256" s="7"/>
      <c r="J1256" s="7"/>
      <c r="K1256" s="7"/>
      <c r="L1256" s="60"/>
      <c r="M1256" s="54"/>
      <c r="N1256" s="10"/>
      <c r="O1256" s="43"/>
      <c r="P1256" s="43"/>
    </row>
    <row r="1257">
      <c r="A1257" s="7"/>
      <c r="B1257" s="8"/>
      <c r="C1257" s="8"/>
      <c r="D1257" s="7"/>
      <c r="E1257" s="7"/>
      <c r="F1257" s="7"/>
      <c r="G1257" s="25"/>
      <c r="H1257" s="9"/>
      <c r="I1257" s="7"/>
      <c r="J1257" s="7"/>
      <c r="K1257" s="7"/>
      <c r="L1257" s="60"/>
      <c r="M1257" s="60"/>
      <c r="N1257" s="10"/>
      <c r="O1257" s="55"/>
      <c r="P1257" s="55"/>
    </row>
    <row r="1258">
      <c r="A1258" s="7"/>
      <c r="B1258" s="8"/>
      <c r="C1258" s="8"/>
      <c r="D1258" s="7"/>
      <c r="E1258" s="7"/>
      <c r="F1258" s="7"/>
      <c r="G1258" s="25"/>
      <c r="H1258" s="9"/>
      <c r="I1258" s="7"/>
      <c r="J1258" s="7"/>
      <c r="K1258" s="7"/>
      <c r="L1258" s="60"/>
      <c r="M1258" s="60"/>
      <c r="N1258" s="10"/>
      <c r="O1258" s="55"/>
      <c r="P1258" s="55"/>
    </row>
    <row r="1259">
      <c r="A1259" s="25"/>
      <c r="B1259" s="59"/>
      <c r="C1259" s="59"/>
      <c r="D1259" s="25"/>
      <c r="E1259" s="25"/>
      <c r="F1259" s="25"/>
      <c r="G1259" s="25"/>
      <c r="H1259" s="25"/>
      <c r="I1259" s="25"/>
      <c r="J1259" s="25"/>
      <c r="K1259" s="25"/>
      <c r="L1259" s="25"/>
      <c r="M1259" s="25"/>
      <c r="N1259" s="26"/>
      <c r="O1259" s="64"/>
      <c r="P1259" s="64"/>
    </row>
    <row r="1260">
      <c r="A1260" s="25"/>
      <c r="B1260" s="59"/>
      <c r="C1260" s="59"/>
      <c r="D1260" s="25"/>
      <c r="E1260" s="25"/>
      <c r="F1260" s="25"/>
      <c r="G1260" s="25"/>
      <c r="H1260" s="25"/>
      <c r="I1260" s="25"/>
      <c r="J1260" s="25"/>
      <c r="K1260" s="25"/>
      <c r="L1260" s="25"/>
      <c r="M1260" s="25"/>
      <c r="N1260" s="26"/>
      <c r="O1260" s="64"/>
      <c r="P1260" s="64"/>
    </row>
    <row r="1261">
      <c r="A1261" s="25"/>
      <c r="B1261" s="59"/>
      <c r="C1261" s="59"/>
      <c r="D1261" s="25"/>
      <c r="E1261" s="25"/>
      <c r="F1261" s="25"/>
      <c r="G1261" s="25"/>
      <c r="H1261" s="25"/>
      <c r="I1261" s="25"/>
      <c r="J1261" s="25"/>
      <c r="K1261" s="25"/>
      <c r="L1261" s="25"/>
      <c r="M1261" s="25"/>
      <c r="N1261" s="26"/>
      <c r="O1261" s="64"/>
      <c r="P1261" s="64"/>
    </row>
    <row r="1262">
      <c r="A1262" s="7"/>
      <c r="B1262" s="8"/>
      <c r="C1262" s="8"/>
      <c r="D1262" s="7"/>
      <c r="E1262" s="7"/>
      <c r="F1262" s="7"/>
      <c r="G1262" s="7"/>
      <c r="H1262" s="9"/>
      <c r="I1262" s="7"/>
      <c r="J1262" s="7"/>
      <c r="K1262" s="7"/>
      <c r="L1262" s="60"/>
      <c r="M1262" s="60"/>
      <c r="N1262" s="10"/>
      <c r="O1262" s="55"/>
      <c r="P1262" s="55"/>
    </row>
    <row r="1263">
      <c r="A1263" s="25"/>
      <c r="B1263" s="59"/>
      <c r="C1263" s="59"/>
      <c r="D1263" s="25"/>
      <c r="E1263" s="25"/>
      <c r="F1263" s="25"/>
      <c r="G1263" s="25"/>
      <c r="H1263" s="25"/>
      <c r="I1263" s="25"/>
      <c r="J1263" s="25"/>
      <c r="K1263" s="25"/>
      <c r="L1263" s="25"/>
      <c r="M1263" s="25"/>
      <c r="N1263" s="26"/>
      <c r="O1263" s="64"/>
      <c r="P1263" s="64"/>
    </row>
    <row r="1264">
      <c r="A1264" s="25"/>
      <c r="B1264" s="59"/>
      <c r="C1264" s="59"/>
      <c r="D1264" s="25"/>
      <c r="E1264" s="25"/>
      <c r="F1264" s="25"/>
      <c r="G1264" s="25"/>
      <c r="H1264" s="25"/>
      <c r="I1264" s="25"/>
      <c r="J1264" s="25"/>
      <c r="K1264" s="25"/>
      <c r="L1264" s="25"/>
      <c r="M1264" s="25"/>
      <c r="N1264" s="26"/>
      <c r="O1264" s="64"/>
      <c r="P1264" s="64"/>
    </row>
    <row r="1265">
      <c r="A1265" s="7"/>
      <c r="B1265" s="8"/>
      <c r="C1265" s="8"/>
      <c r="D1265" s="7"/>
      <c r="E1265" s="7"/>
      <c r="F1265" s="7"/>
      <c r="G1265" s="20"/>
      <c r="H1265" s="9"/>
      <c r="I1265" s="7"/>
      <c r="J1265" s="7"/>
      <c r="K1265" s="7"/>
      <c r="L1265" s="60"/>
      <c r="M1265" s="60"/>
      <c r="N1265" s="10"/>
      <c r="O1265" s="55"/>
      <c r="P1265" s="55"/>
    </row>
    <row r="1266">
      <c r="A1266" s="7"/>
      <c r="B1266" s="8"/>
      <c r="C1266" s="8"/>
      <c r="D1266" s="7"/>
      <c r="E1266" s="7"/>
      <c r="F1266" s="7"/>
      <c r="G1266" s="7"/>
      <c r="H1266" s="9"/>
      <c r="I1266" s="7"/>
      <c r="J1266" s="7"/>
      <c r="K1266" s="7"/>
      <c r="L1266" s="60"/>
      <c r="M1266" s="60"/>
      <c r="N1266" s="10"/>
      <c r="O1266" s="55"/>
      <c r="P1266" s="55"/>
    </row>
    <row r="1267">
      <c r="A1267" s="7"/>
      <c r="B1267" s="8"/>
      <c r="C1267" s="8"/>
      <c r="D1267" s="7"/>
      <c r="E1267" s="7"/>
      <c r="F1267" s="7"/>
      <c r="G1267" s="7"/>
      <c r="H1267" s="9"/>
      <c r="I1267" s="7"/>
      <c r="J1267" s="7"/>
      <c r="K1267" s="7"/>
      <c r="L1267" s="60"/>
      <c r="M1267" s="54"/>
      <c r="N1267" s="10"/>
      <c r="O1267" s="43"/>
      <c r="P1267" s="43"/>
    </row>
    <row r="1268">
      <c r="A1268" s="25"/>
      <c r="B1268" s="59"/>
      <c r="C1268" s="59"/>
      <c r="D1268" s="25"/>
      <c r="E1268" s="25"/>
      <c r="F1268" s="25"/>
      <c r="G1268" s="25"/>
      <c r="H1268" s="25"/>
      <c r="I1268" s="25"/>
      <c r="J1268" s="25"/>
      <c r="K1268" s="25"/>
      <c r="L1268" s="25"/>
      <c r="M1268" s="25"/>
      <c r="N1268" s="26"/>
      <c r="O1268" s="64"/>
      <c r="P1268" s="64"/>
    </row>
    <row r="1269">
      <c r="A1269" s="7"/>
      <c r="B1269" s="8"/>
      <c r="C1269" s="8"/>
      <c r="D1269" s="7"/>
      <c r="E1269" s="7"/>
      <c r="F1269" s="7"/>
      <c r="G1269" s="7"/>
      <c r="H1269" s="9"/>
      <c r="I1269" s="7"/>
      <c r="J1269" s="7"/>
      <c r="K1269" s="7"/>
      <c r="L1269" s="60"/>
      <c r="M1269" s="60"/>
      <c r="N1269" s="10"/>
      <c r="O1269" s="55"/>
      <c r="P1269" s="55"/>
    </row>
    <row r="1270">
      <c r="A1270" s="7"/>
      <c r="B1270" s="8"/>
      <c r="C1270" s="8"/>
      <c r="D1270" s="7"/>
      <c r="E1270" s="7"/>
      <c r="F1270" s="7"/>
      <c r="G1270" s="25"/>
      <c r="H1270" s="9"/>
      <c r="I1270" s="7"/>
      <c r="J1270" s="7"/>
      <c r="K1270" s="7"/>
      <c r="L1270" s="60"/>
      <c r="M1270" s="60"/>
      <c r="N1270" s="10"/>
      <c r="O1270" s="55"/>
      <c r="P1270" s="55"/>
    </row>
    <row r="1271">
      <c r="A1271" s="25"/>
      <c r="B1271" s="59"/>
      <c r="C1271" s="59"/>
      <c r="D1271" s="25"/>
      <c r="E1271" s="25"/>
      <c r="F1271" s="25"/>
      <c r="G1271" s="25"/>
      <c r="H1271" s="25"/>
      <c r="I1271" s="25"/>
      <c r="J1271" s="25"/>
      <c r="K1271" s="25"/>
      <c r="L1271" s="25"/>
      <c r="M1271" s="25"/>
      <c r="N1271" s="26"/>
      <c r="O1271" s="64"/>
      <c r="P1271" s="64"/>
    </row>
    <row r="1272">
      <c r="A1272" s="25"/>
      <c r="B1272" s="59"/>
      <c r="C1272" s="59"/>
      <c r="D1272" s="25"/>
      <c r="E1272" s="25"/>
      <c r="F1272" s="25"/>
      <c r="G1272" s="25"/>
      <c r="H1272" s="25"/>
      <c r="I1272" s="25"/>
      <c r="J1272" s="25"/>
      <c r="K1272" s="25"/>
      <c r="L1272" s="25"/>
      <c r="M1272" s="25"/>
      <c r="N1272" s="26"/>
      <c r="O1272" s="64"/>
      <c r="P1272" s="64"/>
    </row>
    <row r="1273">
      <c r="A1273" s="25"/>
      <c r="B1273" s="59"/>
      <c r="C1273" s="59"/>
      <c r="D1273" s="25"/>
      <c r="E1273" s="25"/>
      <c r="F1273" s="25"/>
      <c r="G1273" s="25"/>
      <c r="H1273" s="25"/>
      <c r="I1273" s="25"/>
      <c r="J1273" s="25"/>
      <c r="K1273" s="25"/>
      <c r="L1273" s="25"/>
      <c r="M1273" s="25"/>
      <c r="N1273" s="26"/>
      <c r="O1273" s="64"/>
      <c r="P1273" s="64"/>
    </row>
    <row r="1274">
      <c r="A1274" s="25"/>
      <c r="B1274" s="59"/>
      <c r="C1274" s="59"/>
      <c r="D1274" s="25"/>
      <c r="E1274" s="25"/>
      <c r="F1274" s="25"/>
      <c r="G1274" s="25"/>
      <c r="H1274" s="25"/>
      <c r="I1274" s="25"/>
      <c r="J1274" s="25"/>
      <c r="K1274" s="25"/>
      <c r="L1274" s="25"/>
      <c r="M1274" s="25"/>
      <c r="N1274" s="26"/>
      <c r="O1274" s="64"/>
      <c r="P1274" s="64"/>
    </row>
    <row r="1275">
      <c r="A1275" s="25"/>
      <c r="B1275" s="59"/>
      <c r="C1275" s="59"/>
      <c r="D1275" s="25"/>
      <c r="E1275" s="25"/>
      <c r="F1275" s="25"/>
      <c r="G1275" s="25"/>
      <c r="H1275" s="25"/>
      <c r="I1275" s="25"/>
      <c r="J1275" s="25"/>
      <c r="K1275" s="25"/>
      <c r="L1275" s="25"/>
      <c r="M1275" s="25"/>
      <c r="N1275" s="26"/>
      <c r="O1275" s="64"/>
      <c r="P1275" s="64"/>
    </row>
    <row r="1276">
      <c r="A1276" s="25"/>
      <c r="B1276" s="59"/>
      <c r="C1276" s="59"/>
      <c r="D1276" s="25"/>
      <c r="E1276" s="25"/>
      <c r="F1276" s="25"/>
      <c r="G1276" s="25"/>
      <c r="H1276" s="25"/>
      <c r="I1276" s="25"/>
      <c r="J1276" s="25"/>
      <c r="K1276" s="25"/>
      <c r="L1276" s="25"/>
      <c r="M1276" s="25"/>
      <c r="N1276" s="26"/>
      <c r="O1276" s="64"/>
      <c r="P1276" s="64"/>
    </row>
    <row r="1277">
      <c r="A1277" s="25"/>
      <c r="B1277" s="59"/>
      <c r="C1277" s="59"/>
      <c r="D1277" s="25"/>
      <c r="E1277" s="25"/>
      <c r="F1277" s="25"/>
      <c r="G1277" s="25"/>
      <c r="H1277" s="25"/>
      <c r="I1277" s="25"/>
      <c r="J1277" s="25"/>
      <c r="K1277" s="25"/>
      <c r="L1277" s="25"/>
      <c r="M1277" s="25"/>
      <c r="N1277" s="26"/>
      <c r="O1277" s="64"/>
      <c r="P1277" s="64"/>
    </row>
    <row r="1278">
      <c r="A1278" s="25"/>
      <c r="B1278" s="59"/>
      <c r="C1278" s="59"/>
      <c r="D1278" s="25"/>
      <c r="E1278" s="25"/>
      <c r="F1278" s="25"/>
      <c r="G1278" s="25"/>
      <c r="H1278" s="25"/>
      <c r="I1278" s="25"/>
      <c r="J1278" s="25"/>
      <c r="K1278" s="25"/>
      <c r="L1278" s="25"/>
      <c r="M1278" s="25"/>
      <c r="N1278" s="26"/>
      <c r="O1278" s="64"/>
      <c r="P1278" s="64"/>
    </row>
    <row r="1279">
      <c r="A1279" s="25"/>
      <c r="B1279" s="59"/>
      <c r="C1279" s="59"/>
      <c r="D1279" s="25"/>
      <c r="E1279" s="25"/>
      <c r="F1279" s="25"/>
      <c r="G1279" s="25"/>
      <c r="H1279" s="25"/>
      <c r="I1279" s="25"/>
      <c r="J1279" s="25"/>
      <c r="K1279" s="25"/>
      <c r="L1279" s="25"/>
      <c r="M1279" s="25"/>
      <c r="N1279" s="26"/>
      <c r="O1279" s="64"/>
      <c r="P1279" s="64"/>
    </row>
    <row r="1280">
      <c r="A1280" s="25"/>
      <c r="B1280" s="59"/>
      <c r="C1280" s="59"/>
      <c r="D1280" s="25"/>
      <c r="E1280" s="25"/>
      <c r="F1280" s="25"/>
      <c r="G1280" s="25"/>
      <c r="H1280" s="25"/>
      <c r="I1280" s="25"/>
      <c r="J1280" s="25"/>
      <c r="K1280" s="25"/>
      <c r="L1280" s="25"/>
      <c r="M1280" s="25"/>
      <c r="N1280" s="26"/>
      <c r="O1280" s="64"/>
      <c r="P1280" s="64"/>
    </row>
    <row r="1281">
      <c r="A1281" s="25"/>
      <c r="B1281" s="59"/>
      <c r="C1281" s="59"/>
      <c r="D1281" s="25"/>
      <c r="E1281" s="25"/>
      <c r="F1281" s="25"/>
      <c r="G1281" s="25"/>
      <c r="H1281" s="25"/>
      <c r="I1281" s="25"/>
      <c r="J1281" s="25"/>
      <c r="K1281" s="25"/>
      <c r="L1281" s="25"/>
      <c r="M1281" s="25"/>
      <c r="N1281" s="26"/>
      <c r="O1281" s="64"/>
      <c r="P1281" s="64"/>
    </row>
    <row r="1282">
      <c r="A1282" s="25"/>
      <c r="B1282" s="59"/>
      <c r="C1282" s="59"/>
      <c r="D1282" s="25"/>
      <c r="E1282" s="25"/>
      <c r="F1282" s="25"/>
      <c r="G1282" s="25"/>
      <c r="H1282" s="25"/>
      <c r="I1282" s="25"/>
      <c r="J1282" s="25"/>
      <c r="K1282" s="25"/>
      <c r="L1282" s="25"/>
      <c r="M1282" s="25"/>
      <c r="N1282" s="26"/>
      <c r="O1282" s="64"/>
      <c r="P1282" s="64"/>
    </row>
    <row r="1283">
      <c r="A1283" s="25"/>
      <c r="B1283" s="59"/>
      <c r="C1283" s="59"/>
      <c r="D1283" s="25"/>
      <c r="E1283" s="25"/>
      <c r="F1283" s="25"/>
      <c r="G1283" s="25"/>
      <c r="H1283" s="25"/>
      <c r="I1283" s="25"/>
      <c r="J1283" s="25"/>
      <c r="K1283" s="25"/>
      <c r="L1283" s="25"/>
      <c r="M1283" s="25"/>
      <c r="N1283" s="26"/>
      <c r="O1283" s="64"/>
      <c r="P1283" s="64"/>
    </row>
    <row r="1284">
      <c r="A1284" s="25"/>
      <c r="B1284" s="59"/>
      <c r="C1284" s="59"/>
      <c r="D1284" s="25"/>
      <c r="E1284" s="25"/>
      <c r="F1284" s="25"/>
      <c r="G1284" s="25"/>
      <c r="H1284" s="25"/>
      <c r="I1284" s="25"/>
      <c r="J1284" s="25"/>
      <c r="K1284" s="25"/>
      <c r="L1284" s="25"/>
      <c r="M1284" s="25"/>
      <c r="N1284" s="26"/>
      <c r="O1284" s="64"/>
      <c r="P1284" s="64"/>
    </row>
    <row r="1285">
      <c r="A1285" s="25"/>
      <c r="B1285" s="59"/>
      <c r="C1285" s="59"/>
      <c r="D1285" s="25"/>
      <c r="E1285" s="25"/>
      <c r="F1285" s="25"/>
      <c r="G1285" s="25"/>
      <c r="H1285" s="25"/>
      <c r="I1285" s="25"/>
      <c r="J1285" s="25"/>
      <c r="K1285" s="25"/>
      <c r="L1285" s="25"/>
      <c r="M1285" s="25"/>
      <c r="N1285" s="26"/>
      <c r="O1285" s="64"/>
      <c r="P1285" s="64"/>
    </row>
    <row r="1286">
      <c r="A1286" s="25"/>
      <c r="B1286" s="59"/>
      <c r="C1286" s="59"/>
      <c r="D1286" s="25"/>
      <c r="E1286" s="25"/>
      <c r="F1286" s="25"/>
      <c r="G1286" s="25"/>
      <c r="H1286" s="25"/>
      <c r="I1286" s="25"/>
      <c r="J1286" s="25"/>
      <c r="K1286" s="25"/>
      <c r="L1286" s="25"/>
      <c r="M1286" s="25"/>
      <c r="N1286" s="26"/>
      <c r="O1286" s="64"/>
      <c r="P1286" s="64"/>
    </row>
    <row r="1287">
      <c r="A1287" s="25"/>
      <c r="B1287" s="59"/>
      <c r="C1287" s="59"/>
      <c r="D1287" s="25"/>
      <c r="E1287" s="25"/>
      <c r="F1287" s="25"/>
      <c r="G1287" s="25"/>
      <c r="H1287" s="25"/>
      <c r="I1287" s="25"/>
      <c r="J1287" s="25"/>
      <c r="K1287" s="25"/>
      <c r="L1287" s="25"/>
      <c r="M1287" s="25"/>
      <c r="N1287" s="26"/>
      <c r="O1287" s="64"/>
      <c r="P1287" s="64"/>
    </row>
    <row r="1288">
      <c r="A1288" s="25"/>
      <c r="B1288" s="59"/>
      <c r="C1288" s="59"/>
      <c r="D1288" s="25"/>
      <c r="E1288" s="25"/>
      <c r="F1288" s="25"/>
      <c r="G1288" s="25"/>
      <c r="H1288" s="25"/>
      <c r="I1288" s="25"/>
      <c r="J1288" s="25"/>
      <c r="K1288" s="25"/>
      <c r="L1288" s="25"/>
      <c r="M1288" s="25"/>
      <c r="N1288" s="26"/>
      <c r="O1288" s="64"/>
      <c r="P1288" s="64"/>
    </row>
    <row r="1289">
      <c r="A1289" s="25"/>
      <c r="B1289" s="59"/>
      <c r="C1289" s="59"/>
      <c r="D1289" s="25"/>
      <c r="E1289" s="25"/>
      <c r="F1289" s="25"/>
      <c r="G1289" s="25"/>
      <c r="H1289" s="25"/>
      <c r="I1289" s="25"/>
      <c r="J1289" s="25"/>
      <c r="K1289" s="25"/>
      <c r="L1289" s="25"/>
      <c r="M1289" s="25"/>
      <c r="N1289" s="26"/>
      <c r="O1289" s="64"/>
      <c r="P1289" s="64"/>
    </row>
    <row r="1290">
      <c r="A1290" s="25"/>
      <c r="B1290" s="59"/>
      <c r="C1290" s="59"/>
      <c r="D1290" s="25"/>
      <c r="E1290" s="25"/>
      <c r="F1290" s="25"/>
      <c r="G1290" s="25"/>
      <c r="H1290" s="25"/>
      <c r="I1290" s="25"/>
      <c r="J1290" s="25"/>
      <c r="K1290" s="25"/>
      <c r="L1290" s="25"/>
      <c r="M1290" s="25"/>
      <c r="N1290" s="26"/>
      <c r="O1290" s="64"/>
      <c r="P1290" s="64"/>
    </row>
    <row r="1291">
      <c r="A1291" s="25"/>
      <c r="B1291" s="59"/>
      <c r="C1291" s="59"/>
      <c r="D1291" s="25"/>
      <c r="E1291" s="25"/>
      <c r="F1291" s="25"/>
      <c r="G1291" s="25"/>
      <c r="H1291" s="25"/>
      <c r="I1291" s="25"/>
      <c r="J1291" s="25"/>
      <c r="K1291" s="25"/>
      <c r="L1291" s="25"/>
      <c r="M1291" s="25"/>
      <c r="N1291" s="26"/>
      <c r="O1291" s="64"/>
      <c r="P1291" s="64"/>
    </row>
    <row r="1292">
      <c r="A1292" s="7"/>
      <c r="B1292" s="8"/>
      <c r="C1292" s="8"/>
      <c r="D1292" s="7"/>
      <c r="E1292" s="7"/>
      <c r="F1292" s="7"/>
      <c r="G1292" s="7"/>
      <c r="H1292" s="9"/>
      <c r="I1292" s="7"/>
      <c r="J1292" s="7"/>
      <c r="K1292" s="7"/>
      <c r="L1292" s="60"/>
      <c r="M1292" s="60"/>
      <c r="N1292" s="10"/>
      <c r="O1292" s="55"/>
      <c r="P1292" s="55"/>
    </row>
    <row r="1293">
      <c r="A1293" s="25"/>
      <c r="B1293" s="59"/>
      <c r="C1293" s="59"/>
      <c r="D1293" s="25"/>
      <c r="E1293" s="25"/>
      <c r="F1293" s="25"/>
      <c r="G1293" s="25"/>
      <c r="H1293" s="25"/>
      <c r="I1293" s="25"/>
      <c r="J1293" s="25"/>
      <c r="K1293" s="25"/>
      <c r="L1293" s="25"/>
      <c r="M1293" s="25"/>
      <c r="N1293" s="26"/>
      <c r="O1293" s="64"/>
      <c r="P1293" s="64"/>
    </row>
    <row r="1294">
      <c r="A1294" s="25"/>
      <c r="B1294" s="59"/>
      <c r="C1294" s="59"/>
      <c r="D1294" s="25"/>
      <c r="E1294" s="25"/>
      <c r="F1294" s="25"/>
      <c r="G1294" s="25"/>
      <c r="H1294" s="25"/>
      <c r="I1294" s="25"/>
      <c r="J1294" s="25"/>
      <c r="K1294" s="25"/>
      <c r="L1294" s="25"/>
      <c r="M1294" s="25"/>
      <c r="N1294" s="26"/>
      <c r="O1294" s="64"/>
      <c r="P1294" s="64"/>
    </row>
    <row r="1295">
      <c r="A1295" s="25"/>
      <c r="B1295" s="59"/>
      <c r="C1295" s="59"/>
      <c r="D1295" s="25"/>
      <c r="E1295" s="25"/>
      <c r="F1295" s="25"/>
      <c r="G1295" s="25"/>
      <c r="H1295" s="25"/>
      <c r="I1295" s="25"/>
      <c r="J1295" s="25"/>
      <c r="K1295" s="25"/>
      <c r="L1295" s="25"/>
      <c r="M1295" s="25"/>
      <c r="N1295" s="26"/>
      <c r="O1295" s="64"/>
      <c r="P1295" s="64"/>
    </row>
    <row r="1296">
      <c r="A1296" s="7"/>
      <c r="B1296" s="8"/>
      <c r="C1296" s="8"/>
      <c r="D1296" s="7"/>
      <c r="E1296" s="7"/>
      <c r="F1296" s="7"/>
      <c r="G1296" s="7"/>
      <c r="H1296" s="9"/>
      <c r="I1296" s="7"/>
      <c r="J1296" s="7"/>
      <c r="K1296" s="7"/>
      <c r="L1296" s="60"/>
      <c r="M1296" s="7"/>
      <c r="N1296" s="10"/>
      <c r="O1296" s="55"/>
      <c r="P1296" s="55"/>
    </row>
    <row r="1297">
      <c r="A1297" s="7"/>
      <c r="B1297" s="8"/>
      <c r="C1297" s="8"/>
      <c r="D1297" s="7"/>
      <c r="E1297" s="7"/>
      <c r="F1297" s="7"/>
      <c r="G1297" s="7"/>
      <c r="H1297" s="9"/>
      <c r="I1297" s="7"/>
      <c r="J1297" s="7"/>
      <c r="K1297" s="7"/>
      <c r="L1297" s="7"/>
      <c r="M1297" s="10"/>
      <c r="N1297" s="10"/>
      <c r="O1297" s="43"/>
      <c r="P1297" s="43"/>
    </row>
    <row r="1298">
      <c r="A1298" s="7"/>
      <c r="B1298" s="8"/>
      <c r="C1298" s="8"/>
      <c r="D1298" s="7"/>
      <c r="E1298" s="7"/>
      <c r="F1298" s="7"/>
      <c r="G1298" s="25"/>
      <c r="H1298" s="9"/>
      <c r="I1298" s="7"/>
      <c r="J1298" s="7"/>
      <c r="K1298" s="7"/>
      <c r="L1298" s="7"/>
      <c r="M1298" s="32"/>
      <c r="N1298" s="10"/>
      <c r="O1298" s="55"/>
      <c r="P1298" s="55"/>
    </row>
    <row r="1299">
      <c r="A1299" s="7"/>
      <c r="B1299" s="8"/>
      <c r="C1299" s="8"/>
      <c r="D1299" s="7"/>
      <c r="E1299" s="7"/>
      <c r="F1299" s="7"/>
      <c r="G1299" s="25"/>
      <c r="H1299" s="9"/>
      <c r="I1299" s="7"/>
      <c r="J1299" s="7"/>
      <c r="K1299" s="7"/>
      <c r="L1299" s="7"/>
      <c r="M1299" s="32"/>
      <c r="N1299" s="10"/>
      <c r="O1299" s="55"/>
      <c r="P1299" s="55"/>
    </row>
    <row r="1300">
      <c r="A1300" s="25"/>
      <c r="B1300" s="59"/>
      <c r="C1300" s="59"/>
      <c r="D1300" s="25"/>
      <c r="E1300" s="25"/>
      <c r="F1300" s="25"/>
      <c r="G1300" s="25"/>
      <c r="H1300" s="25"/>
      <c r="I1300" s="25"/>
      <c r="J1300" s="25"/>
      <c r="K1300" s="25"/>
      <c r="L1300" s="25"/>
      <c r="M1300" s="25"/>
      <c r="N1300" s="26"/>
      <c r="O1300" s="64"/>
      <c r="P1300" s="64"/>
    </row>
    <row r="1301">
      <c r="A1301" s="25"/>
      <c r="B1301" s="59"/>
      <c r="C1301" s="59"/>
      <c r="D1301" s="25"/>
      <c r="E1301" s="25"/>
      <c r="F1301" s="25"/>
      <c r="G1301" s="25"/>
      <c r="H1301" s="25"/>
      <c r="I1301" s="25"/>
      <c r="J1301" s="25"/>
      <c r="K1301" s="25"/>
      <c r="L1301" s="25"/>
      <c r="M1301" s="25"/>
      <c r="N1301" s="26"/>
      <c r="O1301" s="64"/>
      <c r="P1301" s="64"/>
    </row>
    <row r="1302">
      <c r="A1302" s="7"/>
      <c r="B1302" s="8"/>
      <c r="C1302" s="8"/>
      <c r="D1302" s="7"/>
      <c r="E1302" s="7"/>
      <c r="F1302" s="7"/>
      <c r="G1302" s="7"/>
      <c r="H1302" s="9"/>
      <c r="I1302" s="7"/>
      <c r="J1302" s="7"/>
      <c r="K1302" s="7"/>
      <c r="L1302" s="7"/>
      <c r="M1302" s="32"/>
      <c r="N1302" s="10"/>
      <c r="O1302" s="55"/>
      <c r="P1302" s="55"/>
    </row>
    <row r="1303">
      <c r="A1303" s="25"/>
      <c r="B1303" s="59"/>
      <c r="C1303" s="59"/>
      <c r="D1303" s="25"/>
      <c r="E1303" s="25"/>
      <c r="F1303" s="25"/>
      <c r="G1303" s="25"/>
      <c r="H1303" s="25"/>
      <c r="I1303" s="25"/>
      <c r="J1303" s="25"/>
      <c r="K1303" s="25"/>
      <c r="L1303" s="25"/>
      <c r="M1303" s="25"/>
      <c r="N1303" s="26"/>
      <c r="O1303" s="64"/>
      <c r="P1303" s="64"/>
    </row>
    <row r="1304">
      <c r="A1304" s="25"/>
      <c r="B1304" s="59"/>
      <c r="C1304" s="59"/>
      <c r="D1304" s="25"/>
      <c r="E1304" s="25"/>
      <c r="F1304" s="25"/>
      <c r="G1304" s="25"/>
      <c r="H1304" s="25"/>
      <c r="I1304" s="25"/>
      <c r="J1304" s="25"/>
      <c r="K1304" s="25"/>
      <c r="L1304" s="25"/>
      <c r="M1304" s="25"/>
      <c r="N1304" s="26"/>
      <c r="O1304" s="64"/>
      <c r="P1304" s="64"/>
    </row>
    <row r="1305">
      <c r="A1305" s="7"/>
      <c r="B1305" s="8"/>
      <c r="C1305" s="8"/>
      <c r="D1305" s="7"/>
      <c r="E1305" s="7"/>
      <c r="F1305" s="7"/>
      <c r="G1305" s="7"/>
      <c r="H1305" s="9"/>
      <c r="I1305" s="7"/>
      <c r="J1305" s="7"/>
      <c r="K1305" s="7"/>
      <c r="L1305" s="7"/>
      <c r="M1305" s="30"/>
      <c r="N1305" s="10"/>
      <c r="O1305" s="43"/>
      <c r="P1305" s="43"/>
    </row>
    <row r="1306">
      <c r="A1306" s="25"/>
      <c r="B1306" s="59"/>
      <c r="C1306" s="59"/>
      <c r="D1306" s="25"/>
      <c r="E1306" s="25"/>
      <c r="F1306" s="25"/>
      <c r="G1306" s="25"/>
      <c r="H1306" s="25"/>
      <c r="I1306" s="25"/>
      <c r="J1306" s="25"/>
      <c r="K1306" s="25"/>
      <c r="L1306" s="25"/>
      <c r="M1306" s="25"/>
      <c r="N1306" s="26"/>
      <c r="O1306" s="64"/>
      <c r="P1306" s="64"/>
    </row>
    <row r="1307">
      <c r="A1307" s="25"/>
      <c r="B1307" s="59"/>
      <c r="C1307" s="59"/>
      <c r="D1307" s="25"/>
      <c r="E1307" s="25"/>
      <c r="F1307" s="25"/>
      <c r="G1307" s="25"/>
      <c r="H1307" s="25"/>
      <c r="I1307" s="25"/>
      <c r="J1307" s="25"/>
      <c r="K1307" s="25"/>
      <c r="L1307" s="25"/>
      <c r="M1307" s="25"/>
      <c r="N1307" s="26"/>
      <c r="O1307" s="64"/>
      <c r="P1307" s="64"/>
    </row>
    <row r="1308">
      <c r="A1308" s="25"/>
      <c r="B1308" s="59"/>
      <c r="C1308" s="59"/>
      <c r="D1308" s="25"/>
      <c r="E1308" s="25"/>
      <c r="F1308" s="25"/>
      <c r="G1308" s="25"/>
      <c r="H1308" s="25"/>
      <c r="I1308" s="25"/>
      <c r="J1308" s="25"/>
      <c r="K1308" s="25"/>
      <c r="L1308" s="25"/>
      <c r="M1308" s="25"/>
      <c r="N1308" s="26"/>
      <c r="O1308" s="64"/>
      <c r="P1308" s="64"/>
    </row>
    <row r="1309">
      <c r="A1309" s="25"/>
      <c r="B1309" s="59"/>
      <c r="C1309" s="59"/>
      <c r="D1309" s="25"/>
      <c r="E1309" s="25"/>
      <c r="F1309" s="25"/>
      <c r="G1309" s="25"/>
      <c r="H1309" s="25"/>
      <c r="I1309" s="25"/>
      <c r="J1309" s="25"/>
      <c r="K1309" s="25"/>
      <c r="L1309" s="25"/>
      <c r="M1309" s="25"/>
      <c r="N1309" s="26"/>
      <c r="O1309" s="64"/>
      <c r="P1309" s="64"/>
    </row>
    <row r="1310">
      <c r="A1310" s="7"/>
      <c r="B1310" s="8"/>
      <c r="C1310" s="8"/>
      <c r="D1310" s="7"/>
      <c r="E1310" s="7"/>
      <c r="F1310" s="7"/>
      <c r="G1310" s="25"/>
      <c r="H1310" s="9"/>
      <c r="I1310" s="25"/>
      <c r="J1310" s="25"/>
      <c r="K1310" s="25"/>
      <c r="L1310" s="7"/>
      <c r="M1310" s="32"/>
      <c r="N1310" s="10"/>
      <c r="O1310" s="55"/>
      <c r="P1310" s="55"/>
    </row>
    <row r="1311">
      <c r="A1311" s="7"/>
      <c r="B1311" s="8"/>
      <c r="C1311" s="8"/>
      <c r="D1311" s="7"/>
      <c r="E1311" s="7"/>
      <c r="F1311" s="7"/>
      <c r="G1311" s="7"/>
      <c r="H1311" s="9"/>
      <c r="I1311" s="25"/>
      <c r="J1311" s="25"/>
      <c r="K1311" s="25"/>
      <c r="L1311" s="7"/>
      <c r="M1311" s="30"/>
      <c r="N1311" s="10"/>
      <c r="O1311" s="43"/>
      <c r="P1311" s="43"/>
    </row>
    <row r="1312">
      <c r="A1312" s="25"/>
      <c r="B1312" s="59"/>
      <c r="C1312" s="59"/>
      <c r="D1312" s="25"/>
      <c r="E1312" s="25"/>
      <c r="F1312" s="25"/>
      <c r="G1312" s="25"/>
      <c r="H1312" s="25"/>
      <c r="I1312" s="25"/>
      <c r="J1312" s="25"/>
      <c r="K1312" s="25"/>
      <c r="L1312" s="25"/>
      <c r="M1312" s="25"/>
      <c r="N1312" s="26"/>
      <c r="O1312" s="64"/>
      <c r="P1312" s="64"/>
    </row>
    <row r="1313">
      <c r="A1313" s="25"/>
      <c r="B1313" s="59"/>
      <c r="C1313" s="59"/>
      <c r="D1313" s="25"/>
      <c r="E1313" s="25"/>
      <c r="F1313" s="25"/>
      <c r="G1313" s="25"/>
      <c r="H1313" s="25"/>
      <c r="I1313" s="25"/>
      <c r="J1313" s="25"/>
      <c r="K1313" s="25"/>
      <c r="L1313" s="25"/>
      <c r="M1313" s="25"/>
      <c r="N1313" s="26"/>
      <c r="O1313" s="64"/>
      <c r="P1313" s="64"/>
    </row>
    <row r="1314">
      <c r="A1314" s="25"/>
      <c r="B1314" s="59"/>
      <c r="C1314" s="59"/>
      <c r="D1314" s="25"/>
      <c r="E1314" s="25"/>
      <c r="F1314" s="25"/>
      <c r="G1314" s="25"/>
      <c r="H1314" s="25"/>
      <c r="I1314" s="25"/>
      <c r="J1314" s="25"/>
      <c r="K1314" s="25"/>
      <c r="L1314" s="25"/>
      <c r="M1314" s="25"/>
      <c r="N1314" s="26"/>
      <c r="O1314" s="64"/>
      <c r="P1314" s="64"/>
    </row>
    <row r="1315">
      <c r="A1315" s="25"/>
      <c r="B1315" s="59"/>
      <c r="C1315" s="59"/>
      <c r="D1315" s="25"/>
      <c r="E1315" s="25"/>
      <c r="F1315" s="25"/>
      <c r="G1315" s="25"/>
      <c r="H1315" s="25"/>
      <c r="I1315" s="25"/>
      <c r="J1315" s="25"/>
      <c r="K1315" s="25"/>
      <c r="L1315" s="25"/>
      <c r="M1315" s="25"/>
      <c r="N1315" s="26"/>
      <c r="O1315" s="64"/>
      <c r="P1315" s="64"/>
    </row>
    <row r="1316">
      <c r="A1316" s="7"/>
      <c r="B1316" s="8"/>
      <c r="C1316" s="8"/>
      <c r="D1316" s="7"/>
      <c r="E1316" s="7"/>
      <c r="F1316" s="7"/>
      <c r="G1316" s="25"/>
      <c r="H1316" s="9"/>
      <c r="I1316" s="7"/>
      <c r="J1316" s="7"/>
      <c r="K1316" s="7"/>
      <c r="L1316" s="7"/>
      <c r="M1316" s="7"/>
      <c r="N1316" s="10"/>
      <c r="O1316" s="55"/>
      <c r="P1316" s="55"/>
    </row>
    <row r="1317">
      <c r="A1317" s="25"/>
      <c r="B1317" s="59"/>
      <c r="C1317" s="59"/>
      <c r="D1317" s="25"/>
      <c r="E1317" s="25"/>
      <c r="F1317" s="25"/>
      <c r="G1317" s="25"/>
      <c r="H1317" s="25"/>
      <c r="I1317" s="25"/>
      <c r="J1317" s="25"/>
      <c r="K1317" s="25"/>
      <c r="L1317" s="25"/>
      <c r="M1317" s="25"/>
      <c r="N1317" s="26"/>
      <c r="O1317" s="64"/>
      <c r="P1317" s="64"/>
    </row>
    <row r="1318">
      <c r="A1318" s="7"/>
      <c r="B1318" s="8"/>
      <c r="C1318" s="8"/>
      <c r="D1318" s="7"/>
      <c r="E1318" s="7"/>
      <c r="F1318" s="7"/>
      <c r="G1318" s="7"/>
      <c r="H1318" s="9"/>
      <c r="I1318" s="7"/>
      <c r="J1318" s="7"/>
      <c r="K1318" s="7"/>
      <c r="L1318" s="7"/>
      <c r="M1318" s="32"/>
      <c r="N1318" s="10"/>
      <c r="O1318" s="55"/>
      <c r="P1318" s="55"/>
    </row>
    <row r="1319">
      <c r="A1319" s="7"/>
      <c r="B1319" s="8"/>
      <c r="C1319" s="8"/>
      <c r="D1319" s="7"/>
      <c r="E1319" s="7"/>
      <c r="F1319" s="7"/>
      <c r="G1319" s="7"/>
      <c r="H1319" s="9"/>
      <c r="I1319" s="7"/>
      <c r="J1319" s="7"/>
      <c r="K1319" s="7"/>
      <c r="L1319" s="7"/>
      <c r="M1319" s="30"/>
      <c r="N1319" s="10"/>
      <c r="O1319" s="43"/>
      <c r="P1319" s="43"/>
    </row>
    <row r="1320">
      <c r="A1320" s="25"/>
      <c r="B1320" s="59"/>
      <c r="C1320" s="59"/>
      <c r="D1320" s="25"/>
      <c r="E1320" s="25"/>
      <c r="F1320" s="25"/>
      <c r="G1320" s="25"/>
      <c r="H1320" s="25"/>
      <c r="I1320" s="25"/>
      <c r="J1320" s="25"/>
      <c r="K1320" s="25"/>
      <c r="L1320" s="25"/>
      <c r="M1320" s="25"/>
      <c r="N1320" s="26"/>
      <c r="O1320" s="64"/>
      <c r="P1320" s="64"/>
    </row>
    <row r="1321">
      <c r="A1321" s="25"/>
      <c r="B1321" s="59"/>
      <c r="C1321" s="59"/>
      <c r="D1321" s="25"/>
      <c r="E1321" s="25"/>
      <c r="F1321" s="25"/>
      <c r="G1321" s="25"/>
      <c r="H1321" s="25"/>
      <c r="I1321" s="25"/>
      <c r="J1321" s="25"/>
      <c r="K1321" s="25"/>
      <c r="L1321" s="25"/>
      <c r="M1321" s="25"/>
      <c r="N1321" s="26"/>
      <c r="O1321" s="64"/>
      <c r="P1321" s="64"/>
    </row>
    <row r="1322">
      <c r="A1322" s="25"/>
      <c r="B1322" s="59"/>
      <c r="C1322" s="59"/>
      <c r="D1322" s="25"/>
      <c r="E1322" s="25"/>
      <c r="F1322" s="25"/>
      <c r="G1322" s="25"/>
      <c r="H1322" s="25"/>
      <c r="I1322" s="25"/>
      <c r="J1322" s="25"/>
      <c r="K1322" s="25"/>
      <c r="L1322" s="25"/>
      <c r="M1322" s="25"/>
      <c r="N1322" s="26"/>
      <c r="O1322" s="64"/>
      <c r="P1322" s="64"/>
    </row>
    <row r="1323">
      <c r="A1323" s="25"/>
      <c r="B1323" s="59"/>
      <c r="C1323" s="59"/>
      <c r="D1323" s="25"/>
      <c r="E1323" s="25"/>
      <c r="F1323" s="25"/>
      <c r="G1323" s="25"/>
      <c r="H1323" s="25"/>
      <c r="I1323" s="25"/>
      <c r="J1323" s="25"/>
      <c r="K1323" s="25"/>
      <c r="L1323" s="25"/>
      <c r="M1323" s="25"/>
      <c r="N1323" s="26"/>
      <c r="O1323" s="64"/>
      <c r="P1323" s="64"/>
    </row>
    <row r="1324">
      <c r="A1324" s="25"/>
      <c r="B1324" s="59"/>
      <c r="C1324" s="59"/>
      <c r="D1324" s="25"/>
      <c r="E1324" s="25"/>
      <c r="F1324" s="25"/>
      <c r="G1324" s="25"/>
      <c r="H1324" s="25"/>
      <c r="I1324" s="25"/>
      <c r="J1324" s="25"/>
      <c r="K1324" s="25"/>
      <c r="L1324" s="25"/>
      <c r="M1324" s="25"/>
      <c r="N1324" s="26"/>
      <c r="O1324" s="64"/>
      <c r="P1324" s="64"/>
    </row>
    <row r="1325">
      <c r="A1325" s="7"/>
      <c r="B1325" s="8"/>
      <c r="C1325" s="8"/>
      <c r="D1325" s="7"/>
      <c r="E1325" s="7"/>
      <c r="F1325" s="7"/>
      <c r="G1325" s="7"/>
      <c r="H1325" s="9"/>
      <c r="I1325" s="7"/>
      <c r="J1325" s="7"/>
      <c r="K1325" s="7"/>
      <c r="L1325" s="7"/>
      <c r="M1325" s="32"/>
      <c r="N1325" s="10"/>
      <c r="O1325" s="55"/>
      <c r="P1325" s="55"/>
    </row>
    <row r="1326">
      <c r="A1326" s="25"/>
      <c r="B1326" s="59"/>
      <c r="C1326" s="59"/>
      <c r="D1326" s="25"/>
      <c r="E1326" s="25"/>
      <c r="F1326" s="25"/>
      <c r="G1326" s="25"/>
      <c r="H1326" s="25"/>
      <c r="I1326" s="25"/>
      <c r="J1326" s="25"/>
      <c r="K1326" s="25"/>
      <c r="L1326" s="25"/>
      <c r="M1326" s="25"/>
      <c r="N1326" s="26"/>
      <c r="O1326" s="64"/>
      <c r="P1326" s="64"/>
    </row>
    <row r="1327">
      <c r="A1327" s="25"/>
      <c r="B1327" s="59"/>
      <c r="C1327" s="59"/>
      <c r="D1327" s="25"/>
      <c r="E1327" s="25"/>
      <c r="F1327" s="25"/>
      <c r="G1327" s="25"/>
      <c r="H1327" s="25"/>
      <c r="I1327" s="25"/>
      <c r="J1327" s="25"/>
      <c r="K1327" s="25"/>
      <c r="L1327" s="25"/>
      <c r="M1327" s="25"/>
      <c r="N1327" s="26"/>
      <c r="O1327" s="64"/>
      <c r="P1327" s="64"/>
    </row>
    <row r="1328">
      <c r="A1328" s="25"/>
      <c r="B1328" s="59"/>
      <c r="C1328" s="59"/>
      <c r="D1328" s="25"/>
      <c r="E1328" s="25"/>
      <c r="F1328" s="25"/>
      <c r="G1328" s="25"/>
      <c r="H1328" s="25"/>
      <c r="I1328" s="25"/>
      <c r="J1328" s="25"/>
      <c r="K1328" s="25"/>
      <c r="L1328" s="25"/>
      <c r="M1328" s="25"/>
      <c r="N1328" s="26"/>
      <c r="O1328" s="64"/>
      <c r="P1328" s="64"/>
    </row>
    <row r="1329">
      <c r="A1329" s="7"/>
      <c r="B1329" s="8"/>
      <c r="C1329" s="8"/>
      <c r="D1329" s="7"/>
      <c r="E1329" s="7"/>
      <c r="F1329" s="7"/>
      <c r="G1329" s="7"/>
      <c r="H1329" s="9"/>
      <c r="I1329" s="7"/>
      <c r="J1329" s="7"/>
      <c r="K1329" s="7"/>
      <c r="L1329" s="7"/>
      <c r="M1329" s="32"/>
      <c r="N1329" s="10"/>
      <c r="O1329" s="55"/>
      <c r="P1329" s="55"/>
    </row>
    <row r="1330">
      <c r="A1330" s="7"/>
      <c r="B1330" s="8"/>
      <c r="C1330" s="8"/>
      <c r="D1330" s="7"/>
      <c r="E1330" s="7"/>
      <c r="F1330" s="7"/>
      <c r="G1330" s="7"/>
      <c r="H1330" s="9"/>
      <c r="I1330" s="7"/>
      <c r="J1330" s="7"/>
      <c r="K1330" s="7"/>
      <c r="L1330" s="7"/>
      <c r="M1330" s="32"/>
      <c r="N1330" s="10"/>
      <c r="O1330" s="55"/>
      <c r="P1330" s="55"/>
    </row>
    <row r="1331">
      <c r="A1331" s="7"/>
      <c r="B1331" s="8"/>
      <c r="C1331" s="8"/>
      <c r="D1331" s="7"/>
      <c r="E1331" s="7"/>
      <c r="F1331" s="7"/>
      <c r="G1331" s="25"/>
      <c r="H1331" s="9"/>
      <c r="I1331" s="7"/>
      <c r="J1331" s="7"/>
      <c r="K1331" s="7"/>
      <c r="L1331" s="7"/>
      <c r="M1331" s="32"/>
      <c r="N1331" s="10"/>
      <c r="O1331" s="55"/>
      <c r="P1331" s="55"/>
    </row>
    <row r="1332">
      <c r="A1332" s="25"/>
      <c r="B1332" s="59"/>
      <c r="C1332" s="59"/>
      <c r="D1332" s="25"/>
      <c r="E1332" s="25"/>
      <c r="F1332" s="25"/>
      <c r="G1332" s="25"/>
      <c r="H1332" s="25"/>
      <c r="I1332" s="25"/>
      <c r="J1332" s="25"/>
      <c r="K1332" s="25"/>
      <c r="L1332" s="25"/>
      <c r="M1332" s="25"/>
      <c r="N1332" s="26"/>
      <c r="O1332" s="64"/>
      <c r="P1332" s="64"/>
    </row>
    <row r="1333">
      <c r="A1333" s="7"/>
      <c r="B1333" s="8"/>
      <c r="C1333" s="8"/>
      <c r="D1333" s="7"/>
      <c r="E1333" s="7"/>
      <c r="F1333" s="7"/>
      <c r="G1333" s="25"/>
      <c r="H1333" s="9"/>
      <c r="I1333" s="7"/>
      <c r="J1333" s="7"/>
      <c r="K1333" s="7"/>
      <c r="L1333" s="7"/>
      <c r="M1333" s="32"/>
      <c r="N1333" s="10"/>
      <c r="O1333" s="55"/>
      <c r="P1333" s="55"/>
    </row>
    <row r="1334">
      <c r="A1334" s="7"/>
      <c r="B1334" s="8"/>
      <c r="C1334" s="8"/>
      <c r="D1334" s="7"/>
      <c r="E1334" s="7"/>
      <c r="F1334" s="7"/>
      <c r="G1334" s="7"/>
      <c r="H1334" s="9"/>
      <c r="I1334" s="7"/>
      <c r="J1334" s="7"/>
      <c r="K1334" s="7"/>
      <c r="L1334" s="7"/>
      <c r="M1334" s="30"/>
      <c r="N1334" s="10"/>
      <c r="O1334" s="43"/>
      <c r="P1334" s="43"/>
    </row>
    <row r="1335">
      <c r="A1335" s="25"/>
      <c r="B1335" s="59"/>
      <c r="C1335" s="59"/>
      <c r="D1335" s="25"/>
      <c r="E1335" s="25"/>
      <c r="F1335" s="25"/>
      <c r="G1335" s="25"/>
      <c r="H1335" s="25"/>
      <c r="I1335" s="25"/>
      <c r="J1335" s="25"/>
      <c r="K1335" s="25"/>
      <c r="L1335" s="25"/>
      <c r="M1335" s="25"/>
      <c r="N1335" s="26"/>
      <c r="O1335" s="64"/>
      <c r="P1335" s="64"/>
    </row>
    <row r="1336">
      <c r="A1336" s="25"/>
      <c r="B1336" s="59"/>
      <c r="C1336" s="59"/>
      <c r="D1336" s="25"/>
      <c r="E1336" s="25"/>
      <c r="F1336" s="25"/>
      <c r="G1336" s="25"/>
      <c r="H1336" s="25"/>
      <c r="I1336" s="25"/>
      <c r="J1336" s="25"/>
      <c r="K1336" s="25"/>
      <c r="L1336" s="25"/>
      <c r="M1336" s="25"/>
      <c r="N1336" s="26"/>
      <c r="O1336" s="64"/>
      <c r="P1336" s="64"/>
    </row>
    <row r="1337">
      <c r="A1337" s="7"/>
      <c r="B1337" s="8"/>
      <c r="C1337" s="8"/>
      <c r="D1337" s="7"/>
      <c r="E1337" s="7"/>
      <c r="F1337" s="7"/>
      <c r="G1337" s="25"/>
      <c r="H1337" s="9"/>
      <c r="I1337" s="7"/>
      <c r="J1337" s="7"/>
      <c r="K1337" s="7"/>
      <c r="L1337" s="7"/>
      <c r="M1337" s="32"/>
      <c r="N1337" s="10"/>
      <c r="O1337" s="55"/>
      <c r="P1337" s="55"/>
    </row>
    <row r="1338">
      <c r="A1338" s="7"/>
      <c r="B1338" s="8"/>
      <c r="C1338" s="8"/>
      <c r="D1338" s="7"/>
      <c r="E1338" s="7"/>
      <c r="F1338" s="7"/>
      <c r="G1338" s="25"/>
      <c r="H1338" s="9"/>
      <c r="I1338" s="7"/>
      <c r="J1338" s="7"/>
      <c r="K1338" s="7"/>
      <c r="L1338" s="7"/>
      <c r="M1338" s="32"/>
      <c r="N1338" s="10"/>
      <c r="O1338" s="55"/>
      <c r="P1338" s="55"/>
    </row>
    <row r="1339">
      <c r="A1339" s="7"/>
      <c r="B1339" s="8"/>
      <c r="C1339" s="8"/>
      <c r="D1339" s="7"/>
      <c r="E1339" s="7"/>
      <c r="F1339" s="7"/>
      <c r="G1339" s="25"/>
      <c r="H1339" s="9"/>
      <c r="I1339" s="7"/>
      <c r="J1339" s="7"/>
      <c r="K1339" s="7"/>
      <c r="L1339" s="7"/>
      <c r="M1339" s="32"/>
      <c r="N1339" s="10"/>
      <c r="O1339" s="55"/>
      <c r="P1339" s="55"/>
    </row>
    <row r="1340">
      <c r="A1340" s="7"/>
      <c r="B1340" s="8"/>
      <c r="C1340" s="8"/>
      <c r="D1340" s="7"/>
      <c r="E1340" s="7"/>
      <c r="F1340" s="7"/>
      <c r="G1340" s="25"/>
      <c r="H1340" s="9"/>
      <c r="I1340" s="7"/>
      <c r="J1340" s="7"/>
      <c r="K1340" s="7"/>
      <c r="L1340" s="7"/>
      <c r="M1340" s="32"/>
      <c r="N1340" s="10"/>
      <c r="O1340" s="55"/>
      <c r="P1340" s="55"/>
    </row>
    <row r="1341">
      <c r="A1341" s="25"/>
      <c r="B1341" s="59"/>
      <c r="C1341" s="59"/>
      <c r="D1341" s="25"/>
      <c r="E1341" s="25"/>
      <c r="F1341" s="25"/>
      <c r="G1341" s="25"/>
      <c r="H1341" s="25"/>
      <c r="I1341" s="25"/>
      <c r="J1341" s="25"/>
      <c r="K1341" s="25"/>
      <c r="L1341" s="25"/>
      <c r="M1341" s="25"/>
      <c r="N1341" s="26"/>
      <c r="O1341" s="64"/>
      <c r="P1341" s="64"/>
    </row>
    <row r="1342">
      <c r="A1342" s="7"/>
      <c r="B1342" s="8"/>
      <c r="C1342" s="8"/>
      <c r="D1342" s="7"/>
      <c r="E1342" s="7"/>
      <c r="F1342" s="7"/>
      <c r="G1342" s="25"/>
      <c r="H1342" s="9"/>
      <c r="I1342" s="7"/>
      <c r="J1342" s="7"/>
      <c r="K1342" s="7"/>
      <c r="L1342" s="7"/>
      <c r="M1342" s="32"/>
      <c r="N1342" s="10"/>
      <c r="O1342" s="55"/>
      <c r="P1342" s="55"/>
    </row>
    <row r="1343">
      <c r="A1343" s="7"/>
      <c r="B1343" s="8"/>
      <c r="C1343" s="8"/>
      <c r="D1343" s="7"/>
      <c r="E1343" s="7"/>
      <c r="F1343" s="7"/>
      <c r="G1343" s="25"/>
      <c r="H1343" s="9"/>
      <c r="I1343" s="7"/>
      <c r="J1343" s="7"/>
      <c r="K1343" s="7"/>
      <c r="L1343" s="7"/>
      <c r="M1343" s="32"/>
      <c r="N1343" s="10"/>
      <c r="O1343" s="55"/>
      <c r="P1343" s="55"/>
    </row>
    <row r="1344">
      <c r="A1344" s="25"/>
      <c r="B1344" s="59"/>
      <c r="C1344" s="59"/>
      <c r="D1344" s="25"/>
      <c r="E1344" s="25"/>
      <c r="F1344" s="25"/>
      <c r="G1344" s="25"/>
      <c r="H1344" s="25"/>
      <c r="I1344" s="25"/>
      <c r="J1344" s="25"/>
      <c r="K1344" s="25"/>
      <c r="L1344" s="25"/>
      <c r="M1344" s="25"/>
      <c r="N1344" s="26"/>
      <c r="O1344" s="64"/>
      <c r="P1344" s="64"/>
    </row>
    <row r="1345">
      <c r="A1345" s="7"/>
      <c r="B1345" s="8"/>
      <c r="C1345" s="8"/>
      <c r="D1345" s="7"/>
      <c r="E1345" s="7"/>
      <c r="F1345" s="7"/>
      <c r="G1345" s="7"/>
      <c r="H1345" s="9"/>
      <c r="I1345" s="7"/>
      <c r="J1345" s="7"/>
      <c r="K1345" s="7"/>
      <c r="L1345" s="7"/>
      <c r="M1345" s="32"/>
      <c r="N1345" s="10"/>
      <c r="O1345" s="55"/>
      <c r="P1345" s="55"/>
    </row>
    <row r="1346">
      <c r="A1346" s="7"/>
      <c r="B1346" s="8"/>
      <c r="C1346" s="8"/>
      <c r="D1346" s="7"/>
      <c r="E1346" s="7"/>
      <c r="F1346" s="7"/>
      <c r="G1346" s="7"/>
      <c r="H1346" s="9"/>
      <c r="I1346" s="7"/>
      <c r="J1346" s="7"/>
      <c r="K1346" s="7"/>
      <c r="L1346" s="7"/>
      <c r="M1346" s="32"/>
      <c r="N1346" s="10"/>
      <c r="O1346" s="55"/>
      <c r="P1346" s="55"/>
    </row>
    <row r="1347">
      <c r="A1347" s="7"/>
      <c r="B1347" s="8"/>
      <c r="C1347" s="8"/>
      <c r="D1347" s="7"/>
      <c r="E1347" s="7"/>
      <c r="F1347" s="7"/>
      <c r="G1347" s="25"/>
      <c r="H1347" s="9"/>
      <c r="I1347" s="7"/>
      <c r="J1347" s="7"/>
      <c r="K1347" s="7"/>
      <c r="L1347" s="7"/>
      <c r="M1347" s="32"/>
      <c r="N1347" s="10"/>
      <c r="O1347" s="55"/>
      <c r="P1347" s="55"/>
    </row>
    <row r="1348">
      <c r="A1348" s="25"/>
      <c r="B1348" s="59"/>
      <c r="C1348" s="59"/>
      <c r="D1348" s="25"/>
      <c r="E1348" s="25"/>
      <c r="F1348" s="25"/>
      <c r="G1348" s="25"/>
      <c r="H1348" s="25"/>
      <c r="I1348" s="25"/>
      <c r="J1348" s="25"/>
      <c r="K1348" s="25"/>
      <c r="L1348" s="25"/>
      <c r="M1348" s="25"/>
      <c r="N1348" s="26"/>
      <c r="O1348" s="64"/>
      <c r="P1348" s="64"/>
    </row>
    <row r="1349">
      <c r="A1349" s="7"/>
      <c r="B1349" s="8"/>
      <c r="C1349" s="8"/>
      <c r="D1349" s="7"/>
      <c r="E1349" s="7"/>
      <c r="F1349" s="7"/>
      <c r="G1349" s="25"/>
      <c r="H1349" s="9"/>
      <c r="I1349" s="7"/>
      <c r="J1349" s="7"/>
      <c r="K1349" s="7"/>
      <c r="L1349" s="7"/>
      <c r="M1349" s="32"/>
      <c r="N1349" s="10"/>
      <c r="O1349" s="55"/>
      <c r="P1349" s="55"/>
    </row>
    <row r="1350">
      <c r="A1350" s="7"/>
      <c r="B1350" s="8"/>
      <c r="C1350" s="8"/>
      <c r="D1350" s="7"/>
      <c r="E1350" s="7"/>
      <c r="F1350" s="7"/>
      <c r="G1350" s="25"/>
      <c r="H1350" s="9"/>
      <c r="I1350" s="7"/>
      <c r="J1350" s="7"/>
      <c r="K1350" s="7"/>
      <c r="L1350" s="7"/>
      <c r="M1350" s="32"/>
      <c r="N1350" s="10"/>
      <c r="O1350" s="55"/>
      <c r="P1350" s="55"/>
    </row>
    <row r="1351">
      <c r="A1351" s="7"/>
      <c r="B1351" s="8"/>
      <c r="C1351" s="8"/>
      <c r="D1351" s="7"/>
      <c r="E1351" s="7"/>
      <c r="F1351" s="7"/>
      <c r="G1351" s="25"/>
      <c r="H1351" s="9"/>
      <c r="I1351" s="7"/>
      <c r="J1351" s="7"/>
      <c r="K1351" s="7"/>
      <c r="L1351" s="7"/>
      <c r="M1351" s="32"/>
      <c r="N1351" s="10"/>
      <c r="O1351" s="55"/>
      <c r="P1351" s="55"/>
    </row>
    <row r="1352">
      <c r="A1352" s="7"/>
      <c r="B1352" s="8"/>
      <c r="C1352" s="8"/>
      <c r="D1352" s="7"/>
      <c r="E1352" s="7"/>
      <c r="F1352" s="7"/>
      <c r="G1352" s="25"/>
      <c r="H1352" s="9"/>
      <c r="I1352" s="7"/>
      <c r="J1352" s="7"/>
      <c r="K1352" s="7"/>
      <c r="L1352" s="7"/>
      <c r="M1352" s="32"/>
      <c r="N1352" s="10"/>
      <c r="O1352" s="55"/>
      <c r="P1352" s="55"/>
    </row>
    <row r="1353">
      <c r="A1353" s="7"/>
      <c r="B1353" s="8"/>
      <c r="C1353" s="8"/>
      <c r="D1353" s="7"/>
      <c r="E1353" s="7"/>
      <c r="F1353" s="7"/>
      <c r="G1353" s="25"/>
      <c r="H1353" s="9"/>
      <c r="I1353" s="7"/>
      <c r="J1353" s="7"/>
      <c r="K1353" s="7"/>
      <c r="L1353" s="7"/>
      <c r="M1353" s="32"/>
      <c r="N1353" s="10"/>
      <c r="O1353" s="55"/>
      <c r="P1353" s="55"/>
    </row>
    <row r="1354">
      <c r="A1354" s="7"/>
      <c r="B1354" s="8"/>
      <c r="C1354" s="8"/>
      <c r="D1354" s="7"/>
      <c r="E1354" s="7"/>
      <c r="F1354" s="7"/>
      <c r="G1354" s="25"/>
      <c r="H1354" s="9"/>
      <c r="I1354" s="7"/>
      <c r="J1354" s="7"/>
      <c r="K1354" s="7"/>
      <c r="L1354" s="7"/>
      <c r="M1354" s="32"/>
      <c r="N1354" s="10"/>
      <c r="O1354" s="43"/>
      <c r="P1354" s="43"/>
    </row>
    <row r="1355">
      <c r="A1355" s="7"/>
      <c r="B1355" s="8"/>
      <c r="C1355" s="8"/>
      <c r="D1355" s="7"/>
      <c r="E1355" s="7"/>
      <c r="F1355" s="7"/>
      <c r="G1355" s="25"/>
      <c r="H1355" s="9"/>
      <c r="I1355" s="7"/>
      <c r="J1355" s="7"/>
      <c r="K1355" s="7"/>
      <c r="L1355" s="7"/>
      <c r="M1355" s="32"/>
      <c r="N1355" s="10"/>
      <c r="O1355" s="55"/>
      <c r="P1355" s="55"/>
    </row>
    <row r="1356">
      <c r="A1356" s="7"/>
      <c r="B1356" s="8"/>
      <c r="C1356" s="8"/>
      <c r="D1356" s="7"/>
      <c r="E1356" s="7"/>
      <c r="F1356" s="7"/>
      <c r="G1356" s="25"/>
      <c r="H1356" s="9"/>
      <c r="I1356" s="7"/>
      <c r="J1356" s="7"/>
      <c r="K1356" s="7"/>
      <c r="L1356" s="7"/>
      <c r="M1356" s="32"/>
      <c r="N1356" s="10"/>
      <c r="O1356" s="55"/>
      <c r="P1356" s="55"/>
    </row>
    <row r="1357">
      <c r="A1357" s="7"/>
      <c r="B1357" s="8"/>
      <c r="C1357" s="8"/>
      <c r="D1357" s="7"/>
      <c r="E1357" s="7"/>
      <c r="F1357" s="7"/>
      <c r="G1357" s="25"/>
      <c r="H1357" s="9"/>
      <c r="I1357" s="7"/>
      <c r="J1357" s="7"/>
      <c r="K1357" s="7"/>
      <c r="L1357" s="7"/>
      <c r="M1357" s="32"/>
      <c r="N1357" s="10"/>
      <c r="O1357" s="55"/>
      <c r="P1357" s="55"/>
    </row>
    <row r="1358">
      <c r="A1358" s="7"/>
      <c r="B1358" s="8"/>
      <c r="C1358" s="8"/>
      <c r="D1358" s="7"/>
      <c r="E1358" s="7"/>
      <c r="F1358" s="7"/>
      <c r="G1358" s="25"/>
      <c r="H1358" s="9"/>
      <c r="I1358" s="7"/>
      <c r="J1358" s="7"/>
      <c r="K1358" s="7"/>
      <c r="L1358" s="7"/>
      <c r="M1358" s="32"/>
      <c r="N1358" s="10"/>
      <c r="O1358" s="55"/>
      <c r="P1358" s="55"/>
    </row>
    <row r="1359">
      <c r="A1359" s="7"/>
      <c r="B1359" s="8"/>
      <c r="C1359" s="8"/>
      <c r="D1359" s="7"/>
      <c r="E1359" s="7"/>
      <c r="F1359" s="7"/>
      <c r="G1359" s="25"/>
      <c r="H1359" s="9"/>
      <c r="I1359" s="7"/>
      <c r="J1359" s="7"/>
      <c r="K1359" s="7"/>
      <c r="L1359" s="7"/>
      <c r="M1359" s="32"/>
      <c r="N1359" s="10"/>
      <c r="O1359" s="55"/>
      <c r="P1359" s="55"/>
    </row>
    <row r="1360">
      <c r="A1360" s="7"/>
      <c r="B1360" s="8"/>
      <c r="C1360" s="8"/>
      <c r="D1360" s="7"/>
      <c r="E1360" s="7"/>
      <c r="F1360" s="7"/>
      <c r="G1360" s="25"/>
      <c r="H1360" s="9"/>
      <c r="I1360" s="7"/>
      <c r="J1360" s="7"/>
      <c r="K1360" s="7"/>
      <c r="L1360" s="7"/>
      <c r="M1360" s="32"/>
      <c r="N1360" s="10"/>
      <c r="O1360" s="55"/>
      <c r="P1360" s="55"/>
    </row>
    <row r="1361">
      <c r="A1361" s="25"/>
      <c r="B1361" s="59"/>
      <c r="C1361" s="59"/>
      <c r="D1361" s="25"/>
      <c r="E1361" s="25"/>
      <c r="F1361" s="25"/>
      <c r="G1361" s="25"/>
      <c r="H1361" s="25"/>
      <c r="I1361" s="25"/>
      <c r="J1361" s="25"/>
      <c r="K1361" s="25"/>
      <c r="L1361" s="25"/>
      <c r="M1361" s="25"/>
      <c r="N1361" s="26"/>
      <c r="O1361" s="64"/>
      <c r="P1361" s="64"/>
    </row>
    <row r="1362">
      <c r="A1362" s="25"/>
      <c r="B1362" s="59"/>
      <c r="C1362" s="59"/>
      <c r="D1362" s="25"/>
      <c r="E1362" s="25"/>
      <c r="F1362" s="25"/>
      <c r="G1362" s="25"/>
      <c r="H1362" s="25"/>
      <c r="I1362" s="25"/>
      <c r="J1362" s="25"/>
      <c r="K1362" s="25"/>
      <c r="L1362" s="25"/>
      <c r="M1362" s="25"/>
      <c r="N1362" s="26"/>
      <c r="O1362" s="64"/>
      <c r="P1362" s="64"/>
    </row>
    <row r="1363">
      <c r="A1363" s="7"/>
      <c r="B1363" s="8"/>
      <c r="C1363" s="8"/>
      <c r="D1363" s="7"/>
      <c r="E1363" s="7"/>
      <c r="F1363" s="7"/>
      <c r="G1363" s="25"/>
      <c r="H1363" s="9"/>
      <c r="I1363" s="7"/>
      <c r="J1363" s="7"/>
      <c r="K1363" s="7"/>
      <c r="L1363" s="7"/>
      <c r="M1363" s="32"/>
      <c r="N1363" s="10"/>
      <c r="O1363" s="55"/>
      <c r="P1363" s="55"/>
    </row>
    <row r="1364">
      <c r="A1364" s="7"/>
      <c r="B1364" s="8"/>
      <c r="C1364" s="8"/>
      <c r="D1364" s="7"/>
      <c r="E1364" s="7"/>
      <c r="F1364" s="7"/>
      <c r="G1364" s="7"/>
      <c r="H1364" s="9"/>
      <c r="I1364" s="7"/>
      <c r="J1364" s="7"/>
      <c r="K1364" s="7"/>
      <c r="L1364" s="7"/>
      <c r="M1364" s="32"/>
      <c r="N1364" s="10"/>
      <c r="O1364" s="55"/>
      <c r="P1364" s="55"/>
    </row>
    <row r="1365">
      <c r="A1365" s="7"/>
      <c r="B1365" s="8"/>
      <c r="C1365" s="8"/>
      <c r="D1365" s="7"/>
      <c r="E1365" s="7"/>
      <c r="F1365" s="7"/>
      <c r="G1365" s="7"/>
      <c r="H1365" s="9"/>
      <c r="I1365" s="7"/>
      <c r="J1365" s="7"/>
      <c r="K1365" s="7"/>
      <c r="L1365" s="7"/>
      <c r="M1365" s="32"/>
      <c r="N1365" s="10"/>
      <c r="O1365" s="55"/>
      <c r="P1365" s="55"/>
    </row>
    <row r="1366">
      <c r="A1366" s="25"/>
      <c r="B1366" s="59"/>
      <c r="C1366" s="59"/>
      <c r="D1366" s="25"/>
      <c r="E1366" s="25"/>
      <c r="F1366" s="25"/>
      <c r="G1366" s="25"/>
      <c r="H1366" s="25"/>
      <c r="I1366" s="25"/>
      <c r="J1366" s="25"/>
      <c r="K1366" s="25"/>
      <c r="L1366" s="25"/>
      <c r="M1366" s="25"/>
      <c r="N1366" s="26"/>
      <c r="O1366" s="64"/>
      <c r="P1366" s="64"/>
    </row>
    <row r="1367">
      <c r="A1367" s="7"/>
      <c r="B1367" s="8"/>
      <c r="C1367" s="8"/>
      <c r="D1367" s="7"/>
      <c r="E1367" s="7"/>
      <c r="F1367" s="7"/>
      <c r="G1367" s="25"/>
      <c r="H1367" s="9"/>
      <c r="I1367" s="7"/>
      <c r="J1367" s="7"/>
      <c r="K1367" s="7"/>
      <c r="L1367" s="7"/>
      <c r="M1367" s="32"/>
      <c r="N1367" s="10"/>
      <c r="O1367" s="55"/>
      <c r="P1367" s="55"/>
    </row>
    <row r="1368">
      <c r="A1368" s="7"/>
      <c r="B1368" s="8"/>
      <c r="C1368" s="8"/>
      <c r="D1368" s="7"/>
      <c r="E1368" s="7"/>
      <c r="F1368" s="7"/>
      <c r="G1368" s="25"/>
      <c r="H1368" s="9"/>
      <c r="I1368" s="7"/>
      <c r="J1368" s="7"/>
      <c r="K1368" s="7"/>
      <c r="L1368" s="7"/>
      <c r="M1368" s="30"/>
      <c r="N1368" s="10"/>
      <c r="O1368" s="43"/>
      <c r="P1368" s="43"/>
    </row>
    <row r="1369">
      <c r="A1369" s="7"/>
      <c r="B1369" s="8"/>
      <c r="C1369" s="8"/>
      <c r="D1369" s="7"/>
      <c r="E1369" s="7"/>
      <c r="F1369" s="7"/>
      <c r="G1369" s="25"/>
      <c r="H1369" s="9"/>
      <c r="I1369" s="7"/>
      <c r="J1369" s="7"/>
      <c r="K1369" s="7"/>
      <c r="L1369" s="7"/>
      <c r="M1369" s="32"/>
      <c r="N1369" s="10"/>
      <c r="O1369" s="55"/>
      <c r="P1369" s="55"/>
    </row>
    <row r="1370">
      <c r="A1370" s="7"/>
      <c r="B1370" s="8"/>
      <c r="C1370" s="8"/>
      <c r="D1370" s="7"/>
      <c r="E1370" s="7"/>
      <c r="F1370" s="7"/>
      <c r="G1370" s="25"/>
      <c r="H1370" s="9"/>
      <c r="I1370" s="7"/>
      <c r="J1370" s="7"/>
      <c r="K1370" s="7"/>
      <c r="L1370" s="7"/>
      <c r="M1370" s="32"/>
      <c r="N1370" s="10"/>
      <c r="O1370" s="55"/>
      <c r="P1370" s="55"/>
    </row>
    <row r="1371">
      <c r="A1371" s="7"/>
      <c r="B1371" s="8"/>
      <c r="C1371" s="8"/>
      <c r="D1371" s="7"/>
      <c r="E1371" s="7"/>
      <c r="F1371" s="7"/>
      <c r="G1371" s="25"/>
      <c r="H1371" s="9"/>
      <c r="I1371" s="7"/>
      <c r="J1371" s="7"/>
      <c r="K1371" s="7"/>
      <c r="L1371" s="7"/>
      <c r="M1371" s="7"/>
      <c r="N1371" s="10"/>
      <c r="O1371" s="55"/>
      <c r="P1371" s="55"/>
    </row>
    <row r="1372">
      <c r="A1372" s="7"/>
      <c r="B1372" s="8"/>
      <c r="C1372" s="8"/>
      <c r="D1372" s="7"/>
      <c r="E1372" s="7"/>
      <c r="F1372" s="7"/>
      <c r="G1372" s="25"/>
      <c r="H1372" s="9"/>
      <c r="I1372" s="7"/>
      <c r="J1372" s="7"/>
      <c r="K1372" s="7"/>
      <c r="L1372" s="7"/>
      <c r="M1372" s="32"/>
      <c r="N1372" s="10"/>
      <c r="O1372" s="55"/>
      <c r="P1372" s="55"/>
    </row>
    <row r="1373">
      <c r="A1373" s="7"/>
      <c r="B1373" s="8"/>
      <c r="C1373" s="8"/>
      <c r="D1373" s="7"/>
      <c r="E1373" s="7"/>
      <c r="F1373" s="7"/>
      <c r="G1373" s="7"/>
      <c r="H1373" s="9"/>
      <c r="I1373" s="7"/>
      <c r="J1373" s="7"/>
      <c r="K1373" s="7"/>
      <c r="L1373" s="7"/>
      <c r="M1373" s="32"/>
      <c r="N1373" s="10"/>
      <c r="O1373" s="55"/>
      <c r="P1373" s="55"/>
    </row>
    <row r="1374">
      <c r="A1374" s="7"/>
      <c r="B1374" s="8"/>
      <c r="C1374" s="8"/>
      <c r="D1374" s="7"/>
      <c r="E1374" s="7"/>
      <c r="F1374" s="7"/>
      <c r="G1374" s="7"/>
      <c r="H1374" s="9"/>
      <c r="I1374" s="7"/>
      <c r="J1374" s="7"/>
      <c r="K1374" s="7"/>
      <c r="L1374" s="7"/>
      <c r="M1374" s="30"/>
      <c r="N1374" s="10"/>
      <c r="O1374" s="43"/>
      <c r="P1374" s="43"/>
    </row>
    <row r="1375">
      <c r="A1375" s="25"/>
      <c r="B1375" s="59"/>
      <c r="C1375" s="59"/>
      <c r="D1375" s="25"/>
      <c r="E1375" s="25"/>
      <c r="F1375" s="25"/>
      <c r="G1375" s="25"/>
      <c r="H1375" s="25"/>
      <c r="I1375" s="25"/>
      <c r="J1375" s="25"/>
      <c r="K1375" s="25"/>
      <c r="L1375" s="25"/>
      <c r="M1375" s="25"/>
      <c r="N1375" s="26"/>
      <c r="O1375" s="64"/>
      <c r="P1375" s="64"/>
    </row>
    <row r="1376">
      <c r="A1376" s="7"/>
      <c r="B1376" s="8"/>
      <c r="C1376" s="8"/>
      <c r="D1376" s="7"/>
      <c r="E1376" s="7"/>
      <c r="F1376" s="7"/>
      <c r="G1376" s="7"/>
      <c r="H1376" s="9"/>
      <c r="I1376" s="7"/>
      <c r="J1376" s="7"/>
      <c r="K1376" s="7"/>
      <c r="L1376" s="7"/>
      <c r="M1376" s="32"/>
      <c r="N1376" s="10"/>
      <c r="O1376" s="55"/>
      <c r="P1376" s="55"/>
    </row>
    <row r="1377">
      <c r="A1377" s="7"/>
      <c r="B1377" s="8"/>
      <c r="C1377" s="8"/>
      <c r="D1377" s="7"/>
      <c r="E1377" s="7"/>
      <c r="F1377" s="7"/>
      <c r="G1377" s="7"/>
      <c r="H1377" s="9"/>
      <c r="I1377" s="7"/>
      <c r="J1377" s="7"/>
      <c r="K1377" s="7"/>
      <c r="L1377" s="7"/>
      <c r="M1377" s="32"/>
      <c r="N1377" s="10"/>
      <c r="O1377" s="55"/>
      <c r="P1377" s="55"/>
    </row>
    <row r="1378">
      <c r="A1378" s="7"/>
      <c r="B1378" s="8"/>
      <c r="C1378" s="8"/>
      <c r="D1378" s="7"/>
      <c r="E1378" s="7"/>
      <c r="F1378" s="7"/>
      <c r="G1378" s="7"/>
      <c r="H1378" s="9"/>
      <c r="I1378" s="7"/>
      <c r="J1378" s="7"/>
      <c r="K1378" s="7"/>
      <c r="L1378" s="7"/>
      <c r="M1378" s="32"/>
      <c r="N1378" s="10"/>
      <c r="O1378" s="55"/>
      <c r="P1378" s="55"/>
    </row>
    <row r="1379">
      <c r="A1379" s="7"/>
      <c r="B1379" s="8"/>
      <c r="C1379" s="8"/>
      <c r="D1379" s="7"/>
      <c r="E1379" s="7"/>
      <c r="F1379" s="7"/>
      <c r="G1379" s="7"/>
      <c r="H1379" s="9"/>
      <c r="I1379" s="7"/>
      <c r="J1379" s="7"/>
      <c r="K1379" s="7"/>
      <c r="L1379" s="7"/>
      <c r="M1379" s="32"/>
      <c r="N1379" s="10"/>
      <c r="O1379" s="55"/>
      <c r="P1379" s="55"/>
    </row>
    <row r="1380">
      <c r="A1380" s="7"/>
      <c r="B1380" s="8"/>
      <c r="C1380" s="8"/>
      <c r="D1380" s="7"/>
      <c r="E1380" s="7"/>
      <c r="F1380" s="7"/>
      <c r="G1380" s="25"/>
      <c r="H1380" s="9"/>
      <c r="I1380" s="7"/>
      <c r="J1380" s="7"/>
      <c r="K1380" s="7"/>
      <c r="L1380" s="7"/>
      <c r="M1380" s="32"/>
      <c r="N1380" s="10"/>
      <c r="O1380" s="55"/>
      <c r="P1380" s="55"/>
    </row>
    <row r="1381">
      <c r="A1381" s="25"/>
      <c r="B1381" s="59"/>
      <c r="C1381" s="59"/>
      <c r="D1381" s="25"/>
      <c r="E1381" s="25"/>
      <c r="F1381" s="25"/>
      <c r="G1381" s="20"/>
      <c r="H1381" s="25"/>
      <c r="I1381" s="25"/>
      <c r="J1381" s="25"/>
      <c r="K1381" s="25"/>
      <c r="L1381" s="25"/>
      <c r="M1381" s="25"/>
      <c r="N1381" s="26"/>
      <c r="O1381" s="64"/>
      <c r="P1381" s="64"/>
    </row>
    <row r="1382">
      <c r="A1382" s="7"/>
      <c r="B1382" s="8"/>
      <c r="C1382" s="8"/>
      <c r="D1382" s="7"/>
      <c r="E1382" s="7"/>
      <c r="F1382" s="7"/>
      <c r="G1382" s="7"/>
      <c r="H1382" s="9"/>
      <c r="I1382" s="7"/>
      <c r="J1382" s="7"/>
      <c r="K1382" s="7"/>
      <c r="L1382" s="7"/>
      <c r="M1382" s="32"/>
      <c r="N1382" s="10"/>
      <c r="O1382" s="55"/>
      <c r="P1382" s="55"/>
    </row>
    <row r="1383">
      <c r="A1383" s="25"/>
      <c r="B1383" s="59"/>
      <c r="C1383" s="59"/>
      <c r="D1383" s="25"/>
      <c r="E1383" s="25"/>
      <c r="F1383" s="25"/>
      <c r="G1383" s="25"/>
      <c r="H1383" s="25"/>
      <c r="I1383" s="25"/>
      <c r="J1383" s="25"/>
      <c r="K1383" s="25"/>
      <c r="L1383" s="25"/>
      <c r="M1383" s="25"/>
      <c r="N1383" s="26"/>
      <c r="O1383" s="64"/>
      <c r="P1383" s="64"/>
    </row>
    <row r="1384">
      <c r="A1384" s="7"/>
      <c r="B1384" s="8"/>
      <c r="C1384" s="8"/>
      <c r="D1384" s="7"/>
      <c r="E1384" s="7"/>
      <c r="F1384" s="7"/>
      <c r="G1384" s="25"/>
      <c r="H1384" s="9"/>
      <c r="I1384" s="7"/>
      <c r="J1384" s="7"/>
      <c r="K1384" s="7"/>
      <c r="L1384" s="7"/>
      <c r="M1384" s="32"/>
      <c r="N1384" s="10"/>
      <c r="O1384" s="55"/>
      <c r="P1384" s="55"/>
    </row>
    <row r="1385">
      <c r="A1385" s="25"/>
      <c r="B1385" s="59"/>
      <c r="C1385" s="59"/>
      <c r="D1385" s="25"/>
      <c r="E1385" s="25"/>
      <c r="F1385" s="25"/>
      <c r="G1385" s="25"/>
      <c r="H1385" s="25"/>
      <c r="I1385" s="25"/>
      <c r="J1385" s="25"/>
      <c r="K1385" s="25"/>
      <c r="L1385" s="25"/>
      <c r="M1385" s="25"/>
      <c r="N1385" s="26"/>
      <c r="O1385" s="64"/>
      <c r="P1385" s="64"/>
    </row>
    <row r="1386">
      <c r="A1386" s="7"/>
      <c r="B1386" s="8"/>
      <c r="C1386" s="8"/>
      <c r="D1386" s="7"/>
      <c r="E1386" s="7"/>
      <c r="F1386" s="7"/>
      <c r="G1386" s="25"/>
      <c r="H1386" s="9"/>
      <c r="I1386" s="7"/>
      <c r="J1386" s="7"/>
      <c r="K1386" s="7"/>
      <c r="L1386" s="7"/>
      <c r="M1386" s="32"/>
      <c r="N1386" s="10"/>
      <c r="O1386" s="55"/>
      <c r="P1386" s="55"/>
    </row>
    <row r="1387">
      <c r="A1387" s="7"/>
      <c r="B1387" s="8"/>
      <c r="C1387" s="8"/>
      <c r="D1387" s="7"/>
      <c r="E1387" s="7"/>
      <c r="F1387" s="7"/>
      <c r="G1387" s="25"/>
      <c r="H1387" s="9"/>
      <c r="I1387" s="7"/>
      <c r="J1387" s="7"/>
      <c r="K1387" s="7"/>
      <c r="L1387" s="7"/>
      <c r="M1387" s="30"/>
      <c r="N1387" s="10"/>
      <c r="O1387" s="43"/>
      <c r="P1387" s="43"/>
    </row>
    <row r="1388">
      <c r="A1388" s="7"/>
      <c r="B1388" s="8"/>
      <c r="C1388" s="8"/>
      <c r="D1388" s="7"/>
      <c r="E1388" s="7"/>
      <c r="F1388" s="7"/>
      <c r="G1388" s="25"/>
      <c r="H1388" s="9"/>
      <c r="I1388" s="7"/>
      <c r="J1388" s="7"/>
      <c r="K1388" s="7"/>
      <c r="L1388" s="7"/>
      <c r="M1388" s="32"/>
      <c r="N1388" s="10"/>
      <c r="O1388" s="55"/>
      <c r="P1388" s="55"/>
    </row>
    <row r="1389">
      <c r="A1389" s="7"/>
      <c r="B1389" s="8"/>
      <c r="C1389" s="8"/>
      <c r="D1389" s="7"/>
      <c r="E1389" s="7"/>
      <c r="F1389" s="7"/>
      <c r="G1389" s="7"/>
      <c r="H1389" s="9"/>
      <c r="I1389" s="7"/>
      <c r="J1389" s="7"/>
      <c r="K1389" s="7"/>
      <c r="L1389" s="7"/>
      <c r="M1389" s="32"/>
      <c r="N1389" s="10"/>
      <c r="O1389" s="55"/>
      <c r="P1389" s="55"/>
    </row>
    <row r="1390">
      <c r="A1390" s="7"/>
      <c r="B1390" s="8"/>
      <c r="C1390" s="8"/>
      <c r="D1390" s="7"/>
      <c r="E1390" s="7"/>
      <c r="F1390" s="7"/>
      <c r="G1390" s="7"/>
      <c r="H1390" s="9"/>
      <c r="I1390" s="7"/>
      <c r="J1390" s="7"/>
      <c r="K1390" s="7"/>
      <c r="L1390" s="7"/>
      <c r="M1390" s="30"/>
      <c r="N1390" s="10"/>
      <c r="O1390" s="43"/>
      <c r="P1390" s="43"/>
    </row>
    <row r="1391">
      <c r="A1391" s="7"/>
      <c r="B1391" s="8"/>
      <c r="C1391" s="8"/>
      <c r="D1391" s="7"/>
      <c r="E1391" s="7"/>
      <c r="F1391" s="7"/>
      <c r="G1391" s="25"/>
      <c r="H1391" s="9"/>
      <c r="I1391" s="7"/>
      <c r="J1391" s="7"/>
      <c r="K1391" s="7"/>
      <c r="L1391" s="7"/>
      <c r="M1391" s="30"/>
      <c r="N1391" s="10"/>
      <c r="O1391" s="43"/>
      <c r="P1391" s="43"/>
    </row>
    <row r="1392">
      <c r="A1392" s="7"/>
      <c r="B1392" s="8"/>
      <c r="C1392" s="8"/>
      <c r="D1392" s="7"/>
      <c r="E1392" s="7"/>
      <c r="F1392" s="7"/>
      <c r="G1392" s="25"/>
      <c r="H1392" s="9"/>
      <c r="I1392" s="7"/>
      <c r="J1392" s="7"/>
      <c r="K1392" s="7"/>
      <c r="L1392" s="7"/>
      <c r="M1392" s="32"/>
      <c r="N1392" s="10"/>
      <c r="O1392" s="55"/>
      <c r="P1392" s="55"/>
    </row>
    <row r="1393">
      <c r="A1393" s="7"/>
      <c r="B1393" s="8"/>
      <c r="C1393" s="8"/>
      <c r="D1393" s="7"/>
      <c r="E1393" s="7"/>
      <c r="F1393" s="7"/>
      <c r="G1393" s="25"/>
      <c r="H1393" s="9"/>
      <c r="I1393" s="7"/>
      <c r="J1393" s="7"/>
      <c r="K1393" s="7"/>
      <c r="L1393" s="7"/>
      <c r="M1393" s="32"/>
      <c r="N1393" s="10"/>
      <c r="O1393" s="55"/>
      <c r="P1393" s="55"/>
    </row>
    <row r="1394">
      <c r="A1394" s="7"/>
      <c r="B1394" s="8"/>
      <c r="C1394" s="8"/>
      <c r="D1394" s="7"/>
      <c r="E1394" s="7"/>
      <c r="F1394" s="7"/>
      <c r="G1394" s="7"/>
      <c r="H1394" s="9"/>
      <c r="I1394" s="7"/>
      <c r="J1394" s="7"/>
      <c r="K1394" s="7"/>
      <c r="L1394" s="7"/>
      <c r="M1394" s="30"/>
      <c r="N1394" s="10"/>
      <c r="O1394" s="43"/>
      <c r="P1394" s="43"/>
    </row>
    <row r="1395">
      <c r="A1395" s="7"/>
      <c r="B1395" s="8"/>
      <c r="C1395" s="8"/>
      <c r="D1395" s="7"/>
      <c r="E1395" s="7"/>
      <c r="F1395" s="7"/>
      <c r="G1395" s="7"/>
      <c r="H1395" s="9"/>
      <c r="I1395" s="7"/>
      <c r="J1395" s="7"/>
      <c r="K1395" s="7"/>
      <c r="L1395" s="7"/>
      <c r="M1395" s="32"/>
      <c r="N1395" s="10"/>
      <c r="O1395" s="55"/>
      <c r="P1395" s="55"/>
    </row>
    <row r="1396">
      <c r="A1396" s="7"/>
      <c r="B1396" s="8"/>
      <c r="C1396" s="8"/>
      <c r="D1396" s="7"/>
      <c r="E1396" s="7"/>
      <c r="F1396" s="7"/>
      <c r="G1396" s="7"/>
      <c r="H1396" s="9"/>
      <c r="I1396" s="7"/>
      <c r="J1396" s="7"/>
      <c r="K1396" s="7"/>
      <c r="L1396" s="7"/>
      <c r="M1396" s="30"/>
      <c r="N1396" s="10"/>
      <c r="O1396" s="55"/>
      <c r="P1396" s="55"/>
    </row>
    <row r="1397">
      <c r="A1397" s="7"/>
      <c r="B1397" s="8"/>
      <c r="C1397" s="8"/>
      <c r="D1397" s="7"/>
      <c r="E1397" s="7"/>
      <c r="F1397" s="7"/>
      <c r="G1397" s="25"/>
      <c r="H1397" s="9"/>
      <c r="I1397" s="7"/>
      <c r="J1397" s="7"/>
      <c r="K1397" s="7"/>
      <c r="L1397" s="7"/>
      <c r="M1397" s="32"/>
      <c r="N1397" s="10"/>
      <c r="O1397" s="55"/>
      <c r="P1397" s="55"/>
    </row>
    <row r="1398">
      <c r="A1398" s="7"/>
      <c r="B1398" s="8"/>
      <c r="C1398" s="8"/>
      <c r="D1398" s="7"/>
      <c r="E1398" s="7"/>
      <c r="F1398" s="7"/>
      <c r="G1398" s="25"/>
      <c r="H1398" s="9"/>
      <c r="I1398" s="7"/>
      <c r="J1398" s="7"/>
      <c r="K1398" s="7"/>
      <c r="L1398" s="7"/>
      <c r="M1398" s="32"/>
      <c r="N1398" s="10"/>
      <c r="O1398" s="55"/>
      <c r="P1398" s="55"/>
    </row>
    <row r="1399">
      <c r="A1399" s="7"/>
      <c r="B1399" s="8"/>
      <c r="C1399" s="8"/>
      <c r="D1399" s="7"/>
      <c r="E1399" s="7"/>
      <c r="F1399" s="7"/>
      <c r="G1399" s="65"/>
      <c r="H1399" s="9"/>
      <c r="I1399" s="7"/>
      <c r="J1399" s="7"/>
      <c r="K1399" s="7"/>
      <c r="L1399" s="7"/>
      <c r="M1399" s="32"/>
      <c r="N1399" s="10"/>
      <c r="O1399" s="55"/>
      <c r="P1399" s="55"/>
    </row>
    <row r="1400">
      <c r="A1400" s="7"/>
      <c r="B1400" s="8"/>
      <c r="C1400" s="8"/>
      <c r="D1400" s="7"/>
      <c r="E1400" s="7"/>
      <c r="F1400" s="7"/>
      <c r="G1400" s="7"/>
      <c r="H1400" s="9"/>
      <c r="I1400" s="7"/>
      <c r="J1400" s="7"/>
      <c r="K1400" s="7"/>
      <c r="L1400" s="7"/>
      <c r="M1400" s="32"/>
      <c r="N1400" s="10"/>
      <c r="O1400" s="55"/>
      <c r="P1400" s="55"/>
    </row>
    <row r="1401">
      <c r="A1401" s="7"/>
      <c r="B1401" s="8"/>
      <c r="C1401" s="8"/>
      <c r="D1401" s="7"/>
      <c r="E1401" s="7"/>
      <c r="F1401" s="7"/>
      <c r="G1401" s="25"/>
      <c r="H1401" s="9"/>
      <c r="I1401" s="7"/>
      <c r="J1401" s="7"/>
      <c r="K1401" s="7"/>
      <c r="L1401" s="7"/>
      <c r="M1401" s="32"/>
      <c r="N1401" s="10"/>
      <c r="O1401" s="55"/>
      <c r="P1401" s="55"/>
    </row>
    <row r="1402">
      <c r="A1402" s="7"/>
      <c r="B1402" s="8"/>
      <c r="C1402" s="8"/>
      <c r="D1402" s="7"/>
      <c r="E1402" s="7"/>
      <c r="F1402" s="7"/>
      <c r="G1402" s="25"/>
      <c r="H1402" s="9"/>
      <c r="I1402" s="7"/>
      <c r="J1402" s="7"/>
      <c r="K1402" s="7"/>
      <c r="L1402" s="7"/>
      <c r="M1402" s="32"/>
      <c r="N1402" s="10"/>
      <c r="O1402" s="55"/>
      <c r="P1402" s="55"/>
    </row>
    <row r="1403">
      <c r="A1403" s="7"/>
      <c r="B1403" s="8"/>
      <c r="C1403" s="8"/>
      <c r="D1403" s="7"/>
      <c r="E1403" s="7"/>
      <c r="F1403" s="7"/>
      <c r="G1403" s="25"/>
      <c r="H1403" s="9"/>
      <c r="I1403" s="7"/>
      <c r="J1403" s="7"/>
      <c r="K1403" s="7"/>
      <c r="L1403" s="7"/>
      <c r="M1403" s="32"/>
      <c r="N1403" s="10"/>
      <c r="O1403" s="55"/>
      <c r="P1403" s="55"/>
    </row>
    <row r="1404">
      <c r="A1404" s="7"/>
      <c r="B1404" s="8"/>
      <c r="C1404" s="8"/>
      <c r="D1404" s="7"/>
      <c r="E1404" s="7"/>
      <c r="F1404" s="7"/>
      <c r="G1404" s="7"/>
      <c r="H1404" s="9"/>
      <c r="I1404" s="7"/>
      <c r="J1404" s="7"/>
      <c r="K1404" s="7"/>
      <c r="L1404" s="7"/>
      <c r="M1404" s="32"/>
      <c r="N1404" s="10"/>
      <c r="O1404" s="55"/>
      <c r="P1404" s="55"/>
    </row>
    <row r="1405">
      <c r="A1405" s="7"/>
      <c r="B1405" s="8"/>
      <c r="C1405" s="8"/>
      <c r="D1405" s="7"/>
      <c r="E1405" s="7"/>
      <c r="F1405" s="7"/>
      <c r="G1405" s="25"/>
      <c r="H1405" s="9"/>
      <c r="I1405" s="7"/>
      <c r="J1405" s="7"/>
      <c r="K1405" s="7"/>
      <c r="L1405" s="7"/>
      <c r="M1405" s="32"/>
      <c r="N1405" s="10"/>
      <c r="O1405" s="55"/>
      <c r="P1405" s="55"/>
    </row>
    <row r="1406">
      <c r="A1406" s="7"/>
      <c r="B1406" s="8"/>
      <c r="C1406" s="8"/>
      <c r="D1406" s="7"/>
      <c r="E1406" s="7"/>
      <c r="F1406" s="7"/>
      <c r="G1406" s="25"/>
      <c r="H1406" s="9"/>
      <c r="I1406" s="7"/>
      <c r="J1406" s="7"/>
      <c r="K1406" s="7"/>
      <c r="L1406" s="7"/>
      <c r="M1406" s="32"/>
      <c r="N1406" s="10"/>
      <c r="O1406" s="55"/>
      <c r="P1406" s="55"/>
    </row>
    <row r="1407">
      <c r="A1407" s="7"/>
      <c r="B1407" s="8"/>
      <c r="C1407" s="8"/>
      <c r="D1407" s="7"/>
      <c r="E1407" s="7"/>
      <c r="F1407" s="7"/>
      <c r="G1407" s="25"/>
      <c r="H1407" s="9"/>
      <c r="I1407" s="7"/>
      <c r="J1407" s="7"/>
      <c r="K1407" s="7"/>
      <c r="L1407" s="7"/>
      <c r="M1407" s="32"/>
      <c r="N1407" s="10"/>
      <c r="O1407" s="55"/>
      <c r="P1407" s="55"/>
    </row>
    <row r="1408">
      <c r="A1408" s="7"/>
      <c r="B1408" s="8"/>
      <c r="C1408" s="8"/>
      <c r="D1408" s="7"/>
      <c r="E1408" s="7"/>
      <c r="F1408" s="7"/>
      <c r="G1408" s="25"/>
      <c r="H1408" s="9"/>
      <c r="I1408" s="7"/>
      <c r="J1408" s="7"/>
      <c r="K1408" s="7"/>
      <c r="L1408" s="7"/>
      <c r="M1408" s="32"/>
      <c r="N1408" s="10"/>
      <c r="O1408" s="55"/>
      <c r="P1408" s="55"/>
    </row>
    <row r="1409">
      <c r="A1409" s="7"/>
      <c r="B1409" s="8"/>
      <c r="C1409" s="8"/>
      <c r="D1409" s="7"/>
      <c r="E1409" s="7"/>
      <c r="F1409" s="7"/>
      <c r="G1409" s="7"/>
      <c r="H1409" s="9"/>
      <c r="I1409" s="7"/>
      <c r="J1409" s="7"/>
      <c r="K1409" s="7"/>
      <c r="L1409" s="7"/>
      <c r="M1409" s="32"/>
      <c r="N1409" s="10"/>
      <c r="O1409" s="55"/>
      <c r="P1409" s="55"/>
    </row>
    <row r="1410">
      <c r="A1410" s="7"/>
      <c r="B1410" s="8"/>
      <c r="C1410" s="8"/>
      <c r="D1410" s="7"/>
      <c r="E1410" s="7"/>
      <c r="F1410" s="7"/>
      <c r="G1410" s="7"/>
      <c r="H1410" s="9"/>
      <c r="I1410" s="7"/>
      <c r="J1410" s="7"/>
      <c r="K1410" s="7"/>
      <c r="L1410" s="7"/>
      <c r="M1410" s="32"/>
      <c r="N1410" s="10"/>
      <c r="O1410" s="55"/>
      <c r="P1410" s="55"/>
    </row>
    <row r="1411">
      <c r="A1411" s="7"/>
      <c r="B1411" s="8"/>
      <c r="C1411" s="8"/>
      <c r="D1411" s="7"/>
      <c r="E1411" s="7"/>
      <c r="F1411" s="7"/>
      <c r="G1411" s="25"/>
      <c r="H1411" s="9"/>
      <c r="I1411" s="7"/>
      <c r="J1411" s="7"/>
      <c r="K1411" s="7"/>
      <c r="L1411" s="7"/>
      <c r="M1411" s="32"/>
      <c r="N1411" s="10"/>
      <c r="O1411" s="55"/>
      <c r="P1411" s="55"/>
    </row>
    <row r="1412">
      <c r="A1412" s="7"/>
      <c r="B1412" s="8"/>
      <c r="C1412" s="8"/>
      <c r="D1412" s="7"/>
      <c r="E1412" s="7"/>
      <c r="F1412" s="7"/>
      <c r="G1412" s="25"/>
      <c r="H1412" s="9"/>
      <c r="I1412" s="7"/>
      <c r="J1412" s="7"/>
      <c r="K1412" s="7"/>
      <c r="L1412" s="7"/>
      <c r="M1412" s="32"/>
      <c r="N1412" s="10"/>
      <c r="O1412" s="55"/>
      <c r="P1412" s="55"/>
    </row>
    <row r="1413">
      <c r="A1413" s="7"/>
      <c r="B1413" s="66"/>
      <c r="C1413" s="66"/>
      <c r="D1413" s="60"/>
      <c r="E1413" s="60"/>
      <c r="F1413" s="60"/>
      <c r="G1413" s="60"/>
      <c r="H1413" s="60"/>
      <c r="I1413" s="60"/>
      <c r="J1413" s="60"/>
      <c r="K1413" s="60"/>
      <c r="L1413" s="60"/>
      <c r="M1413" s="54"/>
      <c r="N1413" s="10"/>
      <c r="O1413" s="67"/>
      <c r="P1413" s="67"/>
    </row>
    <row r="1414">
      <c r="A1414" s="25"/>
      <c r="B1414" s="59"/>
      <c r="C1414" s="59"/>
      <c r="D1414" s="20"/>
      <c r="E1414" s="25"/>
      <c r="F1414" s="25"/>
      <c r="G1414" s="25"/>
      <c r="H1414" s="25"/>
      <c r="I1414" s="25"/>
      <c r="J1414" s="25"/>
      <c r="K1414" s="25"/>
      <c r="L1414" s="25"/>
      <c r="M1414" s="25"/>
      <c r="N1414" s="26"/>
      <c r="O1414" s="17"/>
      <c r="P1414" s="17"/>
    </row>
    <row r="1415">
      <c r="A1415" s="7"/>
      <c r="B1415" s="8"/>
      <c r="C1415" s="8"/>
      <c r="D1415" s="7"/>
      <c r="E1415" s="7"/>
      <c r="F1415" s="7"/>
      <c r="G1415" s="25"/>
      <c r="H1415" s="9"/>
      <c r="I1415" s="7"/>
      <c r="J1415" s="7"/>
      <c r="K1415" s="7"/>
      <c r="L1415" s="7"/>
      <c r="M1415" s="32"/>
      <c r="N1415" s="10"/>
      <c r="O1415" s="55"/>
      <c r="P1415" s="55"/>
    </row>
    <row r="1416">
      <c r="A1416" s="25"/>
      <c r="B1416" s="59"/>
      <c r="C1416" s="59"/>
      <c r="D1416" s="20"/>
      <c r="E1416" s="25"/>
      <c r="F1416" s="25"/>
      <c r="G1416" s="25"/>
      <c r="H1416" s="25"/>
      <c r="I1416" s="25"/>
      <c r="J1416" s="25"/>
      <c r="K1416" s="25"/>
      <c r="L1416" s="25"/>
      <c r="M1416" s="25"/>
      <c r="N1416" s="26"/>
      <c r="O1416" s="17"/>
      <c r="P1416" s="17"/>
    </row>
    <row r="1417">
      <c r="A1417" s="7"/>
      <c r="B1417" s="8"/>
      <c r="C1417" s="8"/>
      <c r="D1417" s="7"/>
      <c r="E1417" s="7"/>
      <c r="F1417" s="7"/>
      <c r="G1417" s="20"/>
      <c r="H1417" s="9"/>
      <c r="I1417" s="7"/>
      <c r="J1417" s="7"/>
      <c r="K1417" s="7"/>
      <c r="L1417" s="7"/>
      <c r="M1417" s="32"/>
      <c r="N1417" s="10"/>
      <c r="O1417" s="55"/>
      <c r="P1417" s="55"/>
    </row>
    <row r="1418">
      <c r="A1418" s="25"/>
      <c r="B1418" s="59"/>
      <c r="C1418" s="59"/>
      <c r="D1418" s="20"/>
      <c r="E1418" s="25"/>
      <c r="F1418" s="25"/>
      <c r="G1418" s="20"/>
      <c r="H1418" s="25"/>
      <c r="I1418" s="25"/>
      <c r="J1418" s="25"/>
      <c r="K1418" s="25"/>
      <c r="L1418" s="25"/>
      <c r="M1418" s="25"/>
      <c r="N1418" s="26"/>
      <c r="O1418" s="17"/>
      <c r="P1418" s="17"/>
    </row>
    <row r="1419">
      <c r="A1419" s="7"/>
      <c r="B1419" s="8"/>
      <c r="C1419" s="8"/>
      <c r="D1419" s="7"/>
      <c r="E1419" s="7"/>
      <c r="F1419" s="7"/>
      <c r="G1419" s="20"/>
      <c r="H1419" s="9"/>
      <c r="I1419" s="7"/>
      <c r="J1419" s="7"/>
      <c r="K1419" s="7"/>
      <c r="L1419" s="7"/>
      <c r="M1419" s="32"/>
      <c r="N1419" s="10"/>
      <c r="O1419" s="43"/>
      <c r="P1419" s="43"/>
    </row>
    <row r="1420">
      <c r="A1420" s="25"/>
      <c r="B1420" s="59"/>
      <c r="C1420" s="59"/>
      <c r="D1420" s="20"/>
      <c r="E1420" s="25"/>
      <c r="F1420" s="25"/>
      <c r="G1420" s="25"/>
      <c r="H1420" s="25"/>
      <c r="I1420" s="25"/>
      <c r="J1420" s="25"/>
      <c r="K1420" s="25"/>
      <c r="L1420" s="25"/>
      <c r="M1420" s="25"/>
      <c r="N1420" s="26"/>
      <c r="O1420" s="64"/>
      <c r="P1420" s="64"/>
    </row>
    <row r="1421">
      <c r="A1421" s="7"/>
      <c r="B1421" s="8"/>
      <c r="C1421" s="8"/>
      <c r="D1421" s="7"/>
      <c r="E1421" s="7"/>
      <c r="F1421" s="7"/>
      <c r="G1421" s="25"/>
      <c r="H1421" s="9"/>
      <c r="I1421" s="7"/>
      <c r="J1421" s="7"/>
      <c r="K1421" s="7"/>
      <c r="L1421" s="7"/>
      <c r="M1421" s="32"/>
      <c r="N1421" s="10"/>
      <c r="O1421" s="43"/>
      <c r="P1421" s="43"/>
    </row>
    <row r="1422">
      <c r="A1422" s="25"/>
      <c r="B1422" s="59"/>
      <c r="C1422" s="59"/>
      <c r="D1422" s="20"/>
      <c r="E1422" s="25"/>
      <c r="F1422" s="25"/>
      <c r="G1422" s="25"/>
      <c r="H1422" s="25"/>
      <c r="I1422" s="25"/>
      <c r="J1422" s="25"/>
      <c r="K1422" s="25"/>
      <c r="L1422" s="25"/>
      <c r="M1422" s="25"/>
      <c r="N1422" s="26"/>
      <c r="O1422" s="64"/>
      <c r="P1422" s="64"/>
    </row>
    <row r="1423">
      <c r="A1423" s="7"/>
      <c r="B1423" s="8"/>
      <c r="C1423" s="8"/>
      <c r="D1423" s="7"/>
      <c r="E1423" s="7"/>
      <c r="F1423" s="7"/>
      <c r="G1423" s="20"/>
      <c r="H1423" s="9"/>
      <c r="I1423" s="7"/>
      <c r="J1423" s="7"/>
      <c r="K1423" s="7"/>
      <c r="L1423" s="7"/>
      <c r="M1423" s="32"/>
      <c r="N1423" s="10"/>
      <c r="O1423" s="55"/>
      <c r="P1423" s="55"/>
    </row>
    <row r="1424">
      <c r="A1424" s="25"/>
      <c r="B1424" s="59"/>
      <c r="C1424" s="59"/>
      <c r="D1424" s="20"/>
      <c r="E1424" s="25"/>
      <c r="F1424" s="25"/>
      <c r="G1424" s="25"/>
      <c r="H1424" s="25"/>
      <c r="I1424" s="25"/>
      <c r="J1424" s="25"/>
      <c r="K1424" s="25"/>
      <c r="L1424" s="25"/>
      <c r="M1424" s="25"/>
      <c r="N1424" s="26"/>
      <c r="O1424" s="17"/>
      <c r="P1424" s="17"/>
    </row>
    <row r="1425">
      <c r="A1425" s="7"/>
      <c r="B1425" s="8"/>
      <c r="C1425" s="8"/>
      <c r="D1425" s="7"/>
      <c r="E1425" s="7"/>
      <c r="F1425" s="7"/>
      <c r="G1425" s="25"/>
      <c r="H1425" s="9"/>
      <c r="I1425" s="7"/>
      <c r="J1425" s="7"/>
      <c r="K1425" s="7"/>
      <c r="L1425" s="7"/>
      <c r="M1425" s="32"/>
      <c r="N1425" s="10"/>
      <c r="O1425" s="55"/>
      <c r="P1425" s="55"/>
    </row>
    <row r="1426">
      <c r="A1426" s="25"/>
      <c r="B1426" s="59"/>
      <c r="C1426" s="59"/>
      <c r="D1426" s="20"/>
      <c r="E1426" s="25"/>
      <c r="F1426" s="25"/>
      <c r="G1426" s="25"/>
      <c r="H1426" s="25"/>
      <c r="I1426" s="25"/>
      <c r="J1426" s="25"/>
      <c r="K1426" s="25"/>
      <c r="L1426" s="25"/>
      <c r="M1426" s="25"/>
      <c r="N1426" s="26"/>
      <c r="O1426" s="17"/>
      <c r="P1426" s="17"/>
    </row>
    <row r="1427">
      <c r="A1427" s="7"/>
      <c r="B1427" s="8"/>
      <c r="C1427" s="8"/>
      <c r="D1427" s="7"/>
      <c r="E1427" s="7"/>
      <c r="F1427" s="7"/>
      <c r="G1427" s="7"/>
      <c r="H1427" s="9"/>
      <c r="I1427" s="7"/>
      <c r="J1427" s="7"/>
      <c r="K1427" s="7"/>
      <c r="L1427" s="7"/>
      <c r="M1427" s="32"/>
      <c r="N1427" s="10"/>
      <c r="O1427" s="55"/>
      <c r="P1427" s="55"/>
    </row>
    <row r="1428">
      <c r="A1428" s="25"/>
      <c r="B1428" s="59"/>
      <c r="C1428" s="59"/>
      <c r="D1428" s="20"/>
      <c r="E1428" s="25"/>
      <c r="F1428" s="25"/>
      <c r="G1428" s="25"/>
      <c r="H1428" s="25"/>
      <c r="I1428" s="25"/>
      <c r="J1428" s="25"/>
      <c r="K1428" s="25"/>
      <c r="L1428" s="25"/>
      <c r="M1428" s="68"/>
      <c r="N1428" s="26"/>
      <c r="O1428" s="64"/>
      <c r="P1428" s="64"/>
    </row>
    <row r="1429">
      <c r="A1429" s="7"/>
      <c r="B1429" s="8"/>
      <c r="C1429" s="8"/>
      <c r="D1429" s="7"/>
      <c r="E1429" s="7"/>
      <c r="F1429" s="7"/>
      <c r="G1429" s="25"/>
      <c r="H1429" s="9"/>
      <c r="I1429" s="7"/>
      <c r="J1429" s="7"/>
      <c r="K1429" s="7"/>
      <c r="L1429" s="7"/>
      <c r="M1429" s="32"/>
      <c r="N1429" s="10"/>
      <c r="O1429" s="55"/>
      <c r="P1429" s="55"/>
    </row>
    <row r="1430">
      <c r="A1430" s="25"/>
      <c r="B1430" s="59"/>
      <c r="C1430" s="59"/>
      <c r="D1430" s="20"/>
      <c r="E1430" s="25"/>
      <c r="F1430" s="25"/>
      <c r="G1430" s="25"/>
      <c r="H1430" s="25"/>
      <c r="I1430" s="25"/>
      <c r="J1430" s="25"/>
      <c r="K1430" s="25"/>
      <c r="L1430" s="25"/>
      <c r="M1430" s="25"/>
      <c r="N1430" s="26"/>
      <c r="O1430" s="17"/>
      <c r="P1430" s="17"/>
    </row>
    <row r="1431">
      <c r="A1431" s="7"/>
      <c r="B1431" s="8"/>
      <c r="C1431" s="8"/>
      <c r="D1431" s="7"/>
      <c r="E1431" s="7"/>
      <c r="F1431" s="7"/>
      <c r="G1431" s="25"/>
      <c r="H1431" s="9"/>
      <c r="I1431" s="7"/>
      <c r="J1431" s="7"/>
      <c r="K1431" s="7"/>
      <c r="L1431" s="7"/>
      <c r="M1431" s="32"/>
      <c r="N1431" s="10"/>
      <c r="O1431" s="55"/>
      <c r="P1431" s="55"/>
    </row>
    <row r="1432">
      <c r="A1432" s="25"/>
      <c r="B1432" s="59"/>
      <c r="C1432" s="59"/>
      <c r="D1432" s="20"/>
      <c r="E1432" s="25"/>
      <c r="F1432" s="25"/>
      <c r="G1432" s="25"/>
      <c r="H1432" s="25"/>
      <c r="I1432" s="25"/>
      <c r="J1432" s="25"/>
      <c r="K1432" s="25"/>
      <c r="L1432" s="25"/>
      <c r="M1432" s="25"/>
      <c r="N1432" s="26"/>
      <c r="O1432" s="17"/>
      <c r="P1432" s="17"/>
    </row>
    <row r="1433">
      <c r="A1433" s="7"/>
      <c r="B1433" s="8"/>
      <c r="C1433" s="8"/>
      <c r="D1433" s="7"/>
      <c r="E1433" s="7"/>
      <c r="F1433" s="7"/>
      <c r="G1433" s="7"/>
      <c r="H1433" s="9"/>
      <c r="I1433" s="7"/>
      <c r="J1433" s="7"/>
      <c r="K1433" s="7"/>
      <c r="L1433" s="7"/>
      <c r="M1433" s="32"/>
      <c r="N1433" s="10"/>
      <c r="O1433" s="55"/>
      <c r="P1433" s="55"/>
    </row>
    <row r="1434">
      <c r="A1434" s="7"/>
      <c r="B1434" s="8"/>
      <c r="C1434" s="8"/>
      <c r="D1434" s="7"/>
      <c r="E1434" s="7"/>
      <c r="F1434" s="7"/>
      <c r="G1434" s="25"/>
      <c r="H1434" s="9"/>
      <c r="I1434" s="7"/>
      <c r="J1434" s="7"/>
      <c r="K1434" s="7"/>
      <c r="L1434" s="7"/>
      <c r="M1434" s="32"/>
      <c r="N1434" s="10"/>
      <c r="O1434" s="55"/>
      <c r="P1434" s="55"/>
    </row>
    <row r="1435">
      <c r="A1435" s="7"/>
      <c r="B1435" s="8"/>
      <c r="C1435" s="8"/>
      <c r="D1435" s="7"/>
      <c r="E1435" s="7"/>
      <c r="F1435" s="7"/>
      <c r="G1435" s="7"/>
      <c r="H1435" s="9"/>
      <c r="I1435" s="7"/>
      <c r="J1435" s="7"/>
      <c r="K1435" s="7"/>
      <c r="L1435" s="7"/>
      <c r="M1435" s="10"/>
      <c r="N1435" s="10"/>
      <c r="O1435" s="55"/>
      <c r="P1435" s="55"/>
    </row>
    <row r="1436">
      <c r="A1436" s="7"/>
      <c r="B1436" s="8"/>
      <c r="C1436" s="8"/>
      <c r="D1436" s="7"/>
      <c r="E1436" s="7"/>
      <c r="F1436" s="7"/>
      <c r="G1436" s="7"/>
      <c r="H1436" s="9"/>
      <c r="I1436" s="7"/>
      <c r="J1436" s="7"/>
      <c r="K1436" s="7"/>
      <c r="L1436" s="7"/>
      <c r="M1436" s="32"/>
      <c r="N1436" s="10"/>
      <c r="O1436" s="55"/>
      <c r="P1436" s="55"/>
    </row>
    <row r="1437">
      <c r="A1437" s="7"/>
      <c r="B1437" s="8"/>
      <c r="C1437" s="8"/>
      <c r="D1437" s="7"/>
      <c r="E1437" s="7"/>
      <c r="F1437" s="7"/>
      <c r="G1437" s="7"/>
      <c r="H1437" s="9"/>
      <c r="I1437" s="7"/>
      <c r="J1437" s="7"/>
      <c r="K1437" s="7"/>
      <c r="L1437" s="7"/>
      <c r="M1437" s="32"/>
      <c r="N1437" s="10"/>
      <c r="O1437" s="55"/>
      <c r="P1437" s="55"/>
    </row>
    <row r="1438">
      <c r="A1438" s="7"/>
      <c r="B1438" s="8"/>
      <c r="C1438" s="8"/>
      <c r="D1438" s="7"/>
      <c r="E1438" s="7"/>
      <c r="F1438" s="7"/>
      <c r="G1438" s="25"/>
      <c r="H1438" s="9"/>
      <c r="I1438" s="7"/>
      <c r="J1438" s="7"/>
      <c r="K1438" s="7"/>
      <c r="L1438" s="7"/>
      <c r="M1438" s="32"/>
      <c r="N1438" s="10"/>
      <c r="O1438" s="55"/>
      <c r="P1438" s="55"/>
    </row>
    <row r="1439">
      <c r="A1439" s="7"/>
      <c r="B1439" s="8"/>
      <c r="C1439" s="8"/>
      <c r="D1439" s="7"/>
      <c r="E1439" s="7"/>
      <c r="F1439" s="7"/>
      <c r="G1439" s="7"/>
      <c r="H1439" s="9"/>
      <c r="I1439" s="7"/>
      <c r="J1439" s="7"/>
      <c r="K1439" s="7"/>
      <c r="L1439" s="7"/>
      <c r="M1439" s="32"/>
      <c r="N1439" s="10"/>
      <c r="O1439" s="55"/>
      <c r="P1439" s="55"/>
    </row>
    <row r="1440">
      <c r="A1440" s="7"/>
      <c r="B1440" s="8"/>
      <c r="C1440" s="8"/>
      <c r="D1440" s="7"/>
      <c r="E1440" s="7"/>
      <c r="F1440" s="7"/>
      <c r="G1440" s="7"/>
      <c r="H1440" s="9"/>
      <c r="I1440" s="7"/>
      <c r="J1440" s="7"/>
      <c r="K1440" s="7"/>
      <c r="L1440" s="7"/>
      <c r="M1440" s="32"/>
      <c r="N1440" s="10"/>
      <c r="O1440" s="55"/>
      <c r="P1440" s="55"/>
    </row>
    <row r="1441">
      <c r="A1441" s="7"/>
      <c r="B1441" s="8"/>
      <c r="C1441" s="8"/>
      <c r="D1441" s="7"/>
      <c r="E1441" s="7"/>
      <c r="F1441" s="7"/>
      <c r="G1441" s="25"/>
      <c r="H1441" s="9"/>
      <c r="I1441" s="25"/>
      <c r="J1441" s="25"/>
      <c r="K1441" s="25"/>
      <c r="L1441" s="7"/>
      <c r="M1441" s="32"/>
      <c r="N1441" s="10"/>
      <c r="O1441" s="55"/>
      <c r="P1441" s="55"/>
    </row>
    <row r="1442">
      <c r="A1442" s="7"/>
      <c r="B1442" s="8"/>
      <c r="C1442" s="8"/>
      <c r="D1442" s="7"/>
      <c r="E1442" s="7"/>
      <c r="F1442" s="7"/>
      <c r="G1442" s="7"/>
      <c r="H1442" s="9"/>
      <c r="I1442" s="7"/>
      <c r="J1442" s="7"/>
      <c r="K1442" s="7"/>
      <c r="L1442" s="7"/>
      <c r="M1442" s="32"/>
      <c r="N1442" s="10"/>
      <c r="O1442" s="55"/>
      <c r="P1442" s="55"/>
    </row>
    <row r="1443">
      <c r="A1443" s="7"/>
      <c r="B1443" s="8"/>
      <c r="C1443" s="8"/>
      <c r="D1443" s="7"/>
      <c r="E1443" s="7"/>
      <c r="F1443" s="7"/>
      <c r="G1443" s="7"/>
      <c r="H1443" s="9"/>
      <c r="I1443" s="7"/>
      <c r="J1443" s="7"/>
      <c r="K1443" s="7"/>
      <c r="L1443" s="7"/>
      <c r="M1443" s="30"/>
      <c r="N1443" s="10"/>
      <c r="O1443" s="55"/>
      <c r="P1443" s="55"/>
    </row>
    <row r="1444">
      <c r="A1444" s="7"/>
      <c r="B1444" s="8"/>
      <c r="C1444" s="8"/>
      <c r="D1444" s="7"/>
      <c r="E1444" s="7"/>
      <c r="F1444" s="7"/>
      <c r="G1444" s="25"/>
      <c r="H1444" s="9"/>
      <c r="I1444" s="7"/>
      <c r="J1444" s="7"/>
      <c r="K1444" s="7"/>
      <c r="L1444" s="7"/>
      <c r="M1444" s="32"/>
      <c r="N1444" s="10"/>
      <c r="O1444" s="55"/>
      <c r="P1444" s="55"/>
    </row>
    <row r="1445">
      <c r="A1445" s="7"/>
      <c r="B1445" s="8"/>
      <c r="C1445" s="8"/>
      <c r="D1445" s="7"/>
      <c r="E1445" s="7"/>
      <c r="F1445" s="7"/>
      <c r="G1445" s="7"/>
      <c r="H1445" s="9"/>
      <c r="I1445" s="7"/>
      <c r="J1445" s="7"/>
      <c r="K1445" s="7"/>
      <c r="L1445" s="7"/>
      <c r="M1445" s="32"/>
      <c r="N1445" s="10"/>
      <c r="O1445" s="55"/>
      <c r="P1445" s="55"/>
    </row>
    <row r="1446">
      <c r="A1446" s="7"/>
      <c r="B1446" s="8"/>
      <c r="C1446" s="8"/>
      <c r="D1446" s="7"/>
      <c r="E1446" s="7"/>
      <c r="F1446" s="7"/>
      <c r="G1446" s="7"/>
      <c r="H1446" s="9"/>
      <c r="I1446" s="7"/>
      <c r="J1446" s="7"/>
      <c r="K1446" s="7"/>
      <c r="L1446" s="7"/>
      <c r="M1446" s="32"/>
      <c r="N1446" s="10"/>
      <c r="O1446" s="55"/>
      <c r="P1446" s="55"/>
    </row>
    <row r="1447">
      <c r="A1447" s="7"/>
      <c r="B1447" s="8"/>
      <c r="C1447" s="8"/>
      <c r="D1447" s="7"/>
      <c r="E1447" s="7"/>
      <c r="F1447" s="7"/>
      <c r="G1447" s="7"/>
      <c r="H1447" s="9"/>
      <c r="I1447" s="7"/>
      <c r="J1447" s="7"/>
      <c r="K1447" s="7"/>
      <c r="L1447" s="7"/>
      <c r="M1447" s="32"/>
      <c r="N1447" s="10"/>
      <c r="O1447" s="55"/>
      <c r="P1447" s="55"/>
    </row>
    <row r="1448">
      <c r="A1448" s="7"/>
      <c r="B1448" s="8"/>
      <c r="C1448" s="8"/>
      <c r="D1448" s="7"/>
      <c r="E1448" s="7"/>
      <c r="F1448" s="7"/>
      <c r="G1448" s="7"/>
      <c r="H1448" s="9"/>
      <c r="I1448" s="7"/>
      <c r="J1448" s="7"/>
      <c r="K1448" s="7"/>
      <c r="L1448" s="7"/>
      <c r="M1448" s="32"/>
      <c r="N1448" s="10"/>
      <c r="O1448" s="55"/>
      <c r="P1448" s="55"/>
    </row>
    <row r="1449">
      <c r="A1449" s="7"/>
      <c r="B1449" s="8"/>
      <c r="C1449" s="8"/>
      <c r="D1449" s="7"/>
      <c r="E1449" s="7"/>
      <c r="F1449" s="7"/>
      <c r="G1449" s="7"/>
      <c r="H1449" s="9"/>
      <c r="I1449" s="7"/>
      <c r="J1449" s="7"/>
      <c r="K1449" s="7"/>
      <c r="L1449" s="7"/>
      <c r="M1449" s="30"/>
      <c r="N1449" s="10"/>
      <c r="O1449" s="55"/>
      <c r="P1449" s="55"/>
    </row>
    <row r="1450">
      <c r="A1450" s="7"/>
      <c r="B1450" s="8"/>
      <c r="C1450" s="8"/>
      <c r="D1450" s="7"/>
      <c r="E1450" s="7"/>
      <c r="F1450" s="7"/>
      <c r="G1450" s="7"/>
      <c r="H1450" s="9"/>
      <c r="I1450" s="7"/>
      <c r="J1450" s="7"/>
      <c r="K1450" s="7"/>
      <c r="L1450" s="7"/>
      <c r="M1450" s="32"/>
      <c r="N1450" s="10"/>
      <c r="O1450" s="55"/>
      <c r="P1450" s="55"/>
    </row>
    <row r="1451">
      <c r="A1451" s="7"/>
      <c r="B1451" s="8"/>
      <c r="C1451" s="8"/>
      <c r="D1451" s="7"/>
      <c r="E1451" s="7"/>
      <c r="F1451" s="7"/>
      <c r="G1451" s="7"/>
      <c r="H1451" s="9"/>
      <c r="I1451" s="7"/>
      <c r="J1451" s="7"/>
      <c r="K1451" s="7"/>
      <c r="L1451" s="7"/>
      <c r="M1451" s="32"/>
      <c r="N1451" s="10"/>
      <c r="O1451" s="55"/>
      <c r="P1451" s="55"/>
    </row>
    <row r="1452">
      <c r="A1452" s="7"/>
      <c r="B1452" s="8"/>
      <c r="C1452" s="8"/>
      <c r="D1452" s="7"/>
      <c r="E1452" s="7"/>
      <c r="F1452" s="7"/>
      <c r="G1452" s="7"/>
      <c r="H1452" s="9"/>
      <c r="I1452" s="7"/>
      <c r="J1452" s="7"/>
      <c r="K1452" s="7"/>
      <c r="L1452" s="7"/>
      <c r="M1452" s="32"/>
      <c r="N1452" s="10"/>
      <c r="O1452" s="55"/>
      <c r="P1452" s="55"/>
    </row>
    <row r="1453">
      <c r="A1453" s="7"/>
      <c r="B1453" s="8"/>
      <c r="C1453" s="8"/>
      <c r="D1453" s="7"/>
      <c r="E1453" s="7"/>
      <c r="F1453" s="7"/>
      <c r="G1453" s="7"/>
      <c r="H1453" s="9"/>
      <c r="I1453" s="7"/>
      <c r="J1453" s="7"/>
      <c r="K1453" s="7"/>
      <c r="L1453" s="7"/>
      <c r="M1453" s="32"/>
      <c r="N1453" s="10"/>
      <c r="O1453" s="55"/>
      <c r="P1453" s="55"/>
    </row>
    <row r="1454">
      <c r="A1454" s="7"/>
      <c r="B1454" s="8"/>
      <c r="C1454" s="8"/>
      <c r="D1454" s="7"/>
      <c r="E1454" s="7"/>
      <c r="F1454" s="7"/>
      <c r="G1454" s="7"/>
      <c r="H1454" s="9"/>
      <c r="I1454" s="7"/>
      <c r="J1454" s="7"/>
      <c r="K1454" s="7"/>
      <c r="L1454" s="7"/>
      <c r="M1454" s="32"/>
      <c r="N1454" s="10"/>
      <c r="O1454" s="55"/>
      <c r="P1454" s="55"/>
    </row>
    <row r="1455">
      <c r="A1455" s="7"/>
      <c r="B1455" s="8"/>
      <c r="C1455" s="8"/>
      <c r="D1455" s="7"/>
      <c r="E1455" s="7"/>
      <c r="F1455" s="7"/>
      <c r="G1455" s="7"/>
      <c r="H1455" s="9"/>
      <c r="I1455" s="7"/>
      <c r="J1455" s="7"/>
      <c r="K1455" s="7"/>
      <c r="L1455" s="7"/>
      <c r="M1455" s="32"/>
      <c r="N1455" s="10"/>
      <c r="O1455" s="55"/>
      <c r="P1455" s="55"/>
    </row>
    <row r="1456">
      <c r="A1456" s="7"/>
      <c r="B1456" s="8"/>
      <c r="C1456" s="8"/>
      <c r="D1456" s="7"/>
      <c r="E1456" s="7"/>
      <c r="F1456" s="7"/>
      <c r="G1456" s="7"/>
      <c r="H1456" s="9"/>
      <c r="I1456" s="7"/>
      <c r="J1456" s="7"/>
      <c r="K1456" s="7"/>
      <c r="L1456" s="7"/>
      <c r="M1456" s="32"/>
      <c r="N1456" s="10"/>
      <c r="O1456" s="55"/>
      <c r="P1456" s="55"/>
    </row>
    <row r="1457">
      <c r="A1457" s="7"/>
      <c r="B1457" s="8"/>
      <c r="C1457" s="8"/>
      <c r="D1457" s="7"/>
      <c r="E1457" s="7"/>
      <c r="F1457" s="7"/>
      <c r="G1457" s="7"/>
      <c r="H1457" s="9"/>
      <c r="I1457" s="7"/>
      <c r="J1457" s="7"/>
      <c r="K1457" s="7"/>
      <c r="L1457" s="7"/>
      <c r="M1457" s="30"/>
      <c r="N1457" s="10"/>
      <c r="O1457" s="55"/>
      <c r="P1457" s="55"/>
    </row>
    <row r="1458">
      <c r="A1458" s="7"/>
      <c r="B1458" s="8"/>
      <c r="C1458" s="8"/>
      <c r="D1458" s="7"/>
      <c r="E1458" s="7"/>
      <c r="F1458" s="7"/>
      <c r="G1458" s="7"/>
      <c r="H1458" s="9"/>
      <c r="I1458" s="7"/>
      <c r="J1458" s="7"/>
      <c r="K1458" s="7"/>
      <c r="L1458" s="7"/>
      <c r="M1458" s="32"/>
      <c r="N1458" s="10"/>
      <c r="O1458" s="55"/>
      <c r="P1458" s="55"/>
    </row>
    <row r="1459">
      <c r="A1459" s="7"/>
      <c r="B1459" s="8"/>
      <c r="C1459" s="8"/>
      <c r="D1459" s="7"/>
      <c r="E1459" s="7"/>
      <c r="F1459" s="7"/>
      <c r="G1459" s="7"/>
      <c r="H1459" s="9"/>
      <c r="I1459" s="7"/>
      <c r="J1459" s="7"/>
      <c r="K1459" s="7"/>
      <c r="L1459" s="7"/>
      <c r="M1459" s="32"/>
      <c r="N1459" s="10"/>
      <c r="O1459" s="55"/>
      <c r="P1459" s="55"/>
    </row>
    <row r="1460">
      <c r="A1460" s="7"/>
      <c r="B1460" s="8"/>
      <c r="C1460" s="8"/>
      <c r="D1460" s="7"/>
      <c r="E1460" s="7"/>
      <c r="F1460" s="7"/>
      <c r="G1460" s="7"/>
      <c r="H1460" s="9"/>
      <c r="I1460" s="7"/>
      <c r="J1460" s="7"/>
      <c r="K1460" s="7"/>
      <c r="L1460" s="7"/>
      <c r="M1460" s="32"/>
      <c r="N1460" s="10"/>
      <c r="O1460" s="55"/>
      <c r="P1460" s="55"/>
    </row>
    <row r="1461">
      <c r="A1461" s="7"/>
      <c r="B1461" s="8"/>
      <c r="C1461" s="8"/>
      <c r="D1461" s="7"/>
      <c r="E1461" s="7"/>
      <c r="F1461" s="7"/>
      <c r="G1461" s="7"/>
      <c r="H1461" s="9"/>
      <c r="I1461" s="25"/>
      <c r="J1461" s="25"/>
      <c r="K1461" s="25"/>
      <c r="L1461" s="7"/>
      <c r="M1461" s="32"/>
      <c r="N1461" s="10"/>
      <c r="O1461" s="55"/>
      <c r="P1461" s="55"/>
    </row>
    <row r="1462">
      <c r="A1462" s="7"/>
      <c r="B1462" s="8"/>
      <c r="C1462" s="8"/>
      <c r="D1462" s="7"/>
      <c r="E1462" s="7"/>
      <c r="F1462" s="7"/>
      <c r="G1462" s="7"/>
      <c r="H1462" s="9"/>
      <c r="I1462" s="7"/>
      <c r="J1462" s="7"/>
      <c r="K1462" s="7"/>
      <c r="L1462" s="7"/>
      <c r="M1462" s="10"/>
      <c r="N1462" s="10"/>
      <c r="O1462" s="55"/>
      <c r="P1462" s="55"/>
    </row>
    <row r="1463">
      <c r="A1463" s="7"/>
      <c r="B1463" s="8"/>
      <c r="C1463" s="8"/>
      <c r="D1463" s="7"/>
      <c r="E1463" s="7"/>
      <c r="F1463" s="7"/>
      <c r="G1463" s="7"/>
      <c r="H1463" s="9"/>
      <c r="I1463" s="7"/>
      <c r="J1463" s="7"/>
      <c r="K1463" s="7"/>
      <c r="L1463" s="7"/>
      <c r="M1463" s="32"/>
      <c r="N1463" s="10"/>
      <c r="O1463" s="69"/>
      <c r="P1463" s="69"/>
    </row>
    <row r="1464">
      <c r="A1464" s="7"/>
      <c r="B1464" s="8"/>
      <c r="C1464" s="8"/>
      <c r="D1464" s="7"/>
      <c r="E1464" s="7"/>
      <c r="F1464" s="7"/>
      <c r="G1464" s="7"/>
      <c r="H1464" s="9"/>
      <c r="I1464" s="7"/>
      <c r="J1464" s="7"/>
      <c r="K1464" s="7"/>
      <c r="L1464" s="7"/>
      <c r="M1464" s="32"/>
      <c r="N1464" s="10"/>
      <c r="O1464" s="55"/>
      <c r="P1464" s="55"/>
    </row>
    <row r="1465">
      <c r="A1465" s="7"/>
      <c r="B1465" s="8"/>
      <c r="C1465" s="8"/>
      <c r="D1465" s="7"/>
      <c r="E1465" s="7"/>
      <c r="F1465" s="7"/>
      <c r="G1465" s="7"/>
      <c r="H1465" s="9"/>
      <c r="I1465" s="7"/>
      <c r="J1465" s="7"/>
      <c r="K1465" s="7"/>
      <c r="L1465" s="7"/>
      <c r="M1465" s="30"/>
      <c r="N1465" s="10"/>
      <c r="O1465" s="55"/>
      <c r="P1465" s="55"/>
    </row>
    <row r="1466">
      <c r="A1466" s="7"/>
      <c r="B1466" s="8"/>
      <c r="C1466" s="8"/>
      <c r="D1466" s="7"/>
      <c r="E1466" s="7"/>
      <c r="F1466" s="7"/>
      <c r="G1466" s="7"/>
      <c r="H1466" s="9"/>
      <c r="I1466" s="7"/>
      <c r="J1466" s="7"/>
      <c r="K1466" s="7"/>
      <c r="L1466" s="7"/>
      <c r="M1466" s="32"/>
      <c r="N1466" s="10"/>
      <c r="O1466" s="55"/>
      <c r="P1466" s="55"/>
    </row>
    <row r="1467">
      <c r="A1467" s="7"/>
      <c r="B1467" s="8"/>
      <c r="C1467" s="8"/>
      <c r="D1467" s="7"/>
      <c r="E1467" s="7"/>
      <c r="F1467" s="7"/>
      <c r="G1467" s="7"/>
      <c r="H1467" s="9"/>
      <c r="I1467" s="7"/>
      <c r="J1467" s="7"/>
      <c r="K1467" s="7"/>
      <c r="L1467" s="7"/>
      <c r="M1467" s="32"/>
      <c r="N1467" s="10"/>
      <c r="O1467" s="55"/>
      <c r="P1467" s="55"/>
    </row>
    <row r="1468">
      <c r="A1468" s="7"/>
      <c r="B1468" s="8"/>
      <c r="C1468" s="8"/>
      <c r="D1468" s="7"/>
      <c r="E1468" s="7"/>
      <c r="F1468" s="7"/>
      <c r="G1468" s="7"/>
      <c r="H1468" s="9"/>
      <c r="I1468" s="7"/>
      <c r="J1468" s="7"/>
      <c r="K1468" s="7"/>
      <c r="L1468" s="7"/>
      <c r="M1468" s="32"/>
      <c r="N1468" s="10"/>
      <c r="O1468" s="55"/>
      <c r="P1468" s="55"/>
    </row>
    <row r="1469">
      <c r="A1469" s="7"/>
      <c r="B1469" s="8"/>
      <c r="C1469" s="8"/>
      <c r="D1469" s="7"/>
      <c r="E1469" s="7"/>
      <c r="F1469" s="7"/>
      <c r="G1469" s="7"/>
      <c r="H1469" s="9"/>
      <c r="I1469" s="7"/>
      <c r="J1469" s="7"/>
      <c r="K1469" s="7"/>
      <c r="L1469" s="7"/>
      <c r="M1469" s="32"/>
      <c r="N1469" s="10"/>
      <c r="O1469" s="55"/>
      <c r="P1469" s="55"/>
    </row>
    <row r="1470">
      <c r="A1470" s="7"/>
      <c r="B1470" s="8"/>
      <c r="C1470" s="8"/>
      <c r="D1470" s="7"/>
      <c r="E1470" s="7"/>
      <c r="F1470" s="7"/>
      <c r="G1470" s="7"/>
      <c r="H1470" s="9"/>
      <c r="I1470" s="7"/>
      <c r="J1470" s="7"/>
      <c r="K1470" s="7"/>
      <c r="L1470" s="7"/>
      <c r="M1470" s="32"/>
      <c r="N1470" s="10"/>
      <c r="O1470" s="69"/>
      <c r="P1470" s="69"/>
    </row>
    <row r="1471">
      <c r="A1471" s="7"/>
      <c r="B1471" s="8"/>
      <c r="C1471" s="8"/>
      <c r="D1471" s="7"/>
      <c r="E1471" s="7"/>
      <c r="F1471" s="7"/>
      <c r="G1471" s="7"/>
      <c r="H1471" s="9"/>
      <c r="I1471" s="7"/>
      <c r="J1471" s="7"/>
      <c r="K1471" s="7"/>
      <c r="L1471" s="7"/>
      <c r="M1471" s="32"/>
      <c r="N1471" s="10"/>
      <c r="O1471" s="55"/>
      <c r="P1471" s="55"/>
    </row>
    <row r="1472">
      <c r="A1472" s="7"/>
      <c r="B1472" s="8"/>
      <c r="C1472" s="8"/>
      <c r="D1472" s="7"/>
      <c r="E1472" s="7"/>
      <c r="F1472" s="7"/>
      <c r="G1472" s="7"/>
      <c r="H1472" s="9"/>
      <c r="I1472" s="7"/>
      <c r="J1472" s="7"/>
      <c r="K1472" s="7"/>
      <c r="L1472" s="7"/>
      <c r="M1472" s="32"/>
      <c r="N1472" s="10"/>
      <c r="O1472" s="55"/>
      <c r="P1472" s="55"/>
    </row>
    <row r="1473">
      <c r="A1473" s="7"/>
      <c r="B1473" s="8"/>
      <c r="C1473" s="8"/>
      <c r="D1473" s="7"/>
      <c r="E1473" s="7"/>
      <c r="F1473" s="7"/>
      <c r="G1473" s="7"/>
      <c r="H1473" s="9"/>
      <c r="I1473" s="7"/>
      <c r="J1473" s="7"/>
      <c r="K1473" s="7"/>
      <c r="L1473" s="7"/>
      <c r="M1473" s="32"/>
      <c r="N1473" s="10"/>
      <c r="O1473" s="55"/>
      <c r="P1473" s="55"/>
    </row>
    <row r="1474">
      <c r="A1474" s="7"/>
      <c r="B1474" s="8"/>
      <c r="C1474" s="8"/>
      <c r="D1474" s="7"/>
      <c r="E1474" s="7"/>
      <c r="F1474" s="7"/>
      <c r="G1474" s="7"/>
      <c r="H1474" s="9"/>
      <c r="I1474" s="7"/>
      <c r="J1474" s="7"/>
      <c r="K1474" s="7"/>
      <c r="L1474" s="7"/>
      <c r="M1474" s="32"/>
      <c r="N1474" s="10"/>
      <c r="O1474" s="55"/>
      <c r="P1474" s="55"/>
    </row>
    <row r="1475">
      <c r="A1475" s="7"/>
      <c r="B1475" s="8"/>
      <c r="C1475" s="8"/>
      <c r="D1475" s="7"/>
      <c r="E1475" s="7"/>
      <c r="F1475" s="7"/>
      <c r="G1475" s="7"/>
      <c r="H1475" s="9"/>
      <c r="I1475" s="7"/>
      <c r="J1475" s="7"/>
      <c r="K1475" s="7"/>
      <c r="L1475" s="7"/>
      <c r="M1475" s="32"/>
      <c r="N1475" s="10"/>
      <c r="O1475" s="55"/>
      <c r="P1475" s="55"/>
    </row>
    <row r="1476">
      <c r="A1476" s="7"/>
      <c r="B1476" s="8"/>
      <c r="C1476" s="8"/>
      <c r="D1476" s="7"/>
      <c r="E1476" s="7"/>
      <c r="F1476" s="7"/>
      <c r="G1476" s="7"/>
      <c r="H1476" s="9"/>
      <c r="I1476" s="7"/>
      <c r="J1476" s="7"/>
      <c r="K1476" s="7"/>
      <c r="L1476" s="7"/>
      <c r="M1476" s="32"/>
      <c r="N1476" s="10"/>
      <c r="O1476" s="55"/>
      <c r="P1476" s="55"/>
    </row>
    <row r="1477">
      <c r="A1477" s="7"/>
      <c r="B1477" s="8"/>
      <c r="C1477" s="8"/>
      <c r="D1477" s="7"/>
      <c r="E1477" s="7"/>
      <c r="F1477" s="7"/>
      <c r="G1477" s="7"/>
      <c r="H1477" s="9"/>
      <c r="I1477" s="7"/>
      <c r="J1477" s="7"/>
      <c r="K1477" s="7"/>
      <c r="L1477" s="7"/>
      <c r="M1477" s="32"/>
      <c r="N1477" s="10"/>
      <c r="O1477" s="55"/>
      <c r="P1477" s="55"/>
    </row>
    <row r="1478">
      <c r="A1478" s="7"/>
      <c r="B1478" s="8"/>
      <c r="C1478" s="8"/>
      <c r="D1478" s="7"/>
      <c r="E1478" s="7"/>
      <c r="F1478" s="7"/>
      <c r="G1478" s="7"/>
      <c r="H1478" s="9"/>
      <c r="I1478" s="7"/>
      <c r="J1478" s="7"/>
      <c r="K1478" s="7"/>
      <c r="L1478" s="7"/>
      <c r="M1478" s="32"/>
      <c r="N1478" s="10"/>
      <c r="O1478" s="55"/>
      <c r="P1478" s="55"/>
    </row>
    <row r="1479">
      <c r="A1479" s="7"/>
      <c r="B1479" s="8"/>
      <c r="C1479" s="8"/>
      <c r="D1479" s="7"/>
      <c r="E1479" s="7"/>
      <c r="F1479" s="7"/>
      <c r="G1479" s="7"/>
      <c r="H1479" s="9"/>
      <c r="I1479" s="7"/>
      <c r="J1479" s="7"/>
      <c r="K1479" s="7"/>
      <c r="L1479" s="7"/>
      <c r="M1479" s="32"/>
      <c r="N1479" s="10"/>
      <c r="O1479" s="55"/>
      <c r="P1479" s="55"/>
    </row>
    <row r="1480">
      <c r="A1480" s="7"/>
      <c r="B1480" s="8"/>
      <c r="C1480" s="8"/>
      <c r="D1480" s="7"/>
      <c r="E1480" s="7"/>
      <c r="F1480" s="7"/>
      <c r="G1480" s="7"/>
      <c r="H1480" s="9"/>
      <c r="I1480" s="7"/>
      <c r="J1480" s="7"/>
      <c r="K1480" s="7"/>
      <c r="L1480" s="7"/>
      <c r="M1480" s="32"/>
      <c r="N1480" s="10"/>
      <c r="O1480" s="55"/>
      <c r="P1480" s="55"/>
    </row>
    <row r="1481">
      <c r="A1481" s="7"/>
      <c r="B1481" s="8"/>
      <c r="C1481" s="8"/>
      <c r="D1481" s="7"/>
      <c r="E1481" s="7"/>
      <c r="F1481" s="7"/>
      <c r="G1481" s="7"/>
      <c r="H1481" s="9"/>
      <c r="I1481" s="7"/>
      <c r="J1481" s="7"/>
      <c r="K1481" s="7"/>
      <c r="L1481" s="7"/>
      <c r="M1481" s="32"/>
      <c r="N1481" s="10"/>
      <c r="O1481" s="55"/>
      <c r="P1481" s="55"/>
    </row>
    <row r="1482">
      <c r="A1482" s="7"/>
      <c r="B1482" s="8"/>
      <c r="C1482" s="8"/>
      <c r="D1482" s="7"/>
      <c r="E1482" s="7"/>
      <c r="F1482" s="7"/>
      <c r="G1482" s="7"/>
      <c r="H1482" s="9"/>
      <c r="I1482" s="7"/>
      <c r="J1482" s="7"/>
      <c r="K1482" s="7"/>
      <c r="L1482" s="7"/>
      <c r="M1482" s="32"/>
      <c r="N1482" s="10"/>
      <c r="O1482" s="55"/>
      <c r="P1482" s="55"/>
    </row>
    <row r="1483">
      <c r="A1483" s="7"/>
      <c r="B1483" s="8"/>
      <c r="C1483" s="8"/>
      <c r="D1483" s="7"/>
      <c r="E1483" s="7"/>
      <c r="F1483" s="7"/>
      <c r="G1483" s="7"/>
      <c r="H1483" s="9"/>
      <c r="I1483" s="7"/>
      <c r="J1483" s="7"/>
      <c r="K1483" s="7"/>
      <c r="L1483" s="7"/>
      <c r="M1483" s="30"/>
      <c r="N1483" s="10"/>
      <c r="O1483" s="55"/>
      <c r="P1483" s="55"/>
    </row>
    <row r="1484">
      <c r="A1484" s="7"/>
      <c r="B1484" s="8"/>
      <c r="C1484" s="8"/>
      <c r="D1484" s="7"/>
      <c r="E1484" s="7"/>
      <c r="F1484" s="7"/>
      <c r="G1484" s="7"/>
      <c r="H1484" s="9"/>
      <c r="I1484" s="7"/>
      <c r="J1484" s="7"/>
      <c r="K1484" s="7"/>
      <c r="L1484" s="7"/>
      <c r="M1484" s="32"/>
      <c r="N1484" s="10"/>
      <c r="O1484" s="55"/>
      <c r="P1484" s="55"/>
    </row>
    <row r="1485">
      <c r="A1485" s="7"/>
      <c r="B1485" s="8"/>
      <c r="C1485" s="8"/>
      <c r="D1485" s="7"/>
      <c r="E1485" s="7"/>
      <c r="F1485" s="7"/>
      <c r="G1485" s="7"/>
      <c r="H1485" s="9"/>
      <c r="I1485" s="7"/>
      <c r="J1485" s="7"/>
      <c r="K1485" s="7"/>
      <c r="L1485" s="7"/>
      <c r="M1485" s="32"/>
      <c r="N1485" s="10"/>
      <c r="O1485" s="55"/>
      <c r="P1485" s="55"/>
    </row>
    <row r="1486">
      <c r="A1486" s="7"/>
      <c r="B1486" s="8"/>
      <c r="C1486" s="8"/>
      <c r="D1486" s="7"/>
      <c r="E1486" s="7"/>
      <c r="F1486" s="7"/>
      <c r="G1486" s="7"/>
      <c r="H1486" s="9"/>
      <c r="I1486" s="7"/>
      <c r="J1486" s="7"/>
      <c r="K1486" s="7"/>
      <c r="L1486" s="7"/>
      <c r="M1486" s="32"/>
      <c r="N1486" s="10"/>
      <c r="O1486" s="55"/>
      <c r="P1486" s="55"/>
    </row>
    <row r="1487">
      <c r="A1487" s="7"/>
      <c r="B1487" s="8"/>
      <c r="C1487" s="8"/>
      <c r="D1487" s="7"/>
      <c r="E1487" s="7"/>
      <c r="F1487" s="7"/>
      <c r="G1487" s="7"/>
      <c r="H1487" s="9"/>
      <c r="I1487" s="7"/>
      <c r="J1487" s="7"/>
      <c r="K1487" s="7"/>
      <c r="L1487" s="7"/>
      <c r="M1487" s="32"/>
      <c r="N1487" s="10"/>
      <c r="O1487" s="55"/>
      <c r="P1487" s="55"/>
    </row>
    <row r="1488">
      <c r="A1488" s="7"/>
      <c r="B1488" s="8"/>
      <c r="C1488" s="8"/>
      <c r="D1488" s="7"/>
      <c r="E1488" s="7"/>
      <c r="F1488" s="7"/>
      <c r="G1488" s="7"/>
      <c r="H1488" s="9"/>
      <c r="I1488" s="7"/>
      <c r="J1488" s="7"/>
      <c r="K1488" s="7"/>
      <c r="L1488" s="7"/>
      <c r="M1488" s="32"/>
      <c r="N1488" s="10"/>
      <c r="O1488" s="55"/>
      <c r="P1488" s="55"/>
    </row>
    <row r="1489">
      <c r="A1489" s="7"/>
      <c r="B1489" s="8"/>
      <c r="C1489" s="8"/>
      <c r="D1489" s="7"/>
      <c r="E1489" s="7"/>
      <c r="F1489" s="7"/>
      <c r="G1489" s="7"/>
      <c r="H1489" s="9"/>
      <c r="I1489" s="7"/>
      <c r="J1489" s="7"/>
      <c r="K1489" s="7"/>
      <c r="L1489" s="7"/>
      <c r="M1489" s="32"/>
      <c r="N1489" s="10"/>
      <c r="O1489" s="55"/>
      <c r="P1489" s="55"/>
    </row>
    <row r="1490">
      <c r="A1490" s="7"/>
      <c r="B1490" s="8"/>
      <c r="C1490" s="8"/>
      <c r="D1490" s="7"/>
      <c r="E1490" s="7"/>
      <c r="F1490" s="7"/>
      <c r="G1490" s="7"/>
      <c r="H1490" s="9"/>
      <c r="I1490" s="7"/>
      <c r="J1490" s="7"/>
      <c r="K1490" s="7"/>
      <c r="L1490" s="7"/>
      <c r="M1490" s="32"/>
      <c r="N1490" s="10"/>
      <c r="O1490" s="55"/>
      <c r="P1490" s="55"/>
    </row>
    <row r="1491">
      <c r="A1491" s="7"/>
      <c r="B1491" s="8"/>
      <c r="C1491" s="8"/>
      <c r="D1491" s="7"/>
      <c r="E1491" s="7"/>
      <c r="F1491" s="7"/>
      <c r="G1491" s="7"/>
      <c r="H1491" s="9"/>
      <c r="I1491" s="7"/>
      <c r="J1491" s="7"/>
      <c r="K1491" s="7"/>
      <c r="L1491" s="7"/>
      <c r="M1491" s="32"/>
      <c r="N1491" s="10"/>
      <c r="O1491" s="55"/>
      <c r="P1491" s="55"/>
    </row>
    <row r="1492">
      <c r="A1492" s="7"/>
      <c r="B1492" s="8"/>
      <c r="C1492" s="8"/>
      <c r="D1492" s="7"/>
      <c r="E1492" s="7"/>
      <c r="F1492" s="7"/>
      <c r="G1492" s="7"/>
      <c r="H1492" s="9"/>
      <c r="I1492" s="7"/>
      <c r="J1492" s="7"/>
      <c r="K1492" s="7"/>
      <c r="L1492" s="7"/>
      <c r="M1492" s="32"/>
      <c r="N1492" s="10"/>
      <c r="O1492" s="55"/>
      <c r="P1492" s="55"/>
    </row>
    <row r="1493">
      <c r="A1493" s="7"/>
      <c r="B1493" s="8"/>
      <c r="C1493" s="8"/>
      <c r="D1493" s="7"/>
      <c r="E1493" s="7"/>
      <c r="F1493" s="7"/>
      <c r="G1493" s="7"/>
      <c r="H1493" s="9"/>
      <c r="I1493" s="7"/>
      <c r="J1493" s="7"/>
      <c r="K1493" s="7"/>
      <c r="L1493" s="7"/>
      <c r="M1493" s="30"/>
      <c r="N1493" s="10"/>
      <c r="O1493" s="55"/>
      <c r="P1493" s="55"/>
    </row>
    <row r="1494">
      <c r="A1494" s="7"/>
      <c r="B1494" s="8"/>
      <c r="C1494" s="8"/>
      <c r="D1494" s="7"/>
      <c r="E1494" s="7"/>
      <c r="F1494" s="7"/>
      <c r="G1494" s="7"/>
      <c r="H1494" s="9"/>
      <c r="I1494" s="7"/>
      <c r="J1494" s="7"/>
      <c r="K1494" s="7"/>
      <c r="L1494" s="7"/>
      <c r="M1494" s="32"/>
      <c r="N1494" s="10"/>
      <c r="O1494" s="55"/>
      <c r="P1494" s="55"/>
    </row>
    <row r="1495">
      <c r="A1495" s="7"/>
      <c r="B1495" s="8"/>
      <c r="C1495" s="8"/>
      <c r="D1495" s="7"/>
      <c r="E1495" s="7"/>
      <c r="F1495" s="7"/>
      <c r="G1495" s="7"/>
      <c r="H1495" s="9"/>
      <c r="I1495" s="7"/>
      <c r="J1495" s="7"/>
      <c r="K1495" s="7"/>
      <c r="L1495" s="7"/>
      <c r="M1495" s="30"/>
      <c r="N1495" s="10"/>
      <c r="O1495" s="55"/>
      <c r="P1495" s="55"/>
    </row>
    <row r="1496">
      <c r="A1496" s="7"/>
      <c r="B1496" s="8"/>
      <c r="C1496" s="8"/>
      <c r="D1496" s="7"/>
      <c r="E1496" s="7"/>
      <c r="F1496" s="7"/>
      <c r="G1496" s="7"/>
      <c r="H1496" s="9"/>
      <c r="I1496" s="7"/>
      <c r="J1496" s="7"/>
      <c r="K1496" s="7"/>
      <c r="L1496" s="7"/>
      <c r="M1496" s="32"/>
      <c r="N1496" s="10"/>
      <c r="O1496" s="55"/>
      <c r="P1496" s="55"/>
    </row>
    <row r="1497">
      <c r="A1497" s="7"/>
      <c r="B1497" s="8"/>
      <c r="C1497" s="8"/>
      <c r="D1497" s="7"/>
      <c r="E1497" s="7"/>
      <c r="F1497" s="7"/>
      <c r="G1497" s="7"/>
      <c r="H1497" s="9"/>
      <c r="I1497" s="7"/>
      <c r="J1497" s="7"/>
      <c r="K1497" s="7"/>
      <c r="L1497" s="7"/>
      <c r="M1497" s="32"/>
      <c r="N1497" s="10"/>
      <c r="O1497" s="55"/>
      <c r="P1497" s="55"/>
    </row>
    <row r="1498">
      <c r="A1498" s="7"/>
      <c r="B1498" s="8"/>
      <c r="C1498" s="8"/>
      <c r="D1498" s="7"/>
      <c r="E1498" s="7"/>
      <c r="F1498" s="7"/>
      <c r="G1498" s="7"/>
      <c r="H1498" s="9"/>
      <c r="I1498" s="7"/>
      <c r="J1498" s="7"/>
      <c r="K1498" s="7"/>
      <c r="L1498" s="7"/>
      <c r="M1498" s="32"/>
      <c r="N1498" s="10"/>
      <c r="O1498" s="55"/>
      <c r="P1498" s="55"/>
    </row>
    <row r="1499">
      <c r="A1499" s="7"/>
      <c r="B1499" s="8"/>
      <c r="C1499" s="8"/>
      <c r="D1499" s="7"/>
      <c r="E1499" s="7"/>
      <c r="F1499" s="7"/>
      <c r="G1499" s="7"/>
      <c r="H1499" s="9"/>
      <c r="I1499" s="7"/>
      <c r="J1499" s="7"/>
      <c r="K1499" s="7"/>
      <c r="L1499" s="7"/>
      <c r="M1499" s="32"/>
      <c r="N1499" s="10"/>
      <c r="O1499" s="55"/>
      <c r="P1499" s="55"/>
    </row>
    <row r="1500">
      <c r="A1500" s="7"/>
      <c r="B1500" s="8"/>
      <c r="C1500" s="8"/>
      <c r="D1500" s="7"/>
      <c r="E1500" s="7"/>
      <c r="F1500" s="7"/>
      <c r="G1500" s="7"/>
      <c r="H1500" s="9"/>
      <c r="I1500" s="7"/>
      <c r="J1500" s="7"/>
      <c r="K1500" s="7"/>
      <c r="L1500" s="7"/>
      <c r="M1500" s="32"/>
      <c r="N1500" s="10"/>
      <c r="O1500" s="55"/>
      <c r="P1500" s="55"/>
    </row>
    <row r="1501">
      <c r="A1501" s="7"/>
      <c r="B1501" s="8"/>
      <c r="C1501" s="8"/>
      <c r="D1501" s="7"/>
      <c r="E1501" s="7"/>
      <c r="F1501" s="7"/>
      <c r="G1501" s="7"/>
      <c r="H1501" s="9"/>
      <c r="I1501" s="7"/>
      <c r="J1501" s="7"/>
      <c r="K1501" s="7"/>
      <c r="L1501" s="7"/>
      <c r="M1501" s="32"/>
      <c r="N1501" s="10"/>
      <c r="O1501" s="55"/>
      <c r="P1501" s="55"/>
    </row>
    <row r="1502">
      <c r="A1502" s="7"/>
      <c r="B1502" s="8"/>
      <c r="C1502" s="8"/>
      <c r="D1502" s="7"/>
      <c r="E1502" s="7"/>
      <c r="F1502" s="7"/>
      <c r="G1502" s="7"/>
      <c r="H1502" s="9"/>
      <c r="I1502" s="7"/>
      <c r="J1502" s="7"/>
      <c r="K1502" s="7"/>
      <c r="L1502" s="7"/>
      <c r="M1502" s="32"/>
      <c r="N1502" s="10"/>
      <c r="O1502" s="55"/>
      <c r="P1502" s="55"/>
    </row>
    <row r="1503">
      <c r="A1503" s="7"/>
      <c r="B1503" s="8"/>
      <c r="C1503" s="8"/>
      <c r="D1503" s="7"/>
      <c r="E1503" s="7"/>
      <c r="F1503" s="7"/>
      <c r="G1503" s="7"/>
      <c r="H1503" s="9"/>
      <c r="I1503" s="7"/>
      <c r="J1503" s="7"/>
      <c r="K1503" s="7"/>
      <c r="L1503" s="7"/>
      <c r="M1503" s="32"/>
      <c r="N1503" s="10"/>
      <c r="O1503" s="55"/>
      <c r="P1503" s="55"/>
    </row>
    <row r="1504">
      <c r="A1504" s="7"/>
      <c r="B1504" s="8"/>
      <c r="C1504" s="8"/>
      <c r="D1504" s="7"/>
      <c r="E1504" s="7"/>
      <c r="F1504" s="7"/>
      <c r="G1504" s="7"/>
      <c r="H1504" s="9"/>
      <c r="I1504" s="7"/>
      <c r="J1504" s="7"/>
      <c r="K1504" s="7"/>
      <c r="L1504" s="7"/>
      <c r="M1504" s="10"/>
      <c r="N1504" s="10"/>
      <c r="O1504" s="55"/>
      <c r="P1504" s="55"/>
    </row>
    <row r="1505">
      <c r="A1505" s="7"/>
      <c r="B1505" s="8"/>
      <c r="C1505" s="8"/>
      <c r="D1505" s="7"/>
      <c r="E1505" s="7"/>
      <c r="F1505" s="7"/>
      <c r="G1505" s="7"/>
      <c r="H1505" s="9"/>
      <c r="I1505" s="25"/>
      <c r="J1505" s="25"/>
      <c r="K1505" s="25"/>
      <c r="L1505" s="7"/>
      <c r="M1505" s="32"/>
      <c r="N1505" s="10"/>
      <c r="O1505" s="55"/>
      <c r="P1505" s="55"/>
    </row>
    <row r="1506">
      <c r="A1506" s="7"/>
      <c r="B1506" s="8"/>
      <c r="C1506" s="8"/>
      <c r="D1506" s="7"/>
      <c r="E1506" s="7"/>
      <c r="F1506" s="7"/>
      <c r="G1506" s="7"/>
      <c r="H1506" s="9"/>
      <c r="I1506" s="7"/>
      <c r="J1506" s="7"/>
      <c r="K1506" s="7"/>
      <c r="L1506" s="7"/>
      <c r="M1506" s="32"/>
      <c r="N1506" s="10"/>
      <c r="O1506" s="55"/>
      <c r="P1506" s="55"/>
    </row>
    <row r="1507">
      <c r="A1507" s="7"/>
      <c r="B1507" s="8"/>
      <c r="C1507" s="8"/>
      <c r="D1507" s="7"/>
      <c r="E1507" s="7"/>
      <c r="F1507" s="7"/>
      <c r="G1507" s="7"/>
      <c r="H1507" s="9"/>
      <c r="I1507" s="25"/>
      <c r="J1507" s="25"/>
      <c r="K1507" s="25"/>
      <c r="L1507" s="7"/>
      <c r="M1507" s="32"/>
      <c r="N1507" s="10"/>
      <c r="O1507" s="55"/>
      <c r="P1507" s="55"/>
    </row>
    <row r="1508">
      <c r="A1508" s="7"/>
      <c r="B1508" s="8"/>
      <c r="C1508" s="8"/>
      <c r="D1508" s="7"/>
      <c r="E1508" s="7"/>
      <c r="F1508" s="7"/>
      <c r="G1508" s="7"/>
      <c r="H1508" s="9"/>
      <c r="I1508" s="7"/>
      <c r="J1508" s="7"/>
      <c r="K1508" s="7"/>
      <c r="L1508" s="7"/>
      <c r="M1508" s="32"/>
      <c r="N1508" s="10"/>
      <c r="O1508" s="55"/>
      <c r="P1508" s="55"/>
    </row>
    <row r="1509">
      <c r="A1509" s="7"/>
      <c r="B1509" s="8"/>
      <c r="C1509" s="8"/>
      <c r="D1509" s="7"/>
      <c r="E1509" s="7"/>
      <c r="F1509" s="7"/>
      <c r="G1509" s="7"/>
      <c r="H1509" s="9"/>
      <c r="I1509" s="7"/>
      <c r="J1509" s="7"/>
      <c r="K1509" s="7"/>
      <c r="L1509" s="7"/>
      <c r="M1509" s="32"/>
      <c r="N1509" s="10"/>
      <c r="O1509" s="55"/>
      <c r="P1509" s="55"/>
    </row>
    <row r="1510">
      <c r="A1510" s="7"/>
      <c r="B1510" s="8"/>
      <c r="C1510" s="8"/>
      <c r="D1510" s="7"/>
      <c r="E1510" s="7"/>
      <c r="F1510" s="7"/>
      <c r="G1510" s="7"/>
      <c r="H1510" s="9"/>
      <c r="I1510" s="7"/>
      <c r="J1510" s="7"/>
      <c r="K1510" s="7"/>
      <c r="L1510" s="7"/>
      <c r="M1510" s="30"/>
      <c r="N1510" s="10"/>
      <c r="O1510" s="55"/>
      <c r="P1510" s="55"/>
    </row>
    <row r="1511">
      <c r="A1511" s="7"/>
      <c r="B1511" s="8"/>
      <c r="C1511" s="8"/>
      <c r="D1511" s="7"/>
      <c r="E1511" s="7"/>
      <c r="F1511" s="7"/>
      <c r="G1511" s="7"/>
      <c r="H1511" s="9"/>
      <c r="I1511" s="7"/>
      <c r="J1511" s="7"/>
      <c r="K1511" s="7"/>
      <c r="L1511" s="7"/>
      <c r="M1511" s="32"/>
      <c r="N1511" s="10"/>
      <c r="O1511" s="55"/>
      <c r="P1511" s="55"/>
    </row>
    <row r="1512">
      <c r="A1512" s="7"/>
      <c r="B1512" s="8"/>
      <c r="C1512" s="8"/>
      <c r="D1512" s="7"/>
      <c r="E1512" s="7"/>
      <c r="F1512" s="7"/>
      <c r="G1512" s="7"/>
      <c r="H1512" s="9"/>
      <c r="I1512" s="7"/>
      <c r="J1512" s="7"/>
      <c r="K1512" s="7"/>
      <c r="L1512" s="7"/>
      <c r="M1512" s="32"/>
      <c r="N1512" s="10"/>
      <c r="O1512" s="55"/>
      <c r="P1512" s="55"/>
    </row>
    <row r="1513">
      <c r="A1513" s="7"/>
      <c r="B1513" s="8"/>
      <c r="C1513" s="8"/>
      <c r="D1513" s="7"/>
      <c r="E1513" s="7"/>
      <c r="F1513" s="7"/>
      <c r="G1513" s="7"/>
      <c r="H1513" s="9"/>
      <c r="I1513" s="7"/>
      <c r="J1513" s="7"/>
      <c r="K1513" s="7"/>
      <c r="L1513" s="7"/>
      <c r="M1513" s="32"/>
      <c r="N1513" s="10"/>
      <c r="O1513" s="55"/>
      <c r="P1513" s="55"/>
    </row>
    <row r="1514">
      <c r="A1514" s="7"/>
      <c r="B1514" s="8"/>
      <c r="C1514" s="8"/>
      <c r="D1514" s="7"/>
      <c r="E1514" s="7"/>
      <c r="F1514" s="7"/>
      <c r="G1514" s="7"/>
      <c r="H1514" s="9"/>
      <c r="I1514" s="7"/>
      <c r="J1514" s="7"/>
      <c r="K1514" s="7"/>
      <c r="L1514" s="7"/>
      <c r="M1514" s="32"/>
      <c r="N1514" s="10"/>
      <c r="O1514" s="55"/>
      <c r="P1514" s="55"/>
    </row>
    <row r="1515">
      <c r="A1515" s="7"/>
      <c r="B1515" s="8"/>
      <c r="C1515" s="8"/>
      <c r="D1515" s="7"/>
      <c r="E1515" s="7"/>
      <c r="F1515" s="7"/>
      <c r="G1515" s="7"/>
      <c r="H1515" s="9"/>
      <c r="I1515" s="7"/>
      <c r="J1515" s="7"/>
      <c r="K1515" s="7"/>
      <c r="L1515" s="7"/>
      <c r="M1515" s="32"/>
      <c r="N1515" s="10"/>
      <c r="O1515" s="55"/>
      <c r="P1515" s="55"/>
    </row>
    <row r="1516">
      <c r="A1516" s="7"/>
      <c r="B1516" s="8"/>
      <c r="C1516" s="8"/>
      <c r="D1516" s="7"/>
      <c r="E1516" s="7"/>
      <c r="F1516" s="7"/>
      <c r="G1516" s="7"/>
      <c r="H1516" s="9"/>
      <c r="I1516" s="7"/>
      <c r="J1516" s="7"/>
      <c r="K1516" s="7"/>
      <c r="L1516" s="7"/>
      <c r="M1516" s="32"/>
      <c r="N1516" s="10"/>
      <c r="O1516" s="55"/>
      <c r="P1516" s="55"/>
    </row>
    <row r="1517">
      <c r="A1517" s="7"/>
      <c r="B1517" s="8"/>
      <c r="C1517" s="8"/>
      <c r="D1517" s="7"/>
      <c r="E1517" s="7"/>
      <c r="F1517" s="7"/>
      <c r="G1517" s="7"/>
      <c r="H1517" s="9"/>
      <c r="I1517" s="7"/>
      <c r="J1517" s="7"/>
      <c r="K1517" s="7"/>
      <c r="L1517" s="7"/>
      <c r="M1517" s="32"/>
      <c r="N1517" s="10"/>
      <c r="O1517" s="55"/>
      <c r="P1517" s="55"/>
    </row>
    <row r="1518">
      <c r="A1518" s="7"/>
      <c r="B1518" s="8"/>
      <c r="C1518" s="8"/>
      <c r="D1518" s="7"/>
      <c r="E1518" s="7"/>
      <c r="F1518" s="7"/>
      <c r="G1518" s="7"/>
      <c r="H1518" s="9"/>
      <c r="I1518" s="25"/>
      <c r="J1518" s="25"/>
      <c r="K1518" s="25"/>
      <c r="L1518" s="7"/>
      <c r="M1518" s="30"/>
      <c r="N1518" s="10"/>
      <c r="O1518" s="55"/>
      <c r="P1518" s="55"/>
    </row>
    <row r="1519">
      <c r="A1519" s="7"/>
      <c r="B1519" s="8"/>
      <c r="C1519" s="8"/>
      <c r="D1519" s="7"/>
      <c r="E1519" s="7"/>
      <c r="F1519" s="7"/>
      <c r="G1519" s="7"/>
      <c r="H1519" s="9"/>
      <c r="I1519" s="25"/>
      <c r="J1519" s="25"/>
      <c r="K1519" s="25"/>
      <c r="L1519" s="7"/>
      <c r="M1519" s="30"/>
      <c r="N1519" s="10"/>
      <c r="O1519" s="55"/>
      <c r="P1519" s="55"/>
    </row>
    <row r="1520">
      <c r="A1520" s="7"/>
      <c r="B1520" s="8"/>
      <c r="C1520" s="8"/>
      <c r="D1520" s="7"/>
      <c r="E1520" s="7"/>
      <c r="F1520" s="7"/>
      <c r="G1520" s="7"/>
      <c r="H1520" s="9"/>
      <c r="I1520" s="25"/>
      <c r="J1520" s="25"/>
      <c r="K1520" s="25"/>
      <c r="L1520" s="7"/>
      <c r="M1520" s="32"/>
      <c r="N1520" s="10"/>
      <c r="O1520" s="55"/>
      <c r="P1520" s="55"/>
    </row>
    <row r="1521">
      <c r="A1521" s="7"/>
      <c r="B1521" s="8"/>
      <c r="C1521" s="8"/>
      <c r="D1521" s="7"/>
      <c r="E1521" s="7"/>
      <c r="F1521" s="7"/>
      <c r="G1521" s="7"/>
      <c r="H1521" s="9"/>
      <c r="I1521" s="25"/>
      <c r="J1521" s="25"/>
      <c r="K1521" s="25"/>
      <c r="L1521" s="7"/>
      <c r="M1521" s="32"/>
      <c r="N1521" s="10"/>
      <c r="O1521" s="55"/>
      <c r="P1521" s="55"/>
    </row>
    <row r="1522">
      <c r="A1522" s="7"/>
      <c r="B1522" s="8"/>
      <c r="C1522" s="8"/>
      <c r="D1522" s="7"/>
      <c r="E1522" s="7"/>
      <c r="F1522" s="7"/>
      <c r="G1522" s="7"/>
      <c r="H1522" s="9"/>
      <c r="I1522" s="25"/>
      <c r="J1522" s="25"/>
      <c r="K1522" s="25"/>
      <c r="L1522" s="7"/>
      <c r="M1522" s="32"/>
      <c r="N1522" s="10"/>
      <c r="O1522" s="55"/>
      <c r="P1522" s="55"/>
    </row>
    <row r="1523">
      <c r="A1523" s="7"/>
      <c r="B1523" s="8"/>
      <c r="C1523" s="8"/>
      <c r="D1523" s="7"/>
      <c r="E1523" s="7"/>
      <c r="F1523" s="7"/>
      <c r="G1523" s="7"/>
      <c r="H1523" s="9"/>
      <c r="I1523" s="25"/>
      <c r="J1523" s="25"/>
      <c r="K1523" s="25"/>
      <c r="L1523" s="7"/>
      <c r="M1523" s="32"/>
      <c r="N1523" s="10"/>
      <c r="O1523" s="55"/>
      <c r="P1523" s="55"/>
    </row>
    <row r="1524">
      <c r="A1524" s="7"/>
      <c r="B1524" s="8"/>
      <c r="C1524" s="8"/>
      <c r="D1524" s="7"/>
      <c r="E1524" s="7"/>
      <c r="F1524" s="7"/>
      <c r="G1524" s="7"/>
      <c r="H1524" s="9"/>
      <c r="I1524" s="25"/>
      <c r="J1524" s="25"/>
      <c r="K1524" s="25"/>
      <c r="L1524" s="7"/>
      <c r="M1524" s="32"/>
      <c r="N1524" s="10"/>
      <c r="O1524" s="55"/>
      <c r="P1524" s="55"/>
    </row>
    <row r="1525">
      <c r="A1525" s="7"/>
      <c r="B1525" s="8"/>
      <c r="C1525" s="8"/>
      <c r="D1525" s="7"/>
      <c r="E1525" s="7"/>
      <c r="F1525" s="7"/>
      <c r="G1525" s="7"/>
      <c r="H1525" s="9"/>
      <c r="I1525" s="25"/>
      <c r="J1525" s="25"/>
      <c r="K1525" s="25"/>
      <c r="L1525" s="7"/>
      <c r="M1525" s="32"/>
      <c r="N1525" s="10"/>
      <c r="O1525" s="55"/>
      <c r="P1525" s="55"/>
    </row>
    <row r="1526">
      <c r="A1526" s="7"/>
      <c r="B1526" s="8"/>
      <c r="C1526" s="8"/>
      <c r="D1526" s="7"/>
      <c r="E1526" s="7"/>
      <c r="F1526" s="7"/>
      <c r="G1526" s="7"/>
      <c r="H1526" s="9"/>
      <c r="I1526" s="7"/>
      <c r="J1526" s="7"/>
      <c r="K1526" s="7"/>
      <c r="L1526" s="7"/>
      <c r="M1526" s="32"/>
      <c r="N1526" s="10"/>
      <c r="O1526" s="55"/>
      <c r="P1526" s="55"/>
    </row>
    <row r="1527">
      <c r="A1527" s="7"/>
      <c r="B1527" s="8"/>
      <c r="C1527" s="8"/>
      <c r="D1527" s="7"/>
      <c r="E1527" s="7"/>
      <c r="F1527" s="7"/>
      <c r="G1527" s="7"/>
      <c r="H1527" s="9"/>
      <c r="I1527" s="25"/>
      <c r="J1527" s="25"/>
      <c r="K1527" s="25"/>
      <c r="L1527" s="7"/>
      <c r="M1527" s="32"/>
      <c r="N1527" s="10"/>
      <c r="O1527" s="55"/>
      <c r="P1527" s="55"/>
    </row>
    <row r="1528">
      <c r="A1528" s="7"/>
      <c r="B1528" s="8"/>
      <c r="C1528" s="8"/>
      <c r="D1528" s="7"/>
      <c r="E1528" s="7"/>
      <c r="F1528" s="7"/>
      <c r="G1528" s="7"/>
      <c r="H1528" s="9"/>
      <c r="I1528" s="7"/>
      <c r="J1528" s="7"/>
      <c r="K1528" s="7"/>
      <c r="L1528" s="7"/>
      <c r="M1528" s="32"/>
      <c r="N1528" s="10"/>
      <c r="O1528" s="55"/>
      <c r="P1528" s="55"/>
    </row>
    <row r="1529">
      <c r="A1529" s="7"/>
      <c r="B1529" s="8"/>
      <c r="C1529" s="8"/>
      <c r="D1529" s="7"/>
      <c r="E1529" s="7"/>
      <c r="F1529" s="7"/>
      <c r="G1529" s="7"/>
      <c r="H1529" s="9"/>
      <c r="I1529" s="25"/>
      <c r="J1529" s="25"/>
      <c r="K1529" s="25"/>
      <c r="L1529" s="7"/>
      <c r="M1529" s="30"/>
      <c r="N1529" s="10"/>
      <c r="O1529" s="55"/>
      <c r="P1529" s="55"/>
    </row>
    <row r="1530">
      <c r="A1530" s="7"/>
      <c r="B1530" s="8"/>
      <c r="C1530" s="8"/>
      <c r="D1530" s="7"/>
      <c r="E1530" s="7"/>
      <c r="F1530" s="7"/>
      <c r="G1530" s="7"/>
      <c r="H1530" s="9"/>
      <c r="I1530" s="25"/>
      <c r="J1530" s="25"/>
      <c r="K1530" s="25"/>
      <c r="L1530" s="7"/>
      <c r="M1530" s="30"/>
      <c r="N1530" s="10"/>
      <c r="O1530" s="55"/>
      <c r="P1530" s="55"/>
    </row>
    <row r="1531">
      <c r="A1531" s="7"/>
      <c r="B1531" s="8"/>
      <c r="C1531" s="8"/>
      <c r="D1531" s="7"/>
      <c r="E1531" s="7"/>
      <c r="F1531" s="7"/>
      <c r="G1531" s="7"/>
      <c r="H1531" s="9"/>
      <c r="I1531" s="7"/>
      <c r="J1531" s="7"/>
      <c r="K1531" s="7"/>
      <c r="L1531" s="7"/>
      <c r="M1531" s="32"/>
      <c r="N1531" s="10"/>
      <c r="O1531" s="55"/>
      <c r="P1531" s="55"/>
    </row>
    <row r="1532">
      <c r="A1532" s="7"/>
      <c r="B1532" s="8"/>
      <c r="C1532" s="8"/>
      <c r="D1532" s="7"/>
      <c r="E1532" s="7"/>
      <c r="F1532" s="7"/>
      <c r="G1532" s="7"/>
      <c r="H1532" s="9"/>
      <c r="I1532" s="7"/>
      <c r="J1532" s="7"/>
      <c r="K1532" s="7"/>
      <c r="L1532" s="7"/>
      <c r="M1532" s="32"/>
      <c r="N1532" s="10"/>
      <c r="O1532" s="10"/>
      <c r="P1532" s="10"/>
    </row>
    <row r="1533">
      <c r="A1533" s="7"/>
      <c r="B1533" s="8"/>
      <c r="C1533" s="8"/>
      <c r="D1533" s="7"/>
      <c r="E1533" s="7"/>
      <c r="F1533" s="7"/>
      <c r="G1533" s="7"/>
      <c r="H1533" s="9"/>
      <c r="I1533" s="7"/>
      <c r="J1533" s="7"/>
      <c r="K1533" s="7"/>
      <c r="L1533" s="7"/>
      <c r="M1533" s="32"/>
      <c r="N1533" s="10"/>
      <c r="O1533" s="18"/>
      <c r="P1533" s="18"/>
    </row>
    <row r="1534">
      <c r="A1534" s="7"/>
      <c r="B1534" s="8"/>
      <c r="C1534" s="8"/>
      <c r="D1534" s="7"/>
      <c r="E1534" s="7"/>
      <c r="F1534" s="7"/>
      <c r="G1534" s="7"/>
      <c r="H1534" s="9"/>
      <c r="I1534" s="7"/>
      <c r="J1534" s="7"/>
      <c r="K1534" s="7"/>
      <c r="L1534" s="7"/>
      <c r="M1534" s="32"/>
      <c r="N1534" s="10"/>
      <c r="O1534" s="69"/>
      <c r="P1534" s="69"/>
    </row>
    <row r="1535">
      <c r="A1535" s="7"/>
      <c r="B1535" s="8"/>
      <c r="C1535" s="8"/>
      <c r="D1535" s="7"/>
      <c r="E1535" s="7"/>
      <c r="F1535" s="7"/>
      <c r="G1535" s="7"/>
      <c r="H1535" s="9"/>
      <c r="I1535" s="7"/>
      <c r="J1535" s="7"/>
      <c r="K1535" s="7"/>
      <c r="L1535" s="7"/>
      <c r="M1535" s="32"/>
      <c r="N1535" s="10"/>
      <c r="O1535" s="69"/>
      <c r="P1535" s="69"/>
    </row>
    <row r="1536">
      <c r="A1536" s="7"/>
      <c r="B1536" s="8"/>
      <c r="C1536" s="8"/>
      <c r="D1536" s="7"/>
      <c r="E1536" s="7"/>
      <c r="F1536" s="7"/>
      <c r="G1536" s="7"/>
      <c r="H1536" s="9"/>
      <c r="I1536" s="7"/>
      <c r="J1536" s="7"/>
      <c r="K1536" s="7"/>
      <c r="L1536" s="7"/>
      <c r="M1536" s="32"/>
      <c r="N1536" s="10"/>
      <c r="O1536" s="69"/>
      <c r="P1536" s="69"/>
    </row>
    <row r="1537">
      <c r="A1537" s="7"/>
      <c r="B1537" s="8"/>
      <c r="C1537" s="8"/>
      <c r="D1537" s="7"/>
      <c r="E1537" s="7"/>
      <c r="F1537" s="7"/>
      <c r="G1537" s="7"/>
      <c r="H1537" s="9"/>
      <c r="I1537" s="7"/>
      <c r="J1537" s="7"/>
      <c r="K1537" s="7"/>
      <c r="L1537" s="7"/>
      <c r="M1537" s="32"/>
      <c r="N1537" s="10"/>
      <c r="O1537" s="69"/>
      <c r="P1537" s="69"/>
    </row>
    <row r="1538">
      <c r="A1538" s="7"/>
      <c r="B1538" s="8"/>
      <c r="C1538" s="8"/>
      <c r="D1538" s="7"/>
      <c r="E1538" s="7"/>
      <c r="F1538" s="7"/>
      <c r="G1538" s="7"/>
      <c r="H1538" s="9"/>
      <c r="I1538" s="25"/>
      <c r="J1538" s="25"/>
      <c r="K1538" s="25"/>
      <c r="L1538" s="7"/>
      <c r="M1538" s="30"/>
      <c r="N1538" s="10"/>
      <c r="O1538" s="69"/>
      <c r="P1538" s="69"/>
    </row>
    <row r="1539">
      <c r="A1539" s="7"/>
      <c r="B1539" s="8"/>
      <c r="C1539" s="8"/>
      <c r="D1539" s="7"/>
      <c r="E1539" s="7"/>
      <c r="F1539" s="7"/>
      <c r="G1539" s="7"/>
      <c r="H1539" s="9"/>
      <c r="I1539" s="7"/>
      <c r="J1539" s="7"/>
      <c r="K1539" s="7"/>
      <c r="L1539" s="7"/>
      <c r="M1539" s="32"/>
      <c r="N1539" s="10"/>
      <c r="O1539" s="18"/>
      <c r="P1539" s="18"/>
    </row>
    <row r="1540">
      <c r="A1540" s="7"/>
      <c r="B1540" s="8"/>
      <c r="C1540" s="8"/>
      <c r="D1540" s="7"/>
      <c r="E1540" s="7"/>
      <c r="F1540" s="7"/>
      <c r="G1540" s="7"/>
      <c r="H1540" s="9"/>
      <c r="I1540" s="7"/>
      <c r="J1540" s="7"/>
      <c r="K1540" s="7"/>
      <c r="L1540" s="7"/>
      <c r="M1540" s="32"/>
      <c r="N1540" s="10"/>
      <c r="O1540" s="18"/>
      <c r="P1540" s="18"/>
    </row>
    <row r="1541">
      <c r="A1541" s="7"/>
      <c r="B1541" s="8"/>
      <c r="C1541" s="8"/>
      <c r="D1541" s="7"/>
      <c r="E1541" s="7"/>
      <c r="F1541" s="7"/>
      <c r="G1541" s="7"/>
      <c r="H1541" s="9"/>
      <c r="I1541" s="7"/>
      <c r="J1541" s="7"/>
      <c r="K1541" s="7"/>
      <c r="L1541" s="7"/>
      <c r="M1541" s="32"/>
      <c r="N1541" s="10"/>
      <c r="O1541" s="69"/>
      <c r="P1541" s="69"/>
    </row>
    <row r="1542">
      <c r="A1542" s="7"/>
      <c r="B1542" s="8"/>
      <c r="C1542" s="8"/>
      <c r="D1542" s="7"/>
      <c r="E1542" s="7"/>
      <c r="F1542" s="7"/>
      <c r="G1542" s="7"/>
      <c r="H1542" s="9"/>
      <c r="I1542" s="7"/>
      <c r="J1542" s="7"/>
      <c r="K1542" s="7"/>
      <c r="L1542" s="7"/>
      <c r="M1542" s="32"/>
      <c r="N1542" s="10"/>
      <c r="O1542" s="69"/>
      <c r="P1542" s="69"/>
    </row>
    <row r="1543">
      <c r="A1543" s="7"/>
      <c r="B1543" s="8"/>
      <c r="C1543" s="8"/>
      <c r="D1543" s="7"/>
      <c r="E1543" s="7"/>
      <c r="F1543" s="7"/>
      <c r="G1543" s="7"/>
      <c r="H1543" s="9"/>
      <c r="I1543" s="7"/>
      <c r="J1543" s="7"/>
      <c r="K1543" s="7"/>
      <c r="L1543" s="7"/>
      <c r="M1543" s="7"/>
      <c r="N1543" s="10"/>
      <c r="O1543" s="69"/>
      <c r="P1543" s="69"/>
    </row>
    <row r="1544">
      <c r="A1544" s="7"/>
      <c r="B1544" s="8"/>
      <c r="C1544" s="8"/>
      <c r="D1544" s="7"/>
      <c r="E1544" s="7"/>
      <c r="F1544" s="7"/>
      <c r="G1544" s="7"/>
      <c r="H1544" s="9"/>
      <c r="I1544" s="7"/>
      <c r="J1544" s="7"/>
      <c r="K1544" s="7"/>
      <c r="L1544" s="7"/>
      <c r="M1544" s="7"/>
      <c r="N1544" s="10"/>
      <c r="O1544" s="69"/>
      <c r="P1544" s="69"/>
    </row>
    <row r="1545">
      <c r="A1545" s="7"/>
      <c r="B1545" s="8"/>
      <c r="C1545" s="8"/>
      <c r="D1545" s="7"/>
      <c r="E1545" s="7"/>
      <c r="F1545" s="7"/>
      <c r="G1545" s="7"/>
      <c r="H1545" s="9"/>
      <c r="I1545" s="7"/>
      <c r="J1545" s="7"/>
      <c r="K1545" s="7"/>
      <c r="L1545" s="7"/>
      <c r="M1545" s="7"/>
      <c r="N1545" s="10"/>
      <c r="O1545" s="69"/>
      <c r="P1545" s="69"/>
    </row>
    <row r="1546">
      <c r="A1546" s="7"/>
      <c r="B1546" s="8"/>
      <c r="C1546" s="8"/>
      <c r="D1546" s="7"/>
      <c r="E1546" s="7"/>
      <c r="F1546" s="7"/>
      <c r="G1546" s="7"/>
      <c r="H1546" s="9"/>
      <c r="I1546" s="7"/>
      <c r="J1546" s="7"/>
      <c r="K1546" s="7"/>
      <c r="L1546" s="7"/>
      <c r="M1546" s="7"/>
      <c r="N1546" s="10"/>
      <c r="O1546" s="69"/>
      <c r="P1546" s="69"/>
    </row>
    <row r="1547">
      <c r="A1547" s="7"/>
      <c r="B1547" s="8"/>
      <c r="C1547" s="8"/>
      <c r="D1547" s="7"/>
      <c r="E1547" s="7"/>
      <c r="F1547" s="7"/>
      <c r="G1547" s="7"/>
      <c r="H1547" s="9"/>
      <c r="I1547" s="7"/>
      <c r="J1547" s="7"/>
      <c r="K1547" s="7"/>
      <c r="L1547" s="7"/>
      <c r="M1547" s="7"/>
      <c r="N1547" s="10"/>
      <c r="O1547" s="69"/>
      <c r="P1547" s="69"/>
    </row>
    <row r="1548">
      <c r="A1548" s="7"/>
      <c r="B1548" s="8"/>
      <c r="C1548" s="8"/>
      <c r="D1548" s="7"/>
      <c r="E1548" s="7"/>
      <c r="F1548" s="7"/>
      <c r="G1548" s="7"/>
      <c r="H1548" s="9"/>
      <c r="I1548" s="7"/>
      <c r="J1548" s="7"/>
      <c r="K1548" s="7"/>
      <c r="L1548" s="7"/>
      <c r="M1548" s="7"/>
      <c r="N1548" s="10"/>
      <c r="O1548" s="69"/>
      <c r="P1548" s="69"/>
    </row>
    <row r="1549">
      <c r="A1549" s="7"/>
      <c r="B1549" s="8"/>
      <c r="C1549" s="8"/>
      <c r="D1549" s="7"/>
      <c r="E1549" s="7"/>
      <c r="F1549" s="7"/>
      <c r="G1549" s="7"/>
      <c r="H1549" s="9"/>
      <c r="I1549" s="7"/>
      <c r="J1549" s="7"/>
      <c r="K1549" s="7"/>
      <c r="L1549" s="7"/>
      <c r="M1549" s="7"/>
      <c r="N1549" s="10"/>
      <c r="O1549" s="69"/>
      <c r="P1549" s="69"/>
    </row>
    <row r="1550">
      <c r="A1550" s="7"/>
      <c r="B1550" s="8"/>
      <c r="C1550" s="8"/>
      <c r="D1550" s="7"/>
      <c r="E1550" s="7"/>
      <c r="F1550" s="7"/>
      <c r="G1550" s="7"/>
      <c r="H1550" s="9"/>
      <c r="I1550" s="7"/>
      <c r="J1550" s="7"/>
      <c r="K1550" s="7"/>
      <c r="L1550" s="7"/>
      <c r="M1550" s="7"/>
      <c r="N1550" s="10"/>
      <c r="O1550" s="69"/>
      <c r="P1550" s="69"/>
    </row>
    <row r="1551">
      <c r="A1551" s="7"/>
      <c r="B1551" s="8"/>
      <c r="C1551" s="8"/>
      <c r="D1551" s="7"/>
      <c r="E1551" s="7"/>
      <c r="F1551" s="7"/>
      <c r="G1551" s="7"/>
      <c r="H1551" s="9"/>
      <c r="I1551" s="7"/>
      <c r="J1551" s="7"/>
      <c r="K1551" s="7"/>
      <c r="L1551" s="7"/>
      <c r="M1551" s="7"/>
      <c r="N1551" s="10"/>
      <c r="O1551" s="69"/>
      <c r="P1551" s="69"/>
    </row>
    <row r="1552">
      <c r="A1552" s="7"/>
      <c r="B1552" s="8"/>
      <c r="C1552" s="8"/>
      <c r="D1552" s="7"/>
      <c r="E1552" s="7"/>
      <c r="F1552" s="7"/>
      <c r="G1552" s="7"/>
      <c r="H1552" s="9"/>
      <c r="I1552" s="7"/>
      <c r="J1552" s="7"/>
      <c r="K1552" s="7"/>
      <c r="L1552" s="7"/>
      <c r="M1552" s="7"/>
      <c r="N1552" s="10"/>
      <c r="O1552" s="69"/>
      <c r="P1552" s="69"/>
    </row>
    <row r="1553">
      <c r="A1553" s="7"/>
      <c r="B1553" s="8"/>
      <c r="C1553" s="8"/>
      <c r="D1553" s="7"/>
      <c r="E1553" s="7"/>
      <c r="F1553" s="7"/>
      <c r="G1553" s="7"/>
      <c r="H1553" s="9"/>
      <c r="I1553" s="7"/>
      <c r="J1553" s="7"/>
      <c r="K1553" s="7"/>
      <c r="L1553" s="7"/>
      <c r="M1553" s="7"/>
      <c r="N1553" s="10"/>
      <c r="O1553" s="69"/>
      <c r="P1553" s="69"/>
    </row>
    <row r="1554">
      <c r="A1554" s="7"/>
      <c r="B1554" s="8"/>
      <c r="C1554" s="8"/>
      <c r="D1554" s="7"/>
      <c r="E1554" s="7"/>
      <c r="F1554" s="7"/>
      <c r="G1554" s="7"/>
      <c r="H1554" s="9"/>
      <c r="I1554" s="25"/>
      <c r="J1554" s="25"/>
      <c r="K1554" s="25"/>
      <c r="L1554" s="7"/>
      <c r="M1554" s="7"/>
      <c r="N1554" s="10"/>
      <c r="O1554" s="69"/>
      <c r="P1554" s="69"/>
    </row>
    <row r="1555">
      <c r="A1555" s="7"/>
      <c r="B1555" s="8"/>
      <c r="C1555" s="8"/>
      <c r="D1555" s="7"/>
      <c r="E1555" s="7"/>
      <c r="F1555" s="7"/>
      <c r="G1555" s="7"/>
      <c r="H1555" s="9"/>
      <c r="I1555" s="7"/>
      <c r="J1555" s="7"/>
      <c r="K1555" s="7"/>
      <c r="L1555" s="7"/>
      <c r="M1555" s="7"/>
      <c r="N1555" s="10"/>
      <c r="O1555" s="69"/>
      <c r="P1555" s="69"/>
    </row>
    <row r="1556">
      <c r="A1556" s="7"/>
      <c r="B1556" s="8"/>
      <c r="C1556" s="8"/>
      <c r="D1556" s="7"/>
      <c r="E1556" s="7"/>
      <c r="F1556" s="7"/>
      <c r="G1556" s="7"/>
      <c r="H1556" s="9"/>
      <c r="I1556" s="7"/>
      <c r="J1556" s="7"/>
      <c r="K1556" s="7"/>
      <c r="L1556" s="7"/>
      <c r="M1556" s="7"/>
      <c r="N1556" s="10"/>
      <c r="O1556" s="69"/>
      <c r="P1556" s="69"/>
    </row>
    <row r="1557">
      <c r="A1557" s="7"/>
      <c r="B1557" s="8"/>
      <c r="C1557" s="8"/>
      <c r="D1557" s="7"/>
      <c r="E1557" s="7"/>
      <c r="F1557" s="7"/>
      <c r="G1557" s="7"/>
      <c r="H1557" s="9"/>
      <c r="I1557" s="7"/>
      <c r="J1557" s="7"/>
      <c r="K1557" s="7"/>
      <c r="L1557" s="7"/>
      <c r="M1557" s="10"/>
      <c r="N1557" s="10"/>
      <c r="O1557" s="69"/>
      <c r="P1557" s="69"/>
    </row>
    <row r="1558">
      <c r="A1558" s="7"/>
      <c r="B1558" s="8"/>
      <c r="C1558" s="8"/>
      <c r="D1558" s="7"/>
      <c r="E1558" s="7"/>
      <c r="F1558" s="7"/>
      <c r="G1558" s="7"/>
      <c r="H1558" s="9"/>
      <c r="I1558" s="7"/>
      <c r="J1558" s="7"/>
      <c r="K1558" s="7"/>
      <c r="L1558" s="7"/>
      <c r="M1558" s="7"/>
      <c r="N1558" s="10"/>
      <c r="O1558" s="69"/>
      <c r="P1558" s="69"/>
    </row>
    <row r="1559">
      <c r="A1559" s="7"/>
      <c r="B1559" s="8"/>
      <c r="C1559" s="8"/>
      <c r="D1559" s="7"/>
      <c r="E1559" s="7"/>
      <c r="F1559" s="7"/>
      <c r="G1559" s="7"/>
      <c r="H1559" s="9"/>
      <c r="I1559" s="7"/>
      <c r="J1559" s="7"/>
      <c r="K1559" s="7"/>
      <c r="L1559" s="7"/>
      <c r="M1559" s="10"/>
      <c r="N1559" s="10"/>
      <c r="O1559" s="69"/>
      <c r="P1559" s="69"/>
    </row>
    <row r="1560">
      <c r="A1560" s="7"/>
      <c r="B1560" s="8"/>
      <c r="C1560" s="8"/>
      <c r="D1560" s="7"/>
      <c r="E1560" s="7"/>
      <c r="F1560" s="7"/>
      <c r="G1560" s="7"/>
      <c r="H1560" s="9"/>
      <c r="I1560" s="7"/>
      <c r="J1560" s="7"/>
      <c r="K1560" s="7"/>
      <c r="L1560" s="7"/>
      <c r="M1560" s="10"/>
      <c r="N1560" s="10"/>
      <c r="O1560" s="69"/>
      <c r="P1560" s="69"/>
    </row>
    <row r="1561">
      <c r="A1561" s="7"/>
      <c r="B1561" s="8"/>
      <c r="C1561" s="8"/>
      <c r="D1561" s="7"/>
      <c r="E1561" s="7"/>
      <c r="F1561" s="7"/>
      <c r="G1561" s="7"/>
      <c r="H1561" s="9"/>
      <c r="I1561" s="7"/>
      <c r="J1561" s="7"/>
      <c r="K1561" s="7"/>
      <c r="L1561" s="7"/>
      <c r="M1561" s="7"/>
      <c r="N1561" s="10"/>
      <c r="O1561" s="69"/>
      <c r="P1561" s="69"/>
    </row>
    <row r="1562">
      <c r="A1562" s="7"/>
      <c r="B1562" s="8"/>
      <c r="C1562" s="8"/>
      <c r="D1562" s="7"/>
      <c r="E1562" s="7"/>
      <c r="F1562" s="7"/>
      <c r="G1562" s="7"/>
      <c r="H1562" s="9"/>
      <c r="I1562" s="7"/>
      <c r="J1562" s="7"/>
      <c r="K1562" s="7"/>
      <c r="L1562" s="7"/>
      <c r="M1562" s="10"/>
      <c r="N1562" s="10"/>
      <c r="O1562" s="69"/>
      <c r="P1562" s="69"/>
    </row>
    <row r="1563">
      <c r="A1563" s="7"/>
      <c r="B1563" s="8"/>
      <c r="C1563" s="8"/>
      <c r="D1563" s="7"/>
      <c r="E1563" s="7"/>
      <c r="F1563" s="7"/>
      <c r="G1563" s="7"/>
      <c r="H1563" s="9"/>
      <c r="I1563" s="7"/>
      <c r="J1563" s="7"/>
      <c r="K1563" s="7"/>
      <c r="L1563" s="7"/>
      <c r="M1563" s="7"/>
      <c r="N1563" s="10"/>
      <c r="O1563" s="69"/>
      <c r="P1563" s="69"/>
    </row>
    <row r="1564">
      <c r="A1564" s="7"/>
      <c r="B1564" s="8"/>
      <c r="C1564" s="8"/>
      <c r="D1564" s="7"/>
      <c r="E1564" s="7"/>
      <c r="F1564" s="7"/>
      <c r="G1564" s="7"/>
      <c r="H1564" s="9"/>
      <c r="I1564" s="7"/>
      <c r="J1564" s="7"/>
      <c r="K1564" s="7"/>
      <c r="L1564" s="7"/>
      <c r="M1564" s="7"/>
      <c r="N1564" s="10"/>
      <c r="O1564" s="69"/>
      <c r="P1564" s="69"/>
    </row>
    <row r="1565">
      <c r="A1565" s="7"/>
      <c r="B1565" s="8"/>
      <c r="C1565" s="8"/>
      <c r="D1565" s="7"/>
      <c r="E1565" s="7"/>
      <c r="F1565" s="7"/>
      <c r="G1565" s="7"/>
      <c r="H1565" s="9"/>
      <c r="I1565" s="7"/>
      <c r="J1565" s="7"/>
      <c r="K1565" s="7"/>
      <c r="L1565" s="7"/>
      <c r="M1565" s="7"/>
      <c r="N1565" s="10"/>
      <c r="O1565" s="69"/>
      <c r="P1565" s="69"/>
    </row>
    <row r="1566">
      <c r="A1566" s="7"/>
      <c r="B1566" s="8"/>
      <c r="C1566" s="8"/>
      <c r="D1566" s="7"/>
      <c r="E1566" s="7"/>
      <c r="F1566" s="7"/>
      <c r="G1566" s="7"/>
      <c r="H1566" s="9"/>
      <c r="I1566" s="7"/>
      <c r="J1566" s="7"/>
      <c r="K1566" s="7"/>
      <c r="L1566" s="7"/>
      <c r="M1566" s="7"/>
      <c r="N1566" s="10"/>
      <c r="O1566" s="69"/>
      <c r="P1566" s="69"/>
    </row>
    <row r="1567">
      <c r="A1567" s="7"/>
      <c r="B1567" s="8"/>
      <c r="C1567" s="8"/>
      <c r="D1567" s="7"/>
      <c r="E1567" s="7"/>
      <c r="F1567" s="7"/>
      <c r="G1567" s="7"/>
      <c r="H1567" s="9"/>
      <c r="I1567" s="7"/>
      <c r="J1567" s="7"/>
      <c r="K1567" s="7"/>
      <c r="L1567" s="7"/>
      <c r="M1567" s="7"/>
      <c r="N1567" s="10"/>
      <c r="O1567" s="69"/>
      <c r="P1567" s="69"/>
    </row>
    <row r="1568">
      <c r="A1568" s="7"/>
      <c r="B1568" s="8"/>
      <c r="C1568" s="8"/>
      <c r="D1568" s="7"/>
      <c r="E1568" s="7"/>
      <c r="F1568" s="7"/>
      <c r="G1568" s="7"/>
      <c r="H1568" s="9"/>
      <c r="I1568" s="7"/>
      <c r="J1568" s="7"/>
      <c r="K1568" s="7"/>
      <c r="L1568" s="7"/>
      <c r="M1568" s="7"/>
      <c r="N1568" s="10"/>
      <c r="O1568" s="69"/>
      <c r="P1568" s="69"/>
    </row>
    <row r="1569">
      <c r="A1569" s="7"/>
      <c r="B1569" s="8"/>
      <c r="C1569" s="8"/>
      <c r="D1569" s="7"/>
      <c r="E1569" s="7"/>
      <c r="F1569" s="7"/>
      <c r="G1569" s="7"/>
      <c r="H1569" s="9"/>
      <c r="I1569" s="7"/>
      <c r="J1569" s="7"/>
      <c r="K1569" s="7"/>
      <c r="L1569" s="7"/>
      <c r="M1569" s="10"/>
      <c r="N1569" s="10"/>
      <c r="O1569" s="69"/>
      <c r="P1569" s="69"/>
    </row>
    <row r="1570">
      <c r="A1570" s="7"/>
      <c r="B1570" s="8"/>
      <c r="C1570" s="8"/>
      <c r="D1570" s="7"/>
      <c r="E1570" s="7"/>
      <c r="F1570" s="7"/>
      <c r="G1570" s="7"/>
      <c r="H1570" s="9"/>
      <c r="I1570" s="7"/>
      <c r="J1570" s="7"/>
      <c r="K1570" s="7"/>
      <c r="L1570" s="7"/>
      <c r="M1570" s="7"/>
      <c r="N1570" s="10"/>
      <c r="O1570" s="69"/>
      <c r="P1570" s="69"/>
    </row>
    <row r="1571">
      <c r="A1571" s="7"/>
      <c r="B1571" s="8"/>
      <c r="C1571" s="8"/>
      <c r="D1571" s="7"/>
      <c r="E1571" s="7"/>
      <c r="F1571" s="7"/>
      <c r="G1571" s="7"/>
      <c r="H1571" s="9"/>
      <c r="I1571" s="7"/>
      <c r="J1571" s="7"/>
      <c r="K1571" s="7"/>
      <c r="L1571" s="7"/>
      <c r="M1571" s="7"/>
      <c r="N1571" s="10"/>
      <c r="O1571" s="69"/>
      <c r="P1571" s="69"/>
    </row>
    <row r="1572">
      <c r="A1572" s="7"/>
      <c r="B1572" s="8"/>
      <c r="C1572" s="8"/>
      <c r="D1572" s="7"/>
      <c r="E1572" s="7"/>
      <c r="F1572" s="7"/>
      <c r="G1572" s="7"/>
      <c r="H1572" s="9"/>
      <c r="I1572" s="7"/>
      <c r="J1572" s="7"/>
      <c r="K1572" s="7"/>
      <c r="L1572" s="7"/>
      <c r="M1572" s="7"/>
      <c r="N1572" s="10"/>
      <c r="O1572" s="69"/>
      <c r="P1572" s="69"/>
    </row>
    <row r="1573">
      <c r="A1573" s="7"/>
      <c r="B1573" s="8"/>
      <c r="C1573" s="8"/>
      <c r="D1573" s="7"/>
      <c r="E1573" s="7"/>
      <c r="F1573" s="7"/>
      <c r="G1573" s="7"/>
      <c r="H1573" s="9"/>
      <c r="I1573" s="7"/>
      <c r="J1573" s="7"/>
      <c r="K1573" s="7"/>
      <c r="L1573" s="7"/>
      <c r="M1573" s="7"/>
      <c r="N1573" s="10"/>
      <c r="O1573" s="69"/>
      <c r="P1573" s="69"/>
    </row>
    <row r="1574">
      <c r="A1574" s="7"/>
      <c r="B1574" s="8"/>
      <c r="C1574" s="8"/>
      <c r="D1574" s="7"/>
      <c r="E1574" s="7"/>
      <c r="F1574" s="7"/>
      <c r="G1574" s="7"/>
      <c r="H1574" s="9"/>
      <c r="I1574" s="7"/>
      <c r="J1574" s="7"/>
      <c r="K1574" s="7"/>
      <c r="L1574" s="7"/>
      <c r="M1574" s="7"/>
      <c r="N1574" s="10"/>
      <c r="O1574" s="69"/>
      <c r="P1574" s="69"/>
    </row>
    <row r="1575">
      <c r="A1575" s="7"/>
      <c r="B1575" s="8"/>
      <c r="C1575" s="8"/>
      <c r="D1575" s="7"/>
      <c r="E1575" s="7"/>
      <c r="F1575" s="7"/>
      <c r="G1575" s="7"/>
      <c r="H1575" s="9"/>
      <c r="I1575" s="7"/>
      <c r="J1575" s="7"/>
      <c r="K1575" s="7"/>
      <c r="L1575" s="7"/>
      <c r="M1575" s="7"/>
      <c r="N1575" s="10"/>
      <c r="O1575" s="69"/>
      <c r="P1575" s="69"/>
    </row>
    <row r="1576">
      <c r="A1576" s="7"/>
      <c r="B1576" s="8"/>
      <c r="C1576" s="8"/>
      <c r="D1576" s="7"/>
      <c r="E1576" s="7"/>
      <c r="F1576" s="7"/>
      <c r="G1576" s="7"/>
      <c r="H1576" s="9"/>
      <c r="I1576" s="7"/>
      <c r="J1576" s="7"/>
      <c r="K1576" s="7"/>
      <c r="L1576" s="7"/>
      <c r="M1576" s="7"/>
      <c r="N1576" s="10"/>
      <c r="O1576" s="69"/>
      <c r="P1576" s="69"/>
    </row>
    <row r="1577">
      <c r="A1577" s="7"/>
      <c r="B1577" s="8"/>
      <c r="C1577" s="8"/>
      <c r="D1577" s="7"/>
      <c r="E1577" s="7"/>
      <c r="F1577" s="7"/>
      <c r="G1577" s="7"/>
      <c r="H1577" s="9"/>
      <c r="I1577" s="7"/>
      <c r="J1577" s="7"/>
      <c r="K1577" s="7"/>
      <c r="L1577" s="7"/>
      <c r="M1577" s="7"/>
      <c r="N1577" s="10"/>
      <c r="O1577" s="69"/>
      <c r="P1577" s="69"/>
    </row>
    <row r="1578">
      <c r="A1578" s="7"/>
      <c r="B1578" s="8"/>
      <c r="C1578" s="8"/>
      <c r="D1578" s="7"/>
      <c r="E1578" s="7"/>
      <c r="F1578" s="7"/>
      <c r="G1578" s="7"/>
      <c r="H1578" s="9"/>
      <c r="I1578" s="7"/>
      <c r="J1578" s="7"/>
      <c r="K1578" s="7"/>
      <c r="L1578" s="7"/>
      <c r="M1578" s="7"/>
      <c r="N1578" s="10"/>
      <c r="O1578" s="69"/>
      <c r="P1578" s="69"/>
    </row>
    <row r="1579">
      <c r="A1579" s="7"/>
      <c r="B1579" s="8"/>
      <c r="C1579" s="8"/>
      <c r="D1579" s="7"/>
      <c r="E1579" s="7"/>
      <c r="F1579" s="7"/>
      <c r="G1579" s="7"/>
      <c r="H1579" s="9"/>
      <c r="I1579" s="7"/>
      <c r="J1579" s="7"/>
      <c r="K1579" s="7"/>
      <c r="L1579" s="7"/>
      <c r="M1579" s="7"/>
      <c r="N1579" s="10"/>
      <c r="O1579" s="69"/>
      <c r="P1579" s="69"/>
    </row>
    <row r="1580">
      <c r="A1580" s="7"/>
      <c r="B1580" s="8"/>
      <c r="C1580" s="8"/>
      <c r="D1580" s="7"/>
      <c r="E1580" s="7"/>
      <c r="F1580" s="7"/>
      <c r="G1580" s="7"/>
      <c r="H1580" s="9"/>
      <c r="I1580" s="7"/>
      <c r="J1580" s="7"/>
      <c r="K1580" s="7"/>
      <c r="L1580" s="7"/>
      <c r="M1580" s="10"/>
      <c r="N1580" s="10"/>
      <c r="O1580" s="69"/>
      <c r="P1580" s="69"/>
    </row>
    <row r="1581">
      <c r="A1581" s="7"/>
      <c r="B1581" s="8"/>
      <c r="C1581" s="8"/>
      <c r="D1581" s="7"/>
      <c r="E1581" s="7"/>
      <c r="F1581" s="7"/>
      <c r="G1581" s="7"/>
      <c r="H1581" s="9"/>
      <c r="I1581" s="7"/>
      <c r="J1581" s="7"/>
      <c r="K1581" s="7"/>
      <c r="L1581" s="7"/>
      <c r="M1581" s="7"/>
      <c r="N1581" s="10"/>
      <c r="O1581" s="69"/>
      <c r="P1581" s="69"/>
    </row>
    <row r="1582">
      <c r="A1582" s="7"/>
      <c r="B1582" s="8"/>
      <c r="C1582" s="8"/>
      <c r="D1582" s="7"/>
      <c r="E1582" s="7"/>
      <c r="F1582" s="7"/>
      <c r="G1582" s="7"/>
      <c r="H1582" s="9"/>
      <c r="I1582" s="7"/>
      <c r="J1582" s="7"/>
      <c r="K1582" s="7"/>
      <c r="L1582" s="7"/>
      <c r="M1582" s="7"/>
      <c r="N1582" s="10"/>
      <c r="O1582" s="69"/>
      <c r="P1582" s="69"/>
    </row>
    <row r="1583">
      <c r="A1583" s="7"/>
      <c r="B1583" s="8"/>
      <c r="C1583" s="8"/>
      <c r="D1583" s="7"/>
      <c r="E1583" s="7"/>
      <c r="F1583" s="7"/>
      <c r="G1583" s="7"/>
      <c r="H1583" s="9"/>
      <c r="I1583" s="7"/>
      <c r="J1583" s="7"/>
      <c r="K1583" s="7"/>
      <c r="L1583" s="7"/>
      <c r="M1583" s="7"/>
      <c r="N1583" s="10"/>
      <c r="O1583" s="69"/>
      <c r="P1583" s="69"/>
    </row>
    <row r="1584">
      <c r="A1584" s="7"/>
      <c r="B1584" s="8"/>
      <c r="C1584" s="8"/>
      <c r="D1584" s="7"/>
      <c r="E1584" s="7"/>
      <c r="F1584" s="7"/>
      <c r="G1584" s="7"/>
      <c r="H1584" s="9"/>
      <c r="I1584" s="7"/>
      <c r="J1584" s="7"/>
      <c r="K1584" s="7"/>
      <c r="L1584" s="7"/>
      <c r="M1584" s="10"/>
      <c r="N1584" s="10"/>
      <c r="O1584" s="69"/>
      <c r="P1584" s="69"/>
    </row>
    <row r="1585">
      <c r="A1585" s="7"/>
      <c r="B1585" s="8"/>
      <c r="C1585" s="8"/>
      <c r="D1585" s="7"/>
      <c r="E1585" s="7"/>
      <c r="F1585" s="7"/>
      <c r="G1585" s="7"/>
      <c r="H1585" s="9"/>
      <c r="I1585" s="7"/>
      <c r="J1585" s="7"/>
      <c r="K1585" s="7"/>
      <c r="L1585" s="7"/>
      <c r="M1585" s="10"/>
      <c r="N1585" s="10"/>
      <c r="O1585" s="69"/>
      <c r="P1585" s="69"/>
    </row>
    <row r="1586">
      <c r="A1586" s="7"/>
      <c r="B1586" s="8"/>
      <c r="C1586" s="8"/>
      <c r="D1586" s="7"/>
      <c r="E1586" s="7"/>
      <c r="F1586" s="7"/>
      <c r="G1586" s="7"/>
      <c r="H1586" s="9"/>
      <c r="I1586" s="7"/>
      <c r="J1586" s="7"/>
      <c r="K1586" s="7"/>
      <c r="L1586" s="7"/>
      <c r="M1586" s="10"/>
      <c r="N1586" s="10"/>
      <c r="O1586" s="69"/>
      <c r="P1586" s="69"/>
    </row>
    <row r="1587">
      <c r="A1587" s="7"/>
      <c r="B1587" s="8"/>
      <c r="C1587" s="8"/>
      <c r="D1587" s="7"/>
      <c r="E1587" s="7"/>
      <c r="F1587" s="7"/>
      <c r="G1587" s="7"/>
      <c r="H1587" s="9"/>
      <c r="I1587" s="7"/>
      <c r="J1587" s="7"/>
      <c r="K1587" s="7"/>
      <c r="L1587" s="7"/>
      <c r="M1587" s="7"/>
      <c r="N1587" s="10"/>
      <c r="O1587" s="69"/>
      <c r="P1587" s="69"/>
    </row>
    <row r="1588">
      <c r="A1588" s="7"/>
      <c r="B1588" s="8"/>
      <c r="C1588" s="8"/>
      <c r="D1588" s="7"/>
      <c r="E1588" s="7"/>
      <c r="F1588" s="7"/>
      <c r="G1588" s="7"/>
      <c r="H1588" s="9"/>
      <c r="I1588" s="7"/>
      <c r="J1588" s="7"/>
      <c r="K1588" s="7"/>
      <c r="L1588" s="7"/>
      <c r="M1588" s="7"/>
      <c r="N1588" s="10"/>
      <c r="O1588" s="69"/>
      <c r="P1588" s="69"/>
    </row>
    <row r="1589">
      <c r="A1589" s="7"/>
      <c r="B1589" s="8"/>
      <c r="C1589" s="8"/>
      <c r="D1589" s="7"/>
      <c r="E1589" s="7"/>
      <c r="F1589" s="7"/>
      <c r="G1589" s="7"/>
      <c r="H1589" s="9"/>
      <c r="I1589" s="7"/>
      <c r="J1589" s="7"/>
      <c r="K1589" s="7"/>
      <c r="L1589" s="7"/>
      <c r="M1589" s="10"/>
      <c r="N1589" s="10"/>
      <c r="O1589" s="69"/>
      <c r="P1589" s="69"/>
    </row>
    <row r="1590">
      <c r="A1590" s="7"/>
      <c r="B1590" s="8"/>
      <c r="C1590" s="8"/>
      <c r="D1590" s="7"/>
      <c r="E1590" s="7"/>
      <c r="F1590" s="7"/>
      <c r="G1590" s="7"/>
      <c r="H1590" s="9"/>
      <c r="I1590" s="7"/>
      <c r="J1590" s="7"/>
      <c r="K1590" s="7"/>
      <c r="L1590" s="7"/>
      <c r="M1590" s="7"/>
      <c r="N1590" s="10"/>
      <c r="O1590" s="69"/>
      <c r="P1590" s="69"/>
    </row>
    <row r="1591">
      <c r="A1591" s="7"/>
      <c r="B1591" s="8"/>
      <c r="C1591" s="8"/>
      <c r="D1591" s="7"/>
      <c r="E1591" s="7"/>
      <c r="F1591" s="7"/>
      <c r="G1591" s="7"/>
      <c r="H1591" s="9"/>
      <c r="I1591" s="7"/>
      <c r="J1591" s="7"/>
      <c r="K1591" s="7"/>
      <c r="L1591" s="7"/>
      <c r="M1591" s="7"/>
      <c r="N1591" s="10"/>
      <c r="O1591" s="69"/>
      <c r="P1591" s="69"/>
    </row>
    <row r="1592">
      <c r="A1592" s="7"/>
      <c r="B1592" s="8"/>
      <c r="C1592" s="8"/>
      <c r="D1592" s="7"/>
      <c r="E1592" s="7"/>
      <c r="F1592" s="7"/>
      <c r="G1592" s="7"/>
      <c r="H1592" s="9"/>
      <c r="I1592" s="7"/>
      <c r="J1592" s="7"/>
      <c r="K1592" s="7"/>
      <c r="L1592" s="7"/>
      <c r="M1592" s="7"/>
      <c r="N1592" s="10"/>
      <c r="O1592" s="69"/>
      <c r="P1592" s="69"/>
    </row>
    <row r="1593">
      <c r="A1593" s="7"/>
      <c r="B1593" s="8"/>
      <c r="C1593" s="8"/>
      <c r="D1593" s="7"/>
      <c r="E1593" s="7"/>
      <c r="F1593" s="7"/>
      <c r="G1593" s="7"/>
      <c r="H1593" s="9"/>
      <c r="I1593" s="7"/>
      <c r="J1593" s="7"/>
      <c r="K1593" s="7"/>
      <c r="L1593" s="7"/>
      <c r="M1593" s="7"/>
      <c r="N1593" s="10"/>
      <c r="O1593" s="69"/>
      <c r="P1593" s="69"/>
    </row>
    <row r="1594">
      <c r="A1594" s="7"/>
      <c r="B1594" s="8"/>
      <c r="C1594" s="8"/>
      <c r="D1594" s="7"/>
      <c r="E1594" s="7"/>
      <c r="F1594" s="7"/>
      <c r="G1594" s="7"/>
      <c r="H1594" s="9"/>
      <c r="I1594" s="7"/>
      <c r="J1594" s="7"/>
      <c r="K1594" s="7"/>
      <c r="L1594" s="7"/>
      <c r="M1594" s="7"/>
      <c r="N1594" s="10"/>
      <c r="O1594" s="69"/>
      <c r="P1594" s="69"/>
    </row>
    <row r="1595">
      <c r="A1595" s="7"/>
      <c r="B1595" s="8"/>
      <c r="C1595" s="8"/>
      <c r="D1595" s="7"/>
      <c r="E1595" s="7"/>
      <c r="F1595" s="7"/>
      <c r="G1595" s="7"/>
      <c r="H1595" s="9"/>
      <c r="I1595" s="7"/>
      <c r="J1595" s="7"/>
      <c r="K1595" s="7"/>
      <c r="L1595" s="7"/>
      <c r="M1595" s="7"/>
      <c r="N1595" s="10"/>
      <c r="O1595" s="69"/>
      <c r="P1595" s="69"/>
    </row>
    <row r="1596">
      <c r="A1596" s="7"/>
      <c r="B1596" s="8"/>
      <c r="C1596" s="8"/>
      <c r="D1596" s="7"/>
      <c r="E1596" s="7"/>
      <c r="F1596" s="7"/>
      <c r="G1596" s="7"/>
      <c r="H1596" s="9"/>
      <c r="I1596" s="7"/>
      <c r="J1596" s="7"/>
      <c r="K1596" s="7"/>
      <c r="L1596" s="7"/>
      <c r="M1596" s="7"/>
      <c r="N1596" s="10"/>
      <c r="O1596" s="69"/>
      <c r="P1596" s="69"/>
    </row>
    <row r="1597">
      <c r="A1597" s="7"/>
      <c r="B1597" s="8"/>
      <c r="C1597" s="8"/>
      <c r="D1597" s="7"/>
      <c r="E1597" s="7"/>
      <c r="F1597" s="7"/>
      <c r="G1597" s="7"/>
      <c r="H1597" s="9"/>
      <c r="I1597" s="7"/>
      <c r="J1597" s="7"/>
      <c r="K1597" s="7"/>
      <c r="L1597" s="7"/>
      <c r="M1597" s="7"/>
      <c r="N1597" s="10"/>
      <c r="O1597" s="69"/>
      <c r="P1597" s="69"/>
    </row>
    <row r="1598">
      <c r="A1598" s="7"/>
      <c r="B1598" s="8"/>
      <c r="C1598" s="8"/>
      <c r="D1598" s="7"/>
      <c r="E1598" s="7"/>
      <c r="F1598" s="7"/>
      <c r="G1598" s="7"/>
      <c r="H1598" s="9"/>
      <c r="I1598" s="7"/>
      <c r="J1598" s="7"/>
      <c r="K1598" s="7"/>
      <c r="L1598" s="7"/>
      <c r="M1598" s="7"/>
      <c r="N1598" s="10"/>
      <c r="O1598" s="69"/>
      <c r="P1598" s="69"/>
    </row>
    <row r="1599">
      <c r="A1599" s="7"/>
      <c r="B1599" s="8"/>
      <c r="C1599" s="8"/>
      <c r="D1599" s="7"/>
      <c r="E1599" s="7"/>
      <c r="F1599" s="7"/>
      <c r="G1599" s="7"/>
      <c r="H1599" s="9"/>
      <c r="I1599" s="7"/>
      <c r="J1599" s="7"/>
      <c r="K1599" s="7"/>
      <c r="L1599" s="7"/>
      <c r="M1599" s="7"/>
      <c r="N1599" s="10"/>
      <c r="O1599" s="69"/>
      <c r="P1599" s="69"/>
    </row>
    <row r="1600">
      <c r="A1600" s="7"/>
      <c r="B1600" s="8"/>
      <c r="C1600" s="8"/>
      <c r="D1600" s="7"/>
      <c r="E1600" s="7"/>
      <c r="F1600" s="7"/>
      <c r="G1600" s="7"/>
      <c r="H1600" s="9"/>
      <c r="I1600" s="7"/>
      <c r="J1600" s="7"/>
      <c r="K1600" s="7"/>
      <c r="L1600" s="7"/>
      <c r="M1600" s="7"/>
      <c r="N1600" s="10"/>
      <c r="O1600" s="69"/>
      <c r="P1600" s="69"/>
    </row>
    <row r="1601">
      <c r="A1601" s="7"/>
      <c r="B1601" s="8"/>
      <c r="C1601" s="8"/>
      <c r="D1601" s="7"/>
      <c r="E1601" s="7"/>
      <c r="F1601" s="7"/>
      <c r="G1601" s="7"/>
      <c r="H1601" s="9"/>
      <c r="I1601" s="7"/>
      <c r="J1601" s="7"/>
      <c r="K1601" s="7"/>
      <c r="L1601" s="7"/>
      <c r="M1601" s="7"/>
      <c r="N1601" s="10"/>
      <c r="O1601" s="69"/>
      <c r="P1601" s="69"/>
    </row>
    <row r="1602">
      <c r="A1602" s="7"/>
      <c r="B1602" s="8"/>
      <c r="C1602" s="8"/>
      <c r="D1602" s="7"/>
      <c r="E1602" s="7"/>
      <c r="F1602" s="7"/>
      <c r="G1602" s="7"/>
      <c r="H1602" s="9"/>
      <c r="I1602" s="25"/>
      <c r="J1602" s="25"/>
      <c r="K1602" s="25"/>
      <c r="L1602" s="7"/>
      <c r="M1602" s="7"/>
      <c r="N1602" s="10"/>
      <c r="O1602" s="69"/>
      <c r="P1602" s="69"/>
    </row>
    <row r="1603">
      <c r="A1603" s="7"/>
      <c r="B1603" s="8"/>
      <c r="C1603" s="8"/>
      <c r="D1603" s="7"/>
      <c r="E1603" s="7"/>
      <c r="F1603" s="7"/>
      <c r="G1603" s="7"/>
      <c r="H1603" s="9"/>
      <c r="I1603" s="25"/>
      <c r="J1603" s="25"/>
      <c r="K1603" s="25"/>
      <c r="L1603" s="7"/>
      <c r="M1603" s="7"/>
      <c r="N1603" s="10"/>
      <c r="O1603" s="69"/>
      <c r="P1603" s="69"/>
    </row>
    <row r="1604">
      <c r="A1604" s="7"/>
      <c r="B1604" s="8"/>
      <c r="C1604" s="8"/>
      <c r="D1604" s="7"/>
      <c r="E1604" s="7"/>
      <c r="F1604" s="7"/>
      <c r="G1604" s="7"/>
      <c r="H1604" s="9"/>
      <c r="I1604" s="25"/>
      <c r="J1604" s="25"/>
      <c r="K1604" s="25"/>
      <c r="L1604" s="7"/>
      <c r="M1604" s="7"/>
      <c r="N1604" s="10"/>
      <c r="O1604" s="69"/>
      <c r="P1604" s="69"/>
    </row>
    <row r="1605">
      <c r="A1605" s="7"/>
      <c r="B1605" s="8"/>
      <c r="C1605" s="8"/>
      <c r="D1605" s="7"/>
      <c r="E1605" s="7"/>
      <c r="F1605" s="7"/>
      <c r="G1605" s="7"/>
      <c r="H1605" s="9"/>
      <c r="I1605" s="7"/>
      <c r="J1605" s="7"/>
      <c r="K1605" s="7"/>
      <c r="L1605" s="7"/>
      <c r="M1605" s="10"/>
      <c r="N1605" s="10"/>
      <c r="O1605" s="69"/>
      <c r="P1605" s="69"/>
    </row>
    <row r="1606">
      <c r="A1606" s="7"/>
      <c r="B1606" s="8"/>
      <c r="C1606" s="8"/>
      <c r="D1606" s="7"/>
      <c r="E1606" s="7"/>
      <c r="F1606" s="7"/>
      <c r="G1606" s="7"/>
      <c r="H1606" s="9"/>
      <c r="I1606" s="7"/>
      <c r="J1606" s="7"/>
      <c r="K1606" s="7"/>
      <c r="L1606" s="7"/>
      <c r="M1606" s="7"/>
      <c r="N1606" s="10"/>
      <c r="O1606" s="69"/>
      <c r="P1606" s="69"/>
    </row>
    <row r="1607">
      <c r="A1607" s="7"/>
      <c r="B1607" s="8"/>
      <c r="C1607" s="8"/>
      <c r="D1607" s="7"/>
      <c r="E1607" s="7"/>
      <c r="F1607" s="7"/>
      <c r="G1607" s="7"/>
      <c r="H1607" s="9"/>
      <c r="I1607" s="7"/>
      <c r="J1607" s="7"/>
      <c r="K1607" s="7"/>
      <c r="L1607" s="7"/>
      <c r="M1607" s="7"/>
      <c r="N1607" s="10"/>
      <c r="O1607" s="69"/>
      <c r="P1607" s="69"/>
    </row>
    <row r="1608">
      <c r="A1608" s="7"/>
      <c r="B1608" s="8"/>
      <c r="C1608" s="8"/>
      <c r="D1608" s="7"/>
      <c r="E1608" s="7"/>
      <c r="F1608" s="7"/>
      <c r="G1608" s="7"/>
      <c r="H1608" s="9"/>
      <c r="I1608" s="7"/>
      <c r="J1608" s="7"/>
      <c r="K1608" s="7"/>
      <c r="L1608" s="7"/>
      <c r="M1608" s="7"/>
      <c r="N1608" s="10"/>
      <c r="O1608" s="69"/>
      <c r="P1608" s="69"/>
    </row>
    <row r="1609">
      <c r="A1609" s="7"/>
      <c r="B1609" s="8"/>
      <c r="C1609" s="8"/>
      <c r="D1609" s="7"/>
      <c r="E1609" s="7"/>
      <c r="F1609" s="7"/>
      <c r="G1609" s="7"/>
      <c r="H1609" s="9"/>
      <c r="I1609" s="7"/>
      <c r="J1609" s="7"/>
      <c r="K1609" s="7"/>
      <c r="L1609" s="7"/>
      <c r="M1609" s="10"/>
      <c r="N1609" s="10"/>
      <c r="O1609" s="69"/>
      <c r="P1609" s="69"/>
    </row>
    <row r="1610">
      <c r="A1610" s="7"/>
      <c r="B1610" s="8"/>
      <c r="C1610" s="8"/>
      <c r="D1610" s="7"/>
      <c r="E1610" s="7"/>
      <c r="F1610" s="7"/>
      <c r="G1610" s="7"/>
      <c r="H1610" s="9"/>
      <c r="I1610" s="7"/>
      <c r="J1610" s="7"/>
      <c r="K1610" s="7"/>
      <c r="L1610" s="7"/>
      <c r="M1610" s="7"/>
      <c r="N1610" s="10"/>
      <c r="O1610" s="69"/>
      <c r="P1610" s="69"/>
    </row>
    <row r="1611">
      <c r="A1611" s="7"/>
      <c r="B1611" s="8"/>
      <c r="C1611" s="8"/>
      <c r="D1611" s="7"/>
      <c r="E1611" s="7"/>
      <c r="F1611" s="7"/>
      <c r="G1611" s="7"/>
      <c r="H1611" s="9"/>
      <c r="I1611" s="7"/>
      <c r="J1611" s="7"/>
      <c r="K1611" s="7"/>
      <c r="L1611" s="7"/>
      <c r="M1611" s="7"/>
      <c r="N1611" s="10"/>
      <c r="O1611" s="69"/>
      <c r="P1611" s="69"/>
    </row>
    <row r="1612">
      <c r="A1612" s="7"/>
      <c r="B1612" s="8"/>
      <c r="C1612" s="8"/>
      <c r="D1612" s="7"/>
      <c r="E1612" s="7"/>
      <c r="F1612" s="7"/>
      <c r="G1612" s="7"/>
      <c r="H1612" s="9"/>
      <c r="I1612" s="7"/>
      <c r="J1612" s="7"/>
      <c r="K1612" s="7"/>
      <c r="L1612" s="7"/>
      <c r="M1612" s="10"/>
      <c r="N1612" s="10"/>
      <c r="O1612" s="69"/>
      <c r="P1612" s="69"/>
    </row>
    <row r="1613">
      <c r="A1613" s="7"/>
      <c r="B1613" s="8"/>
      <c r="C1613" s="8"/>
      <c r="D1613" s="7"/>
      <c r="E1613" s="7"/>
      <c r="F1613" s="7"/>
      <c r="G1613" s="7"/>
      <c r="H1613" s="9"/>
      <c r="I1613" s="7"/>
      <c r="J1613" s="7"/>
      <c r="K1613" s="7"/>
      <c r="L1613" s="7"/>
      <c r="M1613" s="7"/>
      <c r="N1613" s="10"/>
      <c r="O1613" s="69"/>
      <c r="P1613" s="69"/>
    </row>
    <row r="1614">
      <c r="A1614" s="7"/>
      <c r="B1614" s="8"/>
      <c r="C1614" s="8"/>
      <c r="D1614" s="7"/>
      <c r="E1614" s="7"/>
      <c r="F1614" s="7"/>
      <c r="G1614" s="7"/>
      <c r="H1614" s="9"/>
      <c r="I1614" s="7"/>
      <c r="J1614" s="7"/>
      <c r="K1614" s="7"/>
      <c r="L1614" s="7"/>
      <c r="M1614" s="7"/>
      <c r="N1614" s="10"/>
      <c r="O1614" s="69"/>
      <c r="P1614" s="69"/>
    </row>
    <row r="1615">
      <c r="A1615" s="7"/>
      <c r="B1615" s="8"/>
      <c r="C1615" s="8"/>
      <c r="D1615" s="7"/>
      <c r="E1615" s="7"/>
      <c r="F1615" s="7"/>
      <c r="G1615" s="7"/>
      <c r="H1615" s="9"/>
      <c r="I1615" s="7"/>
      <c r="J1615" s="7"/>
      <c r="K1615" s="7"/>
      <c r="L1615" s="7"/>
      <c r="M1615" s="7"/>
      <c r="N1615" s="10"/>
      <c r="O1615" s="69"/>
      <c r="P1615" s="69"/>
    </row>
    <row r="1616">
      <c r="A1616" s="7"/>
      <c r="B1616" s="8"/>
      <c r="C1616" s="8"/>
      <c r="D1616" s="7"/>
      <c r="E1616" s="7"/>
      <c r="F1616" s="7"/>
      <c r="G1616" s="7"/>
      <c r="H1616" s="9"/>
      <c r="I1616" s="7"/>
      <c r="J1616" s="7"/>
      <c r="K1616" s="7"/>
      <c r="L1616" s="7"/>
      <c r="M1616" s="7"/>
      <c r="N1616" s="10"/>
      <c r="O1616" s="69"/>
      <c r="P1616" s="69"/>
    </row>
    <row r="1617">
      <c r="A1617" s="7"/>
      <c r="B1617" s="8"/>
      <c r="C1617" s="8"/>
      <c r="D1617" s="7"/>
      <c r="E1617" s="7"/>
      <c r="F1617" s="7"/>
      <c r="G1617" s="7"/>
      <c r="H1617" s="9"/>
      <c r="I1617" s="7"/>
      <c r="J1617" s="7"/>
      <c r="K1617" s="7"/>
      <c r="L1617" s="7"/>
      <c r="M1617" s="7"/>
      <c r="N1617" s="10"/>
      <c r="O1617" s="69"/>
      <c r="P1617" s="69"/>
    </row>
    <row r="1618">
      <c r="A1618" s="7"/>
      <c r="B1618" s="8"/>
      <c r="C1618" s="8"/>
      <c r="D1618" s="7"/>
      <c r="E1618" s="7"/>
      <c r="F1618" s="7"/>
      <c r="G1618" s="7"/>
      <c r="H1618" s="9"/>
      <c r="I1618" s="7"/>
      <c r="J1618" s="7"/>
      <c r="K1618" s="7"/>
      <c r="L1618" s="7"/>
      <c r="M1618" s="7"/>
      <c r="N1618" s="10"/>
      <c r="O1618" s="69"/>
      <c r="P1618" s="69"/>
    </row>
    <row r="1619">
      <c r="A1619" s="7"/>
      <c r="B1619" s="8"/>
      <c r="C1619" s="8"/>
      <c r="D1619" s="7"/>
      <c r="E1619" s="7"/>
      <c r="F1619" s="7"/>
      <c r="G1619" s="7"/>
      <c r="H1619" s="9"/>
      <c r="I1619" s="7"/>
      <c r="J1619" s="7"/>
      <c r="K1619" s="7"/>
      <c r="L1619" s="7"/>
      <c r="M1619" s="10"/>
      <c r="N1619" s="10"/>
      <c r="O1619" s="69"/>
      <c r="P1619" s="69"/>
    </row>
    <row r="1620">
      <c r="A1620" s="7"/>
      <c r="B1620" s="8"/>
      <c r="C1620" s="8"/>
      <c r="D1620" s="7"/>
      <c r="E1620" s="7"/>
      <c r="F1620" s="7"/>
      <c r="G1620" s="7"/>
      <c r="H1620" s="9"/>
      <c r="I1620" s="7"/>
      <c r="J1620" s="7"/>
      <c r="K1620" s="7"/>
      <c r="L1620" s="7"/>
      <c r="M1620" s="10"/>
      <c r="N1620" s="10"/>
      <c r="O1620" s="69"/>
      <c r="P1620" s="69"/>
    </row>
    <row r="1621">
      <c r="A1621" s="7"/>
      <c r="B1621" s="8"/>
      <c r="C1621" s="8"/>
      <c r="D1621" s="7"/>
      <c r="E1621" s="7"/>
      <c r="F1621" s="7"/>
      <c r="G1621" s="7"/>
      <c r="H1621" s="9"/>
      <c r="I1621" s="7"/>
      <c r="J1621" s="7"/>
      <c r="K1621" s="7"/>
      <c r="L1621" s="7"/>
      <c r="M1621" s="10"/>
      <c r="N1621" s="10"/>
      <c r="O1621" s="69"/>
      <c r="P1621" s="69"/>
    </row>
    <row r="1622">
      <c r="A1622" s="7"/>
      <c r="B1622" s="8"/>
      <c r="C1622" s="8"/>
      <c r="D1622" s="7"/>
      <c r="E1622" s="7"/>
      <c r="F1622" s="7"/>
      <c r="G1622" s="7"/>
      <c r="H1622" s="9"/>
      <c r="I1622" s="7"/>
      <c r="J1622" s="7"/>
      <c r="K1622" s="7"/>
      <c r="L1622" s="7"/>
      <c r="M1622" s="10"/>
      <c r="N1622" s="10"/>
      <c r="O1622" s="69"/>
      <c r="P1622" s="69"/>
    </row>
    <row r="1623">
      <c r="A1623" s="7"/>
      <c r="B1623" s="8"/>
      <c r="C1623" s="8"/>
      <c r="D1623" s="7"/>
      <c r="E1623" s="7"/>
      <c r="F1623" s="7"/>
      <c r="G1623" s="7"/>
      <c r="H1623" s="9"/>
      <c r="I1623" s="7"/>
      <c r="J1623" s="7"/>
      <c r="K1623" s="7"/>
      <c r="L1623" s="7"/>
      <c r="M1623" s="10"/>
      <c r="N1623" s="10"/>
      <c r="O1623" s="69"/>
      <c r="P1623" s="69"/>
    </row>
    <row r="1624">
      <c r="A1624" s="7"/>
      <c r="B1624" s="8"/>
      <c r="C1624" s="8"/>
      <c r="D1624" s="7"/>
      <c r="E1624" s="7"/>
      <c r="F1624" s="7"/>
      <c r="G1624" s="7"/>
      <c r="H1624" s="9"/>
      <c r="I1624" s="7"/>
      <c r="J1624" s="7"/>
      <c r="K1624" s="7"/>
      <c r="L1624" s="7"/>
      <c r="M1624" s="10"/>
      <c r="N1624" s="10"/>
      <c r="O1624" s="69"/>
      <c r="P1624" s="69"/>
    </row>
    <row r="1625">
      <c r="A1625" s="7"/>
      <c r="B1625" s="8"/>
      <c r="C1625" s="8"/>
      <c r="D1625" s="7"/>
      <c r="E1625" s="7"/>
      <c r="F1625" s="7"/>
      <c r="G1625" s="7"/>
      <c r="H1625" s="9"/>
      <c r="I1625" s="7"/>
      <c r="J1625" s="7"/>
      <c r="K1625" s="7"/>
      <c r="L1625" s="7"/>
      <c r="M1625" s="10"/>
      <c r="N1625" s="10"/>
      <c r="O1625" s="69"/>
      <c r="P1625" s="69"/>
    </row>
    <row r="1626">
      <c r="A1626" s="7"/>
      <c r="B1626" s="8"/>
      <c r="C1626" s="8"/>
      <c r="D1626" s="7"/>
      <c r="E1626" s="7"/>
      <c r="F1626" s="7"/>
      <c r="G1626" s="7"/>
      <c r="H1626" s="9"/>
      <c r="I1626" s="7"/>
      <c r="J1626" s="7"/>
      <c r="K1626" s="7"/>
      <c r="L1626" s="7"/>
      <c r="M1626" s="10"/>
      <c r="N1626" s="10"/>
      <c r="O1626" s="69"/>
      <c r="P1626" s="69"/>
    </row>
    <row r="1627">
      <c r="A1627" s="7"/>
      <c r="B1627" s="8"/>
      <c r="C1627" s="8"/>
      <c r="D1627" s="7"/>
      <c r="E1627" s="7"/>
      <c r="F1627" s="7"/>
      <c r="G1627" s="7"/>
      <c r="H1627" s="9"/>
      <c r="I1627" s="7"/>
      <c r="J1627" s="7"/>
      <c r="K1627" s="7"/>
      <c r="L1627" s="7"/>
      <c r="M1627" s="10"/>
      <c r="N1627" s="10"/>
      <c r="O1627" s="69"/>
      <c r="P1627" s="69"/>
    </row>
    <row r="1628">
      <c r="A1628" s="7"/>
      <c r="B1628" s="8"/>
      <c r="C1628" s="8"/>
      <c r="D1628" s="7"/>
      <c r="E1628" s="7"/>
      <c r="F1628" s="7"/>
      <c r="G1628" s="7"/>
      <c r="H1628" s="9"/>
      <c r="I1628" s="7"/>
      <c r="J1628" s="7"/>
      <c r="K1628" s="7"/>
      <c r="L1628" s="7"/>
      <c r="M1628" s="10"/>
      <c r="N1628" s="10"/>
      <c r="O1628" s="69"/>
      <c r="P1628" s="69"/>
    </row>
    <row r="1629">
      <c r="A1629" s="7"/>
      <c r="B1629" s="8"/>
      <c r="C1629" s="8"/>
      <c r="D1629" s="7"/>
      <c r="E1629" s="7"/>
      <c r="F1629" s="7"/>
      <c r="G1629" s="7"/>
      <c r="H1629" s="9"/>
      <c r="I1629" s="7"/>
      <c r="J1629" s="7"/>
      <c r="K1629" s="7"/>
      <c r="L1629" s="7"/>
      <c r="M1629" s="7"/>
      <c r="N1629" s="10"/>
      <c r="O1629" s="69"/>
      <c r="P1629" s="69"/>
    </row>
    <row r="1630">
      <c r="A1630" s="7"/>
      <c r="B1630" s="8"/>
      <c r="C1630" s="8"/>
      <c r="D1630" s="7"/>
      <c r="E1630" s="7"/>
      <c r="F1630" s="7"/>
      <c r="G1630" s="7"/>
      <c r="H1630" s="9"/>
      <c r="I1630" s="7"/>
      <c r="J1630" s="7"/>
      <c r="K1630" s="7"/>
      <c r="L1630" s="7"/>
      <c r="M1630" s="10"/>
      <c r="N1630" s="10"/>
      <c r="O1630" s="69"/>
      <c r="P1630" s="69"/>
    </row>
    <row r="1631">
      <c r="A1631" s="7"/>
      <c r="B1631" s="8"/>
      <c r="C1631" s="8"/>
      <c r="D1631" s="7"/>
      <c r="E1631" s="7"/>
      <c r="F1631" s="7"/>
      <c r="G1631" s="7"/>
      <c r="H1631" s="9"/>
      <c r="I1631" s="7"/>
      <c r="J1631" s="7"/>
      <c r="K1631" s="7"/>
      <c r="L1631" s="7"/>
      <c r="M1631" s="7"/>
      <c r="N1631" s="10"/>
      <c r="O1631" s="69"/>
      <c r="P1631" s="69"/>
    </row>
    <row r="1632">
      <c r="A1632" s="7"/>
      <c r="B1632" s="8"/>
      <c r="C1632" s="8"/>
      <c r="D1632" s="7"/>
      <c r="E1632" s="7"/>
      <c r="F1632" s="7"/>
      <c r="G1632" s="7"/>
      <c r="H1632" s="9"/>
      <c r="I1632" s="7"/>
      <c r="J1632" s="7"/>
      <c r="K1632" s="7"/>
      <c r="L1632" s="7"/>
      <c r="M1632" s="7"/>
      <c r="N1632" s="10"/>
      <c r="O1632" s="69"/>
      <c r="P1632" s="69"/>
    </row>
    <row r="1633">
      <c r="A1633" s="7"/>
      <c r="B1633" s="8"/>
      <c r="C1633" s="8"/>
      <c r="D1633" s="7"/>
      <c r="E1633" s="7"/>
      <c r="F1633" s="7"/>
      <c r="G1633" s="7"/>
      <c r="H1633" s="9"/>
      <c r="I1633" s="7"/>
      <c r="J1633" s="7"/>
      <c r="K1633" s="7"/>
      <c r="L1633" s="7"/>
      <c r="M1633" s="10"/>
      <c r="N1633" s="10"/>
      <c r="O1633" s="69"/>
      <c r="P1633" s="69"/>
    </row>
    <row r="1634">
      <c r="A1634" s="7"/>
      <c r="B1634" s="8"/>
      <c r="C1634" s="8"/>
      <c r="D1634" s="7"/>
      <c r="E1634" s="7"/>
      <c r="F1634" s="7"/>
      <c r="G1634" s="7"/>
      <c r="H1634" s="9"/>
      <c r="I1634" s="7"/>
      <c r="J1634" s="7"/>
      <c r="K1634" s="7"/>
      <c r="L1634" s="7"/>
      <c r="M1634" s="10"/>
      <c r="N1634" s="10"/>
      <c r="O1634" s="69"/>
      <c r="P1634" s="69"/>
    </row>
    <row r="1635">
      <c r="A1635" s="7"/>
      <c r="B1635" s="8"/>
      <c r="C1635" s="8"/>
      <c r="D1635" s="7"/>
      <c r="E1635" s="7"/>
      <c r="F1635" s="7"/>
      <c r="G1635" s="7"/>
      <c r="H1635" s="9"/>
      <c r="I1635" s="7"/>
      <c r="J1635" s="7"/>
      <c r="K1635" s="7"/>
      <c r="L1635" s="7"/>
      <c r="M1635" s="10"/>
      <c r="N1635" s="10"/>
      <c r="O1635" s="69"/>
      <c r="P1635" s="69"/>
    </row>
    <row r="1636">
      <c r="A1636" s="7"/>
      <c r="B1636" s="8"/>
      <c r="C1636" s="8"/>
      <c r="D1636" s="7"/>
      <c r="E1636" s="7"/>
      <c r="F1636" s="7"/>
      <c r="G1636" s="7"/>
      <c r="H1636" s="9"/>
      <c r="I1636" s="7"/>
      <c r="J1636" s="7"/>
      <c r="K1636" s="7"/>
      <c r="L1636" s="7"/>
      <c r="M1636" s="10"/>
      <c r="N1636" s="10"/>
      <c r="O1636" s="69"/>
      <c r="P1636" s="69"/>
    </row>
    <row r="1637">
      <c r="A1637" s="7"/>
      <c r="B1637" s="8"/>
      <c r="C1637" s="8"/>
      <c r="D1637" s="7"/>
      <c r="E1637" s="7"/>
      <c r="F1637" s="7"/>
      <c r="G1637" s="7"/>
      <c r="H1637" s="9"/>
      <c r="I1637" s="7"/>
      <c r="J1637" s="7"/>
      <c r="K1637" s="7"/>
      <c r="L1637" s="7"/>
      <c r="M1637" s="10"/>
      <c r="N1637" s="10"/>
      <c r="O1637" s="69"/>
      <c r="P1637" s="69"/>
    </row>
    <row r="1638">
      <c r="A1638" s="7"/>
      <c r="B1638" s="8"/>
      <c r="C1638" s="8"/>
      <c r="D1638" s="7"/>
      <c r="E1638" s="7"/>
      <c r="F1638" s="7"/>
      <c r="G1638" s="7"/>
      <c r="H1638" s="9"/>
      <c r="I1638" s="7"/>
      <c r="J1638" s="7"/>
      <c r="K1638" s="7"/>
      <c r="L1638" s="7"/>
      <c r="M1638" s="10"/>
      <c r="N1638" s="10"/>
      <c r="O1638" s="69"/>
      <c r="P1638" s="69"/>
    </row>
    <row r="1639">
      <c r="A1639" s="7"/>
      <c r="B1639" s="8"/>
      <c r="C1639" s="8"/>
      <c r="D1639" s="7"/>
      <c r="E1639" s="7"/>
      <c r="F1639" s="7"/>
      <c r="G1639" s="7"/>
      <c r="H1639" s="9"/>
      <c r="I1639" s="7"/>
      <c r="J1639" s="7"/>
      <c r="K1639" s="7"/>
      <c r="L1639" s="7"/>
      <c r="M1639" s="10"/>
      <c r="N1639" s="10"/>
      <c r="O1639" s="69"/>
      <c r="P1639" s="69"/>
    </row>
    <row r="1640">
      <c r="A1640" s="7"/>
      <c r="B1640" s="8"/>
      <c r="C1640" s="8"/>
      <c r="D1640" s="7"/>
      <c r="E1640" s="7"/>
      <c r="F1640" s="7"/>
      <c r="G1640" s="7"/>
      <c r="H1640" s="9"/>
      <c r="I1640" s="7"/>
      <c r="J1640" s="7"/>
      <c r="K1640" s="7"/>
      <c r="L1640" s="7"/>
      <c r="M1640" s="10"/>
      <c r="N1640" s="10"/>
      <c r="O1640" s="69"/>
      <c r="P1640" s="69"/>
    </row>
    <row r="1641" ht="27.0" customHeight="1">
      <c r="A1641" s="7"/>
      <c r="B1641" s="8"/>
      <c r="C1641" s="8"/>
      <c r="D1641" s="7"/>
      <c r="E1641" s="7"/>
      <c r="F1641" s="7"/>
      <c r="G1641" s="7"/>
      <c r="H1641" s="9"/>
      <c r="I1641" s="7"/>
      <c r="J1641" s="7"/>
      <c r="K1641" s="7"/>
      <c r="L1641" s="7"/>
      <c r="M1641" s="10"/>
      <c r="N1641" s="10"/>
      <c r="O1641" s="69"/>
      <c r="P1641" s="69"/>
    </row>
    <row r="1642" ht="27.0" customHeight="1">
      <c r="A1642" s="7"/>
      <c r="B1642" s="8"/>
      <c r="C1642" s="8"/>
      <c r="D1642" s="7"/>
      <c r="E1642" s="7"/>
      <c r="F1642" s="7"/>
      <c r="G1642" s="7"/>
      <c r="H1642" s="9"/>
      <c r="I1642" s="7"/>
      <c r="J1642" s="7"/>
      <c r="K1642" s="7"/>
      <c r="L1642" s="7"/>
      <c r="M1642" s="10"/>
      <c r="N1642" s="10"/>
      <c r="O1642" s="69"/>
      <c r="P1642" s="69"/>
    </row>
    <row r="1643" ht="27.0" customHeight="1">
      <c r="A1643" s="7"/>
      <c r="B1643" s="8"/>
      <c r="C1643" s="8"/>
      <c r="D1643" s="7"/>
      <c r="E1643" s="7"/>
      <c r="F1643" s="7"/>
      <c r="G1643" s="7"/>
      <c r="H1643" s="9"/>
      <c r="I1643" s="7"/>
      <c r="J1643" s="7"/>
      <c r="K1643" s="7"/>
      <c r="L1643" s="7"/>
      <c r="M1643" s="10"/>
      <c r="N1643" s="10"/>
      <c r="O1643" s="69"/>
      <c r="P1643" s="69"/>
    </row>
    <row r="1644" ht="27.0" customHeight="1">
      <c r="A1644" s="7"/>
      <c r="B1644" s="8"/>
      <c r="C1644" s="8"/>
      <c r="D1644" s="7"/>
      <c r="E1644" s="7"/>
      <c r="F1644" s="7"/>
      <c r="G1644" s="7"/>
      <c r="H1644" s="9"/>
      <c r="I1644" s="7"/>
      <c r="J1644" s="7"/>
      <c r="K1644" s="7"/>
      <c r="L1644" s="7"/>
      <c r="M1644" s="10"/>
      <c r="N1644" s="10"/>
      <c r="O1644" s="69"/>
      <c r="P1644" s="69"/>
    </row>
    <row r="1645" ht="27.0" customHeight="1">
      <c r="A1645" s="7"/>
      <c r="B1645" s="8"/>
      <c r="C1645" s="8"/>
      <c r="D1645" s="7"/>
      <c r="E1645" s="7"/>
      <c r="F1645" s="7"/>
      <c r="G1645" s="7"/>
      <c r="H1645" s="9"/>
      <c r="I1645" s="7"/>
      <c r="J1645" s="7"/>
      <c r="K1645" s="7"/>
      <c r="L1645" s="7"/>
      <c r="M1645" s="10"/>
      <c r="N1645" s="10"/>
      <c r="O1645" s="69"/>
      <c r="P1645" s="69"/>
    </row>
    <row r="1646" ht="27.0" customHeight="1">
      <c r="A1646" s="7"/>
      <c r="B1646" s="8"/>
      <c r="C1646" s="8"/>
      <c r="D1646" s="7"/>
      <c r="E1646" s="7"/>
      <c r="F1646" s="7"/>
      <c r="G1646" s="7"/>
      <c r="H1646" s="9"/>
      <c r="I1646" s="7"/>
      <c r="J1646" s="7"/>
      <c r="K1646" s="7"/>
      <c r="L1646" s="7"/>
      <c r="M1646" s="10"/>
      <c r="N1646" s="10"/>
      <c r="O1646" s="69"/>
      <c r="P1646" s="69"/>
    </row>
    <row r="1647" ht="27.0" customHeight="1">
      <c r="A1647" s="7"/>
      <c r="B1647" s="8"/>
      <c r="C1647" s="8"/>
      <c r="D1647" s="7"/>
      <c r="E1647" s="7"/>
      <c r="F1647" s="7"/>
      <c r="G1647" s="7"/>
      <c r="H1647" s="9"/>
      <c r="I1647" s="7"/>
      <c r="J1647" s="7"/>
      <c r="K1647" s="7"/>
      <c r="L1647" s="7"/>
      <c r="M1647" s="10"/>
      <c r="N1647" s="10"/>
      <c r="O1647" s="69"/>
      <c r="P1647" s="69"/>
    </row>
    <row r="1648" ht="27.0" customHeight="1">
      <c r="A1648" s="7"/>
      <c r="B1648" s="8"/>
      <c r="C1648" s="8"/>
      <c r="D1648" s="7"/>
      <c r="E1648" s="7"/>
      <c r="F1648" s="7"/>
      <c r="G1648" s="7"/>
      <c r="H1648" s="9"/>
      <c r="I1648" s="7"/>
      <c r="J1648" s="7"/>
      <c r="K1648" s="7"/>
      <c r="L1648" s="7"/>
      <c r="M1648" s="10"/>
      <c r="N1648" s="10"/>
      <c r="O1648" s="69"/>
      <c r="P1648" s="69"/>
    </row>
    <row r="1649" ht="27.0" customHeight="1">
      <c r="A1649" s="7"/>
      <c r="B1649" s="8"/>
      <c r="C1649" s="8"/>
      <c r="D1649" s="7"/>
      <c r="E1649" s="7"/>
      <c r="F1649" s="7"/>
      <c r="G1649" s="7"/>
      <c r="H1649" s="9"/>
      <c r="I1649" s="7"/>
      <c r="J1649" s="7"/>
      <c r="K1649" s="7"/>
      <c r="L1649" s="7"/>
      <c r="M1649" s="10"/>
      <c r="N1649" s="10"/>
      <c r="O1649" s="69"/>
      <c r="P1649" s="69"/>
    </row>
    <row r="1650" ht="27.0" customHeight="1">
      <c r="A1650" s="7"/>
      <c r="B1650" s="8"/>
      <c r="C1650" s="8"/>
      <c r="D1650" s="7"/>
      <c r="E1650" s="7"/>
      <c r="F1650" s="7"/>
      <c r="G1650" s="7"/>
      <c r="H1650" s="9"/>
      <c r="I1650" s="7"/>
      <c r="J1650" s="7"/>
      <c r="K1650" s="7"/>
      <c r="L1650" s="7"/>
      <c r="M1650" s="10"/>
      <c r="N1650" s="10"/>
      <c r="O1650" s="69"/>
      <c r="P1650" s="69"/>
    </row>
    <row r="1651" ht="27.0" customHeight="1">
      <c r="A1651" s="7"/>
      <c r="B1651" s="8"/>
      <c r="C1651" s="8"/>
      <c r="D1651" s="7"/>
      <c r="E1651" s="7"/>
      <c r="F1651" s="7"/>
      <c r="G1651" s="7"/>
      <c r="H1651" s="9"/>
      <c r="I1651" s="7"/>
      <c r="J1651" s="7"/>
      <c r="K1651" s="7"/>
      <c r="L1651" s="7"/>
      <c r="M1651" s="10"/>
      <c r="N1651" s="10"/>
      <c r="O1651" s="69"/>
      <c r="P1651" s="69"/>
    </row>
    <row r="1652" ht="27.0" customHeight="1">
      <c r="A1652" s="7"/>
      <c r="B1652" s="8"/>
      <c r="C1652" s="8"/>
      <c r="D1652" s="7"/>
      <c r="E1652" s="7"/>
      <c r="F1652" s="7"/>
      <c r="G1652" s="7"/>
      <c r="H1652" s="9"/>
      <c r="I1652" s="7"/>
      <c r="J1652" s="7"/>
      <c r="K1652" s="7"/>
      <c r="L1652" s="7"/>
      <c r="M1652" s="10"/>
      <c r="N1652" s="10"/>
      <c r="O1652" s="69"/>
      <c r="P1652" s="69"/>
    </row>
    <row r="1653" ht="27.0" customHeight="1">
      <c r="A1653" s="7"/>
      <c r="B1653" s="8"/>
      <c r="C1653" s="8"/>
      <c r="D1653" s="7"/>
      <c r="E1653" s="7"/>
      <c r="F1653" s="7"/>
      <c r="G1653" s="7"/>
      <c r="H1653" s="9"/>
      <c r="I1653" s="7"/>
      <c r="J1653" s="7"/>
      <c r="K1653" s="7"/>
      <c r="L1653" s="7"/>
      <c r="M1653" s="10"/>
      <c r="N1653" s="10"/>
      <c r="O1653" s="69"/>
      <c r="P1653" s="69"/>
    </row>
    <row r="1654" ht="27.0" customHeight="1">
      <c r="A1654" s="7"/>
      <c r="B1654" s="8"/>
      <c r="C1654" s="8"/>
      <c r="D1654" s="7"/>
      <c r="E1654" s="7"/>
      <c r="F1654" s="7"/>
      <c r="G1654" s="7"/>
      <c r="H1654" s="9"/>
      <c r="I1654" s="7"/>
      <c r="J1654" s="7"/>
      <c r="K1654" s="7"/>
      <c r="L1654" s="7"/>
      <c r="M1654" s="10"/>
      <c r="N1654" s="10"/>
      <c r="O1654" s="69"/>
      <c r="P1654" s="69"/>
    </row>
    <row r="1655" ht="27.0" customHeight="1">
      <c r="A1655" s="7"/>
      <c r="B1655" s="8"/>
      <c r="C1655" s="8"/>
      <c r="D1655" s="7"/>
      <c r="E1655" s="7"/>
      <c r="F1655" s="7"/>
      <c r="G1655" s="7"/>
      <c r="H1655" s="9"/>
      <c r="I1655" s="7"/>
      <c r="J1655" s="7"/>
      <c r="K1655" s="7"/>
      <c r="L1655" s="7"/>
      <c r="M1655" s="10"/>
      <c r="N1655" s="10"/>
      <c r="O1655" s="69"/>
      <c r="P1655" s="69"/>
    </row>
    <row r="1656" ht="27.0" customHeight="1">
      <c r="A1656" s="7"/>
      <c r="B1656" s="8"/>
      <c r="C1656" s="8"/>
      <c r="D1656" s="7"/>
      <c r="E1656" s="7"/>
      <c r="F1656" s="7"/>
      <c r="G1656" s="7"/>
      <c r="H1656" s="9"/>
      <c r="I1656" s="7"/>
      <c r="J1656" s="7"/>
      <c r="K1656" s="7"/>
      <c r="L1656" s="7"/>
      <c r="M1656" s="10"/>
      <c r="N1656" s="10"/>
      <c r="O1656" s="69"/>
      <c r="P1656" s="69"/>
    </row>
    <row r="1657" ht="27.0" customHeight="1">
      <c r="A1657" s="7"/>
      <c r="B1657" s="8"/>
      <c r="C1657" s="8"/>
      <c r="D1657" s="7"/>
      <c r="E1657" s="7"/>
      <c r="F1657" s="7"/>
      <c r="G1657" s="7"/>
      <c r="H1657" s="9"/>
      <c r="I1657" s="7"/>
      <c r="J1657" s="7"/>
      <c r="K1657" s="7"/>
      <c r="L1657" s="7"/>
      <c r="M1657" s="10"/>
      <c r="N1657" s="10"/>
      <c r="O1657" s="69"/>
      <c r="P1657" s="69"/>
    </row>
    <row r="1658" ht="27.0" customHeight="1">
      <c r="A1658" s="7"/>
      <c r="B1658" s="8"/>
      <c r="C1658" s="8"/>
      <c r="D1658" s="7"/>
      <c r="E1658" s="7"/>
      <c r="F1658" s="7"/>
      <c r="G1658" s="7"/>
      <c r="H1658" s="9"/>
      <c r="I1658" s="7"/>
      <c r="J1658" s="7"/>
      <c r="K1658" s="7"/>
      <c r="L1658" s="7"/>
      <c r="M1658" s="10"/>
      <c r="N1658" s="10"/>
      <c r="O1658" s="69"/>
      <c r="P1658" s="69"/>
    </row>
    <row r="1659" ht="27.0" customHeight="1">
      <c r="A1659" s="7"/>
      <c r="B1659" s="8"/>
      <c r="C1659" s="8"/>
      <c r="D1659" s="7"/>
      <c r="E1659" s="7"/>
      <c r="F1659" s="7"/>
      <c r="G1659" s="7"/>
      <c r="H1659" s="9"/>
      <c r="I1659" s="7"/>
      <c r="J1659" s="7"/>
      <c r="K1659" s="7"/>
      <c r="L1659" s="7"/>
      <c r="M1659" s="10"/>
      <c r="N1659" s="10"/>
      <c r="O1659" s="69"/>
      <c r="P1659" s="69"/>
    </row>
    <row r="1660" ht="27.0" customHeight="1">
      <c r="A1660" s="7"/>
      <c r="B1660" s="8"/>
      <c r="C1660" s="8"/>
      <c r="D1660" s="7"/>
      <c r="E1660" s="7"/>
      <c r="F1660" s="7"/>
      <c r="G1660" s="7"/>
      <c r="H1660" s="9"/>
      <c r="I1660" s="7"/>
      <c r="J1660" s="7"/>
      <c r="K1660" s="7"/>
      <c r="L1660" s="7"/>
      <c r="M1660" s="10"/>
      <c r="N1660" s="10"/>
      <c r="O1660" s="69"/>
      <c r="P1660" s="69"/>
    </row>
    <row r="1661" ht="27.0" customHeight="1">
      <c r="A1661" s="7"/>
      <c r="B1661" s="8"/>
      <c r="C1661" s="8"/>
      <c r="D1661" s="7"/>
      <c r="E1661" s="7"/>
      <c r="F1661" s="7"/>
      <c r="G1661" s="7"/>
      <c r="H1661" s="9"/>
      <c r="I1661" s="7"/>
      <c r="J1661" s="7"/>
      <c r="K1661" s="7"/>
      <c r="L1661" s="7"/>
      <c r="M1661" s="10"/>
      <c r="N1661" s="10"/>
      <c r="O1661" s="69"/>
      <c r="P1661" s="69"/>
    </row>
    <row r="1662" ht="27.0" customHeight="1">
      <c r="A1662" s="7"/>
      <c r="B1662" s="8"/>
      <c r="C1662" s="8"/>
      <c r="D1662" s="7"/>
      <c r="E1662" s="7"/>
      <c r="F1662" s="7"/>
      <c r="G1662" s="7"/>
      <c r="H1662" s="9"/>
      <c r="I1662" s="7"/>
      <c r="J1662" s="7"/>
      <c r="K1662" s="7"/>
      <c r="L1662" s="7"/>
      <c r="M1662" s="10"/>
      <c r="N1662" s="10"/>
      <c r="O1662" s="69"/>
      <c r="P1662" s="69"/>
    </row>
    <row r="1663" ht="27.0" customHeight="1">
      <c r="A1663" s="7"/>
      <c r="B1663" s="8"/>
      <c r="C1663" s="8"/>
      <c r="D1663" s="7"/>
      <c r="E1663" s="7"/>
      <c r="F1663" s="7"/>
      <c r="G1663" s="7"/>
      <c r="H1663" s="9"/>
      <c r="I1663" s="7"/>
      <c r="J1663" s="7"/>
      <c r="K1663" s="7"/>
      <c r="L1663" s="7"/>
      <c r="M1663" s="10"/>
      <c r="N1663" s="10"/>
      <c r="O1663" s="69"/>
      <c r="P1663" s="69"/>
    </row>
    <row r="1664" ht="27.0" customHeight="1">
      <c r="A1664" s="7"/>
      <c r="B1664" s="8"/>
      <c r="C1664" s="8"/>
      <c r="D1664" s="7"/>
      <c r="E1664" s="7"/>
      <c r="F1664" s="7"/>
      <c r="G1664" s="7"/>
      <c r="H1664" s="9"/>
      <c r="I1664" s="7"/>
      <c r="J1664" s="7"/>
      <c r="K1664" s="7"/>
      <c r="L1664" s="7"/>
      <c r="M1664" s="10"/>
      <c r="N1664" s="10"/>
      <c r="O1664" s="69"/>
      <c r="P1664" s="69"/>
    </row>
    <row r="1665" ht="27.0" customHeight="1">
      <c r="A1665" s="7"/>
      <c r="B1665" s="8"/>
      <c r="C1665" s="8"/>
      <c r="D1665" s="7"/>
      <c r="E1665" s="7"/>
      <c r="F1665" s="7"/>
      <c r="G1665" s="7"/>
      <c r="H1665" s="9"/>
      <c r="I1665" s="7"/>
      <c r="J1665" s="7"/>
      <c r="K1665" s="7"/>
      <c r="L1665" s="7"/>
      <c r="M1665" s="10"/>
      <c r="N1665" s="10"/>
      <c r="O1665" s="69"/>
      <c r="P1665" s="69"/>
    </row>
    <row r="1666" ht="27.0" customHeight="1">
      <c r="A1666" s="7"/>
      <c r="B1666" s="8"/>
      <c r="C1666" s="8"/>
      <c r="D1666" s="7"/>
      <c r="E1666" s="7"/>
      <c r="F1666" s="7"/>
      <c r="G1666" s="7"/>
      <c r="H1666" s="9"/>
      <c r="I1666" s="7"/>
      <c r="J1666" s="7"/>
      <c r="K1666" s="7"/>
      <c r="L1666" s="7"/>
      <c r="M1666" s="10"/>
      <c r="N1666" s="10"/>
      <c r="O1666" s="69"/>
      <c r="P1666" s="69"/>
    </row>
    <row r="1667" ht="27.0" customHeight="1">
      <c r="A1667" s="7"/>
      <c r="B1667" s="8"/>
      <c r="C1667" s="8"/>
      <c r="D1667" s="7"/>
      <c r="E1667" s="7"/>
      <c r="F1667" s="7"/>
      <c r="G1667" s="7"/>
      <c r="H1667" s="9"/>
      <c r="I1667" s="7"/>
      <c r="J1667" s="7"/>
      <c r="K1667" s="7"/>
      <c r="L1667" s="7"/>
      <c r="M1667" s="10"/>
      <c r="N1667" s="10"/>
      <c r="O1667" s="69"/>
      <c r="P1667" s="69"/>
    </row>
    <row r="1668" ht="27.0" customHeight="1">
      <c r="A1668" s="7"/>
      <c r="B1668" s="8"/>
      <c r="C1668" s="8"/>
      <c r="D1668" s="7"/>
      <c r="E1668" s="7"/>
      <c r="F1668" s="7"/>
      <c r="G1668" s="7"/>
      <c r="H1668" s="9"/>
      <c r="I1668" s="7"/>
      <c r="J1668" s="7"/>
      <c r="K1668" s="7"/>
      <c r="L1668" s="7"/>
      <c r="M1668" s="10"/>
      <c r="N1668" s="10"/>
      <c r="O1668" s="10"/>
      <c r="P1668" s="10"/>
    </row>
    <row r="1669" ht="27.0" customHeight="1">
      <c r="A1669" s="7"/>
      <c r="B1669" s="8"/>
      <c r="C1669" s="8"/>
      <c r="D1669" s="7"/>
      <c r="E1669" s="7"/>
      <c r="F1669" s="7"/>
      <c r="G1669" s="7"/>
      <c r="H1669" s="9"/>
      <c r="I1669" s="7"/>
      <c r="J1669" s="7"/>
      <c r="K1669" s="7"/>
      <c r="L1669" s="7"/>
      <c r="M1669" s="10"/>
      <c r="N1669" s="10"/>
      <c r="O1669" s="10"/>
      <c r="P1669" s="10"/>
    </row>
    <row r="1670" ht="27.0" customHeight="1">
      <c r="A1670" s="7"/>
      <c r="B1670" s="8"/>
      <c r="C1670" s="8"/>
      <c r="D1670" s="7"/>
      <c r="E1670" s="7"/>
      <c r="F1670" s="7"/>
      <c r="G1670" s="7"/>
      <c r="H1670" s="9"/>
      <c r="I1670" s="7"/>
      <c r="J1670" s="7"/>
      <c r="K1670" s="7"/>
      <c r="L1670" s="7"/>
      <c r="M1670" s="10"/>
      <c r="N1670" s="10"/>
      <c r="O1670" s="69"/>
      <c r="P1670" s="69"/>
    </row>
    <row r="1671" ht="27.0" customHeight="1">
      <c r="A1671" s="7"/>
      <c r="B1671" s="8"/>
      <c r="C1671" s="8"/>
      <c r="D1671" s="7"/>
      <c r="E1671" s="7"/>
      <c r="F1671" s="7"/>
      <c r="G1671" s="7"/>
      <c r="H1671" s="9"/>
      <c r="I1671" s="7"/>
      <c r="J1671" s="7"/>
      <c r="K1671" s="7"/>
      <c r="L1671" s="7"/>
      <c r="M1671" s="10"/>
      <c r="N1671" s="10"/>
      <c r="O1671" s="69"/>
      <c r="P1671" s="69"/>
    </row>
    <row r="1672" ht="27.0" customHeight="1">
      <c r="A1672" s="7"/>
      <c r="B1672" s="8"/>
      <c r="C1672" s="8"/>
      <c r="D1672" s="7"/>
      <c r="E1672" s="7"/>
      <c r="F1672" s="7"/>
      <c r="G1672" s="7"/>
      <c r="H1672" s="9"/>
      <c r="I1672" s="7"/>
      <c r="J1672" s="7"/>
      <c r="K1672" s="7"/>
      <c r="L1672" s="7"/>
      <c r="M1672" s="10"/>
      <c r="N1672" s="10"/>
      <c r="O1672" s="69"/>
      <c r="P1672" s="69"/>
    </row>
    <row r="1673" ht="27.0" customHeight="1">
      <c r="A1673" s="7"/>
      <c r="B1673" s="8"/>
      <c r="C1673" s="8"/>
      <c r="D1673" s="7"/>
      <c r="E1673" s="7"/>
      <c r="F1673" s="7"/>
      <c r="G1673" s="7"/>
      <c r="H1673" s="9"/>
      <c r="I1673" s="7"/>
      <c r="J1673" s="7"/>
      <c r="K1673" s="7"/>
      <c r="L1673" s="7"/>
      <c r="M1673" s="10"/>
      <c r="N1673" s="10"/>
      <c r="O1673" s="69"/>
      <c r="P1673" s="69"/>
    </row>
    <row r="1674" ht="27.0" customHeight="1">
      <c r="A1674" s="7"/>
      <c r="B1674" s="8"/>
      <c r="C1674" s="8"/>
      <c r="D1674" s="7"/>
      <c r="E1674" s="7"/>
      <c r="F1674" s="7"/>
      <c r="G1674" s="7"/>
      <c r="H1674" s="9"/>
      <c r="I1674" s="7"/>
      <c r="J1674" s="7"/>
      <c r="K1674" s="7"/>
      <c r="L1674" s="7"/>
      <c r="M1674" s="10"/>
      <c r="N1674" s="10"/>
      <c r="O1674" s="69"/>
      <c r="P1674" s="69"/>
    </row>
    <row r="1675" ht="27.0" customHeight="1">
      <c r="A1675" s="7"/>
      <c r="B1675" s="8"/>
      <c r="C1675" s="8"/>
      <c r="D1675" s="7"/>
      <c r="E1675" s="7"/>
      <c r="F1675" s="7"/>
      <c r="G1675" s="7"/>
      <c r="H1675" s="9"/>
      <c r="I1675" s="7"/>
      <c r="J1675" s="7"/>
      <c r="K1675" s="7"/>
      <c r="L1675" s="7"/>
      <c r="M1675" s="10"/>
      <c r="N1675" s="10"/>
      <c r="O1675" s="69"/>
      <c r="P1675" s="69"/>
    </row>
    <row r="1676" ht="27.0" customHeight="1">
      <c r="A1676" s="7"/>
      <c r="B1676" s="8"/>
      <c r="C1676" s="8"/>
      <c r="D1676" s="7"/>
      <c r="E1676" s="7"/>
      <c r="F1676" s="7"/>
      <c r="G1676" s="7"/>
      <c r="H1676" s="9"/>
      <c r="I1676" s="7"/>
      <c r="J1676" s="7"/>
      <c r="K1676" s="7"/>
      <c r="L1676" s="7"/>
      <c r="M1676" s="10"/>
      <c r="N1676" s="10"/>
      <c r="O1676" s="69"/>
      <c r="P1676" s="69"/>
    </row>
    <row r="1677" ht="27.0" customHeight="1">
      <c r="A1677" s="7"/>
      <c r="B1677" s="8"/>
      <c r="C1677" s="8"/>
      <c r="D1677" s="7"/>
      <c r="E1677" s="7"/>
      <c r="F1677" s="7"/>
      <c r="G1677" s="7"/>
      <c r="H1677" s="9"/>
      <c r="I1677" s="7"/>
      <c r="J1677" s="7"/>
      <c r="K1677" s="7"/>
      <c r="L1677" s="7"/>
      <c r="M1677" s="10"/>
      <c r="N1677" s="10"/>
      <c r="O1677" s="69"/>
      <c r="P1677" s="69"/>
    </row>
    <row r="1678" ht="27.0" customHeight="1">
      <c r="A1678" s="7"/>
      <c r="B1678" s="8"/>
      <c r="C1678" s="8"/>
      <c r="D1678" s="7"/>
      <c r="E1678" s="7"/>
      <c r="F1678" s="7"/>
      <c r="G1678" s="7"/>
      <c r="H1678" s="9"/>
      <c r="I1678" s="7"/>
      <c r="J1678" s="7"/>
      <c r="K1678" s="7"/>
      <c r="L1678" s="7"/>
      <c r="M1678" s="10"/>
      <c r="N1678" s="10"/>
      <c r="O1678" s="69"/>
      <c r="P1678" s="69"/>
    </row>
    <row r="1679" ht="27.0" customHeight="1">
      <c r="A1679" s="7"/>
      <c r="B1679" s="8"/>
      <c r="C1679" s="8"/>
      <c r="D1679" s="7"/>
      <c r="E1679" s="7"/>
      <c r="F1679" s="7"/>
      <c r="G1679" s="7"/>
      <c r="H1679" s="9"/>
      <c r="I1679" s="25"/>
      <c r="J1679" s="25"/>
      <c r="K1679" s="25"/>
      <c r="L1679" s="7"/>
      <c r="M1679" s="10"/>
      <c r="N1679" s="10"/>
      <c r="O1679" s="69"/>
      <c r="P1679" s="69"/>
    </row>
    <row r="1680" ht="27.0" customHeight="1">
      <c r="A1680" s="7"/>
      <c r="B1680" s="8"/>
      <c r="C1680" s="8"/>
      <c r="D1680" s="7"/>
      <c r="E1680" s="7"/>
      <c r="F1680" s="7"/>
      <c r="G1680" s="7"/>
      <c r="H1680" s="9"/>
      <c r="I1680" s="25"/>
      <c r="J1680" s="25"/>
      <c r="K1680" s="25"/>
      <c r="L1680" s="7"/>
      <c r="M1680" s="10"/>
      <c r="N1680" s="10"/>
      <c r="O1680" s="69"/>
      <c r="P1680" s="69"/>
    </row>
    <row r="1681" ht="27.0" customHeight="1">
      <c r="A1681" s="7"/>
      <c r="B1681" s="8"/>
      <c r="C1681" s="8"/>
      <c r="D1681" s="7"/>
      <c r="E1681" s="7"/>
      <c r="F1681" s="7"/>
      <c r="G1681" s="7"/>
      <c r="H1681" s="9"/>
      <c r="I1681" s="7"/>
      <c r="J1681" s="7"/>
      <c r="K1681" s="7"/>
      <c r="L1681" s="7"/>
      <c r="M1681" s="10"/>
      <c r="N1681" s="10"/>
      <c r="O1681" s="69"/>
      <c r="P1681" s="69"/>
    </row>
    <row r="1682" ht="27.0" customHeight="1">
      <c r="A1682" s="7"/>
      <c r="B1682" s="8"/>
      <c r="C1682" s="8"/>
      <c r="D1682" s="7"/>
      <c r="E1682" s="7"/>
      <c r="F1682" s="7"/>
      <c r="G1682" s="7"/>
      <c r="H1682" s="9"/>
      <c r="I1682" s="7"/>
      <c r="J1682" s="7"/>
      <c r="K1682" s="7"/>
      <c r="L1682" s="7"/>
      <c r="M1682" s="10"/>
      <c r="N1682" s="10"/>
      <c r="O1682" s="69"/>
      <c r="P1682" s="69"/>
    </row>
    <row r="1683" ht="27.0" customHeight="1">
      <c r="A1683" s="7"/>
      <c r="B1683" s="8"/>
      <c r="C1683" s="8"/>
      <c r="D1683" s="7"/>
      <c r="E1683" s="7"/>
      <c r="F1683" s="7"/>
      <c r="G1683" s="7"/>
      <c r="H1683" s="9"/>
      <c r="I1683" s="7"/>
      <c r="J1683" s="7"/>
      <c r="K1683" s="7"/>
      <c r="L1683" s="7"/>
      <c r="M1683" s="10"/>
      <c r="N1683" s="10"/>
      <c r="O1683" s="69"/>
      <c r="P1683" s="69"/>
    </row>
    <row r="1684" ht="27.0" customHeight="1">
      <c r="A1684" s="7"/>
      <c r="B1684" s="8"/>
      <c r="C1684" s="8"/>
      <c r="D1684" s="7"/>
      <c r="E1684" s="7"/>
      <c r="F1684" s="7"/>
      <c r="G1684" s="7"/>
      <c r="H1684" s="9"/>
      <c r="I1684" s="7"/>
      <c r="J1684" s="7"/>
      <c r="K1684" s="7"/>
      <c r="L1684" s="7"/>
      <c r="M1684" s="10"/>
      <c r="N1684" s="10"/>
      <c r="O1684" s="69"/>
      <c r="P1684" s="69"/>
    </row>
    <row r="1685" ht="27.0" customHeight="1">
      <c r="A1685" s="7"/>
      <c r="B1685" s="8"/>
      <c r="C1685" s="8"/>
      <c r="D1685" s="7"/>
      <c r="E1685" s="7"/>
      <c r="F1685" s="7"/>
      <c r="G1685" s="7"/>
      <c r="H1685" s="9"/>
      <c r="I1685" s="7"/>
      <c r="J1685" s="7"/>
      <c r="K1685" s="7"/>
      <c r="L1685" s="7"/>
      <c r="M1685" s="10"/>
      <c r="N1685" s="10"/>
      <c r="O1685" s="69"/>
      <c r="P1685" s="69"/>
    </row>
    <row r="1686" ht="27.0" customHeight="1">
      <c r="A1686" s="7"/>
      <c r="B1686" s="8"/>
      <c r="C1686" s="8"/>
      <c r="D1686" s="7"/>
      <c r="E1686" s="7"/>
      <c r="F1686" s="7"/>
      <c r="G1686" s="7"/>
      <c r="H1686" s="9"/>
      <c r="I1686" s="7"/>
      <c r="J1686" s="7"/>
      <c r="K1686" s="7"/>
      <c r="L1686" s="7"/>
      <c r="M1686" s="10"/>
      <c r="N1686" s="10"/>
      <c r="O1686" s="69"/>
      <c r="P1686" s="69"/>
    </row>
    <row r="1687" ht="27.0" customHeight="1">
      <c r="A1687" s="7"/>
      <c r="B1687" s="8"/>
      <c r="C1687" s="8"/>
      <c r="D1687" s="7"/>
      <c r="E1687" s="7"/>
      <c r="F1687" s="7"/>
      <c r="G1687" s="7"/>
      <c r="H1687" s="9"/>
      <c r="I1687" s="7"/>
      <c r="J1687" s="7"/>
      <c r="K1687" s="7"/>
      <c r="L1687" s="7"/>
      <c r="M1687" s="10"/>
      <c r="N1687" s="10"/>
      <c r="O1687" s="69"/>
      <c r="P1687" s="69"/>
    </row>
    <row r="1688" ht="27.0" customHeight="1">
      <c r="A1688" s="7"/>
      <c r="B1688" s="8"/>
      <c r="C1688" s="8"/>
      <c r="D1688" s="7"/>
      <c r="E1688" s="7"/>
      <c r="F1688" s="7"/>
      <c r="G1688" s="7"/>
      <c r="H1688" s="9"/>
      <c r="I1688" s="7"/>
      <c r="J1688" s="7"/>
      <c r="K1688" s="7"/>
      <c r="L1688" s="7"/>
      <c r="M1688" s="10"/>
      <c r="N1688" s="10"/>
      <c r="O1688" s="69"/>
      <c r="P1688" s="69"/>
    </row>
    <row r="1689" ht="27.0" customHeight="1">
      <c r="A1689" s="7"/>
      <c r="B1689" s="8"/>
      <c r="C1689" s="8"/>
      <c r="D1689" s="7"/>
      <c r="E1689" s="7"/>
      <c r="F1689" s="7"/>
      <c r="G1689" s="7"/>
      <c r="H1689" s="9"/>
      <c r="I1689" s="7"/>
      <c r="J1689" s="7"/>
      <c r="K1689" s="7"/>
      <c r="L1689" s="7"/>
      <c r="M1689" s="10"/>
      <c r="N1689" s="10"/>
      <c r="O1689" s="69"/>
      <c r="P1689" s="69"/>
    </row>
    <row r="1690" ht="27.0" customHeight="1">
      <c r="A1690" s="7"/>
      <c r="B1690" s="8"/>
      <c r="C1690" s="8"/>
      <c r="D1690" s="7"/>
      <c r="E1690" s="7"/>
      <c r="F1690" s="7"/>
      <c r="G1690" s="7"/>
      <c r="H1690" s="9"/>
      <c r="I1690" s="7"/>
      <c r="J1690" s="7"/>
      <c r="K1690" s="7"/>
      <c r="L1690" s="7"/>
      <c r="M1690" s="10"/>
      <c r="N1690" s="10"/>
      <c r="O1690" s="69"/>
      <c r="P1690" s="69"/>
    </row>
    <row r="1691" ht="27.0" customHeight="1">
      <c r="A1691" s="7"/>
      <c r="B1691" s="8"/>
      <c r="C1691" s="8"/>
      <c r="D1691" s="7"/>
      <c r="E1691" s="7"/>
      <c r="F1691" s="7"/>
      <c r="G1691" s="7"/>
      <c r="H1691" s="9"/>
      <c r="I1691" s="7"/>
      <c r="J1691" s="7"/>
      <c r="K1691" s="7"/>
      <c r="L1691" s="7"/>
      <c r="M1691" s="10"/>
      <c r="N1691" s="10"/>
      <c r="O1691" s="69"/>
      <c r="P1691" s="69"/>
    </row>
    <row r="1692" ht="27.0" customHeight="1">
      <c r="A1692" s="7"/>
      <c r="B1692" s="8"/>
      <c r="C1692" s="8"/>
      <c r="D1692" s="7"/>
      <c r="E1692" s="7"/>
      <c r="F1692" s="7"/>
      <c r="G1692" s="7"/>
      <c r="H1692" s="9"/>
      <c r="I1692" s="7"/>
      <c r="J1692" s="7"/>
      <c r="K1692" s="7"/>
      <c r="L1692" s="7"/>
      <c r="M1692" s="10"/>
      <c r="N1692" s="10"/>
      <c r="O1692" s="69"/>
      <c r="P1692" s="69"/>
    </row>
    <row r="1693" ht="27.0" customHeight="1">
      <c r="A1693" s="7"/>
      <c r="B1693" s="8"/>
      <c r="C1693" s="8"/>
      <c r="D1693" s="7"/>
      <c r="E1693" s="7"/>
      <c r="F1693" s="7"/>
      <c r="G1693" s="7"/>
      <c r="H1693" s="9"/>
      <c r="I1693" s="7"/>
      <c r="J1693" s="7"/>
      <c r="K1693" s="7"/>
      <c r="L1693" s="7"/>
      <c r="M1693" s="10"/>
      <c r="N1693" s="10"/>
      <c r="O1693" s="69"/>
      <c r="P1693" s="69"/>
    </row>
    <row r="1694" ht="27.0" customHeight="1">
      <c r="A1694" s="7"/>
      <c r="B1694" s="8"/>
      <c r="C1694" s="8"/>
      <c r="D1694" s="7"/>
      <c r="E1694" s="7"/>
      <c r="F1694" s="7"/>
      <c r="G1694" s="7"/>
      <c r="H1694" s="9"/>
      <c r="I1694" s="7"/>
      <c r="J1694" s="7"/>
      <c r="K1694" s="7"/>
      <c r="L1694" s="7"/>
      <c r="M1694" s="10"/>
      <c r="N1694" s="10"/>
      <c r="O1694" s="69"/>
      <c r="P1694" s="69"/>
    </row>
    <row r="1695" ht="27.0" customHeight="1">
      <c r="A1695" s="7"/>
      <c r="B1695" s="8"/>
      <c r="C1695" s="8"/>
      <c r="D1695" s="7"/>
      <c r="E1695" s="7"/>
      <c r="F1695" s="7"/>
      <c r="G1695" s="7"/>
      <c r="H1695" s="9"/>
      <c r="I1695" s="7"/>
      <c r="J1695" s="7"/>
      <c r="K1695" s="7"/>
      <c r="L1695" s="7"/>
      <c r="M1695" s="10"/>
      <c r="N1695" s="10"/>
      <c r="O1695" s="69"/>
      <c r="P1695" s="69"/>
    </row>
    <row r="1696" ht="27.0" customHeight="1">
      <c r="A1696" s="7"/>
      <c r="B1696" s="8"/>
      <c r="C1696" s="8"/>
      <c r="D1696" s="7"/>
      <c r="E1696" s="7"/>
      <c r="F1696" s="7"/>
      <c r="G1696" s="7"/>
      <c r="H1696" s="9"/>
      <c r="I1696" s="7"/>
      <c r="J1696" s="7"/>
      <c r="K1696" s="7"/>
      <c r="L1696" s="7"/>
      <c r="M1696" s="10"/>
      <c r="N1696" s="10"/>
      <c r="O1696" s="69"/>
      <c r="P1696" s="69"/>
    </row>
    <row r="1697" ht="27.0" customHeight="1">
      <c r="A1697" s="7"/>
      <c r="B1697" s="8"/>
      <c r="C1697" s="8"/>
      <c r="D1697" s="7"/>
      <c r="E1697" s="7"/>
      <c r="F1697" s="7"/>
      <c r="G1697" s="7"/>
      <c r="H1697" s="9"/>
      <c r="I1697" s="7"/>
      <c r="J1697" s="7"/>
      <c r="K1697" s="7"/>
      <c r="L1697" s="7"/>
      <c r="M1697" s="10"/>
      <c r="N1697" s="10"/>
      <c r="O1697" s="69"/>
      <c r="P1697" s="69"/>
    </row>
    <row r="1698">
      <c r="A1698" s="7"/>
      <c r="B1698" s="66"/>
      <c r="C1698" s="66"/>
      <c r="D1698" s="60"/>
      <c r="E1698" s="60"/>
      <c r="F1698" s="60"/>
      <c r="G1698" s="60"/>
      <c r="H1698" s="60"/>
      <c r="I1698" s="60"/>
      <c r="J1698" s="60"/>
      <c r="K1698" s="60"/>
      <c r="L1698" s="60"/>
      <c r="M1698" s="60"/>
      <c r="N1698" s="54"/>
      <c r="O1698" s="67"/>
      <c r="P1698" s="67"/>
    </row>
    <row r="1699">
      <c r="A1699" s="7"/>
      <c r="B1699" s="66"/>
      <c r="C1699" s="66"/>
      <c r="D1699" s="60"/>
      <c r="E1699" s="60"/>
      <c r="F1699" s="60"/>
      <c r="G1699" s="60"/>
      <c r="H1699" s="60"/>
      <c r="I1699" s="60"/>
      <c r="J1699" s="60"/>
      <c r="K1699" s="60"/>
      <c r="L1699" s="60"/>
      <c r="M1699" s="60"/>
      <c r="N1699" s="54"/>
      <c r="O1699" s="67"/>
      <c r="P1699" s="67"/>
    </row>
    <row r="1700">
      <c r="A1700" s="7"/>
      <c r="B1700" s="66"/>
      <c r="C1700" s="66"/>
      <c r="D1700" s="60"/>
      <c r="E1700" s="60"/>
      <c r="F1700" s="60"/>
      <c r="G1700" s="60"/>
      <c r="H1700" s="60"/>
      <c r="I1700" s="60"/>
      <c r="J1700" s="60"/>
      <c r="K1700" s="60"/>
      <c r="L1700" s="60"/>
      <c r="M1700" s="60"/>
      <c r="N1700" s="54"/>
      <c r="O1700" s="67"/>
      <c r="P1700" s="67"/>
    </row>
    <row r="1701">
      <c r="A1701" s="7"/>
      <c r="B1701" s="66"/>
      <c r="C1701" s="66"/>
      <c r="D1701" s="60"/>
      <c r="E1701" s="60"/>
      <c r="F1701" s="60"/>
      <c r="G1701" s="60"/>
      <c r="H1701" s="60"/>
      <c r="I1701" s="60"/>
      <c r="J1701" s="60"/>
      <c r="K1701" s="60"/>
      <c r="L1701" s="60"/>
      <c r="M1701" s="60"/>
      <c r="N1701" s="54"/>
      <c r="O1701" s="67"/>
      <c r="P1701" s="67"/>
    </row>
    <row r="1702">
      <c r="A1702" s="7"/>
      <c r="B1702" s="66"/>
      <c r="C1702" s="66"/>
      <c r="D1702" s="60"/>
      <c r="E1702" s="60"/>
      <c r="F1702" s="60"/>
      <c r="G1702" s="60"/>
      <c r="H1702" s="60"/>
      <c r="I1702" s="60"/>
      <c r="J1702" s="60"/>
      <c r="K1702" s="60"/>
      <c r="L1702" s="60"/>
      <c r="M1702" s="60"/>
      <c r="N1702" s="54"/>
      <c r="O1702" s="67"/>
      <c r="P1702" s="67"/>
    </row>
    <row r="1703">
      <c r="A1703" s="7"/>
      <c r="B1703" s="66"/>
      <c r="C1703" s="66"/>
      <c r="D1703" s="60"/>
      <c r="E1703" s="60"/>
      <c r="F1703" s="60"/>
      <c r="G1703" s="60"/>
      <c r="H1703" s="60"/>
      <c r="I1703" s="60"/>
      <c r="J1703" s="60"/>
      <c r="K1703" s="60"/>
      <c r="L1703" s="60"/>
      <c r="M1703" s="60"/>
      <c r="N1703" s="54"/>
      <c r="O1703" s="67"/>
      <c r="P1703" s="67"/>
    </row>
    <row r="1704">
      <c r="A1704" s="7"/>
      <c r="B1704" s="66"/>
      <c r="C1704" s="66"/>
      <c r="D1704" s="60"/>
      <c r="E1704" s="60"/>
      <c r="F1704" s="60"/>
      <c r="G1704" s="60"/>
      <c r="H1704" s="60"/>
      <c r="I1704" s="60"/>
      <c r="J1704" s="60"/>
      <c r="K1704" s="60"/>
      <c r="L1704" s="60"/>
      <c r="M1704" s="60"/>
      <c r="N1704" s="54"/>
      <c r="O1704" s="67"/>
      <c r="P1704" s="67"/>
    </row>
    <row r="1705">
      <c r="A1705" s="7"/>
      <c r="B1705" s="66"/>
      <c r="C1705" s="66"/>
      <c r="D1705" s="60"/>
      <c r="E1705" s="60"/>
      <c r="F1705" s="60"/>
      <c r="G1705" s="60"/>
      <c r="H1705" s="60"/>
      <c r="I1705" s="60"/>
      <c r="J1705" s="60"/>
      <c r="K1705" s="60"/>
      <c r="L1705" s="60"/>
      <c r="M1705" s="60"/>
      <c r="N1705" s="54"/>
      <c r="O1705" s="67"/>
      <c r="P1705" s="67"/>
    </row>
    <row r="1706">
      <c r="A1706" s="7"/>
      <c r="B1706" s="66"/>
      <c r="C1706" s="66"/>
      <c r="D1706" s="60"/>
      <c r="E1706" s="60"/>
      <c r="F1706" s="60"/>
      <c r="G1706" s="60"/>
      <c r="H1706" s="60"/>
      <c r="I1706" s="60"/>
      <c r="J1706" s="60"/>
      <c r="K1706" s="60"/>
      <c r="L1706" s="60"/>
      <c r="M1706" s="60"/>
      <c r="N1706" s="54"/>
      <c r="O1706" s="67"/>
      <c r="P1706" s="67"/>
    </row>
    <row r="1707">
      <c r="A1707" s="7"/>
      <c r="B1707" s="66"/>
      <c r="C1707" s="66"/>
      <c r="D1707" s="60"/>
      <c r="E1707" s="60"/>
      <c r="F1707" s="60"/>
      <c r="G1707" s="60"/>
      <c r="H1707" s="60"/>
      <c r="I1707" s="60"/>
      <c r="J1707" s="60"/>
      <c r="K1707" s="60"/>
      <c r="L1707" s="60"/>
      <c r="M1707" s="60"/>
      <c r="N1707" s="54"/>
      <c r="O1707" s="67"/>
      <c r="P1707" s="67"/>
    </row>
    <row r="1708">
      <c r="A1708" s="7"/>
      <c r="B1708" s="66"/>
      <c r="C1708" s="66"/>
      <c r="D1708" s="60"/>
      <c r="E1708" s="60"/>
      <c r="F1708" s="60"/>
      <c r="G1708" s="60"/>
      <c r="H1708" s="60"/>
      <c r="I1708" s="60"/>
      <c r="J1708" s="60"/>
      <c r="K1708" s="60"/>
      <c r="L1708" s="60"/>
      <c r="M1708" s="60"/>
      <c r="N1708" s="54"/>
      <c r="O1708" s="67"/>
      <c r="P1708" s="67"/>
    </row>
    <row r="1709">
      <c r="A1709" s="7"/>
      <c r="B1709" s="66"/>
      <c r="C1709" s="66"/>
      <c r="D1709" s="60"/>
      <c r="E1709" s="60"/>
      <c r="F1709" s="60"/>
      <c r="G1709" s="60"/>
      <c r="H1709" s="60"/>
      <c r="I1709" s="60"/>
      <c r="J1709" s="60"/>
      <c r="K1709" s="60"/>
      <c r="L1709" s="60"/>
      <c r="M1709" s="60"/>
      <c r="N1709" s="54"/>
      <c r="O1709" s="67"/>
      <c r="P1709" s="67"/>
    </row>
    <row r="1710">
      <c r="A1710" s="7"/>
      <c r="B1710" s="66"/>
      <c r="C1710" s="66"/>
      <c r="D1710" s="60"/>
      <c r="E1710" s="60"/>
      <c r="F1710" s="60"/>
      <c r="G1710" s="60"/>
      <c r="H1710" s="60"/>
      <c r="I1710" s="60"/>
      <c r="J1710" s="60"/>
      <c r="K1710" s="60"/>
      <c r="L1710" s="60"/>
      <c r="M1710" s="60"/>
      <c r="N1710" s="54"/>
      <c r="O1710" s="67"/>
      <c r="P1710" s="67"/>
    </row>
    <row r="1711">
      <c r="A1711" s="7"/>
      <c r="B1711" s="66"/>
      <c r="C1711" s="66"/>
      <c r="D1711" s="60"/>
      <c r="E1711" s="60"/>
      <c r="F1711" s="60"/>
      <c r="G1711" s="60"/>
      <c r="H1711" s="60"/>
      <c r="I1711" s="60"/>
      <c r="J1711" s="60"/>
      <c r="K1711" s="60"/>
      <c r="L1711" s="60"/>
      <c r="M1711" s="60"/>
      <c r="N1711" s="54"/>
      <c r="O1711" s="67"/>
      <c r="P1711" s="67"/>
    </row>
    <row r="1712">
      <c r="A1712" s="7"/>
      <c r="B1712" s="66"/>
      <c r="C1712" s="66"/>
      <c r="D1712" s="60"/>
      <c r="E1712" s="60"/>
      <c r="F1712" s="60"/>
      <c r="G1712" s="60"/>
      <c r="H1712" s="60"/>
      <c r="I1712" s="60"/>
      <c r="J1712" s="60"/>
      <c r="K1712" s="60"/>
      <c r="L1712" s="60"/>
      <c r="M1712" s="60"/>
      <c r="N1712" s="54"/>
      <c r="O1712" s="67"/>
      <c r="P1712" s="67"/>
    </row>
    <row r="1713">
      <c r="A1713" s="7"/>
      <c r="B1713" s="66"/>
      <c r="C1713" s="66"/>
      <c r="D1713" s="60"/>
      <c r="E1713" s="60"/>
      <c r="F1713" s="60"/>
      <c r="G1713" s="60"/>
      <c r="H1713" s="60"/>
      <c r="I1713" s="60"/>
      <c r="J1713" s="60"/>
      <c r="K1713" s="60"/>
      <c r="L1713" s="60"/>
      <c r="M1713" s="60"/>
      <c r="N1713" s="54"/>
      <c r="O1713" s="67"/>
      <c r="P1713" s="67"/>
    </row>
    <row r="1714">
      <c r="A1714" s="7"/>
      <c r="B1714" s="66"/>
      <c r="C1714" s="66"/>
      <c r="D1714" s="60"/>
      <c r="E1714" s="60"/>
      <c r="F1714" s="60"/>
      <c r="G1714" s="60"/>
      <c r="H1714" s="60"/>
      <c r="I1714" s="60"/>
      <c r="J1714" s="60"/>
      <c r="K1714" s="60"/>
      <c r="L1714" s="60"/>
      <c r="M1714" s="60"/>
      <c r="N1714" s="54"/>
      <c r="O1714" s="67"/>
      <c r="P1714" s="67"/>
    </row>
    <row r="1715">
      <c r="A1715" s="7"/>
      <c r="B1715" s="66"/>
      <c r="C1715" s="66"/>
      <c r="D1715" s="60"/>
      <c r="E1715" s="60"/>
      <c r="F1715" s="60"/>
      <c r="G1715" s="60"/>
      <c r="H1715" s="60"/>
      <c r="I1715" s="60"/>
      <c r="J1715" s="60"/>
      <c r="K1715" s="60"/>
      <c r="L1715" s="60"/>
      <c r="M1715" s="60"/>
      <c r="N1715" s="54"/>
      <c r="O1715" s="67"/>
      <c r="P1715" s="67"/>
    </row>
    <row r="1716">
      <c r="A1716" s="7"/>
      <c r="B1716" s="66"/>
      <c r="C1716" s="66"/>
      <c r="D1716" s="60"/>
      <c r="E1716" s="60"/>
      <c r="F1716" s="60"/>
      <c r="G1716" s="60"/>
      <c r="H1716" s="60"/>
      <c r="I1716" s="60"/>
      <c r="J1716" s="60"/>
      <c r="K1716" s="60"/>
      <c r="L1716" s="60"/>
      <c r="M1716" s="60"/>
      <c r="N1716" s="54"/>
      <c r="O1716" s="67"/>
      <c r="P1716" s="67"/>
    </row>
    <row r="1717">
      <c r="A1717" s="7"/>
      <c r="B1717" s="66"/>
      <c r="C1717" s="66"/>
      <c r="D1717" s="60"/>
      <c r="E1717" s="60"/>
      <c r="F1717" s="60"/>
      <c r="G1717" s="60"/>
      <c r="H1717" s="60"/>
      <c r="I1717" s="60"/>
      <c r="J1717" s="60"/>
      <c r="K1717" s="60"/>
      <c r="L1717" s="60"/>
      <c r="M1717" s="60"/>
      <c r="N1717" s="54"/>
      <c r="O1717" s="67"/>
      <c r="P1717" s="67"/>
    </row>
    <row r="1718">
      <c r="A1718" s="70"/>
      <c r="B1718" s="71"/>
      <c r="C1718" s="71"/>
      <c r="D1718" s="72"/>
      <c r="E1718" s="72"/>
      <c r="F1718" s="72"/>
      <c r="G1718" s="72"/>
      <c r="H1718" s="72"/>
      <c r="I1718" s="72"/>
      <c r="J1718" s="72"/>
      <c r="K1718" s="72"/>
      <c r="L1718" s="72"/>
      <c r="M1718" s="72"/>
      <c r="N1718" s="73"/>
      <c r="O1718" s="74"/>
      <c r="P1718" s="74"/>
    </row>
    <row r="1719">
      <c r="A1719" s="70"/>
      <c r="B1719" s="71"/>
      <c r="C1719" s="71"/>
      <c r="D1719" s="72"/>
      <c r="E1719" s="72"/>
      <c r="F1719" s="72"/>
      <c r="G1719" s="72"/>
      <c r="H1719" s="72"/>
      <c r="I1719" s="72"/>
      <c r="J1719" s="72"/>
      <c r="K1719" s="72"/>
      <c r="L1719" s="72"/>
      <c r="M1719" s="72"/>
      <c r="N1719" s="73"/>
      <c r="O1719" s="74"/>
      <c r="P1719" s="74"/>
    </row>
    <row r="1720">
      <c r="A1720" s="70"/>
      <c r="B1720" s="71"/>
      <c r="C1720" s="71"/>
      <c r="D1720" s="72"/>
      <c r="E1720" s="72"/>
      <c r="F1720" s="72"/>
      <c r="G1720" s="72"/>
      <c r="H1720" s="72"/>
      <c r="I1720" s="72"/>
      <c r="J1720" s="72"/>
      <c r="K1720" s="72"/>
      <c r="L1720" s="72"/>
      <c r="M1720" s="72"/>
      <c r="N1720" s="73"/>
      <c r="O1720" s="74"/>
      <c r="P1720" s="74"/>
    </row>
    <row r="1721">
      <c r="A1721" s="70"/>
      <c r="B1721" s="71"/>
      <c r="C1721" s="71"/>
      <c r="D1721" s="72"/>
      <c r="E1721" s="72"/>
      <c r="F1721" s="72"/>
      <c r="G1721" s="72"/>
      <c r="H1721" s="72"/>
      <c r="I1721" s="72"/>
      <c r="J1721" s="72"/>
      <c r="K1721" s="72"/>
      <c r="L1721" s="72"/>
      <c r="M1721" s="72"/>
      <c r="N1721" s="73"/>
      <c r="O1721" s="74"/>
      <c r="P1721" s="74"/>
    </row>
    <row r="1722">
      <c r="A1722" s="70"/>
      <c r="B1722" s="71"/>
      <c r="C1722" s="71"/>
      <c r="D1722" s="72"/>
      <c r="E1722" s="72"/>
      <c r="F1722" s="72"/>
      <c r="G1722" s="72"/>
      <c r="H1722" s="72"/>
      <c r="I1722" s="72"/>
      <c r="J1722" s="72"/>
      <c r="K1722" s="72"/>
      <c r="L1722" s="72"/>
      <c r="M1722" s="72"/>
      <c r="N1722" s="73"/>
      <c r="O1722" s="74"/>
      <c r="P1722" s="74"/>
    </row>
    <row r="1723">
      <c r="A1723" s="70"/>
      <c r="B1723" s="71"/>
      <c r="C1723" s="71"/>
      <c r="D1723" s="72"/>
      <c r="E1723" s="72"/>
      <c r="F1723" s="72"/>
      <c r="G1723" s="72"/>
      <c r="H1723" s="72"/>
      <c r="I1723" s="72"/>
      <c r="J1723" s="72"/>
      <c r="K1723" s="72"/>
      <c r="L1723" s="72"/>
      <c r="M1723" s="72"/>
      <c r="N1723" s="73"/>
      <c r="O1723" s="74"/>
      <c r="P1723" s="74"/>
    </row>
    <row r="1724">
      <c r="A1724" s="70"/>
      <c r="B1724" s="71"/>
      <c r="C1724" s="71"/>
      <c r="D1724" s="72"/>
      <c r="E1724" s="72"/>
      <c r="F1724" s="72"/>
      <c r="G1724" s="72"/>
      <c r="H1724" s="72"/>
      <c r="I1724" s="72"/>
      <c r="J1724" s="72"/>
      <c r="K1724" s="72"/>
      <c r="L1724" s="72"/>
      <c r="M1724" s="72"/>
      <c r="N1724" s="73"/>
      <c r="O1724" s="74"/>
      <c r="P1724" s="74"/>
    </row>
    <row r="1725">
      <c r="A1725" s="70"/>
      <c r="B1725" s="71"/>
      <c r="C1725" s="71"/>
      <c r="D1725" s="72"/>
      <c r="E1725" s="72"/>
      <c r="F1725" s="72"/>
      <c r="G1725" s="72"/>
      <c r="H1725" s="72"/>
      <c r="I1725" s="72"/>
      <c r="J1725" s="72"/>
      <c r="K1725" s="72"/>
      <c r="L1725" s="72"/>
      <c r="M1725" s="72"/>
      <c r="N1725" s="73"/>
      <c r="O1725" s="74"/>
      <c r="P1725" s="74"/>
    </row>
    <row r="1726">
      <c r="A1726" s="70"/>
      <c r="B1726" s="71"/>
      <c r="C1726" s="71"/>
      <c r="D1726" s="72"/>
      <c r="E1726" s="72"/>
      <c r="F1726" s="72"/>
      <c r="G1726" s="72"/>
      <c r="H1726" s="72"/>
      <c r="I1726" s="72"/>
      <c r="J1726" s="72"/>
      <c r="K1726" s="72"/>
      <c r="L1726" s="72"/>
      <c r="M1726" s="72"/>
      <c r="N1726" s="73"/>
      <c r="O1726" s="74"/>
      <c r="P1726" s="74"/>
    </row>
    <row r="1727">
      <c r="A1727" s="70"/>
      <c r="B1727" s="71"/>
      <c r="C1727" s="71"/>
      <c r="D1727" s="72"/>
      <c r="E1727" s="72"/>
      <c r="F1727" s="72"/>
      <c r="G1727" s="72"/>
      <c r="H1727" s="72"/>
      <c r="I1727" s="72"/>
      <c r="J1727" s="72"/>
      <c r="K1727" s="72"/>
      <c r="L1727" s="72"/>
      <c r="M1727" s="72"/>
      <c r="N1727" s="73"/>
      <c r="O1727" s="74"/>
      <c r="P1727" s="74"/>
    </row>
    <row r="1728">
      <c r="A1728" s="70"/>
      <c r="B1728" s="71"/>
      <c r="C1728" s="71"/>
      <c r="D1728" s="72"/>
      <c r="E1728" s="72"/>
      <c r="F1728" s="72"/>
      <c r="G1728" s="72"/>
      <c r="H1728" s="72"/>
      <c r="I1728" s="72"/>
      <c r="J1728" s="72"/>
      <c r="K1728" s="72"/>
      <c r="L1728" s="72"/>
      <c r="M1728" s="72"/>
      <c r="N1728" s="73"/>
      <c r="O1728" s="74"/>
      <c r="P1728" s="74"/>
    </row>
    <row r="1729">
      <c r="A1729" s="70"/>
      <c r="B1729" s="71"/>
      <c r="C1729" s="71"/>
      <c r="D1729" s="72"/>
      <c r="E1729" s="72"/>
      <c r="F1729" s="72"/>
      <c r="G1729" s="72"/>
      <c r="H1729" s="72"/>
      <c r="I1729" s="72"/>
      <c r="J1729" s="72"/>
      <c r="K1729" s="72"/>
      <c r="L1729" s="72"/>
      <c r="M1729" s="72"/>
      <c r="N1729" s="73"/>
      <c r="O1729" s="74"/>
      <c r="P1729" s="74"/>
    </row>
    <row r="1730">
      <c r="A1730" s="70"/>
      <c r="B1730" s="71"/>
      <c r="C1730" s="71"/>
      <c r="D1730" s="72"/>
      <c r="E1730" s="72"/>
      <c r="F1730" s="72"/>
      <c r="G1730" s="72"/>
      <c r="H1730" s="72"/>
      <c r="I1730" s="72"/>
      <c r="J1730" s="72"/>
      <c r="K1730" s="72"/>
      <c r="L1730" s="72"/>
      <c r="M1730" s="72"/>
      <c r="N1730" s="73"/>
      <c r="O1730" s="74"/>
      <c r="P1730" s="74"/>
    </row>
    <row r="1731">
      <c r="A1731" s="70"/>
      <c r="B1731" s="71"/>
      <c r="C1731" s="71"/>
      <c r="D1731" s="72"/>
      <c r="E1731" s="72"/>
      <c r="F1731" s="72"/>
      <c r="G1731" s="72"/>
      <c r="H1731" s="72"/>
      <c r="I1731" s="72"/>
      <c r="J1731" s="72"/>
      <c r="K1731" s="72"/>
      <c r="L1731" s="72"/>
      <c r="M1731" s="72"/>
      <c r="N1731" s="73"/>
      <c r="O1731" s="74"/>
      <c r="P1731" s="74"/>
    </row>
    <row r="1732">
      <c r="A1732" s="70"/>
      <c r="B1732" s="71"/>
      <c r="C1732" s="71"/>
      <c r="D1732" s="72"/>
      <c r="E1732" s="72"/>
      <c r="F1732" s="72"/>
      <c r="G1732" s="72"/>
      <c r="H1732" s="72"/>
      <c r="I1732" s="72"/>
      <c r="J1732" s="72"/>
      <c r="K1732" s="72"/>
      <c r="L1732" s="72"/>
      <c r="M1732" s="72"/>
      <c r="N1732" s="73"/>
      <c r="O1732" s="74"/>
      <c r="P1732" s="74"/>
    </row>
    <row r="1733">
      <c r="A1733" s="70"/>
      <c r="B1733" s="71"/>
      <c r="C1733" s="71"/>
      <c r="D1733" s="72"/>
      <c r="E1733" s="72"/>
      <c r="F1733" s="72"/>
      <c r="G1733" s="72"/>
      <c r="H1733" s="72"/>
      <c r="I1733" s="72"/>
      <c r="J1733" s="72"/>
      <c r="K1733" s="72"/>
      <c r="L1733" s="72"/>
      <c r="M1733" s="72"/>
      <c r="N1733" s="73"/>
      <c r="O1733" s="74"/>
      <c r="P1733" s="74"/>
    </row>
    <row r="1734">
      <c r="A1734" s="70"/>
      <c r="B1734" s="71"/>
      <c r="C1734" s="71"/>
      <c r="D1734" s="72"/>
      <c r="E1734" s="72"/>
      <c r="F1734" s="72"/>
      <c r="G1734" s="72"/>
      <c r="H1734" s="72"/>
      <c r="I1734" s="72"/>
      <c r="J1734" s="72"/>
      <c r="K1734" s="72"/>
      <c r="L1734" s="72"/>
      <c r="M1734" s="72"/>
      <c r="N1734" s="73"/>
      <c r="O1734" s="74"/>
      <c r="P1734" s="74"/>
    </row>
    <row r="1735">
      <c r="A1735" s="70"/>
      <c r="B1735" s="71"/>
      <c r="C1735" s="71"/>
      <c r="D1735" s="72"/>
      <c r="E1735" s="72"/>
      <c r="F1735" s="72"/>
      <c r="G1735" s="72"/>
      <c r="H1735" s="72"/>
      <c r="I1735" s="72"/>
      <c r="J1735" s="72"/>
      <c r="K1735" s="72"/>
      <c r="L1735" s="72"/>
      <c r="M1735" s="72"/>
      <c r="N1735" s="73"/>
      <c r="O1735" s="74"/>
      <c r="P1735" s="74"/>
    </row>
    <row r="1736">
      <c r="A1736" s="70"/>
      <c r="B1736" s="71"/>
      <c r="C1736" s="71"/>
      <c r="D1736" s="72"/>
      <c r="E1736" s="72"/>
      <c r="F1736" s="72"/>
      <c r="G1736" s="72"/>
      <c r="H1736" s="72"/>
      <c r="I1736" s="72"/>
      <c r="J1736" s="72"/>
      <c r="K1736" s="72"/>
      <c r="L1736" s="72"/>
      <c r="M1736" s="72"/>
      <c r="N1736" s="73"/>
      <c r="O1736" s="74"/>
      <c r="P1736" s="74"/>
    </row>
    <row r="1737">
      <c r="A1737" s="70"/>
      <c r="B1737" s="71"/>
      <c r="C1737" s="71"/>
      <c r="D1737" s="72"/>
      <c r="E1737" s="72"/>
      <c r="F1737" s="72"/>
      <c r="G1737" s="72"/>
      <c r="H1737" s="72"/>
      <c r="I1737" s="72"/>
      <c r="J1737" s="72"/>
      <c r="K1737" s="72"/>
      <c r="L1737" s="72"/>
      <c r="M1737" s="72"/>
      <c r="N1737" s="73"/>
      <c r="O1737" s="74"/>
      <c r="P1737" s="74"/>
    </row>
    <row r="1738">
      <c r="A1738" s="70"/>
      <c r="B1738" s="71"/>
      <c r="C1738" s="71"/>
      <c r="D1738" s="72"/>
      <c r="E1738" s="72"/>
      <c r="F1738" s="72"/>
      <c r="G1738" s="72"/>
      <c r="H1738" s="72"/>
      <c r="I1738" s="72"/>
      <c r="J1738" s="72"/>
      <c r="K1738" s="72"/>
      <c r="L1738" s="72"/>
      <c r="M1738" s="72"/>
      <c r="N1738" s="73"/>
      <c r="O1738" s="74"/>
      <c r="P1738" s="74"/>
    </row>
    <row r="1739">
      <c r="A1739" s="70"/>
      <c r="B1739" s="71"/>
      <c r="C1739" s="71"/>
      <c r="D1739" s="72"/>
      <c r="E1739" s="72"/>
      <c r="F1739" s="72"/>
      <c r="G1739" s="72"/>
      <c r="H1739" s="72"/>
      <c r="I1739" s="72"/>
      <c r="J1739" s="72"/>
      <c r="K1739" s="72"/>
      <c r="L1739" s="72"/>
      <c r="M1739" s="72"/>
      <c r="N1739" s="73"/>
      <c r="O1739" s="74"/>
      <c r="P1739" s="74"/>
    </row>
    <row r="1740">
      <c r="A1740" s="70"/>
      <c r="B1740" s="71"/>
      <c r="C1740" s="71"/>
      <c r="D1740" s="72"/>
      <c r="E1740" s="72"/>
      <c r="F1740" s="72"/>
      <c r="G1740" s="72"/>
      <c r="H1740" s="72"/>
      <c r="I1740" s="72"/>
      <c r="J1740" s="72"/>
      <c r="K1740" s="72"/>
      <c r="L1740" s="72"/>
      <c r="M1740" s="72"/>
      <c r="N1740" s="73"/>
      <c r="O1740" s="74"/>
      <c r="P1740" s="74"/>
    </row>
    <row r="1741">
      <c r="A1741" s="70"/>
      <c r="B1741" s="71"/>
      <c r="C1741" s="71"/>
      <c r="D1741" s="72"/>
      <c r="E1741" s="72"/>
      <c r="F1741" s="72"/>
      <c r="G1741" s="72"/>
      <c r="H1741" s="72"/>
      <c r="I1741" s="72"/>
      <c r="J1741" s="72"/>
      <c r="K1741" s="72"/>
      <c r="L1741" s="72"/>
      <c r="M1741" s="72"/>
      <c r="N1741" s="73"/>
      <c r="O1741" s="74"/>
      <c r="P1741" s="74"/>
    </row>
    <row r="1742">
      <c r="A1742" s="70"/>
      <c r="B1742" s="71"/>
      <c r="C1742" s="71"/>
      <c r="D1742" s="72"/>
      <c r="E1742" s="72"/>
      <c r="F1742" s="72"/>
      <c r="G1742" s="72"/>
      <c r="H1742" s="72"/>
      <c r="I1742" s="72"/>
      <c r="J1742" s="72"/>
      <c r="K1742" s="72"/>
      <c r="L1742" s="72"/>
      <c r="M1742" s="72"/>
      <c r="N1742" s="73"/>
      <c r="O1742" s="74"/>
      <c r="P1742" s="74"/>
    </row>
    <row r="1743">
      <c r="A1743" s="70"/>
      <c r="B1743" s="71"/>
      <c r="C1743" s="71"/>
      <c r="D1743" s="72"/>
      <c r="E1743" s="72"/>
      <c r="F1743" s="72"/>
      <c r="G1743" s="72"/>
      <c r="H1743" s="72"/>
      <c r="I1743" s="72"/>
      <c r="J1743" s="72"/>
      <c r="K1743" s="72"/>
      <c r="L1743" s="72"/>
      <c r="M1743" s="72"/>
      <c r="N1743" s="73"/>
      <c r="O1743" s="74"/>
      <c r="P1743" s="74"/>
    </row>
    <row r="1744">
      <c r="A1744" s="70"/>
      <c r="B1744" s="71"/>
      <c r="C1744" s="71"/>
      <c r="D1744" s="72"/>
      <c r="E1744" s="72"/>
      <c r="F1744" s="72"/>
      <c r="G1744" s="72"/>
      <c r="H1744" s="72"/>
      <c r="I1744" s="72"/>
      <c r="J1744" s="72"/>
      <c r="K1744" s="72"/>
      <c r="L1744" s="72"/>
      <c r="M1744" s="72"/>
      <c r="N1744" s="73"/>
      <c r="O1744" s="74"/>
      <c r="P1744" s="74"/>
    </row>
    <row r="1745">
      <c r="A1745" s="70"/>
      <c r="B1745" s="71"/>
      <c r="C1745" s="71"/>
      <c r="D1745" s="72"/>
      <c r="E1745" s="72"/>
      <c r="F1745" s="72"/>
      <c r="G1745" s="72"/>
      <c r="H1745" s="72"/>
      <c r="I1745" s="72"/>
      <c r="J1745" s="72"/>
      <c r="K1745" s="72"/>
      <c r="L1745" s="72"/>
      <c r="M1745" s="72"/>
      <c r="N1745" s="73"/>
      <c r="O1745" s="74"/>
      <c r="P1745" s="74"/>
    </row>
    <row r="1746">
      <c r="A1746" s="70"/>
      <c r="B1746" s="71"/>
      <c r="C1746" s="71"/>
      <c r="D1746" s="72"/>
      <c r="E1746" s="72"/>
      <c r="F1746" s="72"/>
      <c r="G1746" s="72"/>
      <c r="H1746" s="72"/>
      <c r="I1746" s="72"/>
      <c r="J1746" s="72"/>
      <c r="K1746" s="72"/>
      <c r="L1746" s="72"/>
      <c r="M1746" s="72"/>
      <c r="N1746" s="73"/>
      <c r="O1746" s="74"/>
      <c r="P1746" s="74"/>
    </row>
    <row r="1747">
      <c r="A1747" s="70"/>
      <c r="B1747" s="71"/>
      <c r="C1747" s="71"/>
      <c r="D1747" s="72"/>
      <c r="E1747" s="72"/>
      <c r="F1747" s="72"/>
      <c r="G1747" s="72"/>
      <c r="H1747" s="72"/>
      <c r="I1747" s="72"/>
      <c r="J1747" s="72"/>
      <c r="K1747" s="72"/>
      <c r="L1747" s="72"/>
      <c r="M1747" s="72"/>
      <c r="N1747" s="73"/>
      <c r="O1747" s="74"/>
      <c r="P1747" s="74"/>
    </row>
    <row r="1748">
      <c r="A1748" s="70"/>
      <c r="B1748" s="71"/>
      <c r="C1748" s="71"/>
      <c r="D1748" s="72"/>
      <c r="E1748" s="72"/>
      <c r="F1748" s="72"/>
      <c r="G1748" s="72"/>
      <c r="H1748" s="72"/>
      <c r="I1748" s="72"/>
      <c r="J1748" s="72"/>
      <c r="K1748" s="72"/>
      <c r="L1748" s="72"/>
      <c r="M1748" s="72"/>
      <c r="N1748" s="73"/>
      <c r="O1748" s="74"/>
      <c r="P1748" s="74"/>
    </row>
    <row r="1749">
      <c r="A1749" s="70"/>
      <c r="B1749" s="71"/>
      <c r="C1749" s="71"/>
      <c r="D1749" s="72"/>
      <c r="E1749" s="72"/>
      <c r="F1749" s="72"/>
      <c r="G1749" s="72"/>
      <c r="H1749" s="72"/>
      <c r="I1749" s="72"/>
      <c r="J1749" s="72"/>
      <c r="K1749" s="72"/>
      <c r="L1749" s="72"/>
      <c r="M1749" s="72"/>
      <c r="N1749" s="73"/>
      <c r="O1749" s="74"/>
      <c r="P1749" s="74"/>
    </row>
    <row r="1750">
      <c r="A1750" s="70"/>
      <c r="B1750" s="71"/>
      <c r="C1750" s="71"/>
      <c r="D1750" s="72"/>
      <c r="E1750" s="72"/>
      <c r="F1750" s="72"/>
      <c r="G1750" s="72"/>
      <c r="H1750" s="72"/>
      <c r="I1750" s="72"/>
      <c r="J1750" s="72"/>
      <c r="K1750" s="72"/>
      <c r="L1750" s="72"/>
      <c r="M1750" s="72"/>
      <c r="N1750" s="73"/>
      <c r="O1750" s="74"/>
      <c r="P1750" s="74"/>
    </row>
    <row r="1751">
      <c r="A1751" s="70"/>
      <c r="B1751" s="71"/>
      <c r="C1751" s="71"/>
      <c r="D1751" s="72"/>
      <c r="E1751" s="72"/>
      <c r="F1751" s="72"/>
      <c r="G1751" s="72"/>
      <c r="H1751" s="72"/>
      <c r="I1751" s="72"/>
      <c r="J1751" s="72"/>
      <c r="K1751" s="72"/>
      <c r="L1751" s="72"/>
      <c r="M1751" s="72"/>
      <c r="N1751" s="73"/>
      <c r="O1751" s="74"/>
      <c r="P1751" s="74"/>
    </row>
    <row r="1752">
      <c r="A1752" s="70"/>
      <c r="B1752" s="71"/>
      <c r="C1752" s="71"/>
      <c r="D1752" s="72"/>
      <c r="E1752" s="72"/>
      <c r="F1752" s="72"/>
      <c r="G1752" s="72"/>
      <c r="H1752" s="72"/>
      <c r="I1752" s="72"/>
      <c r="J1752" s="72"/>
      <c r="K1752" s="72"/>
      <c r="L1752" s="72"/>
      <c r="M1752" s="72"/>
      <c r="N1752" s="73"/>
      <c r="O1752" s="74"/>
      <c r="P1752" s="74"/>
    </row>
    <row r="1753">
      <c r="A1753" s="70"/>
      <c r="B1753" s="71"/>
      <c r="C1753" s="71"/>
      <c r="D1753" s="72"/>
      <c r="E1753" s="72"/>
      <c r="F1753" s="72"/>
      <c r="G1753" s="72"/>
      <c r="H1753" s="72"/>
      <c r="I1753" s="72"/>
      <c r="J1753" s="72"/>
      <c r="K1753" s="72"/>
      <c r="L1753" s="72"/>
      <c r="M1753" s="72"/>
      <c r="N1753" s="73"/>
      <c r="O1753" s="74"/>
      <c r="P1753" s="74"/>
    </row>
    <row r="1754">
      <c r="A1754" s="70"/>
      <c r="B1754" s="71"/>
      <c r="C1754" s="71"/>
      <c r="D1754" s="72"/>
      <c r="E1754" s="72"/>
      <c r="F1754" s="72"/>
      <c r="G1754" s="72"/>
      <c r="H1754" s="72"/>
      <c r="I1754" s="72"/>
      <c r="J1754" s="72"/>
      <c r="K1754" s="72"/>
      <c r="L1754" s="72"/>
      <c r="M1754" s="72"/>
      <c r="N1754" s="73"/>
      <c r="O1754" s="74"/>
      <c r="P1754" s="74"/>
    </row>
    <row r="1755">
      <c r="A1755" s="70"/>
      <c r="B1755" s="71"/>
      <c r="C1755" s="71"/>
      <c r="D1755" s="72"/>
      <c r="E1755" s="72"/>
      <c r="F1755" s="72"/>
      <c r="G1755" s="72"/>
      <c r="H1755" s="72"/>
      <c r="I1755" s="72"/>
      <c r="J1755" s="72"/>
      <c r="K1755" s="72"/>
      <c r="L1755" s="72"/>
      <c r="M1755" s="72"/>
      <c r="N1755" s="73"/>
      <c r="O1755" s="74"/>
      <c r="P1755" s="74"/>
    </row>
    <row r="1756">
      <c r="A1756" s="70"/>
      <c r="B1756" s="71"/>
      <c r="C1756" s="71"/>
      <c r="D1756" s="72"/>
      <c r="E1756" s="72"/>
      <c r="F1756" s="72"/>
      <c r="G1756" s="72"/>
      <c r="H1756" s="72"/>
      <c r="I1756" s="72"/>
      <c r="J1756" s="72"/>
      <c r="K1756" s="72"/>
      <c r="L1756" s="72"/>
      <c r="M1756" s="72"/>
      <c r="N1756" s="73"/>
      <c r="O1756" s="74"/>
      <c r="P1756" s="74"/>
    </row>
    <row r="1757">
      <c r="A1757" s="70"/>
      <c r="B1757" s="71"/>
      <c r="C1757" s="71"/>
      <c r="D1757" s="72"/>
      <c r="E1757" s="72"/>
      <c r="F1757" s="72"/>
      <c r="G1757" s="72"/>
      <c r="H1757" s="72"/>
      <c r="I1757" s="72"/>
      <c r="J1757" s="72"/>
      <c r="K1757" s="72"/>
      <c r="L1757" s="72"/>
      <c r="M1757" s="72"/>
      <c r="N1757" s="73"/>
      <c r="O1757" s="74"/>
      <c r="P1757" s="74"/>
    </row>
    <row r="1758">
      <c r="A1758" s="70"/>
      <c r="B1758" s="71"/>
      <c r="C1758" s="71"/>
      <c r="D1758" s="72"/>
      <c r="E1758" s="72"/>
      <c r="F1758" s="72"/>
      <c r="G1758" s="72"/>
      <c r="H1758" s="72"/>
      <c r="I1758" s="72"/>
      <c r="J1758" s="72"/>
      <c r="K1758" s="72"/>
      <c r="L1758" s="72"/>
      <c r="M1758" s="72"/>
      <c r="N1758" s="73"/>
      <c r="O1758" s="74"/>
      <c r="P1758" s="74"/>
    </row>
    <row r="1759">
      <c r="A1759" s="70"/>
      <c r="B1759" s="71"/>
      <c r="C1759" s="71"/>
      <c r="D1759" s="72"/>
      <c r="E1759" s="72"/>
      <c r="F1759" s="72"/>
      <c r="G1759" s="72"/>
      <c r="H1759" s="72"/>
      <c r="I1759" s="72"/>
      <c r="J1759" s="72"/>
      <c r="K1759" s="72"/>
      <c r="L1759" s="72"/>
      <c r="M1759" s="72"/>
      <c r="N1759" s="73"/>
      <c r="O1759" s="74"/>
      <c r="P1759" s="74"/>
    </row>
    <row r="1760">
      <c r="A1760" s="70"/>
      <c r="B1760" s="71"/>
      <c r="C1760" s="71"/>
      <c r="D1760" s="72"/>
      <c r="E1760" s="72"/>
      <c r="F1760" s="72"/>
      <c r="G1760" s="72"/>
      <c r="H1760" s="72"/>
      <c r="I1760" s="72"/>
      <c r="J1760" s="72"/>
      <c r="K1760" s="72"/>
      <c r="L1760" s="72"/>
      <c r="M1760" s="72"/>
      <c r="N1760" s="73"/>
      <c r="O1760" s="74"/>
      <c r="P1760" s="74"/>
    </row>
    <row r="1761">
      <c r="A1761" s="70"/>
      <c r="B1761" s="71"/>
      <c r="C1761" s="71"/>
      <c r="D1761" s="72"/>
      <c r="E1761" s="72"/>
      <c r="F1761" s="72"/>
      <c r="G1761" s="72"/>
      <c r="H1761" s="72"/>
      <c r="I1761" s="72"/>
      <c r="J1761" s="72"/>
      <c r="K1761" s="72"/>
      <c r="L1761" s="72"/>
      <c r="M1761" s="72"/>
      <c r="N1761" s="73"/>
      <c r="O1761" s="74"/>
      <c r="P1761" s="74"/>
    </row>
    <row r="1762">
      <c r="A1762" s="70"/>
      <c r="B1762" s="71"/>
      <c r="C1762" s="71"/>
      <c r="D1762" s="72"/>
      <c r="E1762" s="72"/>
      <c r="F1762" s="72"/>
      <c r="G1762" s="72"/>
      <c r="H1762" s="72"/>
      <c r="I1762" s="72"/>
      <c r="J1762" s="72"/>
      <c r="K1762" s="72"/>
      <c r="L1762" s="72"/>
      <c r="M1762" s="72"/>
      <c r="N1762" s="73"/>
      <c r="O1762" s="74"/>
      <c r="P1762" s="74"/>
    </row>
    <row r="1763">
      <c r="A1763" s="70"/>
      <c r="B1763" s="71"/>
      <c r="C1763" s="71"/>
      <c r="D1763" s="72"/>
      <c r="E1763" s="72"/>
      <c r="F1763" s="72"/>
      <c r="G1763" s="72"/>
      <c r="H1763" s="72"/>
      <c r="I1763" s="72"/>
      <c r="J1763" s="72"/>
      <c r="K1763" s="72"/>
      <c r="L1763" s="72"/>
      <c r="M1763" s="72"/>
      <c r="N1763" s="73"/>
      <c r="O1763" s="74"/>
      <c r="P1763" s="74"/>
    </row>
    <row r="1764">
      <c r="A1764" s="70"/>
      <c r="B1764" s="71"/>
      <c r="C1764" s="71"/>
      <c r="D1764" s="72"/>
      <c r="E1764" s="72"/>
      <c r="F1764" s="72"/>
      <c r="G1764" s="72"/>
      <c r="H1764" s="72"/>
      <c r="I1764" s="72"/>
      <c r="J1764" s="72"/>
      <c r="K1764" s="72"/>
      <c r="L1764" s="72"/>
      <c r="M1764" s="72"/>
      <c r="N1764" s="73"/>
      <c r="O1764" s="74"/>
      <c r="P1764" s="74"/>
    </row>
    <row r="1765">
      <c r="A1765" s="70"/>
      <c r="B1765" s="71"/>
      <c r="C1765" s="71"/>
      <c r="D1765" s="72"/>
      <c r="E1765" s="72"/>
      <c r="F1765" s="72"/>
      <c r="G1765" s="72"/>
      <c r="H1765" s="72"/>
      <c r="I1765" s="72"/>
      <c r="J1765" s="72"/>
      <c r="K1765" s="72"/>
      <c r="L1765" s="72"/>
      <c r="M1765" s="72"/>
      <c r="N1765" s="73"/>
      <c r="O1765" s="74"/>
      <c r="P1765" s="74"/>
    </row>
    <row r="1766">
      <c r="A1766" s="70"/>
      <c r="B1766" s="71"/>
      <c r="C1766" s="71"/>
      <c r="D1766" s="72"/>
      <c r="E1766" s="72"/>
      <c r="F1766" s="72"/>
      <c r="G1766" s="72"/>
      <c r="H1766" s="72"/>
      <c r="I1766" s="72"/>
      <c r="J1766" s="72"/>
      <c r="K1766" s="72"/>
      <c r="L1766" s="72"/>
      <c r="M1766" s="72"/>
      <c r="N1766" s="73"/>
      <c r="O1766" s="74"/>
      <c r="P1766" s="74"/>
    </row>
    <row r="1767">
      <c r="A1767" s="70"/>
      <c r="B1767" s="71"/>
      <c r="C1767" s="71"/>
      <c r="D1767" s="72"/>
      <c r="E1767" s="72"/>
      <c r="F1767" s="72"/>
      <c r="G1767" s="72"/>
      <c r="H1767" s="72"/>
      <c r="I1767" s="72"/>
      <c r="J1767" s="72"/>
      <c r="K1767" s="72"/>
      <c r="L1767" s="72"/>
      <c r="M1767" s="72"/>
      <c r="N1767" s="73"/>
      <c r="O1767" s="74"/>
      <c r="P1767" s="74"/>
    </row>
    <row r="1768">
      <c r="A1768" s="70"/>
      <c r="B1768" s="71"/>
      <c r="C1768" s="71"/>
      <c r="D1768" s="72"/>
      <c r="E1768" s="72"/>
      <c r="F1768" s="72"/>
      <c r="G1768" s="72"/>
      <c r="H1768" s="72"/>
      <c r="I1768" s="72"/>
      <c r="J1768" s="72"/>
      <c r="K1768" s="72"/>
      <c r="L1768" s="72"/>
      <c r="M1768" s="72"/>
      <c r="N1768" s="73"/>
      <c r="O1768" s="74"/>
      <c r="P1768" s="74"/>
    </row>
    <row r="1769">
      <c r="A1769" s="70"/>
      <c r="B1769" s="71"/>
      <c r="C1769" s="71"/>
      <c r="D1769" s="72"/>
      <c r="E1769" s="72"/>
      <c r="F1769" s="72"/>
      <c r="G1769" s="72"/>
      <c r="H1769" s="72"/>
      <c r="I1769" s="72"/>
      <c r="J1769" s="72"/>
      <c r="K1769" s="72"/>
      <c r="L1769" s="72"/>
      <c r="M1769" s="72"/>
      <c r="N1769" s="73"/>
      <c r="O1769" s="74"/>
      <c r="P1769" s="74"/>
    </row>
    <row r="1770">
      <c r="A1770" s="70"/>
      <c r="B1770" s="71"/>
      <c r="C1770" s="71"/>
      <c r="D1770" s="72"/>
      <c r="E1770" s="72"/>
      <c r="F1770" s="72"/>
      <c r="G1770" s="72"/>
      <c r="H1770" s="72"/>
      <c r="I1770" s="72"/>
      <c r="J1770" s="72"/>
      <c r="K1770" s="72"/>
      <c r="L1770" s="72"/>
      <c r="M1770" s="72"/>
      <c r="N1770" s="73"/>
      <c r="O1770" s="74"/>
      <c r="P1770" s="74"/>
    </row>
    <row r="1771">
      <c r="A1771" s="70"/>
      <c r="B1771" s="71"/>
      <c r="C1771" s="71"/>
      <c r="D1771" s="72"/>
      <c r="E1771" s="72"/>
      <c r="F1771" s="72"/>
      <c r="G1771" s="72"/>
      <c r="H1771" s="72"/>
      <c r="I1771" s="72"/>
      <c r="J1771" s="72"/>
      <c r="K1771" s="72"/>
      <c r="L1771" s="72"/>
      <c r="M1771" s="72"/>
      <c r="N1771" s="73"/>
      <c r="O1771" s="74"/>
      <c r="P1771" s="74"/>
    </row>
    <row r="1772">
      <c r="A1772" s="70"/>
      <c r="B1772" s="71"/>
      <c r="C1772" s="71"/>
      <c r="D1772" s="72"/>
      <c r="E1772" s="72"/>
      <c r="F1772" s="72"/>
      <c r="G1772" s="72"/>
      <c r="H1772" s="72"/>
      <c r="I1772" s="72"/>
      <c r="J1772" s="72"/>
      <c r="K1772" s="72"/>
      <c r="L1772" s="72"/>
      <c r="M1772" s="72"/>
      <c r="N1772" s="73"/>
      <c r="O1772" s="74"/>
      <c r="P1772" s="74"/>
    </row>
    <row r="1773">
      <c r="A1773" s="70"/>
      <c r="B1773" s="71"/>
      <c r="C1773" s="71"/>
      <c r="D1773" s="72"/>
      <c r="E1773" s="72"/>
      <c r="F1773" s="72"/>
      <c r="G1773" s="72"/>
      <c r="H1773" s="72"/>
      <c r="I1773" s="72"/>
      <c r="J1773" s="72"/>
      <c r="K1773" s="72"/>
      <c r="L1773" s="72"/>
      <c r="M1773" s="72"/>
      <c r="N1773" s="73"/>
      <c r="O1773" s="74"/>
      <c r="P1773" s="74"/>
    </row>
    <row r="1774">
      <c r="A1774" s="70"/>
      <c r="B1774" s="71"/>
      <c r="C1774" s="71"/>
      <c r="D1774" s="72"/>
      <c r="E1774" s="72"/>
      <c r="F1774" s="72"/>
      <c r="G1774" s="72"/>
      <c r="H1774" s="72"/>
      <c r="I1774" s="72"/>
      <c r="J1774" s="72"/>
      <c r="K1774" s="72"/>
      <c r="L1774" s="72"/>
      <c r="M1774" s="72"/>
      <c r="N1774" s="73"/>
      <c r="O1774" s="74"/>
      <c r="P1774" s="74"/>
    </row>
    <row r="1775">
      <c r="A1775" s="70"/>
      <c r="B1775" s="71"/>
      <c r="C1775" s="71"/>
      <c r="D1775" s="72"/>
      <c r="E1775" s="72"/>
      <c r="F1775" s="72"/>
      <c r="G1775" s="72"/>
      <c r="H1775" s="72"/>
      <c r="I1775" s="72"/>
      <c r="J1775" s="72"/>
      <c r="K1775" s="72"/>
      <c r="L1775" s="72"/>
      <c r="M1775" s="72"/>
      <c r="N1775" s="73"/>
      <c r="O1775" s="74"/>
      <c r="P1775" s="74"/>
    </row>
    <row r="1776">
      <c r="A1776" s="70"/>
      <c r="B1776" s="71"/>
      <c r="C1776" s="71"/>
      <c r="D1776" s="72"/>
      <c r="E1776" s="72"/>
      <c r="F1776" s="72"/>
      <c r="G1776" s="72"/>
      <c r="H1776" s="72"/>
      <c r="I1776" s="72"/>
      <c r="J1776" s="72"/>
      <c r="K1776" s="72"/>
      <c r="L1776" s="72"/>
      <c r="M1776" s="72"/>
      <c r="N1776" s="73"/>
      <c r="O1776" s="74"/>
      <c r="P1776" s="74"/>
    </row>
    <row r="1777">
      <c r="A1777" s="70"/>
      <c r="B1777" s="71"/>
      <c r="C1777" s="71"/>
      <c r="D1777" s="72"/>
      <c r="E1777" s="72"/>
      <c r="F1777" s="72"/>
      <c r="G1777" s="72"/>
      <c r="H1777" s="72"/>
      <c r="I1777" s="72"/>
      <c r="J1777" s="72"/>
      <c r="K1777" s="72"/>
      <c r="L1777" s="72"/>
      <c r="M1777" s="72"/>
      <c r="N1777" s="73"/>
      <c r="O1777" s="74"/>
      <c r="P1777" s="74"/>
    </row>
    <row r="1778">
      <c r="A1778" s="70"/>
      <c r="B1778" s="71"/>
      <c r="C1778" s="71"/>
      <c r="D1778" s="72"/>
      <c r="E1778" s="72"/>
      <c r="F1778" s="72"/>
      <c r="G1778" s="72"/>
      <c r="H1778" s="72"/>
      <c r="I1778" s="72"/>
      <c r="J1778" s="72"/>
      <c r="K1778" s="72"/>
      <c r="L1778" s="72"/>
      <c r="M1778" s="72"/>
      <c r="N1778" s="73"/>
      <c r="O1778" s="74"/>
      <c r="P1778" s="74"/>
    </row>
    <row r="1779">
      <c r="A1779" s="70"/>
      <c r="B1779" s="71"/>
      <c r="C1779" s="71"/>
      <c r="D1779" s="72"/>
      <c r="E1779" s="72"/>
      <c r="F1779" s="72"/>
      <c r="G1779" s="72"/>
      <c r="H1779" s="72"/>
      <c r="I1779" s="72"/>
      <c r="J1779" s="72"/>
      <c r="K1779" s="72"/>
      <c r="L1779" s="72"/>
      <c r="M1779" s="72"/>
      <c r="N1779" s="73"/>
      <c r="O1779" s="74"/>
      <c r="P1779" s="74"/>
    </row>
    <row r="1780">
      <c r="A1780" s="70"/>
      <c r="B1780" s="71"/>
      <c r="C1780" s="71"/>
      <c r="D1780" s="72"/>
      <c r="E1780" s="72"/>
      <c r="F1780" s="72"/>
      <c r="G1780" s="72"/>
      <c r="H1780" s="72"/>
      <c r="I1780" s="72"/>
      <c r="J1780" s="72"/>
      <c r="K1780" s="72"/>
      <c r="L1780" s="72"/>
      <c r="M1780" s="72"/>
      <c r="N1780" s="73"/>
      <c r="O1780" s="74"/>
      <c r="P1780" s="74"/>
    </row>
    <row r="1781">
      <c r="A1781" s="70"/>
      <c r="B1781" s="71"/>
      <c r="C1781" s="71"/>
      <c r="D1781" s="72"/>
      <c r="E1781" s="72"/>
      <c r="F1781" s="72"/>
      <c r="G1781" s="72"/>
      <c r="H1781" s="72"/>
      <c r="I1781" s="72"/>
      <c r="J1781" s="72"/>
      <c r="K1781" s="72"/>
      <c r="L1781" s="72"/>
      <c r="M1781" s="72"/>
      <c r="N1781" s="73"/>
      <c r="O1781" s="74"/>
      <c r="P1781" s="74"/>
    </row>
    <row r="1782">
      <c r="A1782" s="70"/>
      <c r="B1782" s="71"/>
      <c r="C1782" s="71"/>
      <c r="D1782" s="72"/>
      <c r="E1782" s="72"/>
      <c r="F1782" s="72"/>
      <c r="G1782" s="72"/>
      <c r="H1782" s="72"/>
      <c r="I1782" s="72"/>
      <c r="J1782" s="72"/>
      <c r="K1782" s="72"/>
      <c r="L1782" s="72"/>
      <c r="M1782" s="72"/>
      <c r="N1782" s="73"/>
      <c r="O1782" s="74"/>
      <c r="P1782" s="74"/>
    </row>
    <row r="1783">
      <c r="A1783" s="70"/>
      <c r="B1783" s="71"/>
      <c r="C1783" s="71"/>
      <c r="D1783" s="72"/>
      <c r="E1783" s="72"/>
      <c r="F1783" s="72"/>
      <c r="G1783" s="72"/>
      <c r="H1783" s="72"/>
      <c r="I1783" s="72"/>
      <c r="J1783" s="72"/>
      <c r="K1783" s="72"/>
      <c r="L1783" s="72"/>
      <c r="M1783" s="72"/>
      <c r="N1783" s="73"/>
      <c r="O1783" s="74"/>
      <c r="P1783" s="74"/>
    </row>
    <row r="1784">
      <c r="A1784" s="70"/>
      <c r="B1784" s="71"/>
      <c r="C1784" s="71"/>
      <c r="D1784" s="72"/>
      <c r="E1784" s="72"/>
      <c r="F1784" s="72"/>
      <c r="G1784" s="72"/>
      <c r="H1784" s="72"/>
      <c r="I1784" s="72"/>
      <c r="J1784" s="72"/>
      <c r="K1784" s="72"/>
      <c r="L1784" s="72"/>
      <c r="M1784" s="72"/>
      <c r="N1784" s="73"/>
      <c r="O1784" s="74"/>
      <c r="P1784" s="74"/>
    </row>
    <row r="1785">
      <c r="A1785" s="70"/>
      <c r="B1785" s="71"/>
      <c r="C1785" s="71"/>
      <c r="D1785" s="72"/>
      <c r="E1785" s="72"/>
      <c r="F1785" s="72"/>
      <c r="G1785" s="72"/>
      <c r="H1785" s="72"/>
      <c r="I1785" s="72"/>
      <c r="J1785" s="72"/>
      <c r="K1785" s="72"/>
      <c r="L1785" s="72"/>
      <c r="M1785" s="72"/>
      <c r="N1785" s="73"/>
      <c r="O1785" s="74"/>
      <c r="P1785" s="74"/>
    </row>
    <row r="1786">
      <c r="A1786" s="70"/>
      <c r="B1786" s="71"/>
      <c r="C1786" s="71"/>
      <c r="D1786" s="72"/>
      <c r="E1786" s="72"/>
      <c r="F1786" s="72"/>
      <c r="G1786" s="72"/>
      <c r="H1786" s="72"/>
      <c r="I1786" s="72"/>
      <c r="J1786" s="72"/>
      <c r="K1786" s="72"/>
      <c r="L1786" s="72"/>
      <c r="M1786" s="72"/>
      <c r="N1786" s="73"/>
      <c r="O1786" s="74"/>
      <c r="P1786" s="74"/>
    </row>
    <row r="1787">
      <c r="A1787" s="70"/>
      <c r="B1787" s="71"/>
      <c r="C1787" s="71"/>
      <c r="D1787" s="72"/>
      <c r="E1787" s="72"/>
      <c r="F1787" s="72"/>
      <c r="G1787" s="72"/>
      <c r="H1787" s="72"/>
      <c r="I1787" s="72"/>
      <c r="J1787" s="72"/>
      <c r="K1787" s="72"/>
      <c r="L1787" s="72"/>
      <c r="M1787" s="72"/>
      <c r="N1787" s="73"/>
      <c r="O1787" s="74"/>
      <c r="P1787" s="74"/>
    </row>
    <row r="1788">
      <c r="A1788" s="70"/>
      <c r="B1788" s="71"/>
      <c r="C1788" s="71"/>
      <c r="D1788" s="72"/>
      <c r="E1788" s="72"/>
      <c r="F1788" s="72"/>
      <c r="G1788" s="72"/>
      <c r="H1788" s="72"/>
      <c r="I1788" s="72"/>
      <c r="J1788" s="72"/>
      <c r="K1788" s="72"/>
      <c r="L1788" s="72"/>
      <c r="M1788" s="72"/>
      <c r="N1788" s="73"/>
      <c r="O1788" s="74"/>
      <c r="P1788" s="74"/>
    </row>
    <row r="1789">
      <c r="A1789" s="70"/>
      <c r="B1789" s="71"/>
      <c r="C1789" s="71"/>
      <c r="D1789" s="72"/>
      <c r="E1789" s="72"/>
      <c r="F1789" s="72"/>
      <c r="G1789" s="72"/>
      <c r="H1789" s="72"/>
      <c r="I1789" s="72"/>
      <c r="J1789" s="72"/>
      <c r="K1789" s="72"/>
      <c r="L1789" s="72"/>
      <c r="M1789" s="72"/>
      <c r="N1789" s="73"/>
      <c r="O1789" s="74"/>
      <c r="P1789" s="74"/>
    </row>
    <row r="1790">
      <c r="A1790" s="70"/>
      <c r="B1790" s="71"/>
      <c r="C1790" s="71"/>
      <c r="D1790" s="72"/>
      <c r="E1790" s="72"/>
      <c r="F1790" s="72"/>
      <c r="G1790" s="72"/>
      <c r="H1790" s="72"/>
      <c r="I1790" s="72"/>
      <c r="J1790" s="72"/>
      <c r="K1790" s="72"/>
      <c r="L1790" s="72"/>
      <c r="M1790" s="72"/>
      <c r="N1790" s="73"/>
      <c r="O1790" s="74"/>
      <c r="P1790" s="74"/>
    </row>
    <row r="1791">
      <c r="A1791" s="70"/>
      <c r="B1791" s="71"/>
      <c r="C1791" s="71"/>
      <c r="D1791" s="72"/>
      <c r="E1791" s="72"/>
      <c r="F1791" s="72"/>
      <c r="G1791" s="72"/>
      <c r="H1791" s="72"/>
      <c r="I1791" s="72"/>
      <c r="J1791" s="72"/>
      <c r="K1791" s="72"/>
      <c r="L1791" s="72"/>
      <c r="M1791" s="72"/>
      <c r="N1791" s="73"/>
      <c r="O1791" s="74"/>
      <c r="P1791" s="74"/>
    </row>
    <row r="1792">
      <c r="A1792" s="70"/>
      <c r="B1792" s="71"/>
      <c r="C1792" s="71"/>
      <c r="D1792" s="72"/>
      <c r="E1792" s="72"/>
      <c r="F1792" s="72"/>
      <c r="G1792" s="72"/>
      <c r="H1792" s="72"/>
      <c r="I1792" s="72"/>
      <c r="J1792" s="72"/>
      <c r="K1792" s="72"/>
      <c r="L1792" s="72"/>
      <c r="M1792" s="72"/>
      <c r="N1792" s="73"/>
      <c r="O1792" s="74"/>
      <c r="P1792" s="74"/>
    </row>
    <row r="1793">
      <c r="A1793" s="70"/>
      <c r="B1793" s="71"/>
      <c r="C1793" s="71"/>
      <c r="D1793" s="72"/>
      <c r="E1793" s="72"/>
      <c r="F1793" s="72"/>
      <c r="G1793" s="72"/>
      <c r="H1793" s="72"/>
      <c r="I1793" s="72"/>
      <c r="J1793" s="72"/>
      <c r="K1793" s="72"/>
      <c r="L1793" s="72"/>
      <c r="M1793" s="72"/>
      <c r="N1793" s="73"/>
      <c r="O1793" s="74"/>
      <c r="P1793" s="74"/>
    </row>
    <row r="1794">
      <c r="A1794" s="70"/>
      <c r="B1794" s="71"/>
      <c r="C1794" s="71"/>
      <c r="D1794" s="72"/>
      <c r="E1794" s="72"/>
      <c r="F1794" s="72"/>
      <c r="G1794" s="72"/>
      <c r="H1794" s="72"/>
      <c r="I1794" s="72"/>
      <c r="J1794" s="72"/>
      <c r="K1794" s="72"/>
      <c r="L1794" s="72"/>
      <c r="M1794" s="72"/>
      <c r="N1794" s="73"/>
      <c r="O1794" s="74"/>
      <c r="P1794" s="74"/>
    </row>
    <row r="1795">
      <c r="A1795" s="70"/>
      <c r="B1795" s="71"/>
      <c r="C1795" s="71"/>
      <c r="D1795" s="72"/>
      <c r="E1795" s="72"/>
      <c r="F1795" s="72"/>
      <c r="G1795" s="72"/>
      <c r="H1795" s="72"/>
      <c r="I1795" s="72"/>
      <c r="J1795" s="72"/>
      <c r="K1795" s="72"/>
      <c r="L1795" s="72"/>
      <c r="M1795" s="72"/>
      <c r="N1795" s="73"/>
      <c r="O1795" s="74"/>
      <c r="P1795" s="74"/>
    </row>
    <row r="1796">
      <c r="A1796" s="70"/>
      <c r="B1796" s="71"/>
      <c r="C1796" s="71"/>
      <c r="D1796" s="72"/>
      <c r="E1796" s="72"/>
      <c r="F1796" s="72"/>
      <c r="G1796" s="72"/>
      <c r="H1796" s="72"/>
      <c r="I1796" s="72"/>
      <c r="J1796" s="72"/>
      <c r="K1796" s="72"/>
      <c r="L1796" s="72"/>
      <c r="M1796" s="72"/>
      <c r="N1796" s="73"/>
      <c r="O1796" s="74"/>
      <c r="P1796" s="74"/>
    </row>
    <row r="1797">
      <c r="A1797" s="70"/>
      <c r="B1797" s="71"/>
      <c r="C1797" s="71"/>
      <c r="D1797" s="72"/>
      <c r="E1797" s="72"/>
      <c r="F1797" s="72"/>
      <c r="G1797" s="72"/>
      <c r="H1797" s="72"/>
      <c r="I1797" s="72"/>
      <c r="J1797" s="72"/>
      <c r="K1797" s="72"/>
      <c r="L1797" s="72"/>
      <c r="M1797" s="72"/>
      <c r="N1797" s="73"/>
      <c r="O1797" s="74"/>
      <c r="P1797" s="74"/>
    </row>
    <row r="1798">
      <c r="A1798" s="70"/>
      <c r="B1798" s="71"/>
      <c r="C1798" s="71"/>
      <c r="D1798" s="72"/>
      <c r="E1798" s="72"/>
      <c r="F1798" s="72"/>
      <c r="G1798" s="72"/>
      <c r="H1798" s="72"/>
      <c r="I1798" s="72"/>
      <c r="J1798" s="72"/>
      <c r="K1798" s="72"/>
      <c r="L1798" s="72"/>
      <c r="M1798" s="72"/>
      <c r="N1798" s="73"/>
      <c r="O1798" s="74"/>
      <c r="P1798" s="74"/>
    </row>
    <row r="1799">
      <c r="A1799" s="70"/>
      <c r="B1799" s="71"/>
      <c r="C1799" s="71"/>
      <c r="D1799" s="72"/>
      <c r="E1799" s="72"/>
      <c r="F1799" s="72"/>
      <c r="G1799" s="72"/>
      <c r="H1799" s="72"/>
      <c r="I1799" s="72"/>
      <c r="J1799" s="72"/>
      <c r="K1799" s="72"/>
      <c r="L1799" s="72"/>
      <c r="M1799" s="72"/>
      <c r="N1799" s="73"/>
      <c r="O1799" s="74"/>
      <c r="P1799" s="74"/>
    </row>
    <row r="1800">
      <c r="A1800" s="70"/>
      <c r="B1800" s="71"/>
      <c r="C1800" s="71"/>
      <c r="D1800" s="72"/>
      <c r="E1800" s="72"/>
      <c r="F1800" s="72"/>
      <c r="G1800" s="72"/>
      <c r="H1800" s="72"/>
      <c r="I1800" s="72"/>
      <c r="J1800" s="72"/>
      <c r="K1800" s="72"/>
      <c r="L1800" s="72"/>
      <c r="M1800" s="72"/>
      <c r="N1800" s="73"/>
      <c r="O1800" s="74"/>
      <c r="P1800" s="74"/>
    </row>
    <row r="1801">
      <c r="A1801" s="70"/>
      <c r="B1801" s="71"/>
      <c r="C1801" s="71"/>
      <c r="D1801" s="72"/>
      <c r="E1801" s="72"/>
      <c r="F1801" s="72"/>
      <c r="G1801" s="72"/>
      <c r="H1801" s="72"/>
      <c r="I1801" s="72"/>
      <c r="J1801" s="72"/>
      <c r="K1801" s="72"/>
      <c r="L1801" s="72"/>
      <c r="M1801" s="72"/>
      <c r="N1801" s="73"/>
      <c r="O1801" s="74"/>
      <c r="P1801" s="74"/>
    </row>
    <row r="1802">
      <c r="A1802" s="70"/>
      <c r="B1802" s="71"/>
      <c r="C1802" s="71"/>
      <c r="D1802" s="72"/>
      <c r="E1802" s="72"/>
      <c r="F1802" s="72"/>
      <c r="G1802" s="72"/>
      <c r="H1802" s="72"/>
      <c r="I1802" s="72"/>
      <c r="J1802" s="72"/>
      <c r="K1802" s="72"/>
      <c r="L1802" s="72"/>
      <c r="M1802" s="72"/>
      <c r="N1802" s="73"/>
      <c r="O1802" s="74"/>
      <c r="P1802" s="74"/>
    </row>
    <row r="1803">
      <c r="A1803" s="70"/>
      <c r="B1803" s="71"/>
      <c r="C1803" s="71"/>
      <c r="D1803" s="72"/>
      <c r="E1803" s="72"/>
      <c r="F1803" s="72"/>
      <c r="G1803" s="72"/>
      <c r="H1803" s="72"/>
      <c r="I1803" s="72"/>
      <c r="J1803" s="72"/>
      <c r="K1803" s="72"/>
      <c r="L1803" s="72"/>
      <c r="M1803" s="72"/>
      <c r="N1803" s="73"/>
      <c r="O1803" s="74"/>
      <c r="P1803" s="74"/>
    </row>
    <row r="1804">
      <c r="A1804" s="70"/>
      <c r="B1804" s="71"/>
      <c r="C1804" s="71"/>
      <c r="D1804" s="72"/>
      <c r="E1804" s="72"/>
      <c r="F1804" s="72"/>
      <c r="G1804" s="72"/>
      <c r="H1804" s="72"/>
      <c r="I1804" s="72"/>
      <c r="J1804" s="72"/>
      <c r="K1804" s="72"/>
      <c r="L1804" s="72"/>
      <c r="M1804" s="72"/>
      <c r="N1804" s="73"/>
      <c r="O1804" s="74"/>
      <c r="P1804" s="74"/>
    </row>
    <row r="1805">
      <c r="A1805" s="70"/>
      <c r="B1805" s="71"/>
      <c r="C1805" s="71"/>
      <c r="D1805" s="72"/>
      <c r="E1805" s="72"/>
      <c r="F1805" s="72"/>
      <c r="G1805" s="72"/>
      <c r="H1805" s="72"/>
      <c r="I1805" s="72"/>
      <c r="J1805" s="72"/>
      <c r="K1805" s="72"/>
      <c r="L1805" s="72"/>
      <c r="M1805" s="72"/>
      <c r="N1805" s="73"/>
      <c r="O1805" s="74"/>
      <c r="P1805" s="74"/>
    </row>
    <row r="1806">
      <c r="A1806" s="70"/>
      <c r="B1806" s="71"/>
      <c r="C1806" s="71"/>
      <c r="D1806" s="72"/>
      <c r="E1806" s="72"/>
      <c r="F1806" s="72"/>
      <c r="G1806" s="72"/>
      <c r="H1806" s="72"/>
      <c r="I1806" s="72"/>
      <c r="J1806" s="72"/>
      <c r="K1806" s="72"/>
      <c r="L1806" s="72"/>
      <c r="M1806" s="72"/>
      <c r="N1806" s="73"/>
      <c r="O1806" s="74"/>
      <c r="P1806" s="74"/>
    </row>
    <row r="1807">
      <c r="A1807" s="70"/>
      <c r="B1807" s="71"/>
      <c r="C1807" s="71"/>
      <c r="D1807" s="72"/>
      <c r="E1807" s="72"/>
      <c r="F1807" s="72"/>
      <c r="G1807" s="72"/>
      <c r="H1807" s="72"/>
      <c r="I1807" s="72"/>
      <c r="J1807" s="72"/>
      <c r="K1807" s="72"/>
      <c r="L1807" s="72"/>
      <c r="M1807" s="72"/>
      <c r="N1807" s="73"/>
      <c r="O1807" s="74"/>
      <c r="P1807" s="74"/>
    </row>
    <row r="1808">
      <c r="A1808" s="70"/>
      <c r="B1808" s="71"/>
      <c r="C1808" s="71"/>
      <c r="D1808" s="72"/>
      <c r="E1808" s="72"/>
      <c r="F1808" s="72"/>
      <c r="G1808" s="72"/>
      <c r="H1808" s="72"/>
      <c r="I1808" s="72"/>
      <c r="J1808" s="72"/>
      <c r="K1808" s="72"/>
      <c r="L1808" s="72"/>
      <c r="M1808" s="72"/>
      <c r="N1808" s="73"/>
      <c r="O1808" s="74"/>
      <c r="P1808" s="74"/>
    </row>
    <row r="1809">
      <c r="A1809" s="70"/>
      <c r="B1809" s="71"/>
      <c r="C1809" s="71"/>
      <c r="D1809" s="72"/>
      <c r="E1809" s="72"/>
      <c r="F1809" s="72"/>
      <c r="G1809" s="72"/>
      <c r="H1809" s="72"/>
      <c r="I1809" s="72"/>
      <c r="J1809" s="72"/>
      <c r="K1809" s="72"/>
      <c r="L1809" s="72"/>
      <c r="M1809" s="72"/>
      <c r="N1809" s="73"/>
      <c r="O1809" s="74"/>
      <c r="P1809" s="74"/>
    </row>
    <row r="1810">
      <c r="A1810" s="70"/>
      <c r="B1810" s="71"/>
      <c r="C1810" s="71"/>
      <c r="D1810" s="72"/>
      <c r="E1810" s="72"/>
      <c r="F1810" s="72"/>
      <c r="G1810" s="72"/>
      <c r="H1810" s="72"/>
      <c r="I1810" s="72"/>
      <c r="J1810" s="72"/>
      <c r="K1810" s="72"/>
      <c r="L1810" s="72"/>
      <c r="M1810" s="72"/>
      <c r="N1810" s="73"/>
      <c r="O1810" s="74"/>
      <c r="P1810" s="74"/>
    </row>
    <row r="1811">
      <c r="A1811" s="70"/>
      <c r="B1811" s="71"/>
      <c r="C1811" s="71"/>
      <c r="D1811" s="72"/>
      <c r="E1811" s="72"/>
      <c r="F1811" s="72"/>
      <c r="G1811" s="72"/>
      <c r="H1811" s="72"/>
      <c r="I1811" s="72"/>
      <c r="J1811" s="72"/>
      <c r="K1811" s="72"/>
      <c r="L1811" s="72"/>
      <c r="M1811" s="72"/>
      <c r="N1811" s="73"/>
      <c r="O1811" s="74"/>
      <c r="P1811" s="74"/>
    </row>
    <row r="1812">
      <c r="A1812" s="70"/>
      <c r="B1812" s="71"/>
      <c r="C1812" s="71"/>
      <c r="D1812" s="72"/>
      <c r="E1812" s="72"/>
      <c r="F1812" s="72"/>
      <c r="G1812" s="72"/>
      <c r="H1812" s="72"/>
      <c r="I1812" s="72"/>
      <c r="J1812" s="72"/>
      <c r="K1812" s="72"/>
      <c r="L1812" s="72"/>
      <c r="M1812" s="72"/>
      <c r="N1812" s="73"/>
      <c r="O1812" s="74"/>
      <c r="P1812" s="74"/>
    </row>
    <row r="1813">
      <c r="A1813" s="70"/>
      <c r="B1813" s="71"/>
      <c r="C1813" s="71"/>
      <c r="D1813" s="72"/>
      <c r="E1813" s="72"/>
      <c r="F1813" s="72"/>
      <c r="G1813" s="72"/>
      <c r="H1813" s="72"/>
      <c r="I1813" s="72"/>
      <c r="J1813" s="72"/>
      <c r="K1813" s="72"/>
      <c r="L1813" s="72"/>
      <c r="M1813" s="72"/>
      <c r="N1813" s="73"/>
      <c r="O1813" s="74"/>
      <c r="P1813" s="74"/>
    </row>
    <row r="1814">
      <c r="A1814" s="70"/>
      <c r="B1814" s="71"/>
      <c r="C1814" s="71"/>
      <c r="D1814" s="72"/>
      <c r="E1814" s="72"/>
      <c r="F1814" s="72"/>
      <c r="G1814" s="72"/>
      <c r="H1814" s="72"/>
      <c r="I1814" s="72"/>
      <c r="J1814" s="72"/>
      <c r="K1814" s="72"/>
      <c r="L1814" s="72"/>
      <c r="M1814" s="72"/>
      <c r="N1814" s="73"/>
      <c r="O1814" s="74"/>
      <c r="P1814" s="74"/>
    </row>
    <row r="1815">
      <c r="A1815" s="70"/>
      <c r="B1815" s="71"/>
      <c r="C1815" s="71"/>
      <c r="D1815" s="72"/>
      <c r="E1815" s="72"/>
      <c r="F1815" s="72"/>
      <c r="G1815" s="72"/>
      <c r="H1815" s="72"/>
      <c r="I1815" s="72"/>
      <c r="J1815" s="72"/>
      <c r="K1815" s="72"/>
      <c r="L1815" s="72"/>
      <c r="M1815" s="72"/>
      <c r="N1815" s="73"/>
      <c r="O1815" s="74"/>
      <c r="P1815" s="74"/>
    </row>
    <row r="1816">
      <c r="A1816" s="70"/>
      <c r="B1816" s="71"/>
      <c r="C1816" s="71"/>
      <c r="D1816" s="72"/>
      <c r="E1816" s="72"/>
      <c r="F1816" s="72"/>
      <c r="G1816" s="72"/>
      <c r="H1816" s="72"/>
      <c r="I1816" s="72"/>
      <c r="J1816" s="72"/>
      <c r="K1816" s="72"/>
      <c r="L1816" s="72"/>
      <c r="M1816" s="72"/>
      <c r="N1816" s="73"/>
      <c r="O1816" s="74"/>
      <c r="P1816" s="74"/>
    </row>
    <row r="1817">
      <c r="A1817" s="70"/>
      <c r="B1817" s="71"/>
      <c r="C1817" s="71"/>
      <c r="D1817" s="72"/>
      <c r="E1817" s="72"/>
      <c r="F1817" s="72"/>
      <c r="G1817" s="72"/>
      <c r="H1817" s="72"/>
      <c r="I1817" s="72"/>
      <c r="J1817" s="72"/>
      <c r="K1817" s="72"/>
      <c r="L1817" s="72"/>
      <c r="M1817" s="72"/>
      <c r="N1817" s="73"/>
      <c r="O1817" s="74"/>
      <c r="P1817" s="74"/>
    </row>
    <row r="1818">
      <c r="A1818" s="70"/>
      <c r="B1818" s="71"/>
      <c r="C1818" s="71"/>
      <c r="D1818" s="72"/>
      <c r="E1818" s="72"/>
      <c r="F1818" s="72"/>
      <c r="G1818" s="72"/>
      <c r="H1818" s="72"/>
      <c r="I1818" s="72"/>
      <c r="J1818" s="72"/>
      <c r="K1818" s="72"/>
      <c r="L1818" s="72"/>
      <c r="M1818" s="72"/>
      <c r="N1818" s="73"/>
      <c r="O1818" s="74"/>
      <c r="P1818" s="74"/>
    </row>
    <row r="1819">
      <c r="A1819" s="70"/>
      <c r="B1819" s="71"/>
      <c r="C1819" s="71"/>
      <c r="D1819" s="72"/>
      <c r="E1819" s="72"/>
      <c r="F1819" s="72"/>
      <c r="G1819" s="72"/>
      <c r="H1819" s="72"/>
      <c r="I1819" s="72"/>
      <c r="J1819" s="72"/>
      <c r="K1819" s="72"/>
      <c r="L1819" s="72"/>
      <c r="M1819" s="72"/>
      <c r="N1819" s="73"/>
      <c r="O1819" s="74"/>
      <c r="P1819" s="74"/>
    </row>
    <row r="1820">
      <c r="A1820" s="70"/>
      <c r="B1820" s="71"/>
      <c r="C1820" s="71"/>
      <c r="D1820" s="72"/>
      <c r="E1820" s="72"/>
      <c r="F1820" s="72"/>
      <c r="G1820" s="72"/>
      <c r="H1820" s="72"/>
      <c r="I1820" s="72"/>
      <c r="J1820" s="72"/>
      <c r="K1820" s="72"/>
      <c r="L1820" s="72"/>
      <c r="M1820" s="72"/>
      <c r="N1820" s="73"/>
      <c r="O1820" s="74"/>
      <c r="P1820" s="74"/>
    </row>
    <row r="1821">
      <c r="A1821" s="70"/>
      <c r="B1821" s="71"/>
      <c r="C1821" s="71"/>
      <c r="D1821" s="72"/>
      <c r="E1821" s="72"/>
      <c r="F1821" s="72"/>
      <c r="G1821" s="72"/>
      <c r="H1821" s="72"/>
      <c r="I1821" s="72"/>
      <c r="J1821" s="72"/>
      <c r="K1821" s="72"/>
      <c r="L1821" s="72"/>
      <c r="M1821" s="72"/>
      <c r="N1821" s="73"/>
      <c r="O1821" s="74"/>
      <c r="P1821" s="74"/>
    </row>
    <row r="1822">
      <c r="A1822" s="70"/>
      <c r="B1822" s="71"/>
      <c r="C1822" s="71"/>
      <c r="D1822" s="72"/>
      <c r="E1822" s="72"/>
      <c r="F1822" s="72"/>
      <c r="G1822" s="72"/>
      <c r="H1822" s="72"/>
      <c r="I1822" s="72"/>
      <c r="J1822" s="72"/>
      <c r="K1822" s="72"/>
      <c r="L1822" s="72"/>
      <c r="M1822" s="72"/>
      <c r="N1822" s="73"/>
      <c r="O1822" s="74"/>
      <c r="P1822" s="74"/>
    </row>
    <row r="1823">
      <c r="A1823" s="70"/>
      <c r="B1823" s="71"/>
      <c r="C1823" s="71"/>
      <c r="D1823" s="72"/>
      <c r="E1823" s="72"/>
      <c r="F1823" s="72"/>
      <c r="G1823" s="72"/>
      <c r="H1823" s="72"/>
      <c r="I1823" s="72"/>
      <c r="J1823" s="72"/>
      <c r="K1823" s="72"/>
      <c r="L1823" s="72"/>
      <c r="M1823" s="72"/>
      <c r="N1823" s="73"/>
      <c r="O1823" s="74"/>
      <c r="P1823" s="74"/>
    </row>
    <row r="1824">
      <c r="A1824" s="70"/>
      <c r="B1824" s="71"/>
      <c r="C1824" s="71"/>
      <c r="D1824" s="72"/>
      <c r="E1824" s="72"/>
      <c r="F1824" s="72"/>
      <c r="G1824" s="72"/>
      <c r="H1824" s="72"/>
      <c r="I1824" s="72"/>
      <c r="J1824" s="72"/>
      <c r="K1824" s="72"/>
      <c r="L1824" s="72"/>
      <c r="M1824" s="72"/>
      <c r="N1824" s="73"/>
      <c r="O1824" s="74"/>
      <c r="P1824" s="74"/>
    </row>
    <row r="1825">
      <c r="A1825" s="70"/>
      <c r="B1825" s="71"/>
      <c r="C1825" s="71"/>
      <c r="D1825" s="72"/>
      <c r="E1825" s="72"/>
      <c r="F1825" s="72"/>
      <c r="G1825" s="72"/>
      <c r="H1825" s="72"/>
      <c r="I1825" s="72"/>
      <c r="J1825" s="72"/>
      <c r="K1825" s="72"/>
      <c r="L1825" s="72"/>
      <c r="M1825" s="72"/>
      <c r="N1825" s="73"/>
      <c r="O1825" s="74"/>
      <c r="P1825" s="74"/>
    </row>
    <row r="1826">
      <c r="A1826" s="70"/>
      <c r="B1826" s="71"/>
      <c r="C1826" s="71"/>
      <c r="D1826" s="72"/>
      <c r="E1826" s="72"/>
      <c r="F1826" s="72"/>
      <c r="G1826" s="72"/>
      <c r="H1826" s="72"/>
      <c r="I1826" s="72"/>
      <c r="J1826" s="72"/>
      <c r="K1826" s="72"/>
      <c r="L1826" s="72"/>
      <c r="M1826" s="72"/>
      <c r="N1826" s="73"/>
      <c r="O1826" s="74"/>
      <c r="P1826" s="74"/>
    </row>
    <row r="1827">
      <c r="A1827" s="70"/>
      <c r="B1827" s="71"/>
      <c r="C1827" s="71"/>
      <c r="D1827" s="72"/>
      <c r="E1827" s="72"/>
      <c r="F1827" s="72"/>
      <c r="G1827" s="72"/>
      <c r="H1827" s="72"/>
      <c r="I1827" s="72"/>
      <c r="J1827" s="72"/>
      <c r="K1827" s="72"/>
      <c r="L1827" s="72"/>
      <c r="M1827" s="72"/>
      <c r="N1827" s="73"/>
      <c r="O1827" s="74"/>
      <c r="P1827" s="74"/>
    </row>
    <row r="1828">
      <c r="A1828" s="70"/>
      <c r="B1828" s="71"/>
      <c r="C1828" s="71"/>
      <c r="D1828" s="72"/>
      <c r="E1828" s="72"/>
      <c r="F1828" s="72"/>
      <c r="G1828" s="72"/>
      <c r="H1828" s="72"/>
      <c r="I1828" s="72"/>
      <c r="J1828" s="72"/>
      <c r="K1828" s="72"/>
      <c r="L1828" s="72"/>
      <c r="M1828" s="72"/>
      <c r="N1828" s="73"/>
      <c r="O1828" s="74"/>
      <c r="P1828" s="74"/>
    </row>
    <row r="1829">
      <c r="A1829" s="70"/>
      <c r="B1829" s="71"/>
      <c r="C1829" s="71"/>
      <c r="D1829" s="72"/>
      <c r="E1829" s="72"/>
      <c r="F1829" s="72"/>
      <c r="G1829" s="72"/>
      <c r="H1829" s="72"/>
      <c r="I1829" s="72"/>
      <c r="J1829" s="72"/>
      <c r="K1829" s="72"/>
      <c r="L1829" s="72"/>
      <c r="M1829" s="72"/>
      <c r="N1829" s="73"/>
      <c r="O1829" s="74"/>
      <c r="P1829" s="74"/>
    </row>
    <row r="1830">
      <c r="A1830" s="70"/>
      <c r="B1830" s="71"/>
      <c r="C1830" s="71"/>
      <c r="D1830" s="72"/>
      <c r="E1830" s="72"/>
      <c r="F1830" s="72"/>
      <c r="G1830" s="72"/>
      <c r="H1830" s="72"/>
      <c r="I1830" s="72"/>
      <c r="J1830" s="72"/>
      <c r="K1830" s="72"/>
      <c r="L1830" s="72"/>
      <c r="M1830" s="72"/>
      <c r="N1830" s="73"/>
      <c r="O1830" s="74"/>
      <c r="P1830" s="74"/>
    </row>
    <row r="1831">
      <c r="A1831" s="70"/>
      <c r="B1831" s="71"/>
      <c r="C1831" s="71"/>
      <c r="D1831" s="72"/>
      <c r="E1831" s="72"/>
      <c r="F1831" s="72"/>
      <c r="G1831" s="72"/>
      <c r="H1831" s="72"/>
      <c r="I1831" s="72"/>
      <c r="J1831" s="72"/>
      <c r="K1831" s="72"/>
      <c r="L1831" s="72"/>
      <c r="M1831" s="72"/>
      <c r="N1831" s="73"/>
      <c r="O1831" s="74"/>
      <c r="P1831" s="74"/>
    </row>
    <row r="1832">
      <c r="A1832" s="70"/>
      <c r="B1832" s="71"/>
      <c r="C1832" s="71"/>
      <c r="D1832" s="72"/>
      <c r="E1832" s="72"/>
      <c r="F1832" s="72"/>
      <c r="G1832" s="72"/>
      <c r="H1832" s="72"/>
      <c r="I1832" s="72"/>
      <c r="J1832" s="72"/>
      <c r="K1832" s="72"/>
      <c r="L1832" s="72"/>
      <c r="M1832" s="72"/>
      <c r="N1832" s="73"/>
      <c r="O1832" s="74"/>
      <c r="P1832" s="74"/>
    </row>
    <row r="1833">
      <c r="A1833" s="70"/>
      <c r="B1833" s="71"/>
      <c r="C1833" s="71"/>
      <c r="D1833" s="72"/>
      <c r="E1833" s="72"/>
      <c r="F1833" s="72"/>
      <c r="G1833" s="72"/>
      <c r="H1833" s="72"/>
      <c r="I1833" s="72"/>
      <c r="J1833" s="72"/>
      <c r="K1833" s="72"/>
      <c r="L1833" s="72"/>
      <c r="M1833" s="72"/>
      <c r="N1833" s="73"/>
      <c r="O1833" s="74"/>
      <c r="P1833" s="74"/>
    </row>
    <row r="1834">
      <c r="A1834" s="70"/>
      <c r="B1834" s="71"/>
      <c r="C1834" s="71"/>
      <c r="D1834" s="72"/>
      <c r="E1834" s="72"/>
      <c r="F1834" s="72"/>
      <c r="G1834" s="72"/>
      <c r="H1834" s="72"/>
      <c r="I1834" s="72"/>
      <c r="J1834" s="72"/>
      <c r="K1834" s="72"/>
      <c r="L1834" s="72"/>
      <c r="M1834" s="72"/>
      <c r="N1834" s="73"/>
      <c r="O1834" s="74"/>
      <c r="P1834" s="74"/>
    </row>
    <row r="1835">
      <c r="A1835" s="70"/>
      <c r="B1835" s="71"/>
      <c r="C1835" s="71"/>
      <c r="D1835" s="72"/>
      <c r="E1835" s="72"/>
      <c r="F1835" s="72"/>
      <c r="G1835" s="72"/>
      <c r="H1835" s="72"/>
      <c r="I1835" s="72"/>
      <c r="J1835" s="72"/>
      <c r="K1835" s="72"/>
      <c r="L1835" s="72"/>
      <c r="M1835" s="72"/>
      <c r="N1835" s="73"/>
      <c r="O1835" s="74"/>
      <c r="P1835" s="74"/>
    </row>
    <row r="1836">
      <c r="A1836" s="70"/>
      <c r="B1836" s="71"/>
      <c r="C1836" s="71"/>
      <c r="D1836" s="72"/>
      <c r="E1836" s="72"/>
      <c r="F1836" s="72"/>
      <c r="G1836" s="72"/>
      <c r="H1836" s="72"/>
      <c r="I1836" s="72"/>
      <c r="J1836" s="72"/>
      <c r="K1836" s="72"/>
      <c r="L1836" s="72"/>
      <c r="M1836" s="72"/>
      <c r="N1836" s="73"/>
      <c r="O1836" s="74"/>
      <c r="P1836" s="74"/>
    </row>
    <row r="1837">
      <c r="A1837" s="70"/>
      <c r="B1837" s="71"/>
      <c r="C1837" s="71"/>
      <c r="D1837" s="72"/>
      <c r="E1837" s="72"/>
      <c r="F1837" s="72"/>
      <c r="G1837" s="72"/>
      <c r="H1837" s="72"/>
      <c r="I1837" s="72"/>
      <c r="J1837" s="72"/>
      <c r="K1837" s="72"/>
      <c r="L1837" s="72"/>
      <c r="M1837" s="72"/>
      <c r="N1837" s="73"/>
      <c r="O1837" s="74"/>
      <c r="P1837" s="74"/>
    </row>
    <row r="1838">
      <c r="A1838" s="70"/>
      <c r="B1838" s="71"/>
      <c r="C1838" s="71"/>
      <c r="D1838" s="72"/>
      <c r="E1838" s="72"/>
      <c r="F1838" s="72"/>
      <c r="G1838" s="72"/>
      <c r="H1838" s="72"/>
      <c r="I1838" s="72"/>
      <c r="J1838" s="72"/>
      <c r="K1838" s="72"/>
      <c r="L1838" s="72"/>
      <c r="M1838" s="72"/>
      <c r="N1838" s="73"/>
      <c r="O1838" s="74"/>
      <c r="P1838" s="74"/>
    </row>
    <row r="1839">
      <c r="A1839" s="70"/>
      <c r="B1839" s="71"/>
      <c r="C1839" s="71"/>
      <c r="D1839" s="72"/>
      <c r="E1839" s="72"/>
      <c r="F1839" s="72"/>
      <c r="G1839" s="72"/>
      <c r="H1839" s="72"/>
      <c r="I1839" s="72"/>
      <c r="J1839" s="72"/>
      <c r="K1839" s="72"/>
      <c r="L1839" s="72"/>
      <c r="M1839" s="72"/>
      <c r="N1839" s="73"/>
      <c r="O1839" s="74"/>
      <c r="P1839" s="74"/>
    </row>
    <row r="1840">
      <c r="A1840" s="70"/>
      <c r="B1840" s="71"/>
      <c r="C1840" s="71"/>
      <c r="D1840" s="72"/>
      <c r="E1840" s="72"/>
      <c r="F1840" s="72"/>
      <c r="G1840" s="72"/>
      <c r="H1840" s="72"/>
      <c r="I1840" s="72"/>
      <c r="J1840" s="72"/>
      <c r="K1840" s="72"/>
      <c r="L1840" s="72"/>
      <c r="M1840" s="72"/>
      <c r="N1840" s="73"/>
      <c r="O1840" s="74"/>
      <c r="P1840" s="74"/>
    </row>
    <row r="1841">
      <c r="A1841" s="70"/>
      <c r="B1841" s="71"/>
      <c r="C1841" s="71"/>
      <c r="D1841" s="72"/>
      <c r="E1841" s="72"/>
      <c r="F1841" s="72"/>
      <c r="G1841" s="72"/>
      <c r="H1841" s="72"/>
      <c r="I1841" s="72"/>
      <c r="J1841" s="72"/>
      <c r="K1841" s="72"/>
      <c r="L1841" s="72"/>
      <c r="M1841" s="72"/>
      <c r="N1841" s="73"/>
      <c r="O1841" s="74"/>
      <c r="P1841" s="74"/>
    </row>
    <row r="1842">
      <c r="A1842" s="70"/>
      <c r="B1842" s="71"/>
      <c r="C1842" s="71"/>
      <c r="D1842" s="72"/>
      <c r="E1842" s="72"/>
      <c r="F1842" s="72"/>
      <c r="G1842" s="72"/>
      <c r="H1842" s="72"/>
      <c r="I1842" s="72"/>
      <c r="J1842" s="72"/>
      <c r="K1842" s="72"/>
      <c r="L1842" s="72"/>
      <c r="M1842" s="72"/>
      <c r="N1842" s="73"/>
      <c r="O1842" s="74"/>
      <c r="P1842" s="74"/>
    </row>
    <row r="1843">
      <c r="A1843" s="70"/>
      <c r="B1843" s="71"/>
      <c r="C1843" s="71"/>
      <c r="D1843" s="72"/>
      <c r="E1843" s="72"/>
      <c r="F1843" s="72"/>
      <c r="G1843" s="72"/>
      <c r="H1843" s="72"/>
      <c r="I1843" s="72"/>
      <c r="J1843" s="72"/>
      <c r="K1843" s="72"/>
      <c r="L1843" s="72"/>
      <c r="M1843" s="72"/>
      <c r="N1843" s="73"/>
      <c r="O1843" s="74"/>
      <c r="P1843" s="74"/>
    </row>
    <row r="1844">
      <c r="A1844" s="70"/>
      <c r="B1844" s="71"/>
      <c r="C1844" s="71"/>
      <c r="D1844" s="72"/>
      <c r="E1844" s="72"/>
      <c r="F1844" s="72"/>
      <c r="G1844" s="72"/>
      <c r="H1844" s="72"/>
      <c r="I1844" s="72"/>
      <c r="J1844" s="72"/>
      <c r="K1844" s="72"/>
      <c r="L1844" s="72"/>
      <c r="M1844" s="72"/>
      <c r="N1844" s="73"/>
      <c r="O1844" s="74"/>
      <c r="P1844" s="74"/>
    </row>
    <row r="1845">
      <c r="A1845" s="70"/>
      <c r="B1845" s="71"/>
      <c r="C1845" s="71"/>
      <c r="D1845" s="72"/>
      <c r="E1845" s="72"/>
      <c r="F1845" s="72"/>
      <c r="G1845" s="72"/>
      <c r="H1845" s="72"/>
      <c r="I1845" s="72"/>
      <c r="J1845" s="72"/>
      <c r="K1845" s="72"/>
      <c r="L1845" s="72"/>
      <c r="M1845" s="72"/>
      <c r="N1845" s="73"/>
      <c r="O1845" s="74"/>
      <c r="P1845" s="74"/>
    </row>
    <row r="1846">
      <c r="A1846" s="70"/>
      <c r="B1846" s="71"/>
      <c r="C1846" s="71"/>
      <c r="D1846" s="72"/>
      <c r="E1846" s="72"/>
      <c r="F1846" s="72"/>
      <c r="G1846" s="72"/>
      <c r="H1846" s="72"/>
      <c r="I1846" s="72"/>
      <c r="J1846" s="72"/>
      <c r="K1846" s="72"/>
      <c r="L1846" s="72"/>
      <c r="M1846" s="72"/>
      <c r="N1846" s="73"/>
      <c r="O1846" s="74"/>
      <c r="P1846" s="74"/>
    </row>
    <row r="1847">
      <c r="A1847" s="70"/>
      <c r="B1847" s="71"/>
      <c r="C1847" s="71"/>
      <c r="D1847" s="72"/>
      <c r="E1847" s="72"/>
      <c r="F1847" s="72"/>
      <c r="G1847" s="72"/>
      <c r="H1847" s="72"/>
      <c r="I1847" s="72"/>
      <c r="J1847" s="72"/>
      <c r="K1847" s="72"/>
      <c r="L1847" s="72"/>
      <c r="M1847" s="72"/>
      <c r="N1847" s="73"/>
      <c r="O1847" s="74"/>
      <c r="P1847" s="74"/>
    </row>
    <row r="1848">
      <c r="A1848" s="70"/>
      <c r="B1848" s="71"/>
      <c r="C1848" s="71"/>
      <c r="D1848" s="72"/>
      <c r="E1848" s="72"/>
      <c r="F1848" s="72"/>
      <c r="G1848" s="72"/>
      <c r="H1848" s="72"/>
      <c r="I1848" s="72"/>
      <c r="J1848" s="72"/>
      <c r="K1848" s="72"/>
      <c r="L1848" s="72"/>
      <c r="M1848" s="72"/>
      <c r="N1848" s="73"/>
      <c r="O1848" s="74"/>
      <c r="P1848" s="74"/>
    </row>
    <row r="1849">
      <c r="A1849" s="70"/>
      <c r="B1849" s="71"/>
      <c r="C1849" s="71"/>
      <c r="D1849" s="72"/>
      <c r="E1849" s="72"/>
      <c r="F1849" s="72"/>
      <c r="G1849" s="72"/>
      <c r="H1849" s="72"/>
      <c r="I1849" s="72"/>
      <c r="J1849" s="72"/>
      <c r="K1849" s="72"/>
      <c r="L1849" s="72"/>
      <c r="M1849" s="72"/>
      <c r="N1849" s="73"/>
      <c r="O1849" s="74"/>
      <c r="P1849" s="74"/>
    </row>
    <row r="1850">
      <c r="A1850" s="70"/>
      <c r="B1850" s="71"/>
      <c r="C1850" s="71"/>
      <c r="D1850" s="72"/>
      <c r="E1850" s="72"/>
      <c r="F1850" s="72"/>
      <c r="G1850" s="72"/>
      <c r="H1850" s="72"/>
      <c r="I1850" s="72"/>
      <c r="J1850" s="72"/>
      <c r="K1850" s="72"/>
      <c r="L1850" s="72"/>
      <c r="M1850" s="72"/>
      <c r="N1850" s="73"/>
      <c r="O1850" s="74"/>
      <c r="P1850" s="74"/>
    </row>
    <row r="1851">
      <c r="A1851" s="70"/>
      <c r="B1851" s="71"/>
      <c r="C1851" s="71"/>
      <c r="D1851" s="72"/>
      <c r="E1851" s="72"/>
      <c r="F1851" s="72"/>
      <c r="G1851" s="72"/>
      <c r="H1851" s="72"/>
      <c r="I1851" s="72"/>
      <c r="J1851" s="72"/>
      <c r="K1851" s="72"/>
      <c r="L1851" s="72"/>
      <c r="M1851" s="72"/>
      <c r="N1851" s="73"/>
      <c r="O1851" s="74"/>
      <c r="P1851" s="74"/>
    </row>
    <row r="1852">
      <c r="A1852" s="70"/>
      <c r="B1852" s="71"/>
      <c r="C1852" s="71"/>
      <c r="D1852" s="72"/>
      <c r="E1852" s="72"/>
      <c r="F1852" s="72"/>
      <c r="G1852" s="72"/>
      <c r="H1852" s="72"/>
      <c r="I1852" s="72"/>
      <c r="J1852" s="72"/>
      <c r="K1852" s="72"/>
      <c r="L1852" s="72"/>
      <c r="M1852" s="72"/>
      <c r="N1852" s="73"/>
      <c r="O1852" s="74"/>
      <c r="P1852" s="74"/>
    </row>
    <row r="1853">
      <c r="A1853" s="70"/>
      <c r="B1853" s="71"/>
      <c r="C1853" s="71"/>
      <c r="D1853" s="72"/>
      <c r="E1853" s="72"/>
      <c r="F1853" s="72"/>
      <c r="G1853" s="72"/>
      <c r="H1853" s="72"/>
      <c r="I1853" s="72"/>
      <c r="J1853" s="72"/>
      <c r="K1853" s="72"/>
      <c r="L1853" s="72"/>
      <c r="M1853" s="72"/>
      <c r="N1853" s="73"/>
      <c r="O1853" s="74"/>
      <c r="P1853" s="74"/>
    </row>
    <row r="1854">
      <c r="A1854" s="70"/>
      <c r="B1854" s="71"/>
      <c r="C1854" s="71"/>
      <c r="D1854" s="72"/>
      <c r="E1854" s="72"/>
      <c r="F1854" s="72"/>
      <c r="G1854" s="72"/>
      <c r="H1854" s="72"/>
      <c r="I1854" s="72"/>
      <c r="J1854" s="72"/>
      <c r="K1854" s="72"/>
      <c r="L1854" s="72"/>
      <c r="M1854" s="72"/>
      <c r="N1854" s="73"/>
      <c r="O1854" s="74"/>
      <c r="P1854" s="74"/>
    </row>
    <row r="1855">
      <c r="A1855" s="70"/>
      <c r="B1855" s="71"/>
      <c r="C1855" s="71"/>
      <c r="D1855" s="72"/>
      <c r="E1855" s="72"/>
      <c r="F1855" s="72"/>
      <c r="G1855" s="72"/>
      <c r="H1855" s="72"/>
      <c r="I1855" s="72"/>
      <c r="J1855" s="72"/>
      <c r="K1855" s="72"/>
      <c r="L1855" s="72"/>
      <c r="M1855" s="72"/>
      <c r="N1855" s="73"/>
      <c r="O1855" s="74"/>
      <c r="P1855" s="74"/>
    </row>
    <row r="1856">
      <c r="A1856" s="70"/>
      <c r="B1856" s="71"/>
      <c r="C1856" s="71"/>
      <c r="D1856" s="72"/>
      <c r="E1856" s="72"/>
      <c r="F1856" s="72"/>
      <c r="G1856" s="72"/>
      <c r="H1856" s="72"/>
      <c r="I1856" s="72"/>
      <c r="J1856" s="72"/>
      <c r="K1856" s="72"/>
      <c r="L1856" s="72"/>
      <c r="M1856" s="72"/>
      <c r="N1856" s="73"/>
      <c r="O1856" s="74"/>
      <c r="P1856" s="74"/>
    </row>
    <row r="1857">
      <c r="A1857" s="70"/>
      <c r="B1857" s="71"/>
      <c r="C1857" s="71"/>
      <c r="D1857" s="72"/>
      <c r="E1857" s="72"/>
      <c r="F1857" s="72"/>
      <c r="G1857" s="72"/>
      <c r="H1857" s="72"/>
      <c r="I1857" s="72"/>
      <c r="J1857" s="72"/>
      <c r="K1857" s="72"/>
      <c r="L1857" s="72"/>
      <c r="M1857" s="72"/>
      <c r="N1857" s="73"/>
      <c r="O1857" s="74"/>
      <c r="P1857" s="74"/>
    </row>
    <row r="1858">
      <c r="A1858" s="70"/>
      <c r="B1858" s="71"/>
      <c r="C1858" s="71"/>
      <c r="D1858" s="72"/>
      <c r="E1858" s="72"/>
      <c r="F1858" s="72"/>
      <c r="G1858" s="72"/>
      <c r="H1858" s="72"/>
      <c r="I1858" s="72"/>
      <c r="J1858" s="72"/>
      <c r="K1858" s="72"/>
      <c r="L1858" s="72"/>
      <c r="M1858" s="72"/>
      <c r="N1858" s="73"/>
      <c r="O1858" s="74"/>
      <c r="P1858" s="74"/>
    </row>
    <row r="1859">
      <c r="A1859" s="70"/>
      <c r="B1859" s="71"/>
      <c r="C1859" s="71"/>
      <c r="D1859" s="72"/>
      <c r="E1859" s="72"/>
      <c r="F1859" s="72"/>
      <c r="G1859" s="72"/>
      <c r="H1859" s="72"/>
      <c r="I1859" s="72"/>
      <c r="J1859" s="72"/>
      <c r="K1859" s="72"/>
      <c r="L1859" s="72"/>
      <c r="M1859" s="72"/>
      <c r="N1859" s="73"/>
      <c r="O1859" s="74"/>
      <c r="P1859" s="74"/>
    </row>
    <row r="1860">
      <c r="A1860" s="70"/>
      <c r="B1860" s="71"/>
      <c r="C1860" s="71"/>
      <c r="D1860" s="72"/>
      <c r="E1860" s="72"/>
      <c r="F1860" s="72"/>
      <c r="G1860" s="72"/>
      <c r="H1860" s="72"/>
      <c r="I1860" s="72"/>
      <c r="J1860" s="72"/>
      <c r="K1860" s="72"/>
      <c r="L1860" s="72"/>
      <c r="M1860" s="72"/>
      <c r="N1860" s="73"/>
      <c r="O1860" s="74"/>
      <c r="P1860" s="74"/>
    </row>
    <row r="1861">
      <c r="A1861" s="70"/>
      <c r="B1861" s="71"/>
      <c r="C1861" s="71"/>
      <c r="D1861" s="72"/>
      <c r="E1861" s="72"/>
      <c r="F1861" s="72"/>
      <c r="G1861" s="72"/>
      <c r="H1861" s="72"/>
      <c r="I1861" s="72"/>
      <c r="J1861" s="72"/>
      <c r="K1861" s="72"/>
      <c r="L1861" s="72"/>
      <c r="M1861" s="72"/>
      <c r="N1861" s="73"/>
      <c r="O1861" s="74"/>
      <c r="P1861" s="74"/>
    </row>
    <row r="1862">
      <c r="A1862" s="70"/>
      <c r="B1862" s="71"/>
      <c r="C1862" s="71"/>
      <c r="D1862" s="72"/>
      <c r="E1862" s="72"/>
      <c r="F1862" s="72"/>
      <c r="G1862" s="72"/>
      <c r="H1862" s="72"/>
      <c r="I1862" s="72"/>
      <c r="J1862" s="72"/>
      <c r="K1862" s="72"/>
      <c r="L1862" s="72"/>
      <c r="M1862" s="72"/>
      <c r="N1862" s="73"/>
      <c r="O1862" s="74"/>
      <c r="P1862" s="74"/>
    </row>
    <row r="1863">
      <c r="A1863" s="70"/>
      <c r="B1863" s="71"/>
      <c r="C1863" s="71"/>
      <c r="D1863" s="72"/>
      <c r="E1863" s="72"/>
      <c r="F1863" s="72"/>
      <c r="G1863" s="72"/>
      <c r="H1863" s="72"/>
      <c r="I1863" s="72"/>
      <c r="J1863" s="72"/>
      <c r="K1863" s="72"/>
      <c r="L1863" s="72"/>
      <c r="M1863" s="72"/>
      <c r="N1863" s="73"/>
      <c r="O1863" s="74"/>
      <c r="P1863" s="74"/>
    </row>
    <row r="1864">
      <c r="A1864" s="70"/>
      <c r="B1864" s="71"/>
      <c r="C1864" s="71"/>
      <c r="D1864" s="72"/>
      <c r="E1864" s="72"/>
      <c r="F1864" s="72"/>
      <c r="G1864" s="72"/>
      <c r="H1864" s="72"/>
      <c r="I1864" s="72"/>
      <c r="J1864" s="72"/>
      <c r="K1864" s="72"/>
      <c r="L1864" s="72"/>
      <c r="M1864" s="72"/>
      <c r="N1864" s="73"/>
      <c r="O1864" s="74"/>
      <c r="P1864" s="74"/>
    </row>
    <row r="1865">
      <c r="A1865" s="70"/>
      <c r="B1865" s="71"/>
      <c r="C1865" s="71"/>
      <c r="D1865" s="72"/>
      <c r="E1865" s="72"/>
      <c r="F1865" s="72"/>
      <c r="G1865" s="72"/>
      <c r="H1865" s="72"/>
      <c r="I1865" s="72"/>
      <c r="J1865" s="72"/>
      <c r="K1865" s="72"/>
      <c r="L1865" s="72"/>
      <c r="M1865" s="72"/>
      <c r="N1865" s="73"/>
      <c r="O1865" s="74"/>
      <c r="P1865" s="74"/>
    </row>
    <row r="1866">
      <c r="A1866" s="70"/>
      <c r="B1866" s="71"/>
      <c r="C1866" s="71"/>
      <c r="D1866" s="72"/>
      <c r="E1866" s="72"/>
      <c r="F1866" s="72"/>
      <c r="G1866" s="72"/>
      <c r="H1866" s="72"/>
      <c r="I1866" s="72"/>
      <c r="J1866" s="72"/>
      <c r="K1866" s="72"/>
      <c r="L1866" s="72"/>
      <c r="M1866" s="72"/>
      <c r="N1866" s="73"/>
      <c r="O1866" s="74"/>
      <c r="P1866" s="74"/>
    </row>
    <row r="1867">
      <c r="A1867" s="70"/>
      <c r="B1867" s="71"/>
      <c r="C1867" s="71"/>
      <c r="D1867" s="72"/>
      <c r="E1867" s="72"/>
      <c r="F1867" s="72"/>
      <c r="G1867" s="72"/>
      <c r="H1867" s="72"/>
      <c r="I1867" s="72"/>
      <c r="J1867" s="72"/>
      <c r="K1867" s="72"/>
      <c r="L1867" s="72"/>
      <c r="M1867" s="72"/>
      <c r="N1867" s="73"/>
      <c r="O1867" s="74"/>
      <c r="P1867" s="74"/>
    </row>
    <row r="1868">
      <c r="A1868" s="70"/>
      <c r="B1868" s="71"/>
      <c r="C1868" s="71"/>
      <c r="D1868" s="72"/>
      <c r="E1868" s="72"/>
      <c r="F1868" s="72"/>
      <c r="G1868" s="72"/>
      <c r="H1868" s="72"/>
      <c r="I1868" s="72"/>
      <c r="J1868" s="72"/>
      <c r="K1868" s="72"/>
      <c r="L1868" s="72"/>
      <c r="M1868" s="72"/>
      <c r="N1868" s="73"/>
      <c r="O1868" s="74"/>
      <c r="P1868" s="74"/>
    </row>
    <row r="1869">
      <c r="A1869" s="70"/>
      <c r="B1869" s="71"/>
      <c r="C1869" s="71"/>
      <c r="D1869" s="72"/>
      <c r="E1869" s="72"/>
      <c r="F1869" s="72"/>
      <c r="G1869" s="72"/>
      <c r="H1869" s="72"/>
      <c r="I1869" s="72"/>
      <c r="J1869" s="72"/>
      <c r="K1869" s="72"/>
      <c r="L1869" s="72"/>
      <c r="M1869" s="72"/>
      <c r="N1869" s="73"/>
      <c r="O1869" s="74"/>
      <c r="P1869" s="74"/>
    </row>
    <row r="1870">
      <c r="A1870" s="70"/>
      <c r="B1870" s="71"/>
      <c r="C1870" s="71"/>
      <c r="D1870" s="72"/>
      <c r="E1870" s="72"/>
      <c r="F1870" s="72"/>
      <c r="G1870" s="72"/>
      <c r="H1870" s="72"/>
      <c r="I1870" s="72"/>
      <c r="J1870" s="72"/>
      <c r="K1870" s="72"/>
      <c r="L1870" s="72"/>
      <c r="M1870" s="72"/>
      <c r="N1870" s="73"/>
      <c r="O1870" s="74"/>
      <c r="P1870" s="74"/>
    </row>
    <row r="1871">
      <c r="A1871" s="70"/>
      <c r="B1871" s="71"/>
      <c r="C1871" s="71"/>
      <c r="D1871" s="72"/>
      <c r="E1871" s="72"/>
      <c r="F1871" s="72"/>
      <c r="G1871" s="72"/>
      <c r="H1871" s="72"/>
      <c r="I1871" s="72"/>
      <c r="J1871" s="72"/>
      <c r="K1871" s="72"/>
      <c r="L1871" s="72"/>
      <c r="M1871" s="72"/>
      <c r="N1871" s="73"/>
      <c r="O1871" s="74"/>
      <c r="P1871" s="74"/>
    </row>
    <row r="1872">
      <c r="A1872" s="70"/>
      <c r="B1872" s="71"/>
      <c r="C1872" s="71"/>
      <c r="D1872" s="72"/>
      <c r="E1872" s="72"/>
      <c r="F1872" s="72"/>
      <c r="G1872" s="72"/>
      <c r="H1872" s="72"/>
      <c r="I1872" s="72"/>
      <c r="J1872" s="72"/>
      <c r="K1872" s="72"/>
      <c r="L1872" s="72"/>
      <c r="M1872" s="72"/>
      <c r="N1872" s="73"/>
      <c r="O1872" s="74"/>
      <c r="P1872" s="74"/>
    </row>
    <row r="1873">
      <c r="A1873" s="70"/>
      <c r="B1873" s="71"/>
      <c r="C1873" s="71"/>
      <c r="D1873" s="72"/>
      <c r="E1873" s="72"/>
      <c r="F1873" s="72"/>
      <c r="G1873" s="72"/>
      <c r="H1873" s="72"/>
      <c r="I1873" s="72"/>
      <c r="J1873" s="72"/>
      <c r="K1873" s="72"/>
      <c r="L1873" s="72"/>
      <c r="M1873" s="72"/>
      <c r="N1873" s="73"/>
      <c r="O1873" s="74"/>
      <c r="P1873" s="74"/>
    </row>
    <row r="1874">
      <c r="A1874" s="70"/>
      <c r="B1874" s="71"/>
      <c r="C1874" s="71"/>
      <c r="D1874" s="72"/>
      <c r="E1874" s="72"/>
      <c r="F1874" s="72"/>
      <c r="G1874" s="72"/>
      <c r="H1874" s="72"/>
      <c r="I1874" s="72"/>
      <c r="J1874" s="72"/>
      <c r="K1874" s="72"/>
      <c r="L1874" s="72"/>
      <c r="M1874" s="72"/>
      <c r="N1874" s="73"/>
      <c r="O1874" s="74"/>
      <c r="P1874" s="74"/>
    </row>
    <row r="1875">
      <c r="A1875" s="70"/>
      <c r="B1875" s="71"/>
      <c r="C1875" s="71"/>
      <c r="D1875" s="72"/>
      <c r="E1875" s="72"/>
      <c r="F1875" s="72"/>
      <c r="G1875" s="72"/>
      <c r="H1875" s="72"/>
      <c r="I1875" s="72"/>
      <c r="J1875" s="72"/>
      <c r="K1875" s="72"/>
      <c r="L1875" s="72"/>
      <c r="M1875" s="72"/>
      <c r="N1875" s="73"/>
      <c r="O1875" s="74"/>
      <c r="P1875" s="74"/>
    </row>
    <row r="1876">
      <c r="A1876" s="70"/>
      <c r="B1876" s="71"/>
      <c r="C1876" s="71"/>
      <c r="D1876" s="72"/>
      <c r="E1876" s="72"/>
      <c r="F1876" s="72"/>
      <c r="G1876" s="72"/>
      <c r="H1876" s="72"/>
      <c r="I1876" s="72"/>
      <c r="J1876" s="72"/>
      <c r="K1876" s="72"/>
      <c r="L1876" s="72"/>
      <c r="M1876" s="72"/>
      <c r="N1876" s="73"/>
      <c r="O1876" s="74"/>
      <c r="P1876" s="74"/>
    </row>
    <row r="1877">
      <c r="A1877" s="70"/>
      <c r="B1877" s="71"/>
      <c r="C1877" s="71"/>
      <c r="D1877" s="72"/>
      <c r="E1877" s="72"/>
      <c r="F1877" s="72"/>
      <c r="G1877" s="72"/>
      <c r="H1877" s="72"/>
      <c r="I1877" s="72"/>
      <c r="J1877" s="72"/>
      <c r="K1877" s="72"/>
      <c r="L1877" s="72"/>
      <c r="M1877" s="72"/>
      <c r="N1877" s="73"/>
      <c r="O1877" s="74"/>
      <c r="P1877" s="74"/>
    </row>
    <row r="1878">
      <c r="A1878" s="70"/>
      <c r="B1878" s="71"/>
      <c r="C1878" s="71"/>
      <c r="D1878" s="72"/>
      <c r="E1878" s="72"/>
      <c r="F1878" s="72"/>
      <c r="G1878" s="72"/>
      <c r="H1878" s="72"/>
      <c r="I1878" s="72"/>
      <c r="J1878" s="72"/>
      <c r="K1878" s="72"/>
      <c r="L1878" s="72"/>
      <c r="M1878" s="72"/>
      <c r="N1878" s="73"/>
      <c r="O1878" s="74"/>
      <c r="P1878" s="74"/>
    </row>
    <row r="1879">
      <c r="A1879" s="70"/>
      <c r="B1879" s="71"/>
      <c r="C1879" s="71"/>
      <c r="D1879" s="72"/>
      <c r="E1879" s="72"/>
      <c r="F1879" s="72"/>
      <c r="G1879" s="72"/>
      <c r="H1879" s="72"/>
      <c r="I1879" s="72"/>
      <c r="J1879" s="72"/>
      <c r="K1879" s="72"/>
      <c r="L1879" s="72"/>
      <c r="M1879" s="72"/>
      <c r="N1879" s="73"/>
      <c r="O1879" s="74"/>
      <c r="P1879" s="74"/>
    </row>
    <row r="1880">
      <c r="A1880" s="70"/>
      <c r="B1880" s="71"/>
      <c r="C1880" s="71"/>
      <c r="D1880" s="72"/>
      <c r="E1880" s="72"/>
      <c r="F1880" s="72"/>
      <c r="G1880" s="72"/>
      <c r="H1880" s="72"/>
      <c r="I1880" s="72"/>
      <c r="J1880" s="72"/>
      <c r="K1880" s="72"/>
      <c r="L1880" s="72"/>
      <c r="M1880" s="72"/>
      <c r="N1880" s="73"/>
      <c r="O1880" s="74"/>
      <c r="P1880" s="74"/>
    </row>
    <row r="1881">
      <c r="A1881" s="70"/>
      <c r="B1881" s="71"/>
      <c r="C1881" s="71"/>
      <c r="D1881" s="72"/>
      <c r="E1881" s="72"/>
      <c r="F1881" s="72"/>
      <c r="G1881" s="72"/>
      <c r="H1881" s="72"/>
      <c r="I1881" s="72"/>
      <c r="J1881" s="72"/>
      <c r="K1881" s="72"/>
      <c r="L1881" s="72"/>
      <c r="M1881" s="72"/>
      <c r="N1881" s="73"/>
      <c r="O1881" s="74"/>
      <c r="P1881" s="74"/>
    </row>
    <row r="1882">
      <c r="A1882" s="70"/>
      <c r="B1882" s="71"/>
      <c r="C1882" s="71"/>
      <c r="D1882" s="72"/>
      <c r="E1882" s="72"/>
      <c r="F1882" s="72"/>
      <c r="G1882" s="72"/>
      <c r="H1882" s="72"/>
      <c r="I1882" s="72"/>
      <c r="J1882" s="72"/>
      <c r="K1882" s="72"/>
      <c r="L1882" s="72"/>
      <c r="M1882" s="72"/>
      <c r="N1882" s="73"/>
      <c r="O1882" s="74"/>
      <c r="P1882" s="74"/>
    </row>
    <row r="1883">
      <c r="A1883" s="70"/>
      <c r="B1883" s="71"/>
      <c r="C1883" s="71"/>
      <c r="D1883" s="72"/>
      <c r="E1883" s="72"/>
      <c r="F1883" s="72"/>
      <c r="G1883" s="72"/>
      <c r="H1883" s="72"/>
      <c r="I1883" s="72"/>
      <c r="J1883" s="72"/>
      <c r="K1883" s="72"/>
      <c r="L1883" s="72"/>
      <c r="M1883" s="72"/>
      <c r="N1883" s="73"/>
      <c r="O1883" s="74"/>
      <c r="P1883" s="74"/>
    </row>
    <row r="1884">
      <c r="A1884" s="70"/>
      <c r="B1884" s="71"/>
      <c r="C1884" s="71"/>
      <c r="D1884" s="72"/>
      <c r="E1884" s="72"/>
      <c r="F1884" s="72"/>
      <c r="G1884" s="72"/>
      <c r="H1884" s="72"/>
      <c r="I1884" s="72"/>
      <c r="J1884" s="72"/>
      <c r="K1884" s="72"/>
      <c r="L1884" s="72"/>
      <c r="M1884" s="72"/>
      <c r="N1884" s="73"/>
      <c r="O1884" s="74"/>
      <c r="P1884" s="74"/>
    </row>
    <row r="1885">
      <c r="A1885" s="70"/>
      <c r="B1885" s="71"/>
      <c r="C1885" s="71"/>
      <c r="D1885" s="72"/>
      <c r="E1885" s="72"/>
      <c r="F1885" s="72"/>
      <c r="G1885" s="72"/>
      <c r="H1885" s="72"/>
      <c r="I1885" s="72"/>
      <c r="J1885" s="72"/>
      <c r="K1885" s="72"/>
      <c r="L1885" s="72"/>
      <c r="M1885" s="72"/>
      <c r="N1885" s="73"/>
      <c r="O1885" s="74"/>
      <c r="P1885" s="74"/>
    </row>
    <row r="1886">
      <c r="A1886" s="70"/>
      <c r="B1886" s="71"/>
      <c r="C1886" s="71"/>
      <c r="D1886" s="72"/>
      <c r="E1886" s="72"/>
      <c r="F1886" s="72"/>
      <c r="G1886" s="72"/>
      <c r="H1886" s="72"/>
      <c r="I1886" s="72"/>
      <c r="J1886" s="72"/>
      <c r="K1886" s="72"/>
      <c r="L1886" s="72"/>
      <c r="M1886" s="72"/>
      <c r="N1886" s="73"/>
      <c r="O1886" s="74"/>
      <c r="P1886" s="74"/>
    </row>
    <row r="1887">
      <c r="A1887" s="70"/>
      <c r="B1887" s="71"/>
      <c r="C1887" s="71"/>
      <c r="D1887" s="72"/>
      <c r="E1887" s="72"/>
      <c r="F1887" s="72"/>
      <c r="G1887" s="72"/>
      <c r="H1887" s="72"/>
      <c r="I1887" s="72"/>
      <c r="J1887" s="72"/>
      <c r="K1887" s="72"/>
      <c r="L1887" s="72"/>
      <c r="M1887" s="72"/>
      <c r="N1887" s="73"/>
      <c r="O1887" s="74"/>
      <c r="P1887" s="74"/>
    </row>
    <row r="1888">
      <c r="A1888" s="70"/>
      <c r="B1888" s="71"/>
      <c r="C1888" s="71"/>
      <c r="D1888" s="72"/>
      <c r="E1888" s="72"/>
      <c r="F1888" s="72"/>
      <c r="G1888" s="72"/>
      <c r="H1888" s="72"/>
      <c r="I1888" s="72"/>
      <c r="J1888" s="72"/>
      <c r="K1888" s="72"/>
      <c r="L1888" s="72"/>
      <c r="M1888" s="72"/>
      <c r="N1888" s="73"/>
      <c r="O1888" s="74"/>
      <c r="P1888" s="74"/>
    </row>
    <row r="1889">
      <c r="A1889" s="70"/>
      <c r="B1889" s="71"/>
      <c r="C1889" s="71"/>
      <c r="D1889" s="72"/>
      <c r="E1889" s="72"/>
      <c r="F1889" s="72"/>
      <c r="G1889" s="72"/>
      <c r="H1889" s="72"/>
      <c r="I1889" s="72"/>
      <c r="J1889" s="72"/>
      <c r="K1889" s="72"/>
      <c r="L1889" s="72"/>
      <c r="M1889" s="72"/>
      <c r="N1889" s="73"/>
      <c r="O1889" s="74"/>
      <c r="P1889" s="74"/>
    </row>
    <row r="1890">
      <c r="A1890" s="70"/>
      <c r="B1890" s="71"/>
      <c r="C1890" s="71"/>
      <c r="D1890" s="72"/>
      <c r="E1890" s="72"/>
      <c r="F1890" s="72"/>
      <c r="G1890" s="72"/>
      <c r="H1890" s="72"/>
      <c r="I1890" s="72"/>
      <c r="J1890" s="72"/>
      <c r="K1890" s="72"/>
      <c r="L1890" s="72"/>
      <c r="M1890" s="72"/>
      <c r="N1890" s="73"/>
      <c r="O1890" s="74"/>
      <c r="P1890" s="74"/>
    </row>
    <row r="1891">
      <c r="A1891" s="70"/>
      <c r="B1891" s="71"/>
      <c r="C1891" s="71"/>
      <c r="D1891" s="72"/>
      <c r="E1891" s="72"/>
      <c r="F1891" s="72"/>
      <c r="G1891" s="72"/>
      <c r="H1891" s="72"/>
      <c r="I1891" s="72"/>
      <c r="J1891" s="72"/>
      <c r="K1891" s="72"/>
      <c r="L1891" s="72"/>
      <c r="M1891" s="72"/>
      <c r="N1891" s="73"/>
      <c r="O1891" s="74"/>
      <c r="P1891" s="74"/>
    </row>
    <row r="1892">
      <c r="A1892" s="70"/>
      <c r="B1892" s="71"/>
      <c r="C1892" s="71"/>
      <c r="D1892" s="72"/>
      <c r="E1892" s="72"/>
      <c r="F1892" s="72"/>
      <c r="G1892" s="72"/>
      <c r="H1892" s="72"/>
      <c r="I1892" s="72"/>
      <c r="J1892" s="72"/>
      <c r="K1892" s="72"/>
      <c r="L1892" s="72"/>
      <c r="M1892" s="72"/>
      <c r="N1892" s="73"/>
      <c r="O1892" s="74"/>
      <c r="P1892" s="74"/>
    </row>
    <row r="1893">
      <c r="A1893" s="70"/>
      <c r="B1893" s="71"/>
      <c r="C1893" s="71"/>
      <c r="D1893" s="72"/>
      <c r="E1893" s="72"/>
      <c r="F1893" s="72"/>
      <c r="G1893" s="72"/>
      <c r="H1893" s="72"/>
      <c r="I1893" s="72"/>
      <c r="J1893" s="72"/>
      <c r="K1893" s="72"/>
      <c r="L1893" s="72"/>
      <c r="M1893" s="72"/>
      <c r="N1893" s="73"/>
      <c r="O1893" s="74"/>
      <c r="P1893" s="74"/>
    </row>
    <row r="1894">
      <c r="A1894" s="70"/>
      <c r="B1894" s="71"/>
      <c r="C1894" s="71"/>
      <c r="D1894" s="72"/>
      <c r="E1894" s="72"/>
      <c r="F1894" s="72"/>
      <c r="G1894" s="72"/>
      <c r="H1894" s="72"/>
      <c r="I1894" s="72"/>
      <c r="J1894" s="72"/>
      <c r="K1894" s="72"/>
      <c r="L1894" s="72"/>
      <c r="M1894" s="72"/>
      <c r="N1894" s="73"/>
      <c r="O1894" s="74"/>
      <c r="P1894" s="74"/>
    </row>
    <row r="1895">
      <c r="A1895" s="70"/>
      <c r="B1895" s="71"/>
      <c r="C1895" s="71"/>
      <c r="D1895" s="72"/>
      <c r="E1895" s="72"/>
      <c r="F1895" s="72"/>
      <c r="G1895" s="72"/>
      <c r="H1895" s="72"/>
      <c r="I1895" s="72"/>
      <c r="J1895" s="72"/>
      <c r="K1895" s="72"/>
      <c r="L1895" s="72"/>
      <c r="M1895" s="72"/>
      <c r="N1895" s="73"/>
      <c r="O1895" s="74"/>
      <c r="P1895" s="74"/>
    </row>
    <row r="1896">
      <c r="A1896" s="70"/>
      <c r="B1896" s="71"/>
      <c r="C1896" s="71"/>
      <c r="D1896" s="72"/>
      <c r="E1896" s="72"/>
      <c r="F1896" s="72"/>
      <c r="G1896" s="72"/>
      <c r="H1896" s="72"/>
      <c r="I1896" s="72"/>
      <c r="J1896" s="72"/>
      <c r="K1896" s="72"/>
      <c r="L1896" s="72"/>
      <c r="M1896" s="72"/>
      <c r="N1896" s="73"/>
      <c r="O1896" s="74"/>
      <c r="P1896" s="74"/>
    </row>
    <row r="1897">
      <c r="A1897" s="70"/>
      <c r="B1897" s="71"/>
      <c r="C1897" s="71"/>
      <c r="D1897" s="72"/>
      <c r="E1897" s="72"/>
      <c r="F1897" s="72"/>
      <c r="G1897" s="72"/>
      <c r="H1897" s="72"/>
      <c r="I1897" s="72"/>
      <c r="J1897" s="72"/>
      <c r="K1897" s="72"/>
      <c r="L1897" s="72"/>
      <c r="M1897" s="72"/>
      <c r="N1897" s="73"/>
      <c r="O1897" s="74"/>
      <c r="P1897" s="74"/>
    </row>
    <row r="1898">
      <c r="A1898" s="70"/>
      <c r="B1898" s="71"/>
      <c r="C1898" s="71"/>
      <c r="D1898" s="72"/>
      <c r="E1898" s="72"/>
      <c r="F1898" s="72"/>
      <c r="G1898" s="72"/>
      <c r="H1898" s="72"/>
      <c r="I1898" s="72"/>
      <c r="J1898" s="72"/>
      <c r="K1898" s="72"/>
      <c r="L1898" s="72"/>
      <c r="M1898" s="72"/>
      <c r="N1898" s="73"/>
      <c r="O1898" s="74"/>
      <c r="P1898" s="74"/>
    </row>
    <row r="1899">
      <c r="A1899" s="70"/>
      <c r="B1899" s="71"/>
      <c r="C1899" s="71"/>
      <c r="D1899" s="72"/>
      <c r="E1899" s="72"/>
      <c r="F1899" s="72"/>
      <c r="G1899" s="72"/>
      <c r="H1899" s="72"/>
      <c r="I1899" s="72"/>
      <c r="J1899" s="72"/>
      <c r="K1899" s="72"/>
      <c r="L1899" s="72"/>
      <c r="M1899" s="72"/>
      <c r="N1899" s="73"/>
      <c r="O1899" s="74"/>
      <c r="P1899" s="74"/>
    </row>
    <row r="1900">
      <c r="A1900" s="70"/>
      <c r="B1900" s="71"/>
      <c r="C1900" s="71"/>
      <c r="D1900" s="72"/>
      <c r="E1900" s="72"/>
      <c r="F1900" s="72"/>
      <c r="G1900" s="72"/>
      <c r="H1900" s="72"/>
      <c r="I1900" s="72"/>
      <c r="J1900" s="72"/>
      <c r="K1900" s="72"/>
      <c r="L1900" s="72"/>
      <c r="M1900" s="72"/>
      <c r="N1900" s="73"/>
      <c r="O1900" s="74"/>
      <c r="P1900" s="74"/>
    </row>
    <row r="1901">
      <c r="A1901" s="70"/>
      <c r="B1901" s="71"/>
      <c r="C1901" s="71"/>
      <c r="D1901" s="72"/>
      <c r="E1901" s="72"/>
      <c r="F1901" s="72"/>
      <c r="G1901" s="72"/>
      <c r="H1901" s="72"/>
      <c r="I1901" s="72"/>
      <c r="J1901" s="72"/>
      <c r="K1901" s="72"/>
      <c r="L1901" s="72"/>
      <c r="M1901" s="72"/>
      <c r="N1901" s="73"/>
      <c r="O1901" s="74"/>
      <c r="P1901" s="74"/>
    </row>
    <row r="1902">
      <c r="A1902" s="70"/>
      <c r="B1902" s="71"/>
      <c r="C1902" s="71"/>
      <c r="D1902" s="72"/>
      <c r="E1902" s="72"/>
      <c r="F1902" s="72"/>
      <c r="G1902" s="72"/>
      <c r="H1902" s="72"/>
      <c r="I1902" s="72"/>
      <c r="J1902" s="72"/>
      <c r="K1902" s="72"/>
      <c r="L1902" s="72"/>
      <c r="M1902" s="72"/>
      <c r="N1902" s="73"/>
      <c r="O1902" s="74"/>
      <c r="P1902" s="74"/>
    </row>
    <row r="1903">
      <c r="A1903" s="70"/>
      <c r="B1903" s="71"/>
      <c r="C1903" s="71"/>
      <c r="D1903" s="72"/>
      <c r="E1903" s="72"/>
      <c r="F1903" s="72"/>
      <c r="G1903" s="72"/>
      <c r="H1903" s="72"/>
      <c r="I1903" s="72"/>
      <c r="J1903" s="72"/>
      <c r="K1903" s="72"/>
      <c r="L1903" s="72"/>
      <c r="M1903" s="72"/>
      <c r="N1903" s="73"/>
      <c r="O1903" s="74"/>
      <c r="P1903" s="74"/>
    </row>
    <row r="1904">
      <c r="A1904" s="70"/>
      <c r="B1904" s="71"/>
      <c r="C1904" s="71"/>
      <c r="D1904" s="72"/>
      <c r="E1904" s="72"/>
      <c r="F1904" s="72"/>
      <c r="G1904" s="72"/>
      <c r="H1904" s="72"/>
      <c r="I1904" s="72"/>
      <c r="J1904" s="72"/>
      <c r="K1904" s="72"/>
      <c r="L1904" s="72"/>
      <c r="M1904" s="72"/>
      <c r="N1904" s="73"/>
      <c r="O1904" s="74"/>
      <c r="P1904" s="74"/>
    </row>
    <row r="1905">
      <c r="A1905" s="70"/>
      <c r="B1905" s="71"/>
      <c r="C1905" s="71"/>
      <c r="D1905" s="72"/>
      <c r="E1905" s="72"/>
      <c r="F1905" s="72"/>
      <c r="G1905" s="72"/>
      <c r="H1905" s="72"/>
      <c r="I1905" s="72"/>
      <c r="J1905" s="72"/>
      <c r="K1905" s="72"/>
      <c r="L1905" s="72"/>
      <c r="M1905" s="72"/>
      <c r="N1905" s="73"/>
      <c r="O1905" s="74"/>
      <c r="P1905" s="74"/>
    </row>
    <row r="1906">
      <c r="A1906" s="70"/>
      <c r="B1906" s="71"/>
      <c r="C1906" s="71"/>
      <c r="D1906" s="72"/>
      <c r="E1906" s="72"/>
      <c r="F1906" s="72"/>
      <c r="G1906" s="72"/>
      <c r="H1906" s="72"/>
      <c r="I1906" s="72"/>
      <c r="J1906" s="72"/>
      <c r="K1906" s="72"/>
      <c r="L1906" s="72"/>
      <c r="M1906" s="72"/>
      <c r="N1906" s="73"/>
      <c r="O1906" s="74"/>
      <c r="P1906" s="74"/>
    </row>
    <row r="1907">
      <c r="A1907" s="70"/>
      <c r="B1907" s="71"/>
      <c r="C1907" s="71"/>
      <c r="D1907" s="72"/>
      <c r="E1907" s="72"/>
      <c r="F1907" s="72"/>
      <c r="G1907" s="72"/>
      <c r="H1907" s="72"/>
      <c r="I1907" s="72"/>
      <c r="J1907" s="72"/>
      <c r="K1907" s="72"/>
      <c r="L1907" s="72"/>
      <c r="M1907" s="72"/>
      <c r="N1907" s="73"/>
      <c r="O1907" s="74"/>
      <c r="P1907" s="74"/>
    </row>
    <row r="1908">
      <c r="A1908" s="70"/>
      <c r="B1908" s="71"/>
      <c r="C1908" s="71"/>
      <c r="D1908" s="72"/>
      <c r="E1908" s="72"/>
      <c r="F1908" s="72"/>
      <c r="G1908" s="72"/>
      <c r="H1908" s="72"/>
      <c r="I1908" s="72"/>
      <c r="J1908" s="72"/>
      <c r="K1908" s="72"/>
      <c r="L1908" s="72"/>
      <c r="M1908" s="72"/>
      <c r="N1908" s="73"/>
      <c r="O1908" s="74"/>
      <c r="P1908" s="74"/>
    </row>
    <row r="1909">
      <c r="A1909" s="70"/>
      <c r="B1909" s="71"/>
      <c r="C1909" s="71"/>
      <c r="D1909" s="72"/>
      <c r="E1909" s="72"/>
      <c r="F1909" s="72"/>
      <c r="G1909" s="72"/>
      <c r="H1909" s="72"/>
      <c r="I1909" s="72"/>
      <c r="J1909" s="72"/>
      <c r="K1909" s="72"/>
      <c r="L1909" s="72"/>
      <c r="M1909" s="72"/>
      <c r="N1909" s="73"/>
      <c r="O1909" s="74"/>
      <c r="P1909" s="74"/>
    </row>
    <row r="1910">
      <c r="A1910" s="70"/>
      <c r="B1910" s="71"/>
      <c r="C1910" s="71"/>
      <c r="D1910" s="72"/>
      <c r="E1910" s="72"/>
      <c r="F1910" s="72"/>
      <c r="G1910" s="72"/>
      <c r="H1910" s="72"/>
      <c r="I1910" s="72"/>
      <c r="J1910" s="72"/>
      <c r="K1910" s="72"/>
      <c r="L1910" s="72"/>
      <c r="M1910" s="72"/>
      <c r="N1910" s="73"/>
      <c r="O1910" s="74"/>
      <c r="P1910" s="74"/>
    </row>
    <row r="1911">
      <c r="A1911" s="70"/>
      <c r="B1911" s="71"/>
      <c r="C1911" s="71"/>
      <c r="D1911" s="72"/>
      <c r="E1911" s="72"/>
      <c r="F1911" s="72"/>
      <c r="G1911" s="72"/>
      <c r="H1911" s="72"/>
      <c r="I1911" s="72"/>
      <c r="J1911" s="72"/>
      <c r="K1911" s="72"/>
      <c r="L1911" s="72"/>
      <c r="M1911" s="72"/>
      <c r="N1911" s="73"/>
      <c r="O1911" s="74"/>
      <c r="P1911" s="74"/>
    </row>
    <row r="1912">
      <c r="A1912" s="70"/>
      <c r="B1912" s="71"/>
      <c r="C1912" s="71"/>
      <c r="D1912" s="72"/>
      <c r="E1912" s="72"/>
      <c r="F1912" s="72"/>
      <c r="G1912" s="72"/>
      <c r="H1912" s="72"/>
      <c r="I1912" s="72"/>
      <c r="J1912" s="72"/>
      <c r="K1912" s="72"/>
      <c r="L1912" s="72"/>
      <c r="M1912" s="72"/>
      <c r="N1912" s="73"/>
      <c r="O1912" s="74"/>
      <c r="P1912" s="74"/>
    </row>
    <row r="1913">
      <c r="A1913" s="70"/>
      <c r="B1913" s="71"/>
      <c r="C1913" s="71"/>
      <c r="D1913" s="72"/>
      <c r="E1913" s="72"/>
      <c r="F1913" s="72"/>
      <c r="G1913" s="72"/>
      <c r="H1913" s="72"/>
      <c r="I1913" s="72"/>
      <c r="J1913" s="72"/>
      <c r="K1913" s="72"/>
      <c r="L1913" s="72"/>
      <c r="M1913" s="72"/>
      <c r="N1913" s="73"/>
      <c r="O1913" s="74"/>
      <c r="P1913" s="74"/>
    </row>
    <row r="1914">
      <c r="A1914" s="70"/>
      <c r="B1914" s="71"/>
      <c r="C1914" s="71"/>
      <c r="D1914" s="72"/>
      <c r="E1914" s="72"/>
      <c r="F1914" s="72"/>
      <c r="G1914" s="72"/>
      <c r="H1914" s="72"/>
      <c r="I1914" s="72"/>
      <c r="J1914" s="72"/>
      <c r="K1914" s="72"/>
      <c r="L1914" s="72"/>
      <c r="M1914" s="72"/>
      <c r="N1914" s="73"/>
      <c r="O1914" s="74"/>
      <c r="P1914" s="74"/>
    </row>
    <row r="1915">
      <c r="A1915" s="70"/>
      <c r="B1915" s="71"/>
      <c r="C1915" s="71"/>
      <c r="D1915" s="72"/>
      <c r="E1915" s="72"/>
      <c r="F1915" s="72"/>
      <c r="G1915" s="72"/>
      <c r="H1915" s="72"/>
      <c r="I1915" s="72"/>
      <c r="J1915" s="72"/>
      <c r="K1915" s="72"/>
      <c r="L1915" s="72"/>
      <c r="M1915" s="72"/>
      <c r="N1915" s="73"/>
      <c r="O1915" s="74"/>
      <c r="P1915" s="74"/>
    </row>
    <row r="1916">
      <c r="A1916" s="70"/>
      <c r="B1916" s="71"/>
      <c r="C1916" s="71"/>
      <c r="D1916" s="72"/>
      <c r="E1916" s="72"/>
      <c r="F1916" s="72"/>
      <c r="G1916" s="72"/>
      <c r="H1916" s="72"/>
      <c r="I1916" s="72"/>
      <c r="J1916" s="72"/>
      <c r="K1916" s="72"/>
      <c r="L1916" s="72"/>
      <c r="M1916" s="72"/>
      <c r="N1916" s="73"/>
      <c r="O1916" s="74"/>
      <c r="P1916" s="74"/>
    </row>
    <row r="1917">
      <c r="A1917" s="70"/>
      <c r="B1917" s="71"/>
      <c r="C1917" s="71"/>
      <c r="D1917" s="72"/>
      <c r="E1917" s="72"/>
      <c r="F1917" s="72"/>
      <c r="G1917" s="72"/>
      <c r="H1917" s="72"/>
      <c r="I1917" s="72"/>
      <c r="J1917" s="72"/>
      <c r="K1917" s="72"/>
      <c r="L1917" s="72"/>
      <c r="M1917" s="72"/>
      <c r="N1917" s="73"/>
      <c r="O1917" s="74"/>
      <c r="P1917" s="74"/>
    </row>
    <row r="1918">
      <c r="A1918" s="70"/>
      <c r="B1918" s="71"/>
      <c r="C1918" s="71"/>
      <c r="D1918" s="72"/>
      <c r="E1918" s="72"/>
      <c r="F1918" s="72"/>
      <c r="G1918" s="72"/>
      <c r="H1918" s="72"/>
      <c r="I1918" s="72"/>
      <c r="J1918" s="72"/>
      <c r="K1918" s="72"/>
      <c r="L1918" s="72"/>
      <c r="M1918" s="72"/>
      <c r="N1918" s="73"/>
      <c r="O1918" s="74"/>
      <c r="P1918" s="74"/>
    </row>
    <row r="1919">
      <c r="A1919" s="70"/>
      <c r="B1919" s="71"/>
      <c r="C1919" s="71"/>
      <c r="D1919" s="72"/>
      <c r="E1919" s="72"/>
      <c r="F1919" s="72"/>
      <c r="G1919" s="72"/>
      <c r="H1919" s="72"/>
      <c r="I1919" s="72"/>
      <c r="J1919" s="72"/>
      <c r="K1919" s="72"/>
      <c r="L1919" s="72"/>
      <c r="M1919" s="72"/>
      <c r="N1919" s="73"/>
      <c r="O1919" s="74"/>
      <c r="P1919" s="74"/>
    </row>
    <row r="1920">
      <c r="A1920" s="70"/>
      <c r="B1920" s="71"/>
      <c r="C1920" s="71"/>
      <c r="D1920" s="72"/>
      <c r="E1920" s="72"/>
      <c r="F1920" s="72"/>
      <c r="G1920" s="72"/>
      <c r="H1920" s="72"/>
      <c r="I1920" s="72"/>
      <c r="J1920" s="72"/>
      <c r="K1920" s="72"/>
      <c r="L1920" s="72"/>
      <c r="M1920" s="72"/>
      <c r="N1920" s="73"/>
      <c r="O1920" s="74"/>
      <c r="P1920" s="74"/>
    </row>
    <row r="1921">
      <c r="A1921" s="70"/>
      <c r="B1921" s="71"/>
      <c r="C1921" s="71"/>
      <c r="D1921" s="72"/>
      <c r="E1921" s="72"/>
      <c r="F1921" s="72"/>
      <c r="G1921" s="72"/>
      <c r="H1921" s="72"/>
      <c r="I1921" s="72"/>
      <c r="J1921" s="72"/>
      <c r="K1921" s="72"/>
      <c r="L1921" s="72"/>
      <c r="M1921" s="72"/>
      <c r="N1921" s="73"/>
      <c r="O1921" s="74"/>
      <c r="P1921" s="74"/>
    </row>
    <row r="1922">
      <c r="A1922" s="70"/>
      <c r="B1922" s="71"/>
      <c r="C1922" s="71"/>
      <c r="D1922" s="72"/>
      <c r="E1922" s="72"/>
      <c r="F1922" s="72"/>
      <c r="G1922" s="72"/>
      <c r="H1922" s="72"/>
      <c r="I1922" s="72"/>
      <c r="J1922" s="72"/>
      <c r="K1922" s="72"/>
      <c r="L1922" s="72"/>
      <c r="M1922" s="72"/>
      <c r="N1922" s="73"/>
      <c r="O1922" s="74"/>
      <c r="P1922" s="74"/>
    </row>
    <row r="1923">
      <c r="A1923" s="70"/>
      <c r="B1923" s="71"/>
      <c r="C1923" s="71"/>
      <c r="D1923" s="72"/>
      <c r="E1923" s="72"/>
      <c r="F1923" s="72"/>
      <c r="G1923" s="72"/>
      <c r="H1923" s="72"/>
      <c r="I1923" s="72"/>
      <c r="J1923" s="72"/>
      <c r="K1923" s="72"/>
      <c r="L1923" s="72"/>
      <c r="M1923" s="72"/>
      <c r="N1923" s="73"/>
      <c r="O1923" s="74"/>
      <c r="P1923" s="74"/>
    </row>
    <row r="1924">
      <c r="A1924" s="70"/>
      <c r="B1924" s="71"/>
      <c r="C1924" s="71"/>
      <c r="D1924" s="72"/>
      <c r="E1924" s="72"/>
      <c r="F1924" s="72"/>
      <c r="G1924" s="72"/>
      <c r="H1924" s="72"/>
      <c r="I1924" s="72"/>
      <c r="J1924" s="72"/>
      <c r="K1924" s="72"/>
      <c r="L1924" s="72"/>
      <c r="M1924" s="72"/>
      <c r="N1924" s="73"/>
      <c r="O1924" s="74"/>
      <c r="P1924" s="74"/>
    </row>
    <row r="1925">
      <c r="A1925" s="70"/>
      <c r="B1925" s="71"/>
      <c r="C1925" s="71"/>
      <c r="D1925" s="72"/>
      <c r="E1925" s="72"/>
      <c r="F1925" s="72"/>
      <c r="G1925" s="72"/>
      <c r="H1925" s="72"/>
      <c r="I1925" s="72"/>
      <c r="J1925" s="72"/>
      <c r="K1925" s="72"/>
      <c r="L1925" s="72"/>
      <c r="M1925" s="72"/>
      <c r="N1925" s="73"/>
      <c r="O1925" s="74"/>
      <c r="P1925" s="74"/>
    </row>
    <row r="1926">
      <c r="A1926" s="70"/>
      <c r="B1926" s="71"/>
      <c r="C1926" s="71"/>
      <c r="D1926" s="72"/>
      <c r="E1926" s="72"/>
      <c r="F1926" s="72"/>
      <c r="G1926" s="72"/>
      <c r="H1926" s="72"/>
      <c r="I1926" s="72"/>
      <c r="J1926" s="72"/>
      <c r="K1926" s="72"/>
      <c r="L1926" s="72"/>
      <c r="M1926" s="72"/>
      <c r="N1926" s="73"/>
      <c r="O1926" s="74"/>
      <c r="P1926" s="74"/>
    </row>
    <row r="1927">
      <c r="A1927" s="70"/>
      <c r="B1927" s="71"/>
      <c r="C1927" s="71"/>
      <c r="D1927" s="72"/>
      <c r="E1927" s="72"/>
      <c r="F1927" s="72"/>
      <c r="G1927" s="72"/>
      <c r="H1927" s="72"/>
      <c r="I1927" s="72"/>
      <c r="J1927" s="72"/>
      <c r="K1927" s="72"/>
      <c r="L1927" s="72"/>
      <c r="M1927" s="72"/>
      <c r="N1927" s="73"/>
      <c r="O1927" s="74"/>
      <c r="P1927" s="74"/>
    </row>
    <row r="1928">
      <c r="A1928" s="70"/>
      <c r="B1928" s="71"/>
      <c r="C1928" s="71"/>
      <c r="D1928" s="72"/>
      <c r="E1928" s="72"/>
      <c r="F1928" s="72"/>
      <c r="G1928" s="72"/>
      <c r="H1928" s="72"/>
      <c r="I1928" s="72"/>
      <c r="J1928" s="72"/>
      <c r="K1928" s="72"/>
      <c r="L1928" s="72"/>
      <c r="M1928" s="72"/>
      <c r="N1928" s="73"/>
      <c r="O1928" s="74"/>
      <c r="P1928" s="74"/>
    </row>
    <row r="1929">
      <c r="A1929" s="70"/>
      <c r="B1929" s="71"/>
      <c r="C1929" s="71"/>
      <c r="D1929" s="72"/>
      <c r="E1929" s="72"/>
      <c r="F1929" s="72"/>
      <c r="G1929" s="72"/>
      <c r="H1929" s="72"/>
      <c r="I1929" s="72"/>
      <c r="J1929" s="72"/>
      <c r="K1929" s="72"/>
      <c r="L1929" s="72"/>
      <c r="M1929" s="72"/>
      <c r="N1929" s="73"/>
      <c r="O1929" s="74"/>
      <c r="P1929" s="74"/>
    </row>
    <row r="1930">
      <c r="A1930" s="70"/>
      <c r="B1930" s="71"/>
      <c r="C1930" s="71"/>
      <c r="D1930" s="72"/>
      <c r="E1930" s="72"/>
      <c r="F1930" s="72"/>
      <c r="G1930" s="72"/>
      <c r="H1930" s="72"/>
      <c r="I1930" s="72"/>
      <c r="J1930" s="72"/>
      <c r="K1930" s="72"/>
      <c r="L1930" s="72"/>
      <c r="M1930" s="72"/>
      <c r="N1930" s="73"/>
      <c r="O1930" s="74"/>
      <c r="P1930" s="74"/>
    </row>
    <row r="1931">
      <c r="A1931" s="70"/>
      <c r="B1931" s="71"/>
      <c r="C1931" s="71"/>
      <c r="D1931" s="72"/>
      <c r="E1931" s="72"/>
      <c r="F1931" s="72"/>
      <c r="G1931" s="72"/>
      <c r="H1931" s="72"/>
      <c r="I1931" s="72"/>
      <c r="J1931" s="72"/>
      <c r="K1931" s="72"/>
      <c r="L1931" s="72"/>
      <c r="M1931" s="72"/>
      <c r="N1931" s="73"/>
      <c r="O1931" s="74"/>
      <c r="P1931" s="74"/>
    </row>
    <row r="1932">
      <c r="A1932" s="70"/>
      <c r="B1932" s="71"/>
      <c r="C1932" s="71"/>
      <c r="D1932" s="72"/>
      <c r="E1932" s="72"/>
      <c r="F1932" s="72"/>
      <c r="G1932" s="72"/>
      <c r="H1932" s="72"/>
      <c r="I1932" s="72"/>
      <c r="J1932" s="72"/>
      <c r="K1932" s="72"/>
      <c r="L1932" s="72"/>
      <c r="M1932" s="72"/>
      <c r="N1932" s="73"/>
      <c r="O1932" s="74"/>
      <c r="P1932" s="74"/>
    </row>
    <row r="1933">
      <c r="A1933" s="70"/>
      <c r="B1933" s="71"/>
      <c r="C1933" s="71"/>
      <c r="D1933" s="72"/>
      <c r="E1933" s="72"/>
      <c r="F1933" s="72"/>
      <c r="G1933" s="72"/>
      <c r="H1933" s="72"/>
      <c r="I1933" s="72"/>
      <c r="J1933" s="72"/>
      <c r="K1933" s="72"/>
      <c r="L1933" s="72"/>
      <c r="M1933" s="72"/>
      <c r="N1933" s="73"/>
      <c r="O1933" s="74"/>
      <c r="P1933" s="74"/>
    </row>
    <row r="1934">
      <c r="A1934" s="70"/>
      <c r="B1934" s="71"/>
      <c r="C1934" s="71"/>
      <c r="D1934" s="72"/>
      <c r="E1934" s="72"/>
      <c r="F1934" s="72"/>
      <c r="G1934" s="72"/>
      <c r="H1934" s="72"/>
      <c r="I1934" s="72"/>
      <c r="J1934" s="72"/>
      <c r="K1934" s="72"/>
      <c r="L1934" s="72"/>
      <c r="M1934" s="72"/>
      <c r="N1934" s="73"/>
      <c r="O1934" s="74"/>
      <c r="P1934" s="74"/>
    </row>
    <row r="1935">
      <c r="A1935" s="70"/>
      <c r="B1935" s="71"/>
      <c r="C1935" s="71"/>
      <c r="D1935" s="72"/>
      <c r="E1935" s="72"/>
      <c r="F1935" s="72"/>
      <c r="G1935" s="72"/>
      <c r="H1935" s="72"/>
      <c r="I1935" s="72"/>
      <c r="J1935" s="72"/>
      <c r="K1935" s="72"/>
      <c r="L1935" s="72"/>
      <c r="M1935" s="72"/>
      <c r="N1935" s="73"/>
      <c r="O1935" s="74"/>
      <c r="P1935" s="74"/>
    </row>
    <row r="1936">
      <c r="A1936" s="70"/>
      <c r="B1936" s="71"/>
      <c r="C1936" s="71"/>
      <c r="D1936" s="72"/>
      <c r="E1936" s="72"/>
      <c r="F1936" s="72"/>
      <c r="G1936" s="72"/>
      <c r="H1936" s="72"/>
      <c r="I1936" s="72"/>
      <c r="J1936" s="72"/>
      <c r="K1936" s="72"/>
      <c r="L1936" s="72"/>
      <c r="M1936" s="72"/>
      <c r="N1936" s="73"/>
      <c r="O1936" s="74"/>
      <c r="P1936" s="74"/>
    </row>
    <row r="1937">
      <c r="A1937" s="70"/>
      <c r="B1937" s="71"/>
      <c r="C1937" s="71"/>
      <c r="D1937" s="72"/>
      <c r="E1937" s="72"/>
      <c r="F1937" s="72"/>
      <c r="G1937" s="72"/>
      <c r="H1937" s="72"/>
      <c r="I1937" s="72"/>
      <c r="J1937" s="72"/>
      <c r="K1937" s="72"/>
      <c r="L1937" s="72"/>
      <c r="M1937" s="72"/>
      <c r="N1937" s="73"/>
      <c r="O1937" s="74"/>
      <c r="P1937" s="74"/>
    </row>
    <row r="1938">
      <c r="A1938" s="70"/>
      <c r="B1938" s="71"/>
      <c r="C1938" s="71"/>
      <c r="D1938" s="72"/>
      <c r="E1938" s="72"/>
      <c r="F1938" s="72"/>
      <c r="G1938" s="72"/>
      <c r="H1938" s="72"/>
      <c r="I1938" s="72"/>
      <c r="J1938" s="72"/>
      <c r="K1938" s="72"/>
      <c r="L1938" s="72"/>
      <c r="M1938" s="72"/>
      <c r="N1938" s="73"/>
      <c r="O1938" s="74"/>
      <c r="P1938" s="74"/>
    </row>
    <row r="1939">
      <c r="A1939" s="70"/>
      <c r="B1939" s="71"/>
      <c r="C1939" s="71"/>
      <c r="D1939" s="72"/>
      <c r="E1939" s="72"/>
      <c r="F1939" s="72"/>
      <c r="G1939" s="72"/>
      <c r="H1939" s="72"/>
      <c r="I1939" s="72"/>
      <c r="J1939" s="72"/>
      <c r="K1939" s="72"/>
      <c r="L1939" s="72"/>
      <c r="M1939" s="72"/>
      <c r="N1939" s="73"/>
      <c r="O1939" s="74"/>
      <c r="P1939" s="74"/>
    </row>
    <row r="1940">
      <c r="A1940" s="70"/>
      <c r="B1940" s="71"/>
      <c r="C1940" s="71"/>
      <c r="D1940" s="72"/>
      <c r="E1940" s="72"/>
      <c r="F1940" s="72"/>
      <c r="G1940" s="72"/>
      <c r="H1940" s="72"/>
      <c r="I1940" s="72"/>
      <c r="J1940" s="72"/>
      <c r="K1940" s="72"/>
      <c r="L1940" s="72"/>
      <c r="M1940" s="72"/>
      <c r="N1940" s="73"/>
      <c r="O1940" s="74"/>
      <c r="P1940" s="74"/>
    </row>
    <row r="1941">
      <c r="A1941" s="70"/>
      <c r="B1941" s="71"/>
      <c r="C1941" s="71"/>
      <c r="D1941" s="72"/>
      <c r="E1941" s="72"/>
      <c r="F1941" s="72"/>
      <c r="G1941" s="72"/>
      <c r="H1941" s="72"/>
      <c r="I1941" s="72"/>
      <c r="J1941" s="72"/>
      <c r="K1941" s="72"/>
      <c r="L1941" s="72"/>
      <c r="M1941" s="72"/>
      <c r="N1941" s="73"/>
      <c r="O1941" s="74"/>
      <c r="P1941" s="74"/>
    </row>
    <row r="1942">
      <c r="A1942" s="70"/>
      <c r="B1942" s="71"/>
      <c r="C1942" s="71"/>
      <c r="D1942" s="72"/>
      <c r="E1942" s="72"/>
      <c r="F1942" s="72"/>
      <c r="G1942" s="72"/>
      <c r="H1942" s="72"/>
      <c r="I1942" s="72"/>
      <c r="J1942" s="72"/>
      <c r="K1942" s="72"/>
      <c r="L1942" s="72"/>
      <c r="M1942" s="72"/>
      <c r="N1942" s="73"/>
      <c r="O1942" s="74"/>
      <c r="P1942" s="74"/>
    </row>
    <row r="1943">
      <c r="A1943" s="70"/>
      <c r="B1943" s="71"/>
      <c r="C1943" s="71"/>
      <c r="D1943" s="72"/>
      <c r="E1943" s="72"/>
      <c r="F1943" s="72"/>
      <c r="G1943" s="72"/>
      <c r="H1943" s="72"/>
      <c r="I1943" s="72"/>
      <c r="J1943" s="72"/>
      <c r="K1943" s="72"/>
      <c r="L1943" s="72"/>
      <c r="M1943" s="72"/>
      <c r="N1943" s="73"/>
      <c r="O1943" s="74"/>
      <c r="P1943" s="74"/>
    </row>
    <row r="1944">
      <c r="A1944" s="70"/>
      <c r="B1944" s="71"/>
      <c r="C1944" s="71"/>
      <c r="D1944" s="72"/>
      <c r="E1944" s="72"/>
      <c r="F1944" s="72"/>
      <c r="G1944" s="72"/>
      <c r="H1944" s="72"/>
      <c r="I1944" s="72"/>
      <c r="J1944" s="72"/>
      <c r="K1944" s="72"/>
      <c r="L1944" s="72"/>
      <c r="M1944" s="72"/>
      <c r="N1944" s="73"/>
      <c r="O1944" s="74"/>
      <c r="P1944" s="74"/>
    </row>
    <row r="1945">
      <c r="A1945" s="70"/>
      <c r="B1945" s="71"/>
      <c r="C1945" s="71"/>
      <c r="D1945" s="72"/>
      <c r="E1945" s="72"/>
      <c r="F1945" s="72"/>
      <c r="G1945" s="72"/>
      <c r="H1945" s="72"/>
      <c r="I1945" s="72"/>
      <c r="J1945" s="72"/>
      <c r="K1945" s="72"/>
      <c r="L1945" s="72"/>
      <c r="M1945" s="72"/>
      <c r="N1945" s="73"/>
      <c r="O1945" s="74"/>
      <c r="P1945" s="74"/>
    </row>
    <row r="1946">
      <c r="A1946" s="70"/>
      <c r="B1946" s="71"/>
      <c r="C1946" s="71"/>
      <c r="D1946" s="72"/>
      <c r="E1946" s="72"/>
      <c r="F1946" s="72"/>
      <c r="G1946" s="72"/>
      <c r="H1946" s="72"/>
      <c r="I1946" s="72"/>
      <c r="J1946" s="72"/>
      <c r="K1946" s="72"/>
      <c r="L1946" s="72"/>
      <c r="M1946" s="72"/>
      <c r="N1946" s="73"/>
      <c r="O1946" s="74"/>
      <c r="P1946" s="74"/>
    </row>
    <row r="1947">
      <c r="A1947" s="70"/>
      <c r="B1947" s="71"/>
      <c r="C1947" s="71"/>
      <c r="D1947" s="72"/>
      <c r="E1947" s="72"/>
      <c r="F1947" s="72"/>
      <c r="G1947" s="72"/>
      <c r="H1947" s="72"/>
      <c r="I1947" s="72"/>
      <c r="J1947" s="72"/>
      <c r="K1947" s="72"/>
      <c r="L1947" s="72"/>
      <c r="M1947" s="72"/>
      <c r="N1947" s="73"/>
      <c r="O1947" s="74"/>
      <c r="P1947" s="74"/>
    </row>
    <row r="1948">
      <c r="A1948" s="70"/>
      <c r="B1948" s="71"/>
      <c r="C1948" s="71"/>
      <c r="D1948" s="72"/>
      <c r="E1948" s="72"/>
      <c r="F1948" s="72"/>
      <c r="G1948" s="72"/>
      <c r="H1948" s="72"/>
      <c r="I1948" s="72"/>
      <c r="J1948" s="72"/>
      <c r="K1948" s="72"/>
      <c r="L1948" s="72"/>
      <c r="M1948" s="72"/>
      <c r="N1948" s="73"/>
      <c r="O1948" s="74"/>
      <c r="P1948" s="74"/>
    </row>
    <row r="1949">
      <c r="A1949" s="70"/>
      <c r="B1949" s="71"/>
      <c r="C1949" s="71"/>
      <c r="D1949" s="72"/>
      <c r="E1949" s="72"/>
      <c r="F1949" s="72"/>
      <c r="G1949" s="72"/>
      <c r="H1949" s="72"/>
      <c r="I1949" s="72"/>
      <c r="J1949" s="72"/>
      <c r="K1949" s="72"/>
      <c r="L1949" s="72"/>
      <c r="M1949" s="72"/>
      <c r="N1949" s="73"/>
      <c r="O1949" s="74"/>
      <c r="P1949" s="74"/>
    </row>
    <row r="1950">
      <c r="A1950" s="70"/>
      <c r="B1950" s="71"/>
      <c r="C1950" s="71"/>
      <c r="D1950" s="72"/>
      <c r="E1950" s="72"/>
      <c r="F1950" s="72"/>
      <c r="G1950" s="72"/>
      <c r="H1950" s="72"/>
      <c r="I1950" s="72"/>
      <c r="J1950" s="72"/>
      <c r="K1950" s="72"/>
      <c r="L1950" s="72"/>
      <c r="M1950" s="72"/>
      <c r="N1950" s="73"/>
      <c r="O1950" s="74"/>
      <c r="P1950" s="74"/>
    </row>
    <row r="1951">
      <c r="A1951" s="70"/>
      <c r="B1951" s="71"/>
      <c r="C1951" s="71"/>
      <c r="D1951" s="72"/>
      <c r="E1951" s="72"/>
      <c r="F1951" s="72"/>
      <c r="G1951" s="72"/>
      <c r="H1951" s="72"/>
      <c r="I1951" s="72"/>
      <c r="J1951" s="72"/>
      <c r="K1951" s="72"/>
      <c r="L1951" s="72"/>
      <c r="M1951" s="72"/>
      <c r="N1951" s="73"/>
      <c r="O1951" s="74"/>
      <c r="P1951" s="74"/>
    </row>
    <row r="1952">
      <c r="A1952" s="70"/>
      <c r="B1952" s="71"/>
      <c r="C1952" s="71"/>
      <c r="D1952" s="72"/>
      <c r="E1952" s="72"/>
      <c r="F1952" s="72"/>
      <c r="G1952" s="72"/>
      <c r="H1952" s="72"/>
      <c r="I1952" s="72"/>
      <c r="J1952" s="72"/>
      <c r="K1952" s="72"/>
      <c r="L1952" s="72"/>
      <c r="M1952" s="72"/>
      <c r="N1952" s="73"/>
      <c r="O1952" s="74"/>
      <c r="P1952" s="74"/>
    </row>
    <row r="1953">
      <c r="A1953" s="70"/>
      <c r="B1953" s="71"/>
      <c r="C1953" s="71"/>
      <c r="D1953" s="72"/>
      <c r="E1953" s="72"/>
      <c r="F1953" s="72"/>
      <c r="G1953" s="72"/>
      <c r="H1953" s="72"/>
      <c r="I1953" s="72"/>
      <c r="J1953" s="72"/>
      <c r="K1953" s="72"/>
      <c r="L1953" s="72"/>
      <c r="M1953" s="72"/>
      <c r="N1953" s="73"/>
      <c r="O1953" s="74"/>
      <c r="P1953" s="74"/>
    </row>
    <row r="1954">
      <c r="A1954" s="70"/>
      <c r="B1954" s="71"/>
      <c r="C1954" s="71"/>
      <c r="D1954" s="72"/>
      <c r="E1954" s="72"/>
      <c r="F1954" s="72"/>
      <c r="G1954" s="72"/>
      <c r="H1954" s="72"/>
      <c r="I1954" s="72"/>
      <c r="J1954" s="72"/>
      <c r="K1954" s="72"/>
      <c r="L1954" s="72"/>
      <c r="M1954" s="72"/>
      <c r="N1954" s="73"/>
      <c r="O1954" s="74"/>
      <c r="P1954" s="74"/>
    </row>
    <row r="1955">
      <c r="A1955" s="70"/>
      <c r="B1955" s="71"/>
      <c r="C1955" s="71"/>
      <c r="D1955" s="72"/>
      <c r="E1955" s="72"/>
      <c r="F1955" s="72"/>
      <c r="G1955" s="72"/>
      <c r="H1955" s="72"/>
      <c r="I1955" s="72"/>
      <c r="J1955" s="72"/>
      <c r="K1955" s="72"/>
      <c r="L1955" s="72"/>
      <c r="M1955" s="72"/>
      <c r="N1955" s="73"/>
      <c r="O1955" s="74"/>
      <c r="P1955" s="74"/>
    </row>
    <row r="1956">
      <c r="A1956" s="70"/>
      <c r="B1956" s="71"/>
      <c r="C1956" s="71"/>
      <c r="D1956" s="72"/>
      <c r="E1956" s="72"/>
      <c r="F1956" s="72"/>
      <c r="G1956" s="72"/>
      <c r="H1956" s="72"/>
      <c r="I1956" s="72"/>
      <c r="J1956" s="72"/>
      <c r="K1956" s="72"/>
      <c r="L1956" s="72"/>
      <c r="M1956" s="72"/>
      <c r="N1956" s="73"/>
      <c r="O1956" s="74"/>
      <c r="P1956" s="74"/>
    </row>
    <row r="1957">
      <c r="A1957" s="70"/>
      <c r="B1957" s="71"/>
      <c r="C1957" s="71"/>
      <c r="D1957" s="72"/>
      <c r="E1957" s="72"/>
      <c r="F1957" s="72"/>
      <c r="G1957" s="72"/>
      <c r="H1957" s="72"/>
      <c r="I1957" s="72"/>
      <c r="J1957" s="72"/>
      <c r="K1957" s="72"/>
      <c r="L1957" s="72"/>
      <c r="M1957" s="72"/>
      <c r="N1957" s="73"/>
      <c r="O1957" s="74"/>
      <c r="P1957" s="74"/>
    </row>
    <row r="1958">
      <c r="A1958" s="70"/>
      <c r="B1958" s="71"/>
      <c r="C1958" s="71"/>
      <c r="D1958" s="72"/>
      <c r="E1958" s="72"/>
      <c r="F1958" s="72"/>
      <c r="G1958" s="72"/>
      <c r="H1958" s="72"/>
      <c r="I1958" s="72"/>
      <c r="J1958" s="72"/>
      <c r="K1958" s="72"/>
      <c r="L1958" s="72"/>
      <c r="M1958" s="72"/>
      <c r="N1958" s="73"/>
      <c r="O1958" s="74"/>
      <c r="P1958" s="74"/>
    </row>
    <row r="1959">
      <c r="A1959" s="70"/>
      <c r="B1959" s="71"/>
      <c r="C1959" s="71"/>
      <c r="D1959" s="72"/>
      <c r="E1959" s="72"/>
      <c r="F1959" s="72"/>
      <c r="G1959" s="72"/>
      <c r="H1959" s="72"/>
      <c r="I1959" s="72"/>
      <c r="J1959" s="72"/>
      <c r="K1959" s="72"/>
      <c r="L1959" s="72"/>
      <c r="M1959" s="72"/>
      <c r="N1959" s="73"/>
      <c r="O1959" s="74"/>
      <c r="P1959" s="74"/>
    </row>
    <row r="1960">
      <c r="A1960" s="70"/>
      <c r="B1960" s="71"/>
      <c r="C1960" s="71"/>
      <c r="D1960" s="72"/>
      <c r="E1960" s="72"/>
      <c r="F1960" s="72"/>
      <c r="G1960" s="72"/>
      <c r="H1960" s="72"/>
      <c r="I1960" s="72"/>
      <c r="J1960" s="72"/>
      <c r="K1960" s="72"/>
      <c r="L1960" s="72"/>
      <c r="M1960" s="72"/>
      <c r="N1960" s="73"/>
      <c r="O1960" s="74"/>
      <c r="P1960" s="74"/>
    </row>
    <row r="1961">
      <c r="A1961" s="70"/>
      <c r="B1961" s="71"/>
      <c r="C1961" s="71"/>
      <c r="D1961" s="72"/>
      <c r="E1961" s="72"/>
      <c r="F1961" s="72"/>
      <c r="G1961" s="72"/>
      <c r="H1961" s="72"/>
      <c r="I1961" s="72"/>
      <c r="J1961" s="72"/>
      <c r="K1961" s="72"/>
      <c r="L1961" s="72"/>
      <c r="M1961" s="72"/>
      <c r="N1961" s="73"/>
      <c r="O1961" s="74"/>
      <c r="P1961" s="74"/>
    </row>
    <row r="1962">
      <c r="A1962" s="70"/>
      <c r="B1962" s="71"/>
      <c r="C1962" s="71"/>
      <c r="D1962" s="72"/>
      <c r="E1962" s="72"/>
      <c r="F1962" s="72"/>
      <c r="G1962" s="72"/>
      <c r="H1962" s="72"/>
      <c r="I1962" s="72"/>
      <c r="J1962" s="72"/>
      <c r="K1962" s="72"/>
      <c r="L1962" s="72"/>
      <c r="M1962" s="72"/>
      <c r="N1962" s="73"/>
      <c r="O1962" s="74"/>
      <c r="P1962" s="74"/>
    </row>
    <row r="1963">
      <c r="A1963" s="70"/>
      <c r="B1963" s="71"/>
      <c r="C1963" s="71"/>
      <c r="D1963" s="72"/>
      <c r="E1963" s="72"/>
      <c r="F1963" s="72"/>
      <c r="G1963" s="72"/>
      <c r="H1963" s="72"/>
      <c r="I1963" s="72"/>
      <c r="J1963" s="72"/>
      <c r="K1963" s="72"/>
      <c r="L1963" s="72"/>
      <c r="M1963" s="72"/>
      <c r="N1963" s="73"/>
      <c r="O1963" s="74"/>
      <c r="P1963" s="74"/>
    </row>
    <row r="1964">
      <c r="A1964" s="70"/>
      <c r="B1964" s="71"/>
      <c r="C1964" s="71"/>
      <c r="D1964" s="72"/>
      <c r="E1964" s="72"/>
      <c r="F1964" s="72"/>
      <c r="G1964" s="72"/>
      <c r="H1964" s="72"/>
      <c r="I1964" s="72"/>
      <c r="J1964" s="72"/>
      <c r="K1964" s="72"/>
      <c r="L1964" s="72"/>
      <c r="M1964" s="72"/>
      <c r="N1964" s="73"/>
      <c r="O1964" s="74"/>
      <c r="P1964" s="74"/>
    </row>
    <row r="1965">
      <c r="A1965" s="70"/>
      <c r="B1965" s="71"/>
      <c r="C1965" s="71"/>
      <c r="D1965" s="72"/>
      <c r="E1965" s="72"/>
      <c r="F1965" s="72"/>
      <c r="G1965" s="72"/>
      <c r="H1965" s="72"/>
      <c r="I1965" s="72"/>
      <c r="J1965" s="72"/>
      <c r="K1965" s="72"/>
      <c r="L1965" s="72"/>
      <c r="M1965" s="72"/>
      <c r="N1965" s="73"/>
      <c r="O1965" s="74"/>
      <c r="P1965" s="74"/>
    </row>
    <row r="1966">
      <c r="A1966" s="70"/>
      <c r="B1966" s="71"/>
      <c r="C1966" s="71"/>
      <c r="D1966" s="72"/>
      <c r="E1966" s="72"/>
      <c r="F1966" s="72"/>
      <c r="G1966" s="72"/>
      <c r="H1966" s="72"/>
      <c r="I1966" s="72"/>
      <c r="J1966" s="72"/>
      <c r="K1966" s="72"/>
      <c r="L1966" s="72"/>
      <c r="M1966" s="72"/>
      <c r="N1966" s="73"/>
      <c r="O1966" s="74"/>
      <c r="P1966" s="74"/>
    </row>
    <row r="1967">
      <c r="A1967" s="70"/>
      <c r="B1967" s="71"/>
      <c r="C1967" s="71"/>
      <c r="D1967" s="72"/>
      <c r="E1967" s="72"/>
      <c r="F1967" s="72"/>
      <c r="G1967" s="72"/>
      <c r="H1967" s="72"/>
      <c r="I1967" s="72"/>
      <c r="J1967" s="72"/>
      <c r="K1967" s="72"/>
      <c r="L1967" s="72"/>
      <c r="M1967" s="72"/>
      <c r="N1967" s="73"/>
      <c r="O1967" s="74"/>
      <c r="P1967" s="74"/>
    </row>
    <row r="1968">
      <c r="A1968" s="70"/>
      <c r="B1968" s="71"/>
      <c r="C1968" s="71"/>
      <c r="D1968" s="72"/>
      <c r="E1968" s="72"/>
      <c r="F1968" s="72"/>
      <c r="G1968" s="72"/>
      <c r="H1968" s="72"/>
      <c r="I1968" s="72"/>
      <c r="J1968" s="72"/>
      <c r="K1968" s="72"/>
      <c r="L1968" s="72"/>
      <c r="M1968" s="72"/>
      <c r="N1968" s="73"/>
      <c r="O1968" s="74"/>
      <c r="P1968" s="74"/>
    </row>
    <row r="1969">
      <c r="A1969" s="70"/>
      <c r="B1969" s="71"/>
      <c r="C1969" s="71"/>
      <c r="D1969" s="72"/>
      <c r="E1969" s="72"/>
      <c r="F1969" s="72"/>
      <c r="G1969" s="72"/>
      <c r="H1969" s="72"/>
      <c r="I1969" s="72"/>
      <c r="J1969" s="72"/>
      <c r="K1969" s="72"/>
      <c r="L1969" s="72"/>
      <c r="M1969" s="72"/>
      <c r="N1969" s="73"/>
      <c r="O1969" s="74"/>
      <c r="P1969" s="74"/>
    </row>
    <row r="1970">
      <c r="A1970" s="70"/>
      <c r="B1970" s="71"/>
      <c r="C1970" s="71"/>
      <c r="D1970" s="72"/>
      <c r="E1970" s="72"/>
      <c r="F1970" s="72"/>
      <c r="G1970" s="72"/>
      <c r="H1970" s="72"/>
      <c r="I1970" s="72"/>
      <c r="J1970" s="72"/>
      <c r="K1970" s="72"/>
      <c r="L1970" s="72"/>
      <c r="M1970" s="72"/>
      <c r="N1970" s="73"/>
      <c r="O1970" s="74"/>
      <c r="P1970" s="74"/>
    </row>
    <row r="1971">
      <c r="A1971" s="70"/>
      <c r="B1971" s="71"/>
      <c r="C1971" s="71"/>
      <c r="D1971" s="72"/>
      <c r="E1971" s="72"/>
      <c r="F1971" s="72"/>
      <c r="G1971" s="72"/>
      <c r="H1971" s="72"/>
      <c r="I1971" s="72"/>
      <c r="J1971" s="72"/>
      <c r="K1971" s="72"/>
      <c r="L1971" s="72"/>
      <c r="M1971" s="72"/>
      <c r="N1971" s="73"/>
      <c r="O1971" s="74"/>
      <c r="P1971" s="74"/>
    </row>
    <row r="1972">
      <c r="A1972" s="70"/>
      <c r="B1972" s="71"/>
      <c r="C1972" s="71"/>
      <c r="D1972" s="72"/>
      <c r="E1972" s="72"/>
      <c r="F1972" s="72"/>
      <c r="G1972" s="72"/>
      <c r="H1972" s="72"/>
      <c r="I1972" s="72"/>
      <c r="J1972" s="72"/>
      <c r="K1972" s="72"/>
      <c r="L1972" s="72"/>
      <c r="M1972" s="72"/>
      <c r="N1972" s="73"/>
      <c r="O1972" s="74"/>
      <c r="P1972" s="74"/>
    </row>
    <row r="1973">
      <c r="A1973" s="70"/>
      <c r="B1973" s="71"/>
      <c r="C1973" s="71"/>
      <c r="D1973" s="72"/>
      <c r="E1973" s="72"/>
      <c r="F1973" s="72"/>
      <c r="G1973" s="72"/>
      <c r="H1973" s="72"/>
      <c r="I1973" s="72"/>
      <c r="J1973" s="72"/>
      <c r="K1973" s="72"/>
      <c r="L1973" s="72"/>
      <c r="M1973" s="72"/>
      <c r="N1973" s="73"/>
      <c r="O1973" s="74"/>
      <c r="P1973" s="74"/>
    </row>
    <row r="1974">
      <c r="A1974" s="70"/>
      <c r="B1974" s="71"/>
      <c r="C1974" s="71"/>
      <c r="D1974" s="72"/>
      <c r="E1974" s="72"/>
      <c r="F1974" s="72"/>
      <c r="G1974" s="72"/>
      <c r="H1974" s="72"/>
      <c r="I1974" s="72"/>
      <c r="J1974" s="72"/>
      <c r="K1974" s="72"/>
      <c r="L1974" s="72"/>
      <c r="M1974" s="72"/>
      <c r="N1974" s="73"/>
      <c r="O1974" s="74"/>
      <c r="P1974" s="74"/>
    </row>
    <row r="1975">
      <c r="A1975" s="70"/>
      <c r="B1975" s="71"/>
      <c r="C1975" s="71"/>
      <c r="D1975" s="72"/>
      <c r="E1975" s="72"/>
      <c r="F1975" s="72"/>
      <c r="G1975" s="72"/>
      <c r="H1975" s="72"/>
      <c r="I1975" s="72"/>
      <c r="J1975" s="72"/>
      <c r="K1975" s="72"/>
      <c r="L1975" s="72"/>
      <c r="M1975" s="72"/>
      <c r="N1975" s="73"/>
      <c r="O1975" s="74"/>
      <c r="P1975" s="74"/>
    </row>
    <row r="1976">
      <c r="A1976" s="70"/>
      <c r="B1976" s="71"/>
      <c r="C1976" s="71"/>
      <c r="D1976" s="72"/>
      <c r="E1976" s="72"/>
      <c r="F1976" s="72"/>
      <c r="G1976" s="72"/>
      <c r="H1976" s="72"/>
      <c r="I1976" s="72"/>
      <c r="J1976" s="72"/>
      <c r="K1976" s="72"/>
      <c r="L1976" s="72"/>
      <c r="M1976" s="72"/>
      <c r="N1976" s="73"/>
      <c r="O1976" s="74"/>
      <c r="P1976" s="74"/>
    </row>
    <row r="1977">
      <c r="A1977" s="70"/>
      <c r="B1977" s="71"/>
      <c r="C1977" s="71"/>
      <c r="D1977" s="72"/>
      <c r="E1977" s="72"/>
      <c r="F1977" s="72"/>
      <c r="G1977" s="72"/>
      <c r="H1977" s="72"/>
      <c r="I1977" s="72"/>
      <c r="J1977" s="72"/>
      <c r="K1977" s="72"/>
      <c r="L1977" s="72"/>
      <c r="M1977" s="72"/>
      <c r="N1977" s="73"/>
      <c r="O1977" s="74"/>
      <c r="P1977" s="74"/>
    </row>
    <row r="1978">
      <c r="A1978" s="70"/>
      <c r="B1978" s="71"/>
      <c r="C1978" s="71"/>
      <c r="D1978" s="72"/>
      <c r="E1978" s="72"/>
      <c r="F1978" s="72"/>
      <c r="G1978" s="72"/>
      <c r="H1978" s="72"/>
      <c r="I1978" s="72"/>
      <c r="J1978" s="72"/>
      <c r="K1978" s="72"/>
      <c r="L1978" s="72"/>
      <c r="M1978" s="72"/>
      <c r="N1978" s="73"/>
      <c r="O1978" s="74"/>
      <c r="P1978" s="74"/>
    </row>
    <row r="1979">
      <c r="A1979" s="70"/>
      <c r="B1979" s="71"/>
      <c r="C1979" s="71"/>
      <c r="D1979" s="72"/>
      <c r="E1979" s="72"/>
      <c r="F1979" s="72"/>
      <c r="G1979" s="72"/>
      <c r="H1979" s="72"/>
      <c r="I1979" s="72"/>
      <c r="J1979" s="72"/>
      <c r="K1979" s="72"/>
      <c r="L1979" s="72"/>
      <c r="M1979" s="72"/>
      <c r="N1979" s="73"/>
      <c r="O1979" s="74"/>
      <c r="P1979" s="74"/>
    </row>
    <row r="1980">
      <c r="A1980" s="70"/>
      <c r="B1980" s="71"/>
      <c r="C1980" s="71"/>
      <c r="D1980" s="72"/>
      <c r="E1980" s="72"/>
      <c r="F1980" s="72"/>
      <c r="G1980" s="72"/>
      <c r="H1980" s="72"/>
      <c r="I1980" s="72"/>
      <c r="J1980" s="72"/>
      <c r="K1980" s="72"/>
      <c r="L1980" s="72"/>
      <c r="M1980" s="72"/>
      <c r="N1980" s="73"/>
      <c r="O1980" s="74"/>
      <c r="P1980" s="74"/>
    </row>
    <row r="1981">
      <c r="A1981" s="70"/>
      <c r="B1981" s="71"/>
      <c r="C1981" s="71"/>
      <c r="D1981" s="72"/>
      <c r="E1981" s="72"/>
      <c r="F1981" s="72"/>
      <c r="G1981" s="72"/>
      <c r="H1981" s="72"/>
      <c r="I1981" s="72"/>
      <c r="J1981" s="72"/>
      <c r="K1981" s="72"/>
      <c r="L1981" s="72"/>
      <c r="M1981" s="72"/>
      <c r="N1981" s="73"/>
      <c r="O1981" s="74"/>
      <c r="P1981" s="74"/>
    </row>
    <row r="1982">
      <c r="A1982" s="70"/>
      <c r="B1982" s="71"/>
      <c r="C1982" s="71"/>
      <c r="D1982" s="72"/>
      <c r="E1982" s="72"/>
      <c r="F1982" s="72"/>
      <c r="G1982" s="72"/>
      <c r="H1982" s="72"/>
      <c r="I1982" s="72"/>
      <c r="J1982" s="72"/>
      <c r="K1982" s="72"/>
      <c r="L1982" s="72"/>
      <c r="M1982" s="72"/>
      <c r="N1982" s="73"/>
      <c r="O1982" s="74"/>
      <c r="P1982" s="74"/>
    </row>
    <row r="1983">
      <c r="A1983" s="70"/>
      <c r="B1983" s="71"/>
      <c r="C1983" s="71"/>
      <c r="D1983" s="72"/>
      <c r="E1983" s="72"/>
      <c r="F1983" s="72"/>
      <c r="G1983" s="72"/>
      <c r="H1983" s="72"/>
      <c r="I1983" s="72"/>
      <c r="J1983" s="72"/>
      <c r="K1983" s="72"/>
      <c r="L1983" s="72"/>
      <c r="M1983" s="72"/>
      <c r="N1983" s="73"/>
      <c r="O1983" s="74"/>
      <c r="P1983" s="74"/>
    </row>
    <row r="1984">
      <c r="A1984" s="70"/>
      <c r="B1984" s="71"/>
      <c r="C1984" s="71"/>
      <c r="D1984" s="72"/>
      <c r="E1984" s="72"/>
      <c r="F1984" s="72"/>
      <c r="G1984" s="72"/>
      <c r="H1984" s="72"/>
      <c r="I1984" s="72"/>
      <c r="J1984" s="72"/>
      <c r="K1984" s="72"/>
      <c r="L1984" s="72"/>
      <c r="M1984" s="72"/>
      <c r="N1984" s="73"/>
      <c r="O1984" s="74"/>
      <c r="P1984" s="74"/>
    </row>
    <row r="1985">
      <c r="A1985" s="70"/>
      <c r="B1985" s="71"/>
      <c r="C1985" s="71"/>
      <c r="D1985" s="72"/>
      <c r="E1985" s="72"/>
      <c r="F1985" s="72"/>
      <c r="G1985" s="72"/>
      <c r="H1985" s="72"/>
      <c r="I1985" s="72"/>
      <c r="J1985" s="72"/>
      <c r="K1985" s="72"/>
      <c r="L1985" s="72"/>
      <c r="M1985" s="72"/>
      <c r="N1985" s="73"/>
      <c r="O1985" s="74"/>
      <c r="P1985" s="74"/>
    </row>
    <row r="1986">
      <c r="A1986" s="70"/>
      <c r="B1986" s="71"/>
      <c r="C1986" s="71"/>
      <c r="D1986" s="72"/>
      <c r="E1986" s="72"/>
      <c r="F1986" s="72"/>
      <c r="G1986" s="72"/>
      <c r="H1986" s="72"/>
      <c r="I1986" s="72"/>
      <c r="J1986" s="72"/>
      <c r="K1986" s="72"/>
      <c r="L1986" s="72"/>
      <c r="M1986" s="72"/>
      <c r="N1986" s="73"/>
      <c r="O1986" s="74"/>
      <c r="P1986" s="74"/>
    </row>
    <row r="1987">
      <c r="A1987" s="70"/>
      <c r="B1987" s="71"/>
      <c r="C1987" s="71"/>
      <c r="D1987" s="72"/>
      <c r="E1987" s="72"/>
      <c r="F1987" s="72"/>
      <c r="G1987" s="72"/>
      <c r="H1987" s="72"/>
      <c r="I1987" s="72"/>
      <c r="J1987" s="72"/>
      <c r="K1987" s="72"/>
      <c r="L1987" s="72"/>
      <c r="M1987" s="72"/>
      <c r="N1987" s="73"/>
      <c r="O1987" s="74"/>
      <c r="P1987" s="74"/>
    </row>
    <row r="1988">
      <c r="A1988" s="70"/>
      <c r="B1988" s="71"/>
      <c r="C1988" s="71"/>
      <c r="D1988" s="72"/>
      <c r="E1988" s="72"/>
      <c r="F1988" s="72"/>
      <c r="G1988" s="72"/>
      <c r="H1988" s="72"/>
      <c r="I1988" s="72"/>
      <c r="J1988" s="72"/>
      <c r="K1988" s="72"/>
      <c r="L1988" s="72"/>
      <c r="M1988" s="72"/>
      <c r="N1988" s="73"/>
      <c r="O1988" s="74"/>
      <c r="P1988" s="74"/>
    </row>
    <row r="1989">
      <c r="A1989" s="70"/>
      <c r="B1989" s="71"/>
      <c r="C1989" s="71"/>
      <c r="D1989" s="72"/>
      <c r="E1989" s="72"/>
      <c r="F1989" s="72"/>
      <c r="G1989" s="72"/>
      <c r="H1989" s="72"/>
      <c r="I1989" s="72"/>
      <c r="J1989" s="72"/>
      <c r="K1989" s="72"/>
      <c r="L1989" s="72"/>
      <c r="M1989" s="72"/>
      <c r="N1989" s="73"/>
      <c r="O1989" s="74"/>
      <c r="P1989" s="74"/>
    </row>
    <row r="1990">
      <c r="A1990" s="70"/>
      <c r="B1990" s="71"/>
      <c r="C1990" s="71"/>
      <c r="D1990" s="72"/>
      <c r="E1990" s="72"/>
      <c r="F1990" s="72"/>
      <c r="G1990" s="72"/>
      <c r="H1990" s="72"/>
      <c r="I1990" s="72"/>
      <c r="J1990" s="72"/>
      <c r="K1990" s="72"/>
      <c r="L1990" s="72"/>
      <c r="M1990" s="72"/>
      <c r="N1990" s="73"/>
      <c r="O1990" s="74"/>
      <c r="P1990" s="74"/>
    </row>
    <row r="1991">
      <c r="A1991" s="70"/>
      <c r="B1991" s="71"/>
      <c r="C1991" s="71"/>
      <c r="D1991" s="72"/>
      <c r="E1991" s="72"/>
      <c r="F1991" s="72"/>
      <c r="G1991" s="72"/>
      <c r="H1991" s="72"/>
      <c r="I1991" s="72"/>
      <c r="J1991" s="72"/>
      <c r="K1991" s="72"/>
      <c r="L1991" s="72"/>
      <c r="M1991" s="72"/>
      <c r="N1991" s="73"/>
      <c r="O1991" s="74"/>
      <c r="P1991" s="74"/>
    </row>
    <row r="1992">
      <c r="A1992" s="70"/>
      <c r="B1992" s="71"/>
      <c r="C1992" s="71"/>
      <c r="D1992" s="72"/>
      <c r="E1992" s="72"/>
      <c r="F1992" s="72"/>
      <c r="G1992" s="72"/>
      <c r="H1992" s="72"/>
      <c r="I1992" s="72"/>
      <c r="J1992" s="72"/>
      <c r="K1992" s="72"/>
      <c r="L1992" s="72"/>
      <c r="M1992" s="72"/>
      <c r="N1992" s="73"/>
      <c r="O1992" s="74"/>
      <c r="P1992" s="74"/>
    </row>
    <row r="1993">
      <c r="A1993" s="70"/>
      <c r="B1993" s="71"/>
      <c r="C1993" s="71"/>
      <c r="D1993" s="72"/>
      <c r="E1993" s="72"/>
      <c r="F1993" s="72"/>
      <c r="G1993" s="72"/>
      <c r="H1993" s="72"/>
      <c r="I1993" s="72"/>
      <c r="J1993" s="72"/>
      <c r="K1993" s="72"/>
      <c r="L1993" s="72"/>
      <c r="M1993" s="72"/>
      <c r="N1993" s="73"/>
      <c r="O1993" s="74"/>
      <c r="P1993" s="74"/>
    </row>
    <row r="1994">
      <c r="A1994" s="70"/>
      <c r="B1994" s="71"/>
      <c r="C1994" s="71"/>
      <c r="D1994" s="72"/>
      <c r="E1994" s="72"/>
      <c r="F1994" s="72"/>
      <c r="G1994" s="72"/>
      <c r="H1994" s="72"/>
      <c r="I1994" s="72"/>
      <c r="J1994" s="72"/>
      <c r="K1994" s="72"/>
      <c r="L1994" s="72"/>
      <c r="M1994" s="72"/>
      <c r="N1994" s="73"/>
      <c r="O1994" s="74"/>
      <c r="P1994" s="74"/>
    </row>
    <row r="1995">
      <c r="A1995" s="70"/>
      <c r="B1995" s="71"/>
      <c r="C1995" s="71"/>
      <c r="D1995" s="72"/>
      <c r="E1995" s="72"/>
      <c r="F1995" s="72"/>
      <c r="G1995" s="72"/>
      <c r="H1995" s="72"/>
      <c r="I1995" s="72"/>
      <c r="J1995" s="72"/>
      <c r="K1995" s="72"/>
      <c r="L1995" s="72"/>
      <c r="M1995" s="72"/>
      <c r="N1995" s="73"/>
      <c r="O1995" s="74"/>
      <c r="P1995" s="74"/>
    </row>
    <row r="1996">
      <c r="A1996" s="70"/>
      <c r="B1996" s="71"/>
      <c r="C1996" s="71"/>
      <c r="D1996" s="72"/>
      <c r="E1996" s="72"/>
      <c r="F1996" s="72"/>
      <c r="G1996" s="72"/>
      <c r="H1996" s="72"/>
      <c r="I1996" s="72"/>
      <c r="J1996" s="72"/>
      <c r="K1996" s="72"/>
      <c r="L1996" s="72"/>
      <c r="M1996" s="72"/>
      <c r="N1996" s="73"/>
      <c r="O1996" s="74"/>
      <c r="P1996" s="74"/>
    </row>
    <row r="1997">
      <c r="A1997" s="70"/>
      <c r="B1997" s="71"/>
      <c r="C1997" s="71"/>
      <c r="D1997" s="72"/>
      <c r="E1997" s="72"/>
      <c r="F1997" s="72"/>
      <c r="G1997" s="72"/>
      <c r="H1997" s="72"/>
      <c r="I1997" s="72"/>
      <c r="J1997" s="72"/>
      <c r="K1997" s="72"/>
      <c r="L1997" s="72"/>
      <c r="M1997" s="72"/>
      <c r="N1997" s="73"/>
      <c r="O1997" s="74"/>
      <c r="P1997" s="74"/>
    </row>
    <row r="1998">
      <c r="A1998" s="70"/>
      <c r="B1998" s="71"/>
      <c r="C1998" s="71"/>
      <c r="D1998" s="72"/>
      <c r="E1998" s="72"/>
      <c r="F1998" s="72"/>
      <c r="G1998" s="72"/>
      <c r="H1998" s="72"/>
      <c r="I1998" s="72"/>
      <c r="J1998" s="72"/>
      <c r="K1998" s="72"/>
      <c r="L1998" s="72"/>
      <c r="M1998" s="72"/>
      <c r="N1998" s="73"/>
      <c r="O1998" s="74"/>
      <c r="P1998" s="74"/>
    </row>
    <row r="1999">
      <c r="A1999" s="70"/>
      <c r="B1999" s="71"/>
      <c r="C1999" s="71"/>
      <c r="D1999" s="72"/>
      <c r="E1999" s="72"/>
      <c r="F1999" s="72"/>
      <c r="G1999" s="72"/>
      <c r="H1999" s="72"/>
      <c r="I1999" s="72"/>
      <c r="J1999" s="72"/>
      <c r="K1999" s="72"/>
      <c r="L1999" s="72"/>
      <c r="M1999" s="72"/>
      <c r="N1999" s="73"/>
      <c r="O1999" s="74"/>
      <c r="P1999" s="74"/>
    </row>
    <row r="2000">
      <c r="A2000" s="70"/>
      <c r="B2000" s="71"/>
      <c r="C2000" s="71"/>
      <c r="D2000" s="72"/>
      <c r="E2000" s="72"/>
      <c r="F2000" s="72"/>
      <c r="G2000" s="72"/>
      <c r="H2000" s="72"/>
      <c r="I2000" s="72"/>
      <c r="J2000" s="72"/>
      <c r="K2000" s="72"/>
      <c r="L2000" s="72"/>
      <c r="M2000" s="72"/>
      <c r="N2000" s="73"/>
      <c r="O2000" s="74"/>
      <c r="P2000" s="74"/>
    </row>
    <row r="2001">
      <c r="A2001" s="70"/>
      <c r="B2001" s="71"/>
      <c r="C2001" s="71"/>
      <c r="D2001" s="72"/>
      <c r="E2001" s="72"/>
      <c r="F2001" s="72"/>
      <c r="G2001" s="72"/>
      <c r="H2001" s="72"/>
      <c r="I2001" s="72"/>
      <c r="J2001" s="72"/>
      <c r="K2001" s="72"/>
      <c r="L2001" s="72"/>
      <c r="M2001" s="72"/>
      <c r="N2001" s="73"/>
      <c r="O2001" s="74"/>
      <c r="P2001" s="74"/>
    </row>
    <row r="2002">
      <c r="A2002" s="70"/>
      <c r="B2002" s="71"/>
      <c r="C2002" s="71"/>
      <c r="D2002" s="72"/>
      <c r="E2002" s="72"/>
      <c r="F2002" s="72"/>
      <c r="G2002" s="72"/>
      <c r="H2002" s="72"/>
      <c r="I2002" s="72"/>
      <c r="J2002" s="72"/>
      <c r="K2002" s="72"/>
      <c r="L2002" s="72"/>
      <c r="M2002" s="72"/>
      <c r="N2002" s="73"/>
      <c r="O2002" s="74"/>
      <c r="P2002" s="74"/>
    </row>
    <row r="2003">
      <c r="A2003" s="70"/>
      <c r="B2003" s="71"/>
      <c r="C2003" s="71"/>
      <c r="D2003" s="72"/>
      <c r="E2003" s="72"/>
      <c r="F2003" s="72"/>
      <c r="G2003" s="72"/>
      <c r="H2003" s="72"/>
      <c r="I2003" s="72"/>
      <c r="J2003" s="72"/>
      <c r="K2003" s="72"/>
      <c r="L2003" s="72"/>
      <c r="M2003" s="72"/>
      <c r="N2003" s="73"/>
      <c r="O2003" s="74"/>
      <c r="P2003" s="74"/>
    </row>
    <row r="2004">
      <c r="A2004" s="70"/>
      <c r="B2004" s="71"/>
      <c r="C2004" s="71"/>
      <c r="D2004" s="72"/>
      <c r="E2004" s="72"/>
      <c r="F2004" s="72"/>
      <c r="G2004" s="72"/>
      <c r="H2004" s="72"/>
      <c r="I2004" s="72"/>
      <c r="J2004" s="72"/>
      <c r="K2004" s="72"/>
      <c r="L2004" s="72"/>
      <c r="M2004" s="72"/>
      <c r="N2004" s="73"/>
      <c r="O2004" s="74"/>
      <c r="P2004" s="74"/>
    </row>
    <row r="2005">
      <c r="A2005" s="70"/>
      <c r="B2005" s="71"/>
      <c r="C2005" s="71"/>
      <c r="D2005" s="72"/>
      <c r="E2005" s="72"/>
      <c r="F2005" s="72"/>
      <c r="G2005" s="72"/>
      <c r="H2005" s="72"/>
      <c r="I2005" s="72"/>
      <c r="J2005" s="72"/>
      <c r="K2005" s="72"/>
      <c r="L2005" s="72"/>
      <c r="M2005" s="72"/>
      <c r="N2005" s="73"/>
      <c r="O2005" s="74"/>
      <c r="P2005" s="74"/>
    </row>
    <row r="2006">
      <c r="A2006" s="70"/>
      <c r="B2006" s="71"/>
      <c r="C2006" s="71"/>
      <c r="D2006" s="72"/>
      <c r="E2006" s="72"/>
      <c r="F2006" s="72"/>
      <c r="G2006" s="72"/>
      <c r="H2006" s="72"/>
      <c r="I2006" s="72"/>
      <c r="J2006" s="72"/>
      <c r="K2006" s="72"/>
      <c r="L2006" s="72"/>
      <c r="M2006" s="72"/>
      <c r="N2006" s="73"/>
      <c r="O2006" s="74"/>
      <c r="P2006" s="74"/>
    </row>
    <row r="2007">
      <c r="A2007" s="70"/>
      <c r="B2007" s="71"/>
      <c r="C2007" s="71"/>
      <c r="D2007" s="72"/>
      <c r="E2007" s="72"/>
      <c r="F2007" s="72"/>
      <c r="G2007" s="72"/>
      <c r="H2007" s="72"/>
      <c r="I2007" s="72"/>
      <c r="J2007" s="72"/>
      <c r="K2007" s="72"/>
      <c r="L2007" s="72"/>
      <c r="M2007" s="72"/>
      <c r="N2007" s="73"/>
      <c r="O2007" s="74"/>
      <c r="P2007" s="74"/>
    </row>
    <row r="2008">
      <c r="A2008" s="70"/>
      <c r="B2008" s="71"/>
      <c r="C2008" s="71"/>
      <c r="D2008" s="72"/>
      <c r="E2008" s="72"/>
      <c r="F2008" s="72"/>
      <c r="G2008" s="72"/>
      <c r="H2008" s="72"/>
      <c r="I2008" s="72"/>
      <c r="J2008" s="72"/>
      <c r="K2008" s="72"/>
      <c r="L2008" s="72"/>
      <c r="M2008" s="72"/>
      <c r="N2008" s="73"/>
      <c r="O2008" s="74"/>
      <c r="P2008" s="74"/>
    </row>
    <row r="2009">
      <c r="A2009" s="70"/>
      <c r="B2009" s="71"/>
      <c r="C2009" s="71"/>
      <c r="D2009" s="72"/>
      <c r="E2009" s="72"/>
      <c r="F2009" s="72"/>
      <c r="G2009" s="72"/>
      <c r="H2009" s="72"/>
      <c r="I2009" s="72"/>
      <c r="J2009" s="72"/>
      <c r="K2009" s="72"/>
      <c r="L2009" s="72"/>
      <c r="M2009" s="72"/>
      <c r="N2009" s="73"/>
      <c r="O2009" s="74"/>
      <c r="P2009" s="74"/>
    </row>
    <row r="2010">
      <c r="A2010" s="70"/>
      <c r="B2010" s="71"/>
      <c r="C2010" s="71"/>
      <c r="D2010" s="72"/>
      <c r="E2010" s="72"/>
      <c r="F2010" s="72"/>
      <c r="G2010" s="72"/>
      <c r="H2010" s="72"/>
      <c r="I2010" s="72"/>
      <c r="J2010" s="72"/>
      <c r="K2010" s="72"/>
      <c r="L2010" s="72"/>
      <c r="M2010" s="72"/>
      <c r="N2010" s="73"/>
      <c r="O2010" s="74"/>
      <c r="P2010" s="74"/>
    </row>
    <row r="2011">
      <c r="A2011" s="70"/>
      <c r="B2011" s="71"/>
      <c r="C2011" s="71"/>
      <c r="D2011" s="72"/>
      <c r="E2011" s="72"/>
      <c r="F2011" s="72"/>
      <c r="G2011" s="72"/>
      <c r="H2011" s="72"/>
      <c r="I2011" s="72"/>
      <c r="J2011" s="72"/>
      <c r="K2011" s="72"/>
      <c r="L2011" s="72"/>
      <c r="M2011" s="72"/>
      <c r="N2011" s="73"/>
      <c r="O2011" s="74"/>
      <c r="P2011" s="74"/>
    </row>
    <row r="2012">
      <c r="A2012" s="70"/>
      <c r="B2012" s="71"/>
      <c r="C2012" s="71"/>
      <c r="D2012" s="72"/>
      <c r="E2012" s="72"/>
      <c r="F2012" s="72"/>
      <c r="G2012" s="72"/>
      <c r="H2012" s="72"/>
      <c r="I2012" s="72"/>
      <c r="J2012" s="72"/>
      <c r="K2012" s="72"/>
      <c r="L2012" s="72"/>
      <c r="M2012" s="72"/>
      <c r="N2012" s="73"/>
      <c r="O2012" s="74"/>
      <c r="P2012" s="74"/>
    </row>
    <row r="2013">
      <c r="A2013" s="70"/>
      <c r="B2013" s="71"/>
      <c r="C2013" s="71"/>
      <c r="D2013" s="72"/>
      <c r="E2013" s="72"/>
      <c r="F2013" s="72"/>
      <c r="G2013" s="72"/>
      <c r="H2013" s="72"/>
      <c r="I2013" s="72"/>
      <c r="J2013" s="72"/>
      <c r="K2013" s="72"/>
      <c r="L2013" s="72"/>
      <c r="M2013" s="72"/>
      <c r="N2013" s="73"/>
      <c r="O2013" s="74"/>
      <c r="P2013" s="74"/>
    </row>
    <row r="2014">
      <c r="A2014" s="70"/>
      <c r="B2014" s="71"/>
      <c r="C2014" s="71"/>
      <c r="D2014" s="72"/>
      <c r="E2014" s="72"/>
      <c r="F2014" s="72"/>
      <c r="G2014" s="72"/>
      <c r="H2014" s="72"/>
      <c r="I2014" s="72"/>
      <c r="J2014" s="72"/>
      <c r="K2014" s="72"/>
      <c r="L2014" s="72"/>
      <c r="M2014" s="72"/>
      <c r="N2014" s="73"/>
      <c r="O2014" s="74"/>
      <c r="P2014" s="74"/>
    </row>
    <row r="2015">
      <c r="A2015" s="70"/>
      <c r="B2015" s="71"/>
      <c r="C2015" s="71"/>
      <c r="D2015" s="72"/>
      <c r="E2015" s="72"/>
      <c r="F2015" s="72"/>
      <c r="G2015" s="72"/>
      <c r="H2015" s="72"/>
      <c r="I2015" s="72"/>
      <c r="J2015" s="72"/>
      <c r="K2015" s="72"/>
      <c r="L2015" s="72"/>
      <c r="M2015" s="72"/>
      <c r="N2015" s="73"/>
      <c r="O2015" s="74"/>
      <c r="P2015" s="74"/>
    </row>
    <row r="2016">
      <c r="A2016" s="70"/>
      <c r="B2016" s="71"/>
      <c r="C2016" s="71"/>
      <c r="D2016" s="72"/>
      <c r="E2016" s="72"/>
      <c r="F2016" s="72"/>
      <c r="G2016" s="72"/>
      <c r="H2016" s="72"/>
      <c r="I2016" s="72"/>
      <c r="J2016" s="72"/>
      <c r="K2016" s="72"/>
      <c r="L2016" s="72"/>
      <c r="M2016" s="72"/>
      <c r="N2016" s="73"/>
      <c r="O2016" s="74"/>
      <c r="P2016" s="74"/>
    </row>
    <row r="2017">
      <c r="A2017" s="70"/>
      <c r="B2017" s="71"/>
      <c r="C2017" s="71"/>
      <c r="D2017" s="72"/>
      <c r="E2017" s="72"/>
      <c r="F2017" s="72"/>
      <c r="G2017" s="72"/>
      <c r="H2017" s="72"/>
      <c r="I2017" s="72"/>
      <c r="J2017" s="72"/>
      <c r="K2017" s="72"/>
      <c r="L2017" s="72"/>
      <c r="M2017" s="72"/>
      <c r="N2017" s="73"/>
      <c r="O2017" s="74"/>
      <c r="P2017" s="74"/>
    </row>
    <row r="2018">
      <c r="A2018" s="70"/>
      <c r="B2018" s="71"/>
      <c r="C2018" s="71"/>
      <c r="D2018" s="72"/>
      <c r="E2018" s="72"/>
      <c r="F2018" s="72"/>
      <c r="G2018" s="72"/>
      <c r="H2018" s="72"/>
      <c r="I2018" s="72"/>
      <c r="J2018" s="72"/>
      <c r="K2018" s="72"/>
      <c r="L2018" s="72"/>
      <c r="M2018" s="72"/>
      <c r="N2018" s="73"/>
      <c r="O2018" s="74"/>
      <c r="P2018" s="74"/>
    </row>
    <row r="2019">
      <c r="A2019" s="70"/>
      <c r="B2019" s="71"/>
      <c r="C2019" s="71"/>
      <c r="D2019" s="72"/>
      <c r="E2019" s="72"/>
      <c r="F2019" s="72"/>
      <c r="G2019" s="72"/>
      <c r="H2019" s="72"/>
      <c r="I2019" s="72"/>
      <c r="J2019" s="72"/>
      <c r="K2019" s="72"/>
      <c r="L2019" s="72"/>
      <c r="M2019" s="72"/>
      <c r="N2019" s="73"/>
      <c r="O2019" s="74"/>
      <c r="P2019" s="74"/>
    </row>
    <row r="2020">
      <c r="A2020" s="70"/>
      <c r="B2020" s="71"/>
      <c r="C2020" s="71"/>
      <c r="D2020" s="72"/>
      <c r="E2020" s="72"/>
      <c r="F2020" s="72"/>
      <c r="G2020" s="72"/>
      <c r="H2020" s="72"/>
      <c r="I2020" s="72"/>
      <c r="J2020" s="72"/>
      <c r="K2020" s="72"/>
      <c r="L2020" s="72"/>
      <c r="M2020" s="72"/>
      <c r="N2020" s="73"/>
      <c r="O2020" s="74"/>
      <c r="P2020" s="74"/>
    </row>
    <row r="2021">
      <c r="A2021" s="70"/>
      <c r="B2021" s="71"/>
      <c r="C2021" s="71"/>
      <c r="D2021" s="72"/>
      <c r="E2021" s="72"/>
      <c r="F2021" s="72"/>
      <c r="G2021" s="72"/>
      <c r="H2021" s="72"/>
      <c r="I2021" s="72"/>
      <c r="J2021" s="72"/>
      <c r="K2021" s="72"/>
      <c r="L2021" s="72"/>
      <c r="M2021" s="72"/>
      <c r="N2021" s="73"/>
      <c r="O2021" s="74"/>
      <c r="P2021" s="74"/>
    </row>
    <row r="2022">
      <c r="A2022" s="70"/>
      <c r="B2022" s="71"/>
      <c r="C2022" s="71"/>
      <c r="D2022" s="72"/>
      <c r="E2022" s="72"/>
      <c r="F2022" s="72"/>
      <c r="G2022" s="72"/>
      <c r="H2022" s="72"/>
      <c r="I2022" s="72"/>
      <c r="J2022" s="72"/>
      <c r="K2022" s="72"/>
      <c r="L2022" s="72"/>
      <c r="M2022" s="72"/>
      <c r="N2022" s="73"/>
      <c r="O2022" s="74"/>
      <c r="P2022" s="74"/>
    </row>
    <row r="2023">
      <c r="A2023" s="70"/>
      <c r="B2023" s="71"/>
      <c r="C2023" s="71"/>
      <c r="D2023" s="72"/>
      <c r="E2023" s="72"/>
      <c r="F2023" s="72"/>
      <c r="G2023" s="72"/>
      <c r="H2023" s="72"/>
      <c r="I2023" s="72"/>
      <c r="J2023" s="72"/>
      <c r="K2023" s="72"/>
      <c r="L2023" s="72"/>
      <c r="M2023" s="72"/>
      <c r="N2023" s="73"/>
      <c r="O2023" s="74"/>
      <c r="P2023" s="74"/>
    </row>
    <row r="2024">
      <c r="A2024" s="70"/>
      <c r="B2024" s="71"/>
      <c r="C2024" s="71"/>
      <c r="D2024" s="72"/>
      <c r="E2024" s="72"/>
      <c r="F2024" s="72"/>
      <c r="G2024" s="72"/>
      <c r="H2024" s="72"/>
      <c r="I2024" s="72"/>
      <c r="J2024" s="72"/>
      <c r="K2024" s="72"/>
      <c r="L2024" s="72"/>
      <c r="M2024" s="72"/>
      <c r="N2024" s="73"/>
      <c r="O2024" s="74"/>
      <c r="P2024" s="74"/>
    </row>
    <row r="2025">
      <c r="A2025" s="70"/>
      <c r="B2025" s="71"/>
      <c r="C2025" s="71"/>
      <c r="D2025" s="72"/>
      <c r="E2025" s="72"/>
      <c r="F2025" s="72"/>
      <c r="G2025" s="72"/>
      <c r="H2025" s="72"/>
      <c r="I2025" s="72"/>
      <c r="J2025" s="72"/>
      <c r="K2025" s="72"/>
      <c r="L2025" s="72"/>
      <c r="M2025" s="72"/>
      <c r="N2025" s="73"/>
      <c r="O2025" s="74"/>
      <c r="P2025" s="74"/>
    </row>
    <row r="2026">
      <c r="A2026" s="70"/>
      <c r="B2026" s="71"/>
      <c r="C2026" s="71"/>
      <c r="D2026" s="72"/>
      <c r="E2026" s="72"/>
      <c r="F2026" s="72"/>
      <c r="G2026" s="72"/>
      <c r="H2026" s="72"/>
      <c r="I2026" s="72"/>
      <c r="J2026" s="72"/>
      <c r="K2026" s="72"/>
      <c r="L2026" s="72"/>
      <c r="M2026" s="72"/>
      <c r="N2026" s="73"/>
      <c r="O2026" s="74"/>
      <c r="P2026" s="74"/>
    </row>
    <row r="2027">
      <c r="A2027" s="70"/>
      <c r="B2027" s="71"/>
      <c r="C2027" s="71"/>
      <c r="D2027" s="72"/>
      <c r="E2027" s="72"/>
      <c r="F2027" s="72"/>
      <c r="G2027" s="72"/>
      <c r="H2027" s="72"/>
      <c r="I2027" s="72"/>
      <c r="J2027" s="72"/>
      <c r="K2027" s="72"/>
      <c r="L2027" s="72"/>
      <c r="M2027" s="72"/>
      <c r="N2027" s="73"/>
      <c r="O2027" s="74"/>
      <c r="P2027" s="74"/>
    </row>
    <row r="2028">
      <c r="A2028" s="70"/>
      <c r="B2028" s="71"/>
      <c r="C2028" s="71"/>
      <c r="D2028" s="72"/>
      <c r="E2028" s="72"/>
      <c r="F2028" s="72"/>
      <c r="G2028" s="72"/>
      <c r="H2028" s="72"/>
      <c r="I2028" s="72"/>
      <c r="J2028" s="72"/>
      <c r="K2028" s="72"/>
      <c r="L2028" s="72"/>
      <c r="M2028" s="72"/>
      <c r="N2028" s="73"/>
      <c r="O2028" s="74"/>
      <c r="P2028" s="74"/>
    </row>
    <row r="2029">
      <c r="A2029" s="70"/>
      <c r="B2029" s="71"/>
      <c r="C2029" s="71"/>
      <c r="D2029" s="72"/>
      <c r="E2029" s="72"/>
      <c r="F2029" s="72"/>
      <c r="G2029" s="72"/>
      <c r="H2029" s="72"/>
      <c r="I2029" s="72"/>
      <c r="J2029" s="72"/>
      <c r="K2029" s="72"/>
      <c r="L2029" s="72"/>
      <c r="M2029" s="72"/>
      <c r="N2029" s="73"/>
      <c r="O2029" s="74"/>
      <c r="P2029" s="74"/>
    </row>
    <row r="2030">
      <c r="A2030" s="70"/>
      <c r="B2030" s="71"/>
      <c r="C2030" s="71"/>
      <c r="D2030" s="72"/>
      <c r="E2030" s="72"/>
      <c r="F2030" s="72"/>
      <c r="G2030" s="72"/>
      <c r="H2030" s="72"/>
      <c r="I2030" s="72"/>
      <c r="J2030" s="72"/>
      <c r="K2030" s="72"/>
      <c r="L2030" s="72"/>
      <c r="M2030" s="72"/>
      <c r="N2030" s="73"/>
      <c r="O2030" s="74"/>
      <c r="P2030" s="74"/>
    </row>
    <row r="2031">
      <c r="A2031" s="70"/>
      <c r="B2031" s="71"/>
      <c r="C2031" s="71"/>
      <c r="D2031" s="72"/>
      <c r="E2031" s="72"/>
      <c r="F2031" s="72"/>
      <c r="G2031" s="72"/>
      <c r="H2031" s="72"/>
      <c r="I2031" s="72"/>
      <c r="J2031" s="72"/>
      <c r="K2031" s="72"/>
      <c r="L2031" s="72"/>
      <c r="M2031" s="72"/>
      <c r="N2031" s="73"/>
      <c r="O2031" s="74"/>
      <c r="P2031" s="74"/>
    </row>
    <row r="2032">
      <c r="A2032" s="70"/>
      <c r="B2032" s="71"/>
      <c r="C2032" s="71"/>
      <c r="D2032" s="72"/>
      <c r="E2032" s="72"/>
      <c r="F2032" s="72"/>
      <c r="G2032" s="72"/>
      <c r="H2032" s="72"/>
      <c r="I2032" s="72"/>
      <c r="J2032" s="72"/>
      <c r="K2032" s="72"/>
      <c r="L2032" s="72"/>
      <c r="M2032" s="72"/>
      <c r="N2032" s="73"/>
      <c r="O2032" s="74"/>
      <c r="P2032" s="74"/>
    </row>
    <row r="2033">
      <c r="A2033" s="70"/>
      <c r="B2033" s="71"/>
      <c r="C2033" s="71"/>
      <c r="D2033" s="72"/>
      <c r="E2033" s="72"/>
      <c r="F2033" s="72"/>
      <c r="G2033" s="72"/>
      <c r="H2033" s="72"/>
      <c r="I2033" s="72"/>
      <c r="J2033" s="72"/>
      <c r="K2033" s="72"/>
      <c r="L2033" s="72"/>
      <c r="M2033" s="72"/>
      <c r="N2033" s="73"/>
      <c r="O2033" s="74"/>
      <c r="P2033" s="74"/>
    </row>
    <row r="2034">
      <c r="A2034" s="70"/>
      <c r="B2034" s="71"/>
      <c r="C2034" s="71"/>
      <c r="D2034" s="72"/>
      <c r="E2034" s="72"/>
      <c r="F2034" s="72"/>
      <c r="G2034" s="72"/>
      <c r="H2034" s="72"/>
      <c r="I2034" s="72"/>
      <c r="J2034" s="72"/>
      <c r="K2034" s="72"/>
      <c r="L2034" s="72"/>
      <c r="M2034" s="72"/>
      <c r="N2034" s="73"/>
      <c r="O2034" s="74"/>
      <c r="P2034" s="74"/>
    </row>
    <row r="2035">
      <c r="A2035" s="70"/>
      <c r="B2035" s="71"/>
      <c r="C2035" s="71"/>
      <c r="D2035" s="72"/>
      <c r="E2035" s="72"/>
      <c r="F2035" s="72"/>
      <c r="G2035" s="72"/>
      <c r="H2035" s="72"/>
      <c r="I2035" s="72"/>
      <c r="J2035" s="72"/>
      <c r="K2035" s="72"/>
      <c r="L2035" s="72"/>
      <c r="M2035" s="72"/>
      <c r="N2035" s="73"/>
      <c r="O2035" s="74"/>
      <c r="P2035" s="74"/>
    </row>
    <row r="2036">
      <c r="A2036" s="70"/>
      <c r="B2036" s="71"/>
      <c r="C2036" s="71"/>
      <c r="D2036" s="72"/>
      <c r="E2036" s="72"/>
      <c r="F2036" s="72"/>
      <c r="G2036" s="72"/>
      <c r="H2036" s="72"/>
      <c r="I2036" s="72"/>
      <c r="J2036" s="72"/>
      <c r="K2036" s="72"/>
      <c r="L2036" s="72"/>
      <c r="M2036" s="72"/>
      <c r="N2036" s="73"/>
      <c r="O2036" s="74"/>
      <c r="P2036" s="74"/>
    </row>
    <row r="2037">
      <c r="A2037" s="70"/>
      <c r="B2037" s="71"/>
      <c r="C2037" s="71"/>
      <c r="D2037" s="72"/>
      <c r="E2037" s="72"/>
      <c r="F2037" s="72"/>
      <c r="G2037" s="72"/>
      <c r="H2037" s="72"/>
      <c r="I2037" s="72"/>
      <c r="J2037" s="72"/>
      <c r="K2037" s="72"/>
      <c r="L2037" s="72"/>
      <c r="M2037" s="72"/>
      <c r="N2037" s="73"/>
      <c r="O2037" s="74"/>
      <c r="P2037" s="74"/>
    </row>
    <row r="2038">
      <c r="A2038" s="70"/>
      <c r="B2038" s="71"/>
      <c r="C2038" s="71"/>
      <c r="D2038" s="72"/>
      <c r="E2038" s="72"/>
      <c r="F2038" s="72"/>
      <c r="G2038" s="72"/>
      <c r="H2038" s="72"/>
      <c r="I2038" s="72"/>
      <c r="J2038" s="72"/>
      <c r="K2038" s="72"/>
      <c r="L2038" s="72"/>
      <c r="M2038" s="72"/>
      <c r="N2038" s="73"/>
      <c r="O2038" s="74"/>
      <c r="P2038" s="74"/>
    </row>
    <row r="2039">
      <c r="A2039" s="70"/>
      <c r="B2039" s="71"/>
      <c r="C2039" s="71"/>
      <c r="D2039" s="72"/>
      <c r="E2039" s="72"/>
      <c r="F2039" s="72"/>
      <c r="G2039" s="72"/>
      <c r="H2039" s="72"/>
      <c r="I2039" s="72"/>
      <c r="J2039" s="72"/>
      <c r="K2039" s="72"/>
      <c r="L2039" s="72"/>
      <c r="M2039" s="72"/>
      <c r="N2039" s="73"/>
      <c r="O2039" s="74"/>
      <c r="P2039" s="74"/>
    </row>
    <row r="2040">
      <c r="A2040" s="70"/>
      <c r="B2040" s="71"/>
      <c r="C2040" s="71"/>
      <c r="D2040" s="72"/>
      <c r="E2040" s="72"/>
      <c r="F2040" s="72"/>
      <c r="G2040" s="72"/>
      <c r="H2040" s="72"/>
      <c r="I2040" s="72"/>
      <c r="J2040" s="72"/>
      <c r="K2040" s="72"/>
      <c r="L2040" s="72"/>
      <c r="M2040" s="72"/>
      <c r="N2040" s="73"/>
      <c r="O2040" s="74"/>
      <c r="P2040" s="74"/>
    </row>
    <row r="2041">
      <c r="A2041" s="70"/>
      <c r="B2041" s="71"/>
      <c r="C2041" s="71"/>
      <c r="D2041" s="72"/>
      <c r="E2041" s="72"/>
      <c r="F2041" s="72"/>
      <c r="G2041" s="72"/>
      <c r="H2041" s="72"/>
      <c r="I2041" s="72"/>
      <c r="J2041" s="72"/>
      <c r="K2041" s="72"/>
      <c r="L2041" s="72"/>
      <c r="M2041" s="72"/>
      <c r="N2041" s="73"/>
      <c r="O2041" s="74"/>
      <c r="P2041" s="74"/>
    </row>
    <row r="2042">
      <c r="A2042" s="70"/>
      <c r="B2042" s="71"/>
      <c r="C2042" s="71"/>
      <c r="D2042" s="72"/>
      <c r="E2042" s="72"/>
      <c r="F2042" s="72"/>
      <c r="G2042" s="72"/>
      <c r="H2042" s="72"/>
      <c r="I2042" s="72"/>
      <c r="J2042" s="72"/>
      <c r="K2042" s="72"/>
      <c r="L2042" s="72"/>
      <c r="M2042" s="72"/>
      <c r="N2042" s="73"/>
      <c r="O2042" s="74"/>
      <c r="P2042" s="74"/>
    </row>
    <row r="2043">
      <c r="A2043" s="70"/>
      <c r="B2043" s="71"/>
      <c r="C2043" s="71"/>
      <c r="D2043" s="72"/>
      <c r="E2043" s="72"/>
      <c r="F2043" s="72"/>
      <c r="G2043" s="72"/>
      <c r="H2043" s="72"/>
      <c r="I2043" s="72"/>
      <c r="J2043" s="72"/>
      <c r="K2043" s="72"/>
      <c r="L2043" s="72"/>
      <c r="M2043" s="72"/>
      <c r="N2043" s="73"/>
      <c r="O2043" s="74"/>
      <c r="P2043" s="74"/>
    </row>
    <row r="2044">
      <c r="A2044" s="70"/>
      <c r="B2044" s="71"/>
      <c r="C2044" s="71"/>
      <c r="D2044" s="72"/>
      <c r="E2044" s="72"/>
      <c r="F2044" s="72"/>
      <c r="G2044" s="72"/>
      <c r="H2044" s="72"/>
      <c r="I2044" s="72"/>
      <c r="J2044" s="72"/>
      <c r="K2044" s="72"/>
      <c r="L2044" s="72"/>
      <c r="M2044" s="72"/>
      <c r="N2044" s="73"/>
      <c r="O2044" s="74"/>
      <c r="P2044" s="74"/>
    </row>
    <row r="2045">
      <c r="A2045" s="70"/>
      <c r="B2045" s="71"/>
      <c r="C2045" s="71"/>
      <c r="D2045" s="72"/>
      <c r="E2045" s="72"/>
      <c r="F2045" s="72"/>
      <c r="G2045" s="72"/>
      <c r="H2045" s="72"/>
      <c r="I2045" s="72"/>
      <c r="J2045" s="72"/>
      <c r="K2045" s="72"/>
      <c r="L2045" s="72"/>
      <c r="M2045" s="72"/>
      <c r="N2045" s="73"/>
      <c r="O2045" s="74"/>
      <c r="P2045" s="74"/>
    </row>
    <row r="2046">
      <c r="A2046" s="70"/>
      <c r="B2046" s="71"/>
      <c r="C2046" s="71"/>
      <c r="D2046" s="72"/>
      <c r="E2046" s="72"/>
      <c r="F2046" s="72"/>
      <c r="G2046" s="72"/>
      <c r="H2046" s="72"/>
      <c r="I2046" s="72"/>
      <c r="J2046" s="72"/>
      <c r="K2046" s="72"/>
      <c r="L2046" s="72"/>
      <c r="M2046" s="72"/>
      <c r="N2046" s="73"/>
      <c r="O2046" s="74"/>
      <c r="P2046" s="74"/>
    </row>
    <row r="2047">
      <c r="A2047" s="70"/>
      <c r="B2047" s="71"/>
      <c r="C2047" s="71"/>
      <c r="D2047" s="72"/>
      <c r="E2047" s="72"/>
      <c r="F2047" s="72"/>
      <c r="G2047" s="72"/>
      <c r="H2047" s="72"/>
      <c r="I2047" s="72"/>
      <c r="J2047" s="72"/>
      <c r="K2047" s="72"/>
      <c r="L2047" s="72"/>
      <c r="M2047" s="72"/>
      <c r="N2047" s="73"/>
      <c r="O2047" s="74"/>
      <c r="P2047" s="74"/>
    </row>
    <row r="2048">
      <c r="A2048" s="70"/>
      <c r="B2048" s="71"/>
      <c r="C2048" s="71"/>
      <c r="D2048" s="72"/>
      <c r="E2048" s="72"/>
      <c r="F2048" s="72"/>
      <c r="G2048" s="72"/>
      <c r="H2048" s="72"/>
      <c r="I2048" s="72"/>
      <c r="J2048" s="72"/>
      <c r="K2048" s="72"/>
      <c r="L2048" s="72"/>
      <c r="M2048" s="72"/>
      <c r="N2048" s="73"/>
      <c r="O2048" s="74"/>
      <c r="P2048" s="74"/>
    </row>
    <row r="2049">
      <c r="A2049" s="70"/>
      <c r="B2049" s="71"/>
      <c r="C2049" s="71"/>
      <c r="D2049" s="72"/>
      <c r="E2049" s="72"/>
      <c r="F2049" s="72"/>
      <c r="G2049" s="72"/>
      <c r="H2049" s="72"/>
      <c r="I2049" s="72"/>
      <c r="J2049" s="72"/>
      <c r="K2049" s="72"/>
      <c r="L2049" s="72"/>
      <c r="M2049" s="72"/>
      <c r="N2049" s="73"/>
      <c r="O2049" s="74"/>
      <c r="P2049" s="74"/>
    </row>
    <row r="2050">
      <c r="A2050" s="70"/>
      <c r="B2050" s="71"/>
      <c r="C2050" s="71"/>
      <c r="D2050" s="72"/>
      <c r="E2050" s="72"/>
      <c r="F2050" s="72"/>
      <c r="G2050" s="72"/>
      <c r="H2050" s="72"/>
      <c r="I2050" s="72"/>
      <c r="J2050" s="72"/>
      <c r="K2050" s="72"/>
      <c r="L2050" s="72"/>
      <c r="M2050" s="72"/>
      <c r="N2050" s="73"/>
      <c r="O2050" s="74"/>
      <c r="P2050" s="74"/>
    </row>
    <row r="2051">
      <c r="A2051" s="70"/>
      <c r="B2051" s="71"/>
      <c r="C2051" s="71"/>
      <c r="D2051" s="72"/>
      <c r="E2051" s="72"/>
      <c r="F2051" s="72"/>
      <c r="G2051" s="72"/>
      <c r="H2051" s="72"/>
      <c r="I2051" s="72"/>
      <c r="J2051" s="72"/>
      <c r="K2051" s="72"/>
      <c r="L2051" s="72"/>
      <c r="M2051" s="72"/>
      <c r="N2051" s="73"/>
      <c r="O2051" s="74"/>
      <c r="P2051" s="74"/>
    </row>
    <row r="2052">
      <c r="A2052" s="70"/>
      <c r="B2052" s="71"/>
      <c r="C2052" s="71"/>
      <c r="D2052" s="72"/>
      <c r="E2052" s="72"/>
      <c r="F2052" s="72"/>
      <c r="G2052" s="72"/>
      <c r="H2052" s="72"/>
      <c r="I2052" s="72"/>
      <c r="J2052" s="72"/>
      <c r="K2052" s="72"/>
      <c r="L2052" s="72"/>
      <c r="M2052" s="72"/>
      <c r="N2052" s="73"/>
      <c r="O2052" s="74"/>
      <c r="P2052" s="74"/>
    </row>
    <row r="2053">
      <c r="A2053" s="70"/>
      <c r="B2053" s="71"/>
      <c r="C2053" s="71"/>
      <c r="D2053" s="72"/>
      <c r="E2053" s="72"/>
      <c r="F2053" s="72"/>
      <c r="G2053" s="72"/>
      <c r="H2053" s="72"/>
      <c r="I2053" s="72"/>
      <c r="J2053" s="72"/>
      <c r="K2053" s="72"/>
      <c r="L2053" s="72"/>
      <c r="M2053" s="72"/>
      <c r="N2053" s="73"/>
      <c r="O2053" s="74"/>
      <c r="P2053" s="74"/>
    </row>
    <row r="2054">
      <c r="A2054" s="70"/>
      <c r="B2054" s="71"/>
      <c r="C2054" s="71"/>
      <c r="D2054" s="72"/>
      <c r="E2054" s="72"/>
      <c r="F2054" s="72"/>
      <c r="G2054" s="72"/>
      <c r="H2054" s="72"/>
      <c r="I2054" s="72"/>
      <c r="J2054" s="72"/>
      <c r="K2054" s="72"/>
      <c r="L2054" s="72"/>
      <c r="M2054" s="72"/>
      <c r="N2054" s="73"/>
      <c r="O2054" s="74"/>
      <c r="P2054" s="74"/>
    </row>
    <row r="2055">
      <c r="A2055" s="70"/>
      <c r="B2055" s="71"/>
      <c r="C2055" s="71"/>
      <c r="D2055" s="72"/>
      <c r="E2055" s="72"/>
      <c r="F2055" s="72"/>
      <c r="G2055" s="72"/>
      <c r="H2055" s="72"/>
      <c r="I2055" s="72"/>
      <c r="J2055" s="72"/>
      <c r="K2055" s="72"/>
      <c r="L2055" s="72"/>
      <c r="M2055" s="72"/>
      <c r="N2055" s="73"/>
      <c r="O2055" s="74"/>
      <c r="P2055" s="74"/>
    </row>
    <row r="2056">
      <c r="A2056" s="70"/>
      <c r="B2056" s="71"/>
      <c r="C2056" s="71"/>
      <c r="D2056" s="72"/>
      <c r="E2056" s="72"/>
      <c r="F2056" s="72"/>
      <c r="G2056" s="72"/>
      <c r="H2056" s="72"/>
      <c r="I2056" s="72"/>
      <c r="J2056" s="72"/>
      <c r="K2056" s="72"/>
      <c r="L2056" s="72"/>
      <c r="M2056" s="72"/>
      <c r="N2056" s="73"/>
      <c r="O2056" s="74"/>
      <c r="P2056" s="74"/>
    </row>
    <row r="2057">
      <c r="A2057" s="70"/>
      <c r="B2057" s="71"/>
      <c r="C2057" s="71"/>
      <c r="D2057" s="72"/>
      <c r="E2057" s="72"/>
      <c r="F2057" s="72"/>
      <c r="G2057" s="72"/>
      <c r="H2057" s="72"/>
      <c r="I2057" s="72"/>
      <c r="J2057" s="72"/>
      <c r="K2057" s="72"/>
      <c r="L2057" s="72"/>
      <c r="M2057" s="72"/>
      <c r="N2057" s="73"/>
      <c r="O2057" s="74"/>
      <c r="P2057" s="74"/>
    </row>
    <row r="2058">
      <c r="A2058" s="70"/>
      <c r="B2058" s="71"/>
      <c r="C2058" s="71"/>
      <c r="D2058" s="72"/>
      <c r="E2058" s="72"/>
      <c r="F2058" s="72"/>
      <c r="G2058" s="72"/>
      <c r="H2058" s="72"/>
      <c r="I2058" s="72"/>
      <c r="J2058" s="72"/>
      <c r="K2058" s="72"/>
      <c r="L2058" s="72"/>
      <c r="M2058" s="72"/>
      <c r="N2058" s="73"/>
      <c r="O2058" s="74"/>
      <c r="P2058" s="74"/>
    </row>
    <row r="2059">
      <c r="A2059" s="70"/>
      <c r="B2059" s="71"/>
      <c r="C2059" s="71"/>
      <c r="D2059" s="72"/>
      <c r="E2059" s="72"/>
      <c r="F2059" s="72"/>
      <c r="G2059" s="72"/>
      <c r="H2059" s="72"/>
      <c r="I2059" s="72"/>
      <c r="J2059" s="72"/>
      <c r="K2059" s="72"/>
      <c r="L2059" s="72"/>
      <c r="M2059" s="72"/>
      <c r="N2059" s="73"/>
      <c r="O2059" s="74"/>
      <c r="P2059" s="74"/>
    </row>
    <row r="2060">
      <c r="A2060" s="70"/>
      <c r="B2060" s="71"/>
      <c r="C2060" s="71"/>
      <c r="D2060" s="72"/>
      <c r="E2060" s="72"/>
      <c r="F2060" s="72"/>
      <c r="G2060" s="72"/>
      <c r="H2060" s="72"/>
      <c r="I2060" s="72"/>
      <c r="J2060" s="72"/>
      <c r="K2060" s="72"/>
      <c r="L2060" s="72"/>
      <c r="M2060" s="72"/>
      <c r="N2060" s="73"/>
      <c r="O2060" s="74"/>
      <c r="P2060" s="74"/>
    </row>
    <row r="2061">
      <c r="A2061" s="70"/>
      <c r="B2061" s="71"/>
      <c r="C2061" s="71"/>
      <c r="D2061" s="72"/>
      <c r="E2061" s="72"/>
      <c r="F2061" s="72"/>
      <c r="G2061" s="72"/>
      <c r="H2061" s="72"/>
      <c r="I2061" s="72"/>
      <c r="J2061" s="72"/>
      <c r="K2061" s="72"/>
      <c r="L2061" s="72"/>
      <c r="M2061" s="72"/>
      <c r="N2061" s="73"/>
      <c r="O2061" s="74"/>
      <c r="P2061" s="74"/>
    </row>
    <row r="2062">
      <c r="A2062" s="70"/>
      <c r="B2062" s="71"/>
      <c r="C2062" s="71"/>
      <c r="D2062" s="72"/>
      <c r="E2062" s="72"/>
      <c r="F2062" s="72"/>
      <c r="G2062" s="72"/>
      <c r="H2062" s="72"/>
      <c r="I2062" s="72"/>
      <c r="J2062" s="72"/>
      <c r="K2062" s="72"/>
      <c r="L2062" s="72"/>
      <c r="M2062" s="72"/>
      <c r="N2062" s="73"/>
      <c r="O2062" s="74"/>
      <c r="P2062" s="74"/>
    </row>
    <row r="2063">
      <c r="A2063" s="70"/>
      <c r="B2063" s="71"/>
      <c r="C2063" s="71"/>
      <c r="D2063" s="72"/>
      <c r="E2063" s="72"/>
      <c r="F2063" s="72"/>
      <c r="G2063" s="72"/>
      <c r="H2063" s="72"/>
      <c r="I2063" s="72"/>
      <c r="J2063" s="72"/>
      <c r="K2063" s="72"/>
      <c r="L2063" s="72"/>
      <c r="M2063" s="72"/>
      <c r="N2063" s="73"/>
      <c r="O2063" s="74"/>
      <c r="P2063" s="74"/>
    </row>
    <row r="2064">
      <c r="A2064" s="70"/>
      <c r="B2064" s="71"/>
      <c r="C2064" s="71"/>
      <c r="D2064" s="72"/>
      <c r="E2064" s="72"/>
      <c r="F2064" s="72"/>
      <c r="G2064" s="72"/>
      <c r="H2064" s="72"/>
      <c r="I2064" s="72"/>
      <c r="J2064" s="72"/>
      <c r="K2064" s="72"/>
      <c r="L2064" s="72"/>
      <c r="M2064" s="72"/>
      <c r="N2064" s="73"/>
      <c r="O2064" s="74"/>
      <c r="P2064" s="74"/>
    </row>
    <row r="2065">
      <c r="A2065" s="70"/>
      <c r="B2065" s="71"/>
      <c r="C2065" s="71"/>
      <c r="D2065" s="72"/>
      <c r="E2065" s="72"/>
      <c r="F2065" s="72"/>
      <c r="G2065" s="72"/>
      <c r="H2065" s="72"/>
      <c r="I2065" s="72"/>
      <c r="J2065" s="72"/>
      <c r="K2065" s="72"/>
      <c r="L2065" s="72"/>
      <c r="M2065" s="72"/>
      <c r="N2065" s="73"/>
      <c r="O2065" s="74"/>
      <c r="P2065" s="74"/>
    </row>
    <row r="2066">
      <c r="A2066" s="70"/>
      <c r="B2066" s="71"/>
      <c r="C2066" s="71"/>
      <c r="D2066" s="72"/>
      <c r="E2066" s="72"/>
      <c r="F2066" s="72"/>
      <c r="G2066" s="72"/>
      <c r="H2066" s="72"/>
      <c r="I2066" s="72"/>
      <c r="J2066" s="72"/>
      <c r="K2066" s="72"/>
      <c r="L2066" s="72"/>
      <c r="M2066" s="72"/>
      <c r="N2066" s="73"/>
      <c r="O2066" s="74"/>
      <c r="P2066" s="74"/>
    </row>
    <row r="2067">
      <c r="A2067" s="70"/>
      <c r="B2067" s="71"/>
      <c r="C2067" s="71"/>
      <c r="D2067" s="72"/>
      <c r="E2067" s="72"/>
      <c r="F2067" s="72"/>
      <c r="G2067" s="72"/>
      <c r="H2067" s="72"/>
      <c r="I2067" s="72"/>
      <c r="J2067" s="72"/>
      <c r="K2067" s="72"/>
      <c r="L2067" s="72"/>
      <c r="M2067" s="72"/>
      <c r="N2067" s="73"/>
      <c r="O2067" s="74"/>
      <c r="P2067" s="74"/>
    </row>
    <row r="2068">
      <c r="A2068" s="70"/>
      <c r="B2068" s="71"/>
      <c r="C2068" s="71"/>
      <c r="D2068" s="72"/>
      <c r="E2068" s="72"/>
      <c r="F2068" s="72"/>
      <c r="G2068" s="72"/>
      <c r="H2068" s="72"/>
      <c r="I2068" s="72"/>
      <c r="J2068" s="72"/>
      <c r="K2068" s="72"/>
      <c r="L2068" s="72"/>
      <c r="M2068" s="72"/>
      <c r="N2068" s="73"/>
      <c r="O2068" s="74"/>
      <c r="P2068" s="74"/>
    </row>
    <row r="2069">
      <c r="A2069" s="70"/>
      <c r="B2069" s="71"/>
      <c r="C2069" s="71"/>
      <c r="D2069" s="72"/>
      <c r="E2069" s="72"/>
      <c r="F2069" s="72"/>
      <c r="G2069" s="72"/>
      <c r="H2069" s="72"/>
      <c r="I2069" s="72"/>
      <c r="J2069" s="72"/>
      <c r="K2069" s="72"/>
      <c r="L2069" s="72"/>
      <c r="M2069" s="72"/>
      <c r="N2069" s="73"/>
      <c r="O2069" s="74"/>
      <c r="P2069" s="74"/>
    </row>
    <row r="2070">
      <c r="A2070" s="70"/>
      <c r="B2070" s="71"/>
      <c r="C2070" s="71"/>
      <c r="D2070" s="72"/>
      <c r="E2070" s="72"/>
      <c r="F2070" s="72"/>
      <c r="G2070" s="72"/>
      <c r="H2070" s="72"/>
      <c r="I2070" s="72"/>
      <c r="J2070" s="72"/>
      <c r="K2070" s="72"/>
      <c r="L2070" s="72"/>
      <c r="M2070" s="72"/>
      <c r="N2070" s="73"/>
      <c r="O2070" s="74"/>
      <c r="P2070" s="74"/>
    </row>
    <row r="2071">
      <c r="A2071" s="70"/>
      <c r="B2071" s="71"/>
      <c r="C2071" s="71"/>
      <c r="D2071" s="72"/>
      <c r="E2071" s="72"/>
      <c r="F2071" s="72"/>
      <c r="G2071" s="72"/>
      <c r="H2071" s="72"/>
      <c r="I2071" s="72"/>
      <c r="J2071" s="72"/>
      <c r="K2071" s="72"/>
      <c r="L2071" s="72"/>
      <c r="M2071" s="72"/>
      <c r="N2071" s="73"/>
      <c r="O2071" s="74"/>
      <c r="P2071" s="74"/>
    </row>
    <row r="2072">
      <c r="A2072" s="70"/>
      <c r="B2072" s="71"/>
      <c r="C2072" s="71"/>
      <c r="D2072" s="72"/>
      <c r="E2072" s="72"/>
      <c r="F2072" s="72"/>
      <c r="G2072" s="72"/>
      <c r="H2072" s="72"/>
      <c r="I2072" s="72"/>
      <c r="J2072" s="72"/>
      <c r="K2072" s="72"/>
      <c r="L2072" s="72"/>
      <c r="M2072" s="72"/>
      <c r="N2072" s="73"/>
      <c r="O2072" s="74"/>
      <c r="P2072" s="74"/>
    </row>
    <row r="2073">
      <c r="A2073" s="70"/>
      <c r="B2073" s="71"/>
      <c r="C2073" s="71"/>
      <c r="D2073" s="72"/>
      <c r="E2073" s="72"/>
      <c r="F2073" s="72"/>
      <c r="G2073" s="72"/>
      <c r="H2073" s="72"/>
      <c r="I2073" s="72"/>
      <c r="J2073" s="72"/>
      <c r="K2073" s="72"/>
      <c r="L2073" s="72"/>
      <c r="M2073" s="72"/>
      <c r="N2073" s="73"/>
      <c r="O2073" s="74"/>
      <c r="P2073" s="74"/>
    </row>
    <row r="2074">
      <c r="A2074" s="70"/>
      <c r="B2074" s="71"/>
      <c r="C2074" s="71"/>
      <c r="D2074" s="72"/>
      <c r="E2074" s="72"/>
      <c r="F2074" s="72"/>
      <c r="G2074" s="72"/>
      <c r="H2074" s="72"/>
      <c r="I2074" s="72"/>
      <c r="J2074" s="72"/>
      <c r="K2074" s="72"/>
      <c r="L2074" s="72"/>
      <c r="M2074" s="72"/>
      <c r="N2074" s="73"/>
      <c r="O2074" s="74"/>
      <c r="P2074" s="74"/>
    </row>
    <row r="2075">
      <c r="A2075" s="70"/>
      <c r="B2075" s="71"/>
      <c r="C2075" s="71"/>
      <c r="D2075" s="72"/>
      <c r="E2075" s="72"/>
      <c r="F2075" s="72"/>
      <c r="G2075" s="72"/>
      <c r="H2075" s="72"/>
      <c r="I2075" s="72"/>
      <c r="J2075" s="72"/>
      <c r="K2075" s="72"/>
      <c r="L2075" s="72"/>
      <c r="M2075" s="72"/>
      <c r="N2075" s="73"/>
      <c r="O2075" s="74"/>
      <c r="P2075" s="74"/>
    </row>
    <row r="2076">
      <c r="A2076" s="70"/>
      <c r="B2076" s="71"/>
      <c r="C2076" s="71"/>
      <c r="D2076" s="72"/>
      <c r="E2076" s="72"/>
      <c r="F2076" s="72"/>
      <c r="G2076" s="72"/>
      <c r="H2076" s="72"/>
      <c r="I2076" s="72"/>
      <c r="J2076" s="72"/>
      <c r="K2076" s="72"/>
      <c r="L2076" s="72"/>
      <c r="M2076" s="72"/>
      <c r="N2076" s="73"/>
      <c r="O2076" s="74"/>
      <c r="P2076" s="74"/>
    </row>
    <row r="2077">
      <c r="A2077" s="70"/>
      <c r="B2077" s="71"/>
      <c r="C2077" s="71"/>
      <c r="D2077" s="72"/>
      <c r="E2077" s="72"/>
      <c r="F2077" s="72"/>
      <c r="G2077" s="72"/>
      <c r="H2077" s="72"/>
      <c r="I2077" s="72"/>
      <c r="J2077" s="72"/>
      <c r="K2077" s="72"/>
      <c r="L2077" s="72"/>
      <c r="M2077" s="72"/>
      <c r="N2077" s="73"/>
      <c r="O2077" s="74"/>
      <c r="P2077" s="74"/>
    </row>
    <row r="2078">
      <c r="A2078" s="70"/>
      <c r="B2078" s="71"/>
      <c r="C2078" s="71"/>
      <c r="D2078" s="72"/>
      <c r="E2078" s="72"/>
      <c r="F2078" s="72"/>
      <c r="G2078" s="72"/>
      <c r="H2078" s="72"/>
      <c r="I2078" s="72"/>
      <c r="J2078" s="72"/>
      <c r="K2078" s="72"/>
      <c r="L2078" s="72"/>
      <c r="M2078" s="72"/>
      <c r="N2078" s="73"/>
      <c r="O2078" s="74"/>
      <c r="P2078" s="74"/>
    </row>
    <row r="2079">
      <c r="A2079" s="70"/>
      <c r="B2079" s="71"/>
      <c r="C2079" s="71"/>
      <c r="D2079" s="72"/>
      <c r="E2079" s="72"/>
      <c r="F2079" s="72"/>
      <c r="G2079" s="72"/>
      <c r="H2079" s="72"/>
      <c r="I2079" s="72"/>
      <c r="J2079" s="72"/>
      <c r="K2079" s="72"/>
      <c r="L2079" s="72"/>
      <c r="M2079" s="72"/>
      <c r="N2079" s="73"/>
      <c r="O2079" s="74"/>
      <c r="P2079" s="74"/>
    </row>
    <row r="2080">
      <c r="A2080" s="70"/>
      <c r="B2080" s="71"/>
      <c r="C2080" s="71"/>
      <c r="D2080" s="72"/>
      <c r="E2080" s="72"/>
      <c r="F2080" s="72"/>
      <c r="G2080" s="72"/>
      <c r="H2080" s="72"/>
      <c r="I2080" s="72"/>
      <c r="J2080" s="72"/>
      <c r="K2080" s="72"/>
      <c r="L2080" s="72"/>
      <c r="M2080" s="72"/>
      <c r="N2080" s="73"/>
      <c r="O2080" s="74"/>
      <c r="P2080" s="74"/>
    </row>
    <row r="2081">
      <c r="A2081" s="70"/>
      <c r="B2081" s="71"/>
      <c r="C2081" s="71"/>
      <c r="D2081" s="72"/>
      <c r="E2081" s="72"/>
      <c r="F2081" s="72"/>
      <c r="G2081" s="72"/>
      <c r="H2081" s="72"/>
      <c r="I2081" s="72"/>
      <c r="J2081" s="72"/>
      <c r="K2081" s="72"/>
      <c r="L2081" s="72"/>
      <c r="M2081" s="72"/>
      <c r="N2081" s="73"/>
      <c r="O2081" s="74"/>
      <c r="P2081" s="74"/>
    </row>
    <row r="2082">
      <c r="A2082" s="70"/>
      <c r="B2082" s="71"/>
      <c r="C2082" s="71"/>
      <c r="D2082" s="72"/>
      <c r="E2082" s="72"/>
      <c r="F2082" s="72"/>
      <c r="G2082" s="72"/>
      <c r="H2082" s="72"/>
      <c r="I2082" s="72"/>
      <c r="J2082" s="72"/>
      <c r="K2082" s="72"/>
      <c r="L2082" s="72"/>
      <c r="M2082" s="72"/>
      <c r="N2082" s="73"/>
      <c r="O2082" s="74"/>
      <c r="P2082" s="74"/>
    </row>
    <row r="2083">
      <c r="A2083" s="70"/>
      <c r="B2083" s="71"/>
      <c r="C2083" s="71"/>
      <c r="D2083" s="72"/>
      <c r="E2083" s="72"/>
      <c r="F2083" s="72"/>
      <c r="G2083" s="72"/>
      <c r="H2083" s="72"/>
      <c r="I2083" s="72"/>
      <c r="J2083" s="72"/>
      <c r="K2083" s="72"/>
      <c r="L2083" s="72"/>
      <c r="M2083" s="72"/>
      <c r="N2083" s="73"/>
      <c r="O2083" s="74"/>
      <c r="P2083" s="74"/>
    </row>
    <row r="2084">
      <c r="A2084" s="70"/>
      <c r="B2084" s="71"/>
      <c r="C2084" s="71"/>
      <c r="D2084" s="72"/>
      <c r="E2084" s="72"/>
      <c r="F2084" s="72"/>
      <c r="G2084" s="72"/>
      <c r="H2084" s="72"/>
      <c r="I2084" s="72"/>
      <c r="J2084" s="72"/>
      <c r="K2084" s="72"/>
      <c r="L2084" s="72"/>
      <c r="M2084" s="72"/>
      <c r="N2084" s="73"/>
      <c r="O2084" s="74"/>
      <c r="P2084" s="74"/>
    </row>
    <row r="2085">
      <c r="A2085" s="70"/>
      <c r="B2085" s="71"/>
      <c r="C2085" s="71"/>
      <c r="D2085" s="72"/>
      <c r="E2085" s="72"/>
      <c r="F2085" s="72"/>
      <c r="G2085" s="72"/>
      <c r="H2085" s="72"/>
      <c r="I2085" s="72"/>
      <c r="J2085" s="72"/>
      <c r="K2085" s="72"/>
      <c r="L2085" s="72"/>
      <c r="M2085" s="72"/>
      <c r="N2085" s="73"/>
      <c r="O2085" s="74"/>
      <c r="P2085" s="74"/>
    </row>
    <row r="2086">
      <c r="A2086" s="70"/>
      <c r="B2086" s="71"/>
      <c r="C2086" s="71"/>
      <c r="D2086" s="72"/>
      <c r="E2086" s="72"/>
      <c r="F2086" s="72"/>
      <c r="G2086" s="72"/>
      <c r="H2086" s="72"/>
      <c r="I2086" s="72"/>
      <c r="J2086" s="72"/>
      <c r="K2086" s="72"/>
      <c r="L2086" s="72"/>
      <c r="M2086" s="72"/>
      <c r="N2086" s="73"/>
      <c r="O2086" s="74"/>
      <c r="P2086" s="74"/>
    </row>
    <row r="2087">
      <c r="A2087" s="70"/>
      <c r="B2087" s="71"/>
      <c r="C2087" s="71"/>
      <c r="D2087" s="72"/>
      <c r="E2087" s="72"/>
      <c r="F2087" s="72"/>
      <c r="G2087" s="72"/>
      <c r="H2087" s="72"/>
      <c r="I2087" s="72"/>
      <c r="J2087" s="72"/>
      <c r="K2087" s="72"/>
      <c r="L2087" s="72"/>
      <c r="M2087" s="72"/>
      <c r="N2087" s="73"/>
      <c r="O2087" s="74"/>
      <c r="P2087" s="74"/>
    </row>
    <row r="2088">
      <c r="A2088" s="70"/>
      <c r="B2088" s="71"/>
      <c r="C2088" s="71"/>
      <c r="D2088" s="72"/>
      <c r="E2088" s="72"/>
      <c r="F2088" s="72"/>
      <c r="G2088" s="72"/>
      <c r="H2088" s="72"/>
      <c r="I2088" s="72"/>
      <c r="J2088" s="72"/>
      <c r="K2088" s="72"/>
      <c r="L2088" s="72"/>
      <c r="M2088" s="72"/>
      <c r="N2088" s="73"/>
      <c r="O2088" s="74"/>
      <c r="P2088" s="74"/>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11.33"/>
    <col customWidth="1" min="2" max="2" width="17.0"/>
    <col customWidth="1" min="3" max="3" width="26.89"/>
    <col customWidth="1" min="4" max="4" width="10.0"/>
    <col customWidth="1" min="5" max="5" width="33.11"/>
    <col customWidth="1" min="6" max="6" width="17.67"/>
    <col customWidth="1" min="7" max="7" width="30.22"/>
    <col customWidth="1" min="8" max="8" width="33.78"/>
    <col customWidth="1" min="9" max="9" width="14.56"/>
    <col customWidth="1" min="10" max="10" width="81.78"/>
    <col customWidth="1" min="11" max="11" width="18.33"/>
    <col customWidth="1" min="12" max="12" width="21.56"/>
    <col customWidth="1" min="13" max="13" width="19.89"/>
    <col customWidth="1" min="14" max="14" width="14.56"/>
  </cols>
  <sheetData>
    <row r="1">
      <c r="A1" s="4" t="s">
        <v>0</v>
      </c>
      <c r="B1" s="4" t="s">
        <v>1</v>
      </c>
      <c r="C1" s="4" t="s">
        <v>2</v>
      </c>
      <c r="D1" s="4" t="s">
        <v>3</v>
      </c>
      <c r="E1" s="4" t="s">
        <v>4</v>
      </c>
      <c r="F1" s="4" t="s">
        <v>5</v>
      </c>
      <c r="G1" s="4" t="s">
        <v>6</v>
      </c>
      <c r="H1" s="4" t="s">
        <v>7</v>
      </c>
      <c r="I1" s="75" t="s">
        <v>8</v>
      </c>
      <c r="J1" s="4" t="s">
        <v>9</v>
      </c>
      <c r="K1" s="5" t="s">
        <v>10</v>
      </c>
      <c r="L1" s="6" t="s">
        <v>11</v>
      </c>
      <c r="M1" s="6" t="s">
        <v>12</v>
      </c>
      <c r="N1" s="76"/>
    </row>
    <row r="2">
      <c r="A2" s="25" t="s">
        <v>13</v>
      </c>
      <c r="B2" s="59">
        <v>44928.0</v>
      </c>
      <c r="C2" s="25" t="s">
        <v>14</v>
      </c>
      <c r="D2" s="25">
        <v>5318.0</v>
      </c>
      <c r="E2" s="25" t="s">
        <v>15</v>
      </c>
      <c r="F2" s="25" t="s">
        <v>16</v>
      </c>
      <c r="G2" s="25" t="s">
        <v>17</v>
      </c>
      <c r="H2" s="25" t="s">
        <v>18</v>
      </c>
      <c r="I2" s="25"/>
      <c r="J2" s="25" t="s">
        <v>19</v>
      </c>
      <c r="K2" s="25"/>
      <c r="L2" s="26" t="s">
        <v>20</v>
      </c>
      <c r="M2" s="12">
        <v>44953.0</v>
      </c>
      <c r="N2" s="77" t="str">
        <f t="shared" ref="N2:N1412" si="1">TEXT(B2,"mmmm")</f>
        <v>janeiro</v>
      </c>
    </row>
    <row r="3">
      <c r="A3" s="25" t="s">
        <v>21</v>
      </c>
      <c r="B3" s="59">
        <v>44928.0</v>
      </c>
      <c r="C3" s="25" t="s">
        <v>14</v>
      </c>
      <c r="D3" s="25">
        <v>5318.0</v>
      </c>
      <c r="E3" s="25" t="s">
        <v>15</v>
      </c>
      <c r="F3" s="25" t="s">
        <v>22</v>
      </c>
      <c r="G3" s="25" t="s">
        <v>23</v>
      </c>
      <c r="H3" s="25" t="s">
        <v>18</v>
      </c>
      <c r="I3" s="25"/>
      <c r="J3" s="25" t="s">
        <v>24</v>
      </c>
      <c r="K3" s="25"/>
      <c r="L3" s="26" t="s">
        <v>20</v>
      </c>
      <c r="M3" s="12">
        <v>44953.0</v>
      </c>
      <c r="N3" s="77" t="str">
        <f t="shared" si="1"/>
        <v>janeiro</v>
      </c>
    </row>
    <row r="4">
      <c r="A4" s="25" t="s">
        <v>25</v>
      </c>
      <c r="B4" s="59">
        <v>44928.0</v>
      </c>
      <c r="C4" s="25" t="s">
        <v>26</v>
      </c>
      <c r="D4" s="25">
        <v>5304.0</v>
      </c>
      <c r="E4" s="25" t="s">
        <v>27</v>
      </c>
      <c r="F4" s="25" t="s">
        <v>28</v>
      </c>
      <c r="G4" s="25" t="s">
        <v>29</v>
      </c>
      <c r="H4" s="25" t="s">
        <v>30</v>
      </c>
      <c r="I4" s="25"/>
      <c r="J4" s="25" t="s">
        <v>31</v>
      </c>
      <c r="K4" s="25"/>
      <c r="L4" s="26" t="s">
        <v>20</v>
      </c>
      <c r="M4" s="12">
        <v>45184.0</v>
      </c>
      <c r="N4" s="77" t="str">
        <f t="shared" si="1"/>
        <v>janeiro</v>
      </c>
    </row>
    <row r="5">
      <c r="A5" s="25" t="s">
        <v>32</v>
      </c>
      <c r="B5" s="59">
        <v>44928.0</v>
      </c>
      <c r="C5" s="25" t="s">
        <v>33</v>
      </c>
      <c r="D5" s="25">
        <v>6.4984397471E10</v>
      </c>
      <c r="E5" s="25" t="s">
        <v>34</v>
      </c>
      <c r="F5" s="25" t="s">
        <v>35</v>
      </c>
      <c r="G5" s="25" t="s">
        <v>36</v>
      </c>
      <c r="H5" s="25" t="s">
        <v>37</v>
      </c>
      <c r="I5" s="25"/>
      <c r="J5" s="25" t="s">
        <v>38</v>
      </c>
      <c r="K5" s="25"/>
      <c r="L5" s="26" t="s">
        <v>20</v>
      </c>
      <c r="M5" s="12">
        <v>44930.0</v>
      </c>
      <c r="N5" s="77" t="str">
        <f t="shared" si="1"/>
        <v>janeiro</v>
      </c>
    </row>
    <row r="6">
      <c r="A6" s="25" t="s">
        <v>39</v>
      </c>
      <c r="B6" s="59">
        <v>44928.0</v>
      </c>
      <c r="C6" s="25" t="s">
        <v>40</v>
      </c>
      <c r="D6" s="25">
        <v>5333.0</v>
      </c>
      <c r="E6" s="25" t="s">
        <v>41</v>
      </c>
      <c r="F6" s="25" t="s">
        <v>42</v>
      </c>
      <c r="G6" s="25" t="s">
        <v>43</v>
      </c>
      <c r="H6" s="25" t="s">
        <v>44</v>
      </c>
      <c r="I6" s="25"/>
      <c r="J6" s="25" t="s">
        <v>45</v>
      </c>
      <c r="K6" s="25"/>
      <c r="L6" s="26" t="s">
        <v>20</v>
      </c>
      <c r="M6" s="12">
        <v>44931.0</v>
      </c>
      <c r="N6" s="77" t="str">
        <f t="shared" si="1"/>
        <v>janeiro</v>
      </c>
    </row>
    <row r="7">
      <c r="A7" s="25" t="s">
        <v>46</v>
      </c>
      <c r="B7" s="59">
        <v>44929.0</v>
      </c>
      <c r="C7" s="25" t="s">
        <v>47</v>
      </c>
      <c r="D7" s="25">
        <v>5351.0</v>
      </c>
      <c r="E7" s="25" t="s">
        <v>48</v>
      </c>
      <c r="F7" s="25" t="s">
        <v>49</v>
      </c>
      <c r="G7" s="25" t="s">
        <v>50</v>
      </c>
      <c r="H7" s="25" t="s">
        <v>37</v>
      </c>
      <c r="I7" s="25"/>
      <c r="J7" s="25" t="s">
        <v>51</v>
      </c>
      <c r="K7" s="25"/>
      <c r="L7" s="26" t="s">
        <v>20</v>
      </c>
      <c r="M7" s="12">
        <v>44929.0</v>
      </c>
      <c r="N7" s="77" t="str">
        <f t="shared" si="1"/>
        <v>janeiro</v>
      </c>
    </row>
    <row r="8">
      <c r="A8" s="25" t="s">
        <v>52</v>
      </c>
      <c r="B8" s="59">
        <v>44929.0</v>
      </c>
      <c r="C8" s="25" t="s">
        <v>53</v>
      </c>
      <c r="D8" s="25">
        <v>5302.0</v>
      </c>
      <c r="E8" s="25" t="s">
        <v>54</v>
      </c>
      <c r="F8" s="25" t="s">
        <v>55</v>
      </c>
      <c r="G8" s="25" t="s">
        <v>56</v>
      </c>
      <c r="H8" s="25" t="s">
        <v>30</v>
      </c>
      <c r="I8" s="25"/>
      <c r="J8" s="25" t="s">
        <v>57</v>
      </c>
      <c r="K8" s="25"/>
      <c r="L8" s="26" t="s">
        <v>20</v>
      </c>
      <c r="M8" s="12">
        <v>44950.0</v>
      </c>
      <c r="N8" s="77" t="str">
        <f t="shared" si="1"/>
        <v>janeiro</v>
      </c>
    </row>
    <row r="9">
      <c r="A9" s="25" t="s">
        <v>58</v>
      </c>
      <c r="B9" s="59">
        <v>44929.0</v>
      </c>
      <c r="C9" s="25" t="s">
        <v>59</v>
      </c>
      <c r="D9" s="25">
        <v>5349.0</v>
      </c>
      <c r="E9" s="25" t="s">
        <v>60</v>
      </c>
      <c r="F9" s="25" t="s">
        <v>61</v>
      </c>
      <c r="G9" s="25" t="s">
        <v>62</v>
      </c>
      <c r="H9" s="25" t="s">
        <v>37</v>
      </c>
      <c r="I9" s="25"/>
      <c r="J9" s="25" t="s">
        <v>63</v>
      </c>
      <c r="K9" s="25"/>
      <c r="L9" s="26" t="s">
        <v>20</v>
      </c>
      <c r="M9" s="12">
        <v>44994.0</v>
      </c>
      <c r="N9" s="77" t="str">
        <f t="shared" si="1"/>
        <v>janeiro</v>
      </c>
    </row>
    <row r="10">
      <c r="A10" s="25" t="s">
        <v>64</v>
      </c>
      <c r="B10" s="59">
        <v>44929.0</v>
      </c>
      <c r="C10" s="25" t="s">
        <v>65</v>
      </c>
      <c r="D10" s="25">
        <v>5318.0</v>
      </c>
      <c r="E10" s="25" t="s">
        <v>15</v>
      </c>
      <c r="F10" s="25" t="s">
        <v>16</v>
      </c>
      <c r="G10" s="25" t="s">
        <v>66</v>
      </c>
      <c r="H10" s="25" t="s">
        <v>18</v>
      </c>
      <c r="I10" s="25"/>
      <c r="J10" s="25" t="s">
        <v>67</v>
      </c>
      <c r="K10" s="25"/>
      <c r="L10" s="26" t="s">
        <v>20</v>
      </c>
      <c r="M10" s="12">
        <v>44931.0</v>
      </c>
      <c r="N10" s="77" t="str">
        <f t="shared" si="1"/>
        <v>janeiro</v>
      </c>
    </row>
    <row r="11">
      <c r="A11" s="65" t="s">
        <v>68</v>
      </c>
      <c r="B11" s="78">
        <v>44929.0</v>
      </c>
      <c r="C11" s="65" t="s">
        <v>69</v>
      </c>
      <c r="D11" s="65">
        <v>5340.0</v>
      </c>
      <c r="E11" s="25" t="s">
        <v>70</v>
      </c>
      <c r="F11" s="65" t="s">
        <v>35</v>
      </c>
      <c r="G11" s="65" t="s">
        <v>71</v>
      </c>
      <c r="H11" s="25" t="s">
        <v>30</v>
      </c>
      <c r="I11" s="65"/>
      <c r="J11" s="65" t="s">
        <v>72</v>
      </c>
      <c r="K11" s="79" t="s">
        <v>73</v>
      </c>
      <c r="L11" s="79" t="s">
        <v>74</v>
      </c>
      <c r="M11" s="80">
        <v>45288.0</v>
      </c>
      <c r="N11" s="77" t="str">
        <f t="shared" si="1"/>
        <v>janeiro</v>
      </c>
    </row>
    <row r="12">
      <c r="A12" s="25" t="s">
        <v>75</v>
      </c>
      <c r="B12" s="59">
        <v>44930.0</v>
      </c>
      <c r="C12" s="25" t="s">
        <v>76</v>
      </c>
      <c r="D12" s="25">
        <v>5340.0</v>
      </c>
      <c r="E12" s="25" t="s">
        <v>70</v>
      </c>
      <c r="F12" s="25" t="s">
        <v>77</v>
      </c>
      <c r="G12" s="25" t="s">
        <v>78</v>
      </c>
      <c r="H12" s="25" t="s">
        <v>79</v>
      </c>
      <c r="I12" s="25"/>
      <c r="J12" s="25" t="s">
        <v>80</v>
      </c>
      <c r="K12" s="25"/>
      <c r="L12" s="26" t="s">
        <v>20</v>
      </c>
      <c r="M12" s="12">
        <v>44986.0</v>
      </c>
      <c r="N12" s="77" t="str">
        <f t="shared" si="1"/>
        <v>janeiro</v>
      </c>
    </row>
    <row r="13">
      <c r="A13" s="25" t="s">
        <v>81</v>
      </c>
      <c r="B13" s="59">
        <v>44930.0</v>
      </c>
      <c r="C13" s="25" t="s">
        <v>76</v>
      </c>
      <c r="D13" s="25">
        <v>5340.0</v>
      </c>
      <c r="E13" s="25" t="s">
        <v>70</v>
      </c>
      <c r="F13" s="25" t="s">
        <v>82</v>
      </c>
      <c r="G13" s="25" t="s">
        <v>83</v>
      </c>
      <c r="H13" s="25" t="s">
        <v>79</v>
      </c>
      <c r="I13" s="25"/>
      <c r="J13" s="25" t="s">
        <v>84</v>
      </c>
      <c r="K13" s="25"/>
      <c r="L13" s="26" t="s">
        <v>20</v>
      </c>
      <c r="M13" s="12">
        <v>44986.0</v>
      </c>
      <c r="N13" s="77" t="str">
        <f t="shared" si="1"/>
        <v>janeiro</v>
      </c>
    </row>
    <row r="14">
      <c r="A14" s="25" t="s">
        <v>85</v>
      </c>
      <c r="B14" s="59">
        <v>44930.0</v>
      </c>
      <c r="C14" s="25" t="s">
        <v>76</v>
      </c>
      <c r="D14" s="25">
        <v>5340.0</v>
      </c>
      <c r="E14" s="25" t="s">
        <v>70</v>
      </c>
      <c r="F14" s="25" t="s">
        <v>86</v>
      </c>
      <c r="G14" s="25" t="s">
        <v>87</v>
      </c>
      <c r="H14" s="25" t="s">
        <v>79</v>
      </c>
      <c r="I14" s="25"/>
      <c r="J14" s="25" t="s">
        <v>88</v>
      </c>
      <c r="K14" s="25"/>
      <c r="L14" s="26" t="s">
        <v>20</v>
      </c>
      <c r="M14" s="12">
        <v>44986.0</v>
      </c>
      <c r="N14" s="77" t="str">
        <f t="shared" si="1"/>
        <v>janeiro</v>
      </c>
    </row>
    <row r="15">
      <c r="A15" s="25" t="s">
        <v>89</v>
      </c>
      <c r="B15" s="59">
        <v>44930.0</v>
      </c>
      <c r="C15" s="25" t="s">
        <v>76</v>
      </c>
      <c r="D15" s="25">
        <v>5340.0</v>
      </c>
      <c r="E15" s="25" t="s">
        <v>70</v>
      </c>
      <c r="F15" s="25" t="s">
        <v>90</v>
      </c>
      <c r="G15" s="25" t="s">
        <v>91</v>
      </c>
      <c r="H15" s="25" t="s">
        <v>79</v>
      </c>
      <c r="I15" s="25"/>
      <c r="J15" s="25" t="s">
        <v>88</v>
      </c>
      <c r="K15" s="25"/>
      <c r="L15" s="26" t="s">
        <v>20</v>
      </c>
      <c r="M15" s="12">
        <v>44986.0</v>
      </c>
      <c r="N15" s="77" t="str">
        <f t="shared" si="1"/>
        <v>janeiro</v>
      </c>
    </row>
    <row r="16">
      <c r="A16" s="25" t="s">
        <v>92</v>
      </c>
      <c r="B16" s="59">
        <v>44930.0</v>
      </c>
      <c r="C16" s="25" t="s">
        <v>76</v>
      </c>
      <c r="D16" s="25">
        <v>5340.0</v>
      </c>
      <c r="E16" s="25" t="s">
        <v>70</v>
      </c>
      <c r="F16" s="25" t="s">
        <v>93</v>
      </c>
      <c r="G16" s="25" t="s">
        <v>94</v>
      </c>
      <c r="H16" s="25" t="s">
        <v>79</v>
      </c>
      <c r="I16" s="25"/>
      <c r="J16" s="25" t="s">
        <v>95</v>
      </c>
      <c r="K16" s="25"/>
      <c r="L16" s="26" t="s">
        <v>20</v>
      </c>
      <c r="M16" s="12">
        <v>44986.0</v>
      </c>
      <c r="N16" s="77" t="str">
        <f t="shared" si="1"/>
        <v>janeiro</v>
      </c>
    </row>
    <row r="17">
      <c r="A17" s="25" t="s">
        <v>96</v>
      </c>
      <c r="B17" s="59">
        <v>44930.0</v>
      </c>
      <c r="C17" s="25" t="s">
        <v>76</v>
      </c>
      <c r="D17" s="25">
        <v>5340.0</v>
      </c>
      <c r="E17" s="25" t="s">
        <v>70</v>
      </c>
      <c r="F17" s="25" t="s">
        <v>28</v>
      </c>
      <c r="G17" s="25" t="s">
        <v>97</v>
      </c>
      <c r="H17" s="25" t="s">
        <v>79</v>
      </c>
      <c r="I17" s="25"/>
      <c r="J17" s="25" t="s">
        <v>98</v>
      </c>
      <c r="K17" s="25"/>
      <c r="L17" s="26" t="s">
        <v>20</v>
      </c>
      <c r="M17" s="12">
        <v>45017.0</v>
      </c>
      <c r="N17" s="77" t="str">
        <f t="shared" si="1"/>
        <v>janeiro</v>
      </c>
    </row>
    <row r="18">
      <c r="A18" s="25" t="s">
        <v>99</v>
      </c>
      <c r="B18" s="59">
        <v>44930.0</v>
      </c>
      <c r="C18" s="25" t="s">
        <v>76</v>
      </c>
      <c r="D18" s="25">
        <v>5340.0</v>
      </c>
      <c r="E18" s="25" t="s">
        <v>70</v>
      </c>
      <c r="F18" s="25" t="s">
        <v>100</v>
      </c>
      <c r="G18" s="25" t="s">
        <v>101</v>
      </c>
      <c r="H18" s="25" t="s">
        <v>79</v>
      </c>
      <c r="I18" s="25"/>
      <c r="J18" s="25" t="s">
        <v>98</v>
      </c>
      <c r="K18" s="25"/>
      <c r="L18" s="26" t="s">
        <v>20</v>
      </c>
      <c r="M18" s="12">
        <v>45017.0</v>
      </c>
      <c r="N18" s="77" t="str">
        <f t="shared" si="1"/>
        <v>janeiro</v>
      </c>
    </row>
    <row r="19">
      <c r="A19" s="25" t="s">
        <v>102</v>
      </c>
      <c r="B19" s="59">
        <v>44930.0</v>
      </c>
      <c r="C19" s="25" t="s">
        <v>76</v>
      </c>
      <c r="D19" s="25">
        <v>5340.0</v>
      </c>
      <c r="E19" s="25" t="s">
        <v>70</v>
      </c>
      <c r="F19" s="25" t="s">
        <v>103</v>
      </c>
      <c r="G19" s="25" t="s">
        <v>101</v>
      </c>
      <c r="H19" s="25" t="s">
        <v>79</v>
      </c>
      <c r="I19" s="25"/>
      <c r="J19" s="25" t="s">
        <v>98</v>
      </c>
      <c r="K19" s="25"/>
      <c r="L19" s="26" t="s">
        <v>20</v>
      </c>
      <c r="M19" s="12">
        <v>45017.0</v>
      </c>
      <c r="N19" s="77" t="str">
        <f t="shared" si="1"/>
        <v>janeiro</v>
      </c>
    </row>
    <row r="20">
      <c r="A20" s="25" t="s">
        <v>104</v>
      </c>
      <c r="B20" s="59">
        <v>44930.0</v>
      </c>
      <c r="C20" s="25" t="s">
        <v>105</v>
      </c>
      <c r="D20" s="25">
        <v>5333.0</v>
      </c>
      <c r="E20" s="25" t="s">
        <v>41</v>
      </c>
      <c r="F20" s="25" t="s">
        <v>82</v>
      </c>
      <c r="G20" s="25" t="s">
        <v>106</v>
      </c>
      <c r="H20" s="25" t="s">
        <v>107</v>
      </c>
      <c r="I20" s="25"/>
      <c r="J20" s="25" t="s">
        <v>108</v>
      </c>
      <c r="K20" s="25"/>
      <c r="L20" s="26" t="s">
        <v>20</v>
      </c>
      <c r="M20" s="12">
        <v>44957.0</v>
      </c>
      <c r="N20" s="77" t="str">
        <f t="shared" si="1"/>
        <v>janeiro</v>
      </c>
    </row>
    <row r="21">
      <c r="A21" s="25" t="s">
        <v>109</v>
      </c>
      <c r="B21" s="59">
        <v>44930.0</v>
      </c>
      <c r="C21" s="25" t="s">
        <v>110</v>
      </c>
      <c r="D21" s="25">
        <v>5369.0</v>
      </c>
      <c r="E21" s="25" t="s">
        <v>111</v>
      </c>
      <c r="F21" s="25" t="s">
        <v>82</v>
      </c>
      <c r="G21" s="25" t="s">
        <v>112</v>
      </c>
      <c r="H21" s="25" t="s">
        <v>30</v>
      </c>
      <c r="I21" s="25"/>
      <c r="J21" s="25" t="s">
        <v>113</v>
      </c>
      <c r="K21" s="25"/>
      <c r="L21" s="26" t="s">
        <v>20</v>
      </c>
      <c r="M21" s="12">
        <v>44936.0</v>
      </c>
      <c r="N21" s="77" t="str">
        <f t="shared" si="1"/>
        <v>janeiro</v>
      </c>
    </row>
    <row r="22">
      <c r="A22" s="25" t="s">
        <v>114</v>
      </c>
      <c r="B22" s="59">
        <v>44930.0</v>
      </c>
      <c r="C22" s="25" t="s">
        <v>115</v>
      </c>
      <c r="D22" s="25">
        <v>5395.0</v>
      </c>
      <c r="E22" s="25" t="s">
        <v>116</v>
      </c>
      <c r="F22" s="25" t="s">
        <v>82</v>
      </c>
      <c r="G22" s="25" t="s">
        <v>117</v>
      </c>
      <c r="H22" s="25" t="s">
        <v>37</v>
      </c>
      <c r="I22" s="25"/>
      <c r="J22" s="25" t="s">
        <v>118</v>
      </c>
      <c r="K22" s="25"/>
      <c r="L22" s="26" t="s">
        <v>20</v>
      </c>
      <c r="M22" s="12">
        <v>44931.0</v>
      </c>
      <c r="N22" s="77" t="str">
        <f t="shared" si="1"/>
        <v>janeiro</v>
      </c>
    </row>
    <row r="23">
      <c r="A23" s="25" t="s">
        <v>119</v>
      </c>
      <c r="B23" s="59">
        <v>44931.0</v>
      </c>
      <c r="C23" s="25" t="s">
        <v>120</v>
      </c>
      <c r="D23" s="25">
        <v>5340.0</v>
      </c>
      <c r="E23" s="25" t="s">
        <v>70</v>
      </c>
      <c r="F23" s="25" t="s">
        <v>121</v>
      </c>
      <c r="G23" s="25" t="s">
        <v>122</v>
      </c>
      <c r="H23" s="25" t="s">
        <v>37</v>
      </c>
      <c r="I23" s="25"/>
      <c r="J23" s="25" t="s">
        <v>123</v>
      </c>
      <c r="K23" s="25"/>
      <c r="L23" s="26" t="s">
        <v>20</v>
      </c>
      <c r="M23" s="12">
        <v>44931.0</v>
      </c>
      <c r="N23" s="77" t="str">
        <f t="shared" si="1"/>
        <v>janeiro</v>
      </c>
    </row>
    <row r="24">
      <c r="A24" s="25" t="s">
        <v>124</v>
      </c>
      <c r="B24" s="59">
        <v>44931.0</v>
      </c>
      <c r="C24" s="25" t="s">
        <v>120</v>
      </c>
      <c r="D24" s="25">
        <v>5340.0</v>
      </c>
      <c r="E24" s="25" t="s">
        <v>70</v>
      </c>
      <c r="F24" s="25" t="s">
        <v>86</v>
      </c>
      <c r="G24" s="25" t="s">
        <v>125</v>
      </c>
      <c r="H24" s="25" t="s">
        <v>37</v>
      </c>
      <c r="I24" s="25"/>
      <c r="J24" s="25" t="s">
        <v>126</v>
      </c>
      <c r="K24" s="25"/>
      <c r="L24" s="26" t="s">
        <v>20</v>
      </c>
      <c r="M24" s="12">
        <v>44932.0</v>
      </c>
      <c r="N24" s="77" t="str">
        <f t="shared" si="1"/>
        <v>janeiro</v>
      </c>
    </row>
    <row r="25">
      <c r="A25" s="25" t="s">
        <v>127</v>
      </c>
      <c r="B25" s="59">
        <v>44931.0</v>
      </c>
      <c r="C25" s="25" t="s">
        <v>120</v>
      </c>
      <c r="D25" s="25">
        <v>5340.0</v>
      </c>
      <c r="E25" s="25" t="s">
        <v>70</v>
      </c>
      <c r="F25" s="25" t="s">
        <v>121</v>
      </c>
      <c r="G25" s="25" t="s">
        <v>128</v>
      </c>
      <c r="H25" s="25" t="s">
        <v>129</v>
      </c>
      <c r="I25" s="25"/>
      <c r="J25" s="25" t="s">
        <v>130</v>
      </c>
      <c r="K25" s="25"/>
      <c r="L25" s="26" t="s">
        <v>20</v>
      </c>
      <c r="M25" s="12">
        <v>45017.0</v>
      </c>
      <c r="N25" s="77" t="str">
        <f t="shared" si="1"/>
        <v>janeiro</v>
      </c>
    </row>
    <row r="26">
      <c r="A26" s="25" t="s">
        <v>131</v>
      </c>
      <c r="B26" s="59">
        <v>44931.0</v>
      </c>
      <c r="C26" s="25" t="s">
        <v>76</v>
      </c>
      <c r="D26" s="25">
        <v>5340.0</v>
      </c>
      <c r="E26" s="25" t="s">
        <v>70</v>
      </c>
      <c r="F26" s="25" t="s">
        <v>49</v>
      </c>
      <c r="G26" s="25" t="s">
        <v>132</v>
      </c>
      <c r="H26" s="25" t="s">
        <v>79</v>
      </c>
      <c r="I26" s="25"/>
      <c r="J26" s="25" t="s">
        <v>133</v>
      </c>
      <c r="K26" s="25"/>
      <c r="L26" s="26" t="s">
        <v>20</v>
      </c>
      <c r="M26" s="12">
        <v>44931.0</v>
      </c>
      <c r="N26" s="77" t="str">
        <f t="shared" si="1"/>
        <v>janeiro</v>
      </c>
    </row>
    <row r="27">
      <c r="A27" s="25" t="s">
        <v>134</v>
      </c>
      <c r="B27" s="59">
        <v>44931.0</v>
      </c>
      <c r="C27" s="25" t="s">
        <v>40</v>
      </c>
      <c r="D27" s="25">
        <v>5333.0</v>
      </c>
      <c r="E27" s="25" t="s">
        <v>41</v>
      </c>
      <c r="F27" s="25" t="s">
        <v>61</v>
      </c>
      <c r="G27" s="25" t="s">
        <v>135</v>
      </c>
      <c r="H27" s="25" t="s">
        <v>37</v>
      </c>
      <c r="I27" s="25"/>
      <c r="J27" s="25" t="s">
        <v>136</v>
      </c>
      <c r="K27" s="25"/>
      <c r="L27" s="26" t="s">
        <v>20</v>
      </c>
      <c r="M27" s="12">
        <v>44932.0</v>
      </c>
      <c r="N27" s="77" t="str">
        <f t="shared" si="1"/>
        <v>janeiro</v>
      </c>
    </row>
    <row r="28">
      <c r="A28" s="25" t="s">
        <v>137</v>
      </c>
      <c r="B28" s="59">
        <v>44931.0</v>
      </c>
      <c r="C28" s="25" t="s">
        <v>138</v>
      </c>
      <c r="D28" s="25">
        <v>5318.0</v>
      </c>
      <c r="E28" s="25" t="s">
        <v>15</v>
      </c>
      <c r="F28" s="25" t="s">
        <v>93</v>
      </c>
      <c r="G28" s="25" t="s">
        <v>139</v>
      </c>
      <c r="H28" s="25" t="s">
        <v>18</v>
      </c>
      <c r="I28" s="25"/>
      <c r="J28" s="25" t="s">
        <v>140</v>
      </c>
      <c r="K28" s="25"/>
      <c r="L28" s="26" t="s">
        <v>20</v>
      </c>
      <c r="M28" s="12">
        <v>44965.0</v>
      </c>
      <c r="N28" s="77" t="str">
        <f t="shared" si="1"/>
        <v>janeiro</v>
      </c>
    </row>
    <row r="29">
      <c r="A29" s="25" t="s">
        <v>141</v>
      </c>
      <c r="B29" s="59">
        <v>44932.0</v>
      </c>
      <c r="C29" s="25" t="s">
        <v>69</v>
      </c>
      <c r="D29" s="25">
        <v>5340.0</v>
      </c>
      <c r="E29" s="25" t="s">
        <v>70</v>
      </c>
      <c r="F29" s="25" t="s">
        <v>142</v>
      </c>
      <c r="G29" s="25" t="s">
        <v>143</v>
      </c>
      <c r="H29" s="25" t="s">
        <v>37</v>
      </c>
      <c r="I29" s="25"/>
      <c r="J29" s="25" t="s">
        <v>144</v>
      </c>
      <c r="K29" s="25"/>
      <c r="L29" s="26" t="s">
        <v>20</v>
      </c>
      <c r="M29" s="12">
        <v>44935.0</v>
      </c>
      <c r="N29" s="77" t="str">
        <f t="shared" si="1"/>
        <v>janeiro</v>
      </c>
    </row>
    <row r="30">
      <c r="A30" s="25" t="s">
        <v>145</v>
      </c>
      <c r="B30" s="59">
        <v>44932.0</v>
      </c>
      <c r="C30" s="25" t="s">
        <v>59</v>
      </c>
      <c r="D30" s="25">
        <v>5349.0</v>
      </c>
      <c r="E30" s="25" t="s">
        <v>60</v>
      </c>
      <c r="F30" s="25" t="s">
        <v>61</v>
      </c>
      <c r="G30" s="25" t="s">
        <v>146</v>
      </c>
      <c r="H30" s="25" t="s">
        <v>37</v>
      </c>
      <c r="I30" s="25"/>
      <c r="J30" s="25" t="s">
        <v>147</v>
      </c>
      <c r="K30" s="25"/>
      <c r="L30" s="26" t="s">
        <v>20</v>
      </c>
      <c r="M30" s="12">
        <v>44932.0</v>
      </c>
      <c r="N30" s="77" t="str">
        <f t="shared" si="1"/>
        <v>janeiro</v>
      </c>
    </row>
    <row r="31">
      <c r="A31" s="25" t="s">
        <v>148</v>
      </c>
      <c r="B31" s="59">
        <v>44932.0</v>
      </c>
      <c r="C31" s="25" t="s">
        <v>59</v>
      </c>
      <c r="D31" s="25">
        <v>5349.0</v>
      </c>
      <c r="E31" s="25" t="s">
        <v>60</v>
      </c>
      <c r="F31" s="25" t="s">
        <v>61</v>
      </c>
      <c r="G31" s="25" t="s">
        <v>146</v>
      </c>
      <c r="H31" s="25" t="s">
        <v>30</v>
      </c>
      <c r="I31" s="25"/>
      <c r="J31" s="25" t="s">
        <v>149</v>
      </c>
      <c r="K31" s="25"/>
      <c r="L31" s="26" t="s">
        <v>20</v>
      </c>
      <c r="M31" s="12">
        <v>44951.0</v>
      </c>
      <c r="N31" s="77" t="str">
        <f t="shared" si="1"/>
        <v>janeiro</v>
      </c>
    </row>
    <row r="32">
      <c r="A32" s="65" t="s">
        <v>150</v>
      </c>
      <c r="B32" s="78">
        <v>44932.0</v>
      </c>
      <c r="C32" s="65" t="s">
        <v>69</v>
      </c>
      <c r="D32" s="65">
        <v>5340.0</v>
      </c>
      <c r="E32" s="25" t="s">
        <v>70</v>
      </c>
      <c r="F32" s="65" t="s">
        <v>55</v>
      </c>
      <c r="G32" s="65" t="s">
        <v>151</v>
      </c>
      <c r="H32" s="25" t="s">
        <v>30</v>
      </c>
      <c r="I32" s="65"/>
      <c r="J32" s="65" t="s">
        <v>152</v>
      </c>
      <c r="K32" s="81"/>
      <c r="L32" s="79" t="s">
        <v>20</v>
      </c>
      <c r="M32" s="80">
        <v>45281.0</v>
      </c>
      <c r="N32" s="77" t="str">
        <f t="shared" si="1"/>
        <v>janeiro</v>
      </c>
    </row>
    <row r="33">
      <c r="A33" s="65" t="s">
        <v>153</v>
      </c>
      <c r="B33" s="78">
        <v>44932.0</v>
      </c>
      <c r="C33" s="65" t="s">
        <v>154</v>
      </c>
      <c r="D33" s="65">
        <v>5397.0</v>
      </c>
      <c r="E33" s="65" t="s">
        <v>155</v>
      </c>
      <c r="F33" s="25" t="s">
        <v>49</v>
      </c>
      <c r="G33" s="65" t="s">
        <v>156</v>
      </c>
      <c r="H33" s="65" t="s">
        <v>107</v>
      </c>
      <c r="I33" s="65"/>
      <c r="J33" s="65" t="s">
        <v>157</v>
      </c>
      <c r="K33" s="81"/>
      <c r="L33" s="79" t="s">
        <v>20</v>
      </c>
      <c r="M33" s="18">
        <v>45343.384326307874</v>
      </c>
      <c r="N33" s="77" t="str">
        <f t="shared" si="1"/>
        <v>janeiro</v>
      </c>
    </row>
    <row r="34">
      <c r="A34" s="25" t="s">
        <v>158</v>
      </c>
      <c r="B34" s="59">
        <v>44932.0</v>
      </c>
      <c r="C34" s="25" t="s">
        <v>159</v>
      </c>
      <c r="D34" s="25">
        <v>5313.0</v>
      </c>
      <c r="E34" s="25" t="s">
        <v>160</v>
      </c>
      <c r="F34" s="25" t="s">
        <v>77</v>
      </c>
      <c r="G34" s="25" t="s">
        <v>161</v>
      </c>
      <c r="H34" s="25" t="s">
        <v>162</v>
      </c>
      <c r="I34" s="25"/>
      <c r="J34" s="25" t="s">
        <v>163</v>
      </c>
      <c r="K34" s="25"/>
      <c r="L34" s="26" t="s">
        <v>20</v>
      </c>
      <c r="M34" s="12">
        <v>45153.0</v>
      </c>
      <c r="N34" s="77" t="str">
        <f t="shared" si="1"/>
        <v>janeiro</v>
      </c>
    </row>
    <row r="35">
      <c r="A35" s="25" t="s">
        <v>164</v>
      </c>
      <c r="B35" s="59">
        <v>44933.0</v>
      </c>
      <c r="C35" s="25" t="s">
        <v>165</v>
      </c>
      <c r="D35" s="25">
        <v>5318.0</v>
      </c>
      <c r="E35" s="25" t="s">
        <v>15</v>
      </c>
      <c r="F35" s="25" t="s">
        <v>142</v>
      </c>
      <c r="G35" s="25" t="s">
        <v>166</v>
      </c>
      <c r="H35" s="25" t="s">
        <v>37</v>
      </c>
      <c r="I35" s="25"/>
      <c r="J35" s="25" t="s">
        <v>167</v>
      </c>
      <c r="K35" s="25"/>
      <c r="L35" s="26" t="s">
        <v>20</v>
      </c>
      <c r="M35" s="12">
        <v>44935.0</v>
      </c>
      <c r="N35" s="77" t="str">
        <f t="shared" si="1"/>
        <v>janeiro</v>
      </c>
    </row>
    <row r="36">
      <c r="A36" s="25" t="s">
        <v>168</v>
      </c>
      <c r="B36" s="59">
        <v>44935.0</v>
      </c>
      <c r="C36" s="25" t="s">
        <v>169</v>
      </c>
      <c r="D36" s="25">
        <v>5318.0</v>
      </c>
      <c r="E36" s="25" t="s">
        <v>15</v>
      </c>
      <c r="F36" s="25" t="s">
        <v>22</v>
      </c>
      <c r="G36" s="25" t="s">
        <v>170</v>
      </c>
      <c r="H36" s="25" t="s">
        <v>37</v>
      </c>
      <c r="I36" s="25"/>
      <c r="J36" s="25" t="s">
        <v>171</v>
      </c>
      <c r="K36" s="25"/>
      <c r="L36" s="26" t="s">
        <v>20</v>
      </c>
      <c r="M36" s="12">
        <v>44935.0</v>
      </c>
      <c r="N36" s="77" t="str">
        <f t="shared" si="1"/>
        <v>janeiro</v>
      </c>
    </row>
    <row r="37">
      <c r="A37" s="25" t="s">
        <v>172</v>
      </c>
      <c r="B37" s="59">
        <v>44935.0</v>
      </c>
      <c r="C37" s="25" t="s">
        <v>169</v>
      </c>
      <c r="D37" s="25">
        <v>5318.0</v>
      </c>
      <c r="E37" s="25" t="s">
        <v>15</v>
      </c>
      <c r="F37" s="25" t="s">
        <v>61</v>
      </c>
      <c r="G37" s="25" t="s">
        <v>173</v>
      </c>
      <c r="H37" s="25" t="s">
        <v>37</v>
      </c>
      <c r="I37" s="25"/>
      <c r="J37" s="25" t="s">
        <v>174</v>
      </c>
      <c r="K37" s="25"/>
      <c r="L37" s="26" t="s">
        <v>20</v>
      </c>
      <c r="M37" s="12">
        <v>44935.0</v>
      </c>
      <c r="N37" s="77" t="str">
        <f t="shared" si="1"/>
        <v>janeiro</v>
      </c>
    </row>
    <row r="38">
      <c r="A38" s="25" t="s">
        <v>175</v>
      </c>
      <c r="B38" s="59">
        <v>44935.0</v>
      </c>
      <c r="C38" s="25" t="s">
        <v>169</v>
      </c>
      <c r="D38" s="25">
        <v>5318.0</v>
      </c>
      <c r="E38" s="25" t="s">
        <v>15</v>
      </c>
      <c r="F38" s="25" t="s">
        <v>86</v>
      </c>
      <c r="G38" s="25" t="s">
        <v>173</v>
      </c>
      <c r="H38" s="25" t="s">
        <v>37</v>
      </c>
      <c r="I38" s="25"/>
      <c r="J38" s="25" t="s">
        <v>176</v>
      </c>
      <c r="K38" s="25"/>
      <c r="L38" s="26" t="s">
        <v>20</v>
      </c>
      <c r="M38" s="12">
        <v>44935.0</v>
      </c>
      <c r="N38" s="77" t="str">
        <f t="shared" si="1"/>
        <v>janeiro</v>
      </c>
    </row>
    <row r="39">
      <c r="A39" s="25" t="s">
        <v>177</v>
      </c>
      <c r="B39" s="59">
        <v>44935.0</v>
      </c>
      <c r="C39" s="25" t="s">
        <v>69</v>
      </c>
      <c r="D39" s="25">
        <v>5340.0</v>
      </c>
      <c r="E39" s="25" t="s">
        <v>70</v>
      </c>
      <c r="F39" s="25" t="s">
        <v>178</v>
      </c>
      <c r="G39" s="25" t="s">
        <v>179</v>
      </c>
      <c r="H39" s="25" t="s">
        <v>79</v>
      </c>
      <c r="I39" s="25"/>
      <c r="J39" s="25" t="s">
        <v>180</v>
      </c>
      <c r="K39" s="25"/>
      <c r="L39" s="26" t="s">
        <v>20</v>
      </c>
      <c r="M39" s="12">
        <v>44935.0</v>
      </c>
      <c r="N39" s="77" t="str">
        <f t="shared" si="1"/>
        <v>janeiro</v>
      </c>
    </row>
    <row r="40">
      <c r="A40" s="25" t="s">
        <v>181</v>
      </c>
      <c r="B40" s="59">
        <v>44935.0</v>
      </c>
      <c r="C40" s="25" t="s">
        <v>182</v>
      </c>
      <c r="D40" s="25">
        <v>5305.0</v>
      </c>
      <c r="E40" s="20" t="s">
        <v>183</v>
      </c>
      <c r="F40" s="25" t="s">
        <v>142</v>
      </c>
      <c r="G40" s="25">
        <v>7.0</v>
      </c>
      <c r="H40" s="25" t="s">
        <v>37</v>
      </c>
      <c r="I40" s="25"/>
      <c r="J40" s="25" t="s">
        <v>184</v>
      </c>
      <c r="K40" s="25"/>
      <c r="L40" s="26" t="s">
        <v>20</v>
      </c>
      <c r="M40" s="12">
        <v>44935.0</v>
      </c>
      <c r="N40" s="77" t="str">
        <f t="shared" si="1"/>
        <v>janeiro</v>
      </c>
    </row>
    <row r="41">
      <c r="A41" s="25" t="s">
        <v>185</v>
      </c>
      <c r="B41" s="59">
        <v>44935.0</v>
      </c>
      <c r="C41" s="25" t="s">
        <v>186</v>
      </c>
      <c r="D41" s="25">
        <v>6.4984129238E10</v>
      </c>
      <c r="E41" s="25" t="s">
        <v>187</v>
      </c>
      <c r="F41" s="25" t="s">
        <v>188</v>
      </c>
      <c r="G41" s="25" t="s">
        <v>189</v>
      </c>
      <c r="H41" s="25" t="s">
        <v>37</v>
      </c>
      <c r="I41" s="25"/>
      <c r="J41" s="25" t="s">
        <v>190</v>
      </c>
      <c r="K41" s="25"/>
      <c r="L41" s="26" t="s">
        <v>20</v>
      </c>
      <c r="M41" s="12">
        <v>44935.0</v>
      </c>
      <c r="N41" s="77" t="str">
        <f t="shared" si="1"/>
        <v>janeiro</v>
      </c>
    </row>
    <row r="42">
      <c r="A42" s="25" t="s">
        <v>191</v>
      </c>
      <c r="B42" s="59">
        <v>44935.0</v>
      </c>
      <c r="C42" s="25" t="s">
        <v>186</v>
      </c>
      <c r="D42" s="25">
        <v>5334.0</v>
      </c>
      <c r="E42" s="25" t="s">
        <v>187</v>
      </c>
      <c r="F42" s="25" t="s">
        <v>188</v>
      </c>
      <c r="G42" s="25">
        <v>11.0</v>
      </c>
      <c r="H42" s="25" t="s">
        <v>162</v>
      </c>
      <c r="I42" s="25"/>
      <c r="J42" s="25" t="s">
        <v>192</v>
      </c>
      <c r="K42" s="25"/>
      <c r="L42" s="26" t="s">
        <v>20</v>
      </c>
      <c r="M42" s="12">
        <v>44951.0</v>
      </c>
      <c r="N42" s="77" t="str">
        <f t="shared" si="1"/>
        <v>janeiro</v>
      </c>
    </row>
    <row r="43">
      <c r="A43" s="25" t="s">
        <v>193</v>
      </c>
      <c r="B43" s="59">
        <v>44935.0</v>
      </c>
      <c r="C43" s="25" t="s">
        <v>194</v>
      </c>
      <c r="D43" s="25">
        <v>7601.0</v>
      </c>
      <c r="E43" s="20" t="s">
        <v>195</v>
      </c>
      <c r="F43" s="25" t="s">
        <v>35</v>
      </c>
      <c r="G43" s="25" t="s">
        <v>35</v>
      </c>
      <c r="H43" s="25" t="s">
        <v>162</v>
      </c>
      <c r="I43" s="25"/>
      <c r="J43" s="25" t="s">
        <v>196</v>
      </c>
      <c r="K43" s="25"/>
      <c r="L43" s="26" t="s">
        <v>20</v>
      </c>
      <c r="M43" s="12">
        <v>45017.0</v>
      </c>
      <c r="N43" s="77" t="str">
        <f t="shared" si="1"/>
        <v>janeiro</v>
      </c>
    </row>
    <row r="44">
      <c r="A44" s="25" t="s">
        <v>197</v>
      </c>
      <c r="B44" s="59">
        <v>44935.0</v>
      </c>
      <c r="C44" s="25" t="s">
        <v>198</v>
      </c>
      <c r="D44" s="25">
        <v>2200.0</v>
      </c>
      <c r="E44" s="7" t="s">
        <v>199</v>
      </c>
      <c r="F44" s="25" t="s">
        <v>86</v>
      </c>
      <c r="G44" s="25" t="s">
        <v>200</v>
      </c>
      <c r="H44" s="25" t="s">
        <v>37</v>
      </c>
      <c r="I44" s="25"/>
      <c r="J44" s="25" t="s">
        <v>201</v>
      </c>
      <c r="K44" s="25"/>
      <c r="L44" s="26" t="s">
        <v>20</v>
      </c>
      <c r="M44" s="12">
        <v>44936.0</v>
      </c>
      <c r="N44" s="77" t="str">
        <f t="shared" si="1"/>
        <v>janeiro</v>
      </c>
    </row>
    <row r="45">
      <c r="A45" s="25" t="s">
        <v>202</v>
      </c>
      <c r="B45" s="59">
        <v>44935.0</v>
      </c>
      <c r="C45" s="25" t="s">
        <v>59</v>
      </c>
      <c r="D45" s="25">
        <v>5349.0</v>
      </c>
      <c r="E45" s="25" t="s">
        <v>60</v>
      </c>
      <c r="F45" s="25" t="s">
        <v>61</v>
      </c>
      <c r="G45" s="25" t="s">
        <v>146</v>
      </c>
      <c r="H45" s="25" t="s">
        <v>30</v>
      </c>
      <c r="I45" s="25"/>
      <c r="J45" s="25" t="s">
        <v>203</v>
      </c>
      <c r="K45" s="25"/>
      <c r="L45" s="26" t="s">
        <v>20</v>
      </c>
      <c r="M45" s="12">
        <v>45154.0</v>
      </c>
      <c r="N45" s="77" t="str">
        <f t="shared" si="1"/>
        <v>janeiro</v>
      </c>
    </row>
    <row r="46">
      <c r="A46" s="25" t="s">
        <v>204</v>
      </c>
      <c r="B46" s="59">
        <v>44935.0</v>
      </c>
      <c r="C46" s="25" t="s">
        <v>205</v>
      </c>
      <c r="D46" s="25">
        <v>6.4981619931E10</v>
      </c>
      <c r="E46" s="20" t="s">
        <v>206</v>
      </c>
      <c r="F46" s="25" t="s">
        <v>61</v>
      </c>
      <c r="G46" s="25">
        <v>356.0</v>
      </c>
      <c r="H46" s="25" t="s">
        <v>107</v>
      </c>
      <c r="I46" s="25"/>
      <c r="J46" s="25" t="s">
        <v>207</v>
      </c>
      <c r="K46" s="25"/>
      <c r="L46" s="26" t="s">
        <v>20</v>
      </c>
      <c r="M46" s="12">
        <v>44953.0</v>
      </c>
      <c r="N46" s="77" t="str">
        <f t="shared" si="1"/>
        <v>janeiro</v>
      </c>
    </row>
    <row r="47">
      <c r="A47" s="25" t="s">
        <v>208</v>
      </c>
      <c r="B47" s="59">
        <v>44935.0</v>
      </c>
      <c r="C47" s="25" t="s">
        <v>40</v>
      </c>
      <c r="D47" s="25">
        <v>3.4987004342E10</v>
      </c>
      <c r="E47" s="25" t="s">
        <v>41</v>
      </c>
      <c r="F47" s="25" t="s">
        <v>42</v>
      </c>
      <c r="G47" s="25" t="s">
        <v>209</v>
      </c>
      <c r="H47" s="25" t="s">
        <v>30</v>
      </c>
      <c r="I47" s="25"/>
      <c r="J47" s="25" t="s">
        <v>210</v>
      </c>
      <c r="K47" s="25"/>
      <c r="L47" s="26" t="s">
        <v>20</v>
      </c>
      <c r="M47" s="12">
        <v>45155.0</v>
      </c>
      <c r="N47" s="77" t="str">
        <f t="shared" si="1"/>
        <v>janeiro</v>
      </c>
    </row>
    <row r="48">
      <c r="A48" s="25" t="s">
        <v>211</v>
      </c>
      <c r="B48" s="59">
        <v>44935.0</v>
      </c>
      <c r="C48" s="25" t="s">
        <v>40</v>
      </c>
      <c r="D48" s="25">
        <v>5333.0</v>
      </c>
      <c r="E48" s="25" t="s">
        <v>41</v>
      </c>
      <c r="F48" s="25" t="s">
        <v>42</v>
      </c>
      <c r="G48" s="25" t="s">
        <v>212</v>
      </c>
      <c r="H48" s="25" t="s">
        <v>30</v>
      </c>
      <c r="I48" s="25"/>
      <c r="J48" s="25" t="s">
        <v>213</v>
      </c>
      <c r="K48" s="25"/>
      <c r="L48" s="26" t="s">
        <v>20</v>
      </c>
      <c r="M48" s="12">
        <v>44971.0</v>
      </c>
      <c r="N48" s="77" t="str">
        <f t="shared" si="1"/>
        <v>janeiro</v>
      </c>
    </row>
    <row r="49">
      <c r="A49" s="25" t="s">
        <v>214</v>
      </c>
      <c r="B49" s="59">
        <v>44935.0</v>
      </c>
      <c r="C49" s="25" t="s">
        <v>215</v>
      </c>
      <c r="D49" s="25">
        <v>5333.0</v>
      </c>
      <c r="E49" s="25" t="s">
        <v>41</v>
      </c>
      <c r="F49" s="25" t="s">
        <v>42</v>
      </c>
      <c r="G49" s="25" t="s">
        <v>216</v>
      </c>
      <c r="H49" s="25" t="s">
        <v>162</v>
      </c>
      <c r="I49" s="25"/>
      <c r="J49" s="25" t="s">
        <v>217</v>
      </c>
      <c r="K49" s="25"/>
      <c r="L49" s="26" t="s">
        <v>20</v>
      </c>
      <c r="M49" s="12">
        <v>44971.0</v>
      </c>
      <c r="N49" s="77" t="str">
        <f t="shared" si="1"/>
        <v>janeiro</v>
      </c>
    </row>
    <row r="50">
      <c r="A50" s="25" t="s">
        <v>218</v>
      </c>
      <c r="B50" s="59">
        <v>44935.0</v>
      </c>
      <c r="C50" s="25" t="s">
        <v>59</v>
      </c>
      <c r="D50" s="25">
        <v>5349.0</v>
      </c>
      <c r="E50" s="25" t="s">
        <v>60</v>
      </c>
      <c r="F50" s="25" t="s">
        <v>61</v>
      </c>
      <c r="G50" s="25" t="s">
        <v>146</v>
      </c>
      <c r="H50" s="25" t="s">
        <v>30</v>
      </c>
      <c r="I50" s="25"/>
      <c r="J50" s="25" t="s">
        <v>219</v>
      </c>
      <c r="K50" s="25"/>
      <c r="L50" s="26" t="s">
        <v>74</v>
      </c>
      <c r="M50" s="82"/>
      <c r="N50" s="77" t="str">
        <f t="shared" si="1"/>
        <v>janeiro</v>
      </c>
    </row>
    <row r="51">
      <c r="A51" s="25" t="s">
        <v>220</v>
      </c>
      <c r="B51" s="59">
        <v>44935.0</v>
      </c>
      <c r="C51" s="25" t="s">
        <v>221</v>
      </c>
      <c r="D51" s="25">
        <v>5333.0</v>
      </c>
      <c r="E51" s="25" t="s">
        <v>41</v>
      </c>
      <c r="F51" s="25" t="s">
        <v>82</v>
      </c>
      <c r="G51" s="25" t="s">
        <v>222</v>
      </c>
      <c r="H51" s="25" t="s">
        <v>162</v>
      </c>
      <c r="I51" s="25"/>
      <c r="J51" s="25" t="s">
        <v>223</v>
      </c>
      <c r="K51" s="25"/>
      <c r="L51" s="26" t="s">
        <v>20</v>
      </c>
      <c r="M51" s="12">
        <v>44993.0</v>
      </c>
      <c r="N51" s="77" t="str">
        <f t="shared" si="1"/>
        <v>janeiro</v>
      </c>
    </row>
    <row r="52">
      <c r="A52" s="25" t="s">
        <v>224</v>
      </c>
      <c r="B52" s="59">
        <v>44936.0</v>
      </c>
      <c r="C52" s="25" t="s">
        <v>225</v>
      </c>
      <c r="D52" s="25">
        <v>5365.0</v>
      </c>
      <c r="E52" s="20" t="s">
        <v>226</v>
      </c>
      <c r="F52" s="25" t="s">
        <v>61</v>
      </c>
      <c r="G52" s="25" t="s">
        <v>227</v>
      </c>
      <c r="H52" s="25" t="s">
        <v>30</v>
      </c>
      <c r="I52" s="25"/>
      <c r="J52" s="25" t="s">
        <v>228</v>
      </c>
      <c r="K52" s="25"/>
      <c r="L52" s="26" t="s">
        <v>20</v>
      </c>
      <c r="M52" s="12">
        <v>44952.0</v>
      </c>
      <c r="N52" s="77" t="str">
        <f t="shared" si="1"/>
        <v>janeiro</v>
      </c>
    </row>
    <row r="53">
      <c r="A53" s="25" t="s">
        <v>229</v>
      </c>
      <c r="B53" s="59">
        <v>44936.0</v>
      </c>
      <c r="C53" s="25" t="s">
        <v>69</v>
      </c>
      <c r="D53" s="25">
        <v>5340.0</v>
      </c>
      <c r="E53" s="25" t="s">
        <v>70</v>
      </c>
      <c r="F53" s="25" t="s">
        <v>100</v>
      </c>
      <c r="G53" s="25" t="s">
        <v>179</v>
      </c>
      <c r="H53" s="25" t="s">
        <v>37</v>
      </c>
      <c r="I53" s="25"/>
      <c r="J53" s="25" t="s">
        <v>230</v>
      </c>
      <c r="K53" s="25"/>
      <c r="L53" s="26" t="s">
        <v>20</v>
      </c>
      <c r="M53" s="12">
        <v>44936.0</v>
      </c>
      <c r="N53" s="77" t="str">
        <f t="shared" si="1"/>
        <v>janeiro</v>
      </c>
    </row>
    <row r="54">
      <c r="A54" s="25" t="s">
        <v>231</v>
      </c>
      <c r="B54" s="59">
        <v>44936.0</v>
      </c>
      <c r="C54" s="25" t="s">
        <v>232</v>
      </c>
      <c r="D54" s="25">
        <v>5340.0</v>
      </c>
      <c r="E54" s="25" t="s">
        <v>70</v>
      </c>
      <c r="F54" s="25" t="s">
        <v>86</v>
      </c>
      <c r="G54" s="25" t="s">
        <v>233</v>
      </c>
      <c r="H54" s="25" t="s">
        <v>30</v>
      </c>
      <c r="I54" s="25"/>
      <c r="J54" s="25" t="s">
        <v>234</v>
      </c>
      <c r="K54" s="25"/>
      <c r="L54" s="26" t="s">
        <v>20</v>
      </c>
      <c r="M54" s="12">
        <v>44936.0</v>
      </c>
      <c r="N54" s="77" t="str">
        <f t="shared" si="1"/>
        <v>janeiro</v>
      </c>
    </row>
    <row r="55">
      <c r="A55" s="25" t="s">
        <v>235</v>
      </c>
      <c r="B55" s="59">
        <v>44936.0</v>
      </c>
      <c r="C55" s="25" t="s">
        <v>120</v>
      </c>
      <c r="D55" s="25">
        <v>5340.0</v>
      </c>
      <c r="E55" s="25" t="s">
        <v>70</v>
      </c>
      <c r="F55" s="20" t="s">
        <v>121</v>
      </c>
      <c r="G55" s="25" t="s">
        <v>236</v>
      </c>
      <c r="H55" s="25" t="s">
        <v>37</v>
      </c>
      <c r="I55" s="25"/>
      <c r="J55" s="25" t="s">
        <v>237</v>
      </c>
      <c r="K55" s="25"/>
      <c r="L55" s="26" t="s">
        <v>20</v>
      </c>
      <c r="M55" s="12">
        <v>44935.0</v>
      </c>
      <c r="N55" s="77" t="str">
        <f t="shared" si="1"/>
        <v>janeiro</v>
      </c>
    </row>
    <row r="56">
      <c r="A56" s="25" t="s">
        <v>238</v>
      </c>
      <c r="B56" s="59">
        <v>44936.0</v>
      </c>
      <c r="C56" s="25" t="s">
        <v>120</v>
      </c>
      <c r="D56" s="25">
        <v>5340.0</v>
      </c>
      <c r="E56" s="25" t="s">
        <v>70</v>
      </c>
      <c r="F56" s="20" t="s">
        <v>121</v>
      </c>
      <c r="G56" s="25" t="s">
        <v>239</v>
      </c>
      <c r="H56" s="25" t="s">
        <v>37</v>
      </c>
      <c r="I56" s="25"/>
      <c r="J56" s="25" t="s">
        <v>240</v>
      </c>
      <c r="K56" s="25"/>
      <c r="L56" s="26" t="s">
        <v>20</v>
      </c>
      <c r="M56" s="12">
        <v>44936.0</v>
      </c>
      <c r="N56" s="77" t="str">
        <f t="shared" si="1"/>
        <v>janeiro</v>
      </c>
    </row>
    <row r="57">
      <c r="A57" s="25" t="s">
        <v>241</v>
      </c>
      <c r="B57" s="59">
        <v>44936.0</v>
      </c>
      <c r="C57" s="25" t="s">
        <v>120</v>
      </c>
      <c r="D57" s="25">
        <v>5340.0</v>
      </c>
      <c r="E57" s="25" t="s">
        <v>70</v>
      </c>
      <c r="F57" s="25" t="s">
        <v>77</v>
      </c>
      <c r="G57" s="25" t="s">
        <v>242</v>
      </c>
      <c r="H57" s="25" t="s">
        <v>30</v>
      </c>
      <c r="I57" s="25"/>
      <c r="J57" s="25" t="s">
        <v>243</v>
      </c>
      <c r="K57" s="25"/>
      <c r="L57" s="26" t="s">
        <v>20</v>
      </c>
      <c r="M57" s="12">
        <v>44936.0</v>
      </c>
      <c r="N57" s="77" t="str">
        <f t="shared" si="1"/>
        <v>janeiro</v>
      </c>
    </row>
    <row r="58">
      <c r="A58" s="25" t="s">
        <v>244</v>
      </c>
      <c r="B58" s="59">
        <v>44936.0</v>
      </c>
      <c r="C58" s="25" t="s">
        <v>245</v>
      </c>
      <c r="D58" s="25">
        <v>6.498456331E10</v>
      </c>
      <c r="E58" s="7" t="s">
        <v>246</v>
      </c>
      <c r="F58" s="25" t="s">
        <v>178</v>
      </c>
      <c r="G58" s="25" t="s">
        <v>247</v>
      </c>
      <c r="H58" s="25" t="s">
        <v>37</v>
      </c>
      <c r="I58" s="25"/>
      <c r="J58" s="25" t="s">
        <v>248</v>
      </c>
      <c r="K58" s="25"/>
      <c r="L58" s="26" t="s">
        <v>20</v>
      </c>
      <c r="M58" s="12">
        <v>44938.0</v>
      </c>
      <c r="N58" s="77" t="str">
        <f t="shared" si="1"/>
        <v>janeiro</v>
      </c>
    </row>
    <row r="59">
      <c r="A59" s="25" t="s">
        <v>249</v>
      </c>
      <c r="B59" s="59">
        <v>44936.0</v>
      </c>
      <c r="C59" s="25" t="s">
        <v>250</v>
      </c>
      <c r="D59" s="25">
        <v>3.4415322E7</v>
      </c>
      <c r="E59" s="25" t="s">
        <v>251</v>
      </c>
      <c r="F59" s="25" t="s">
        <v>61</v>
      </c>
      <c r="G59" s="25">
        <v>265.0</v>
      </c>
      <c r="H59" s="25" t="s">
        <v>30</v>
      </c>
      <c r="I59" s="25"/>
      <c r="J59" s="25" t="s">
        <v>252</v>
      </c>
      <c r="K59" s="25"/>
      <c r="L59" s="26" t="s">
        <v>20</v>
      </c>
      <c r="M59" s="12">
        <v>44953.0</v>
      </c>
      <c r="N59" s="77" t="str">
        <f t="shared" si="1"/>
        <v>janeiro</v>
      </c>
    </row>
    <row r="60">
      <c r="A60" s="25" t="s">
        <v>253</v>
      </c>
      <c r="B60" s="59">
        <v>44936.0</v>
      </c>
      <c r="C60" s="25" t="s">
        <v>76</v>
      </c>
      <c r="D60" s="25">
        <v>5340.0</v>
      </c>
      <c r="E60" s="25" t="s">
        <v>70</v>
      </c>
      <c r="F60" s="25" t="s">
        <v>100</v>
      </c>
      <c r="G60" s="25" t="s">
        <v>254</v>
      </c>
      <c r="H60" s="25" t="s">
        <v>37</v>
      </c>
      <c r="I60" s="25"/>
      <c r="J60" s="25" t="s">
        <v>255</v>
      </c>
      <c r="K60" s="25"/>
      <c r="L60" s="26" t="s">
        <v>20</v>
      </c>
      <c r="M60" s="12">
        <v>44936.0</v>
      </c>
      <c r="N60" s="77" t="str">
        <f t="shared" si="1"/>
        <v>janeiro</v>
      </c>
    </row>
    <row r="61">
      <c r="A61" s="25" t="s">
        <v>256</v>
      </c>
      <c r="B61" s="59">
        <v>44936.0</v>
      </c>
      <c r="C61" s="25" t="s">
        <v>76</v>
      </c>
      <c r="D61" s="25">
        <v>5340.0</v>
      </c>
      <c r="E61" s="25" t="s">
        <v>70</v>
      </c>
      <c r="F61" s="25" t="s">
        <v>86</v>
      </c>
      <c r="G61" s="25" t="s">
        <v>257</v>
      </c>
      <c r="H61" s="25" t="s">
        <v>79</v>
      </c>
      <c r="I61" s="25"/>
      <c r="J61" s="25" t="s">
        <v>258</v>
      </c>
      <c r="K61" s="25"/>
      <c r="L61" s="26" t="s">
        <v>20</v>
      </c>
      <c r="M61" s="12">
        <v>44936.0</v>
      </c>
      <c r="N61" s="77" t="str">
        <f t="shared" si="1"/>
        <v>janeiro</v>
      </c>
    </row>
    <row r="62">
      <c r="A62" s="25" t="s">
        <v>259</v>
      </c>
      <c r="B62" s="59">
        <v>44936.0</v>
      </c>
      <c r="C62" s="25" t="s">
        <v>260</v>
      </c>
      <c r="D62" s="25">
        <v>3.4415337E7</v>
      </c>
      <c r="E62" s="25" t="s">
        <v>261</v>
      </c>
      <c r="F62" s="20" t="s">
        <v>262</v>
      </c>
      <c r="G62" s="25" t="s">
        <v>263</v>
      </c>
      <c r="H62" s="25" t="s">
        <v>30</v>
      </c>
      <c r="I62" s="25"/>
      <c r="J62" s="25" t="s">
        <v>264</v>
      </c>
      <c r="K62" s="25"/>
      <c r="L62" s="26" t="s">
        <v>20</v>
      </c>
      <c r="M62" s="12">
        <v>44937.0</v>
      </c>
      <c r="N62" s="77" t="str">
        <f t="shared" si="1"/>
        <v>janeiro</v>
      </c>
    </row>
    <row r="63">
      <c r="A63" s="25" t="s">
        <v>265</v>
      </c>
      <c r="B63" s="59">
        <v>44937.0</v>
      </c>
      <c r="C63" s="25" t="s">
        <v>266</v>
      </c>
      <c r="D63" s="25">
        <v>5343.0</v>
      </c>
      <c r="E63" s="25" t="s">
        <v>116</v>
      </c>
      <c r="F63" s="25" t="s">
        <v>82</v>
      </c>
      <c r="G63" s="25">
        <v>11.0</v>
      </c>
      <c r="H63" s="25" t="s">
        <v>129</v>
      </c>
      <c r="I63" s="25"/>
      <c r="J63" s="25" t="s">
        <v>267</v>
      </c>
      <c r="K63" s="25"/>
      <c r="L63" s="26" t="s">
        <v>20</v>
      </c>
      <c r="M63" s="12">
        <v>44939.0</v>
      </c>
      <c r="N63" s="77" t="str">
        <f t="shared" si="1"/>
        <v>janeiro</v>
      </c>
    </row>
    <row r="64">
      <c r="A64" s="25" t="s">
        <v>268</v>
      </c>
      <c r="B64" s="59">
        <v>44937.0</v>
      </c>
      <c r="C64" s="25" t="s">
        <v>269</v>
      </c>
      <c r="D64" s="25">
        <v>5331.0</v>
      </c>
      <c r="E64" s="25" t="s">
        <v>183</v>
      </c>
      <c r="F64" s="25" t="s">
        <v>142</v>
      </c>
      <c r="G64" s="25" t="s">
        <v>270</v>
      </c>
      <c r="H64" s="25" t="s">
        <v>162</v>
      </c>
      <c r="I64" s="25"/>
      <c r="J64" s="25" t="s">
        <v>271</v>
      </c>
      <c r="K64" s="25"/>
      <c r="L64" s="26" t="s">
        <v>20</v>
      </c>
      <c r="M64" s="12">
        <v>44957.0</v>
      </c>
      <c r="N64" s="77" t="str">
        <f t="shared" si="1"/>
        <v>janeiro</v>
      </c>
    </row>
    <row r="65">
      <c r="A65" s="25" t="s">
        <v>272</v>
      </c>
      <c r="B65" s="59">
        <v>44937.0</v>
      </c>
      <c r="C65" s="25" t="s">
        <v>273</v>
      </c>
      <c r="D65" s="25">
        <v>3.4415304E7</v>
      </c>
      <c r="E65" s="25" t="s">
        <v>27</v>
      </c>
      <c r="F65" s="25" t="s">
        <v>28</v>
      </c>
      <c r="G65" s="25" t="s">
        <v>274</v>
      </c>
      <c r="H65" s="25" t="s">
        <v>162</v>
      </c>
      <c r="I65" s="25"/>
      <c r="J65" s="25" t="s">
        <v>275</v>
      </c>
      <c r="K65" s="25"/>
      <c r="L65" s="26" t="s">
        <v>20</v>
      </c>
      <c r="M65" s="12">
        <v>45184.0</v>
      </c>
      <c r="N65" s="77" t="str">
        <f t="shared" si="1"/>
        <v>janeiro</v>
      </c>
    </row>
    <row r="66">
      <c r="A66" s="25" t="s">
        <v>276</v>
      </c>
      <c r="B66" s="59">
        <v>44937.0</v>
      </c>
      <c r="C66" s="25" t="s">
        <v>26</v>
      </c>
      <c r="D66" s="25">
        <v>5304.0</v>
      </c>
      <c r="E66" s="25" t="s">
        <v>27</v>
      </c>
      <c r="F66" s="25" t="s">
        <v>28</v>
      </c>
      <c r="G66" s="25" t="s">
        <v>277</v>
      </c>
      <c r="H66" s="25" t="s">
        <v>162</v>
      </c>
      <c r="I66" s="25"/>
      <c r="J66" s="25" t="s">
        <v>278</v>
      </c>
      <c r="K66" s="25"/>
      <c r="L66" s="26" t="s">
        <v>20</v>
      </c>
      <c r="M66" s="12">
        <v>45184.0</v>
      </c>
      <c r="N66" s="77" t="str">
        <f t="shared" si="1"/>
        <v>janeiro</v>
      </c>
    </row>
    <row r="67">
      <c r="A67" s="25" t="s">
        <v>279</v>
      </c>
      <c r="B67" s="59">
        <v>44937.0</v>
      </c>
      <c r="C67" s="25" t="s">
        <v>280</v>
      </c>
      <c r="D67" s="25">
        <v>5363.0</v>
      </c>
      <c r="E67" s="25" t="s">
        <v>261</v>
      </c>
      <c r="F67" s="25" t="s">
        <v>82</v>
      </c>
      <c r="G67" s="25">
        <v>116.0</v>
      </c>
      <c r="H67" s="25" t="s">
        <v>30</v>
      </c>
      <c r="I67" s="25"/>
      <c r="J67" s="25" t="s">
        <v>281</v>
      </c>
      <c r="K67" s="25"/>
      <c r="L67" s="26" t="s">
        <v>20</v>
      </c>
      <c r="M67" s="12">
        <v>44946.0</v>
      </c>
      <c r="N67" s="77" t="str">
        <f t="shared" si="1"/>
        <v>janeiro</v>
      </c>
    </row>
    <row r="68">
      <c r="A68" s="25" t="s">
        <v>282</v>
      </c>
      <c r="B68" s="59">
        <v>44937.0</v>
      </c>
      <c r="C68" s="25" t="s">
        <v>283</v>
      </c>
      <c r="D68" s="25">
        <v>0.0</v>
      </c>
      <c r="E68" s="25" t="s">
        <v>284</v>
      </c>
      <c r="F68" s="25" t="s">
        <v>86</v>
      </c>
      <c r="G68" s="25" t="s">
        <v>285</v>
      </c>
      <c r="H68" s="25" t="s">
        <v>162</v>
      </c>
      <c r="I68" s="25"/>
      <c r="J68" s="25" t="s">
        <v>286</v>
      </c>
      <c r="K68" s="25"/>
      <c r="L68" s="26" t="s">
        <v>20</v>
      </c>
      <c r="M68" s="12">
        <v>44956.0</v>
      </c>
      <c r="N68" s="77" t="str">
        <f t="shared" si="1"/>
        <v>janeiro</v>
      </c>
    </row>
    <row r="69">
      <c r="A69" s="25" t="s">
        <v>287</v>
      </c>
      <c r="B69" s="59">
        <v>44937.0</v>
      </c>
      <c r="C69" s="25" t="s">
        <v>53</v>
      </c>
      <c r="D69" s="25">
        <v>5302.0</v>
      </c>
      <c r="E69" s="20" t="s">
        <v>288</v>
      </c>
      <c r="F69" s="25" t="s">
        <v>55</v>
      </c>
      <c r="G69" s="25" t="s">
        <v>289</v>
      </c>
      <c r="H69" s="25" t="s">
        <v>30</v>
      </c>
      <c r="I69" s="25"/>
      <c r="J69" s="25" t="s">
        <v>290</v>
      </c>
      <c r="K69" s="25"/>
      <c r="L69" s="26" t="s">
        <v>20</v>
      </c>
      <c r="M69" s="12">
        <v>45078.0</v>
      </c>
      <c r="N69" s="77" t="str">
        <f t="shared" si="1"/>
        <v>janeiro</v>
      </c>
    </row>
    <row r="70">
      <c r="A70" s="25" t="s">
        <v>291</v>
      </c>
      <c r="B70" s="59">
        <v>44937.0</v>
      </c>
      <c r="C70" s="25" t="s">
        <v>292</v>
      </c>
      <c r="D70" s="25">
        <v>5356.0</v>
      </c>
      <c r="E70" s="25" t="s">
        <v>27</v>
      </c>
      <c r="F70" s="25" t="s">
        <v>28</v>
      </c>
      <c r="G70" s="25" t="s">
        <v>293</v>
      </c>
      <c r="H70" s="25" t="s">
        <v>107</v>
      </c>
      <c r="I70" s="25"/>
      <c r="J70" s="25" t="s">
        <v>294</v>
      </c>
      <c r="K70" s="25"/>
      <c r="L70" s="26" t="s">
        <v>20</v>
      </c>
      <c r="M70" s="12">
        <v>44949.0</v>
      </c>
      <c r="N70" s="77" t="str">
        <f t="shared" si="1"/>
        <v>janeiro</v>
      </c>
    </row>
    <row r="71">
      <c r="A71" s="25" t="s">
        <v>295</v>
      </c>
      <c r="B71" s="59">
        <v>44937.0</v>
      </c>
      <c r="C71" s="25" t="s">
        <v>296</v>
      </c>
      <c r="D71" s="25">
        <v>5304.0</v>
      </c>
      <c r="E71" s="25" t="s">
        <v>27</v>
      </c>
      <c r="F71" s="25" t="s">
        <v>28</v>
      </c>
      <c r="G71" s="25" t="s">
        <v>297</v>
      </c>
      <c r="H71" s="25" t="s">
        <v>298</v>
      </c>
      <c r="I71" s="25"/>
      <c r="J71" s="25" t="s">
        <v>299</v>
      </c>
      <c r="K71" s="25"/>
      <c r="L71" s="26" t="s">
        <v>20</v>
      </c>
      <c r="M71" s="11">
        <v>45280.0</v>
      </c>
      <c r="N71" s="77" t="str">
        <f t="shared" si="1"/>
        <v>janeiro</v>
      </c>
    </row>
    <row r="72">
      <c r="A72" s="25" t="s">
        <v>300</v>
      </c>
      <c r="B72" s="59">
        <v>44937.0</v>
      </c>
      <c r="C72" s="25" t="s">
        <v>245</v>
      </c>
      <c r="D72" s="25">
        <v>6.498456331E10</v>
      </c>
      <c r="E72" s="7" t="s">
        <v>246</v>
      </c>
      <c r="F72" s="25" t="s">
        <v>178</v>
      </c>
      <c r="G72" s="25" t="s">
        <v>301</v>
      </c>
      <c r="H72" s="25" t="s">
        <v>30</v>
      </c>
      <c r="I72" s="25"/>
      <c r="J72" s="25" t="s">
        <v>302</v>
      </c>
      <c r="K72" s="25"/>
      <c r="L72" s="26" t="s">
        <v>20</v>
      </c>
      <c r="M72" s="12">
        <v>44950.0</v>
      </c>
      <c r="N72" s="77" t="str">
        <f t="shared" si="1"/>
        <v>janeiro</v>
      </c>
    </row>
    <row r="73">
      <c r="A73" s="25" t="s">
        <v>303</v>
      </c>
      <c r="B73" s="59">
        <v>44937.0</v>
      </c>
      <c r="C73" s="25" t="s">
        <v>40</v>
      </c>
      <c r="D73" s="25">
        <v>5333.0</v>
      </c>
      <c r="E73" s="25" t="s">
        <v>41</v>
      </c>
      <c r="F73" s="25" t="s">
        <v>42</v>
      </c>
      <c r="G73" s="25" t="s">
        <v>304</v>
      </c>
      <c r="H73" s="25" t="s">
        <v>30</v>
      </c>
      <c r="I73" s="25"/>
      <c r="J73" s="25" t="s">
        <v>305</v>
      </c>
      <c r="K73" s="25"/>
      <c r="L73" s="26" t="s">
        <v>20</v>
      </c>
      <c r="M73" s="12">
        <v>44953.0</v>
      </c>
      <c r="N73" s="77" t="str">
        <f t="shared" si="1"/>
        <v>janeiro</v>
      </c>
    </row>
    <row r="74">
      <c r="A74" s="25" t="s">
        <v>306</v>
      </c>
      <c r="B74" s="59">
        <v>44938.0</v>
      </c>
      <c r="C74" s="25" t="s">
        <v>307</v>
      </c>
      <c r="D74" s="25">
        <v>3.4999071369E10</v>
      </c>
      <c r="E74" s="20" t="s">
        <v>308</v>
      </c>
      <c r="F74" s="25" t="s">
        <v>61</v>
      </c>
      <c r="G74" s="25">
        <v>153.0</v>
      </c>
      <c r="H74" s="25" t="s">
        <v>37</v>
      </c>
      <c r="I74" s="25"/>
      <c r="J74" s="25" t="s">
        <v>309</v>
      </c>
      <c r="K74" s="25"/>
      <c r="L74" s="26" t="s">
        <v>20</v>
      </c>
      <c r="M74" s="12">
        <v>44942.0</v>
      </c>
      <c r="N74" s="77" t="str">
        <f t="shared" si="1"/>
        <v>janeiro</v>
      </c>
    </row>
    <row r="75">
      <c r="A75" s="25" t="s">
        <v>310</v>
      </c>
      <c r="B75" s="59">
        <v>44938.0</v>
      </c>
      <c r="C75" s="25" t="s">
        <v>307</v>
      </c>
      <c r="D75" s="25">
        <v>3.4999071369E10</v>
      </c>
      <c r="E75" s="20" t="s">
        <v>308</v>
      </c>
      <c r="F75" s="25" t="s">
        <v>61</v>
      </c>
      <c r="G75" s="25">
        <v>155.0</v>
      </c>
      <c r="H75" s="25" t="s">
        <v>37</v>
      </c>
      <c r="I75" s="25"/>
      <c r="J75" s="25" t="s">
        <v>311</v>
      </c>
      <c r="K75" s="25"/>
      <c r="L75" s="26" t="s">
        <v>20</v>
      </c>
      <c r="M75" s="12">
        <v>44942.0</v>
      </c>
      <c r="N75" s="77" t="str">
        <f t="shared" si="1"/>
        <v>janeiro</v>
      </c>
    </row>
    <row r="76">
      <c r="A76" s="25" t="s">
        <v>312</v>
      </c>
      <c r="B76" s="59">
        <v>44938.0</v>
      </c>
      <c r="C76" s="25" t="s">
        <v>120</v>
      </c>
      <c r="D76" s="25">
        <v>5340.0</v>
      </c>
      <c r="E76" s="25" t="s">
        <v>70</v>
      </c>
      <c r="F76" s="25" t="s">
        <v>313</v>
      </c>
      <c r="G76" s="25" t="s">
        <v>314</v>
      </c>
      <c r="H76" s="25" t="s">
        <v>30</v>
      </c>
      <c r="I76" s="25"/>
      <c r="J76" s="25" t="s">
        <v>315</v>
      </c>
      <c r="K76" s="25"/>
      <c r="L76" s="26" t="s">
        <v>20</v>
      </c>
      <c r="M76" s="12">
        <v>44943.0</v>
      </c>
      <c r="N76" s="77" t="str">
        <f t="shared" si="1"/>
        <v>janeiro</v>
      </c>
    </row>
    <row r="77">
      <c r="A77" s="25" t="s">
        <v>316</v>
      </c>
      <c r="B77" s="59">
        <v>44938.0</v>
      </c>
      <c r="C77" s="25" t="s">
        <v>120</v>
      </c>
      <c r="D77" s="25">
        <v>5340.0</v>
      </c>
      <c r="E77" s="25" t="s">
        <v>70</v>
      </c>
      <c r="F77" s="25" t="s">
        <v>317</v>
      </c>
      <c r="G77" s="25" t="s">
        <v>318</v>
      </c>
      <c r="H77" s="25" t="s">
        <v>30</v>
      </c>
      <c r="I77" s="25"/>
      <c r="J77" s="25" t="s">
        <v>319</v>
      </c>
      <c r="K77" s="25"/>
      <c r="L77" s="26" t="s">
        <v>20</v>
      </c>
      <c r="M77" s="12">
        <v>44937.0</v>
      </c>
      <c r="N77" s="77" t="str">
        <f t="shared" si="1"/>
        <v>janeiro</v>
      </c>
    </row>
    <row r="78">
      <c r="A78" s="25" t="s">
        <v>320</v>
      </c>
      <c r="B78" s="59">
        <v>44938.0</v>
      </c>
      <c r="C78" s="25" t="s">
        <v>321</v>
      </c>
      <c r="D78" s="25">
        <v>6.4981047171E10</v>
      </c>
      <c r="E78" s="25" t="s">
        <v>183</v>
      </c>
      <c r="F78" s="25" t="s">
        <v>142</v>
      </c>
      <c r="G78" s="25" t="s">
        <v>322</v>
      </c>
      <c r="H78" s="25" t="s">
        <v>37</v>
      </c>
      <c r="I78" s="25"/>
      <c r="J78" s="25" t="s">
        <v>323</v>
      </c>
      <c r="K78" s="25"/>
      <c r="L78" s="26" t="s">
        <v>20</v>
      </c>
      <c r="M78" s="12">
        <v>44938.0</v>
      </c>
      <c r="N78" s="77" t="str">
        <f t="shared" si="1"/>
        <v>janeiro</v>
      </c>
    </row>
    <row r="79">
      <c r="A79" s="25" t="s">
        <v>324</v>
      </c>
      <c r="B79" s="59">
        <v>44938.0</v>
      </c>
      <c r="C79" s="25" t="s">
        <v>321</v>
      </c>
      <c r="D79" s="25">
        <v>6.4981047171E10</v>
      </c>
      <c r="E79" s="25" t="s">
        <v>183</v>
      </c>
      <c r="F79" s="25" t="s">
        <v>142</v>
      </c>
      <c r="G79" s="25" t="s">
        <v>325</v>
      </c>
      <c r="H79" s="25" t="s">
        <v>30</v>
      </c>
      <c r="I79" s="25"/>
      <c r="J79" s="25" t="s">
        <v>326</v>
      </c>
      <c r="K79" s="25"/>
      <c r="L79" s="26" t="s">
        <v>20</v>
      </c>
      <c r="M79" s="12">
        <v>44959.0</v>
      </c>
      <c r="N79" s="77" t="str">
        <f t="shared" si="1"/>
        <v>janeiro</v>
      </c>
    </row>
    <row r="80">
      <c r="A80" s="25" t="s">
        <v>327</v>
      </c>
      <c r="B80" s="59">
        <v>44938.0</v>
      </c>
      <c r="C80" s="25" t="s">
        <v>328</v>
      </c>
      <c r="D80" s="25">
        <v>5311.0</v>
      </c>
      <c r="E80" s="25" t="s">
        <v>251</v>
      </c>
      <c r="F80" s="25" t="s">
        <v>100</v>
      </c>
      <c r="G80" s="25" t="s">
        <v>329</v>
      </c>
      <c r="H80" s="25" t="s">
        <v>162</v>
      </c>
      <c r="I80" s="25"/>
      <c r="J80" s="25" t="s">
        <v>330</v>
      </c>
      <c r="K80" s="25"/>
      <c r="L80" s="26" t="s">
        <v>20</v>
      </c>
      <c r="M80" s="12">
        <v>44971.0</v>
      </c>
      <c r="N80" s="77" t="str">
        <f t="shared" si="1"/>
        <v>janeiro</v>
      </c>
    </row>
    <row r="81">
      <c r="A81" s="25" t="s">
        <v>331</v>
      </c>
      <c r="B81" s="59">
        <v>44938.0</v>
      </c>
      <c r="C81" s="25" t="s">
        <v>328</v>
      </c>
      <c r="D81" s="25">
        <v>5311.0</v>
      </c>
      <c r="E81" s="25" t="s">
        <v>251</v>
      </c>
      <c r="F81" s="25" t="s">
        <v>332</v>
      </c>
      <c r="G81" s="25" t="s">
        <v>332</v>
      </c>
      <c r="H81" s="25" t="s">
        <v>30</v>
      </c>
      <c r="I81" s="25"/>
      <c r="J81" s="25" t="s">
        <v>333</v>
      </c>
      <c r="K81" s="25"/>
      <c r="L81" s="26" t="s">
        <v>20</v>
      </c>
      <c r="M81" s="12">
        <v>45156.0</v>
      </c>
      <c r="N81" s="77" t="str">
        <f t="shared" si="1"/>
        <v>janeiro</v>
      </c>
    </row>
    <row r="82">
      <c r="A82" s="25" t="s">
        <v>334</v>
      </c>
      <c r="B82" s="59">
        <v>44938.0</v>
      </c>
      <c r="C82" s="25" t="s">
        <v>335</v>
      </c>
      <c r="D82" s="25">
        <v>6.4996431506E10</v>
      </c>
      <c r="E82" s="20" t="s">
        <v>308</v>
      </c>
      <c r="F82" s="25" t="s">
        <v>61</v>
      </c>
      <c r="G82" s="25" t="s">
        <v>336</v>
      </c>
      <c r="H82" s="25" t="s">
        <v>37</v>
      </c>
      <c r="I82" s="25"/>
      <c r="J82" s="25" t="s">
        <v>337</v>
      </c>
      <c r="K82" s="25"/>
      <c r="L82" s="26" t="s">
        <v>20</v>
      </c>
      <c r="M82" s="12">
        <v>45153.0</v>
      </c>
      <c r="N82" s="77" t="str">
        <f t="shared" si="1"/>
        <v>janeiro</v>
      </c>
    </row>
    <row r="83">
      <c r="A83" s="25" t="s">
        <v>338</v>
      </c>
      <c r="B83" s="59">
        <v>44938.0</v>
      </c>
      <c r="C83" s="25" t="s">
        <v>339</v>
      </c>
      <c r="D83" s="25">
        <v>7.7999477415E10</v>
      </c>
      <c r="E83" s="25" t="s">
        <v>284</v>
      </c>
      <c r="F83" s="25" t="s">
        <v>86</v>
      </c>
      <c r="G83" s="25" t="s">
        <v>340</v>
      </c>
      <c r="H83" s="25" t="s">
        <v>37</v>
      </c>
      <c r="I83" s="25"/>
      <c r="J83" s="25" t="s">
        <v>341</v>
      </c>
      <c r="K83" s="25"/>
      <c r="L83" s="26" t="s">
        <v>20</v>
      </c>
      <c r="M83" s="12">
        <v>44942.0</v>
      </c>
      <c r="N83" s="77" t="str">
        <f t="shared" si="1"/>
        <v>janeiro</v>
      </c>
    </row>
    <row r="84">
      <c r="A84" s="25" t="s">
        <v>342</v>
      </c>
      <c r="B84" s="59">
        <v>44938.0</v>
      </c>
      <c r="C84" s="25" t="s">
        <v>339</v>
      </c>
      <c r="D84" s="25">
        <v>7.7999477415E10</v>
      </c>
      <c r="E84" s="25" t="s">
        <v>284</v>
      </c>
      <c r="F84" s="25" t="s">
        <v>86</v>
      </c>
      <c r="G84" s="25" t="s">
        <v>343</v>
      </c>
      <c r="H84" s="25" t="s">
        <v>37</v>
      </c>
      <c r="I84" s="25"/>
      <c r="J84" s="25" t="s">
        <v>344</v>
      </c>
      <c r="K84" s="25"/>
      <c r="L84" s="26" t="s">
        <v>20</v>
      </c>
      <c r="M84" s="12">
        <v>45153.0</v>
      </c>
      <c r="N84" s="77" t="str">
        <f t="shared" si="1"/>
        <v>janeiro</v>
      </c>
    </row>
    <row r="85">
      <c r="A85" s="25" t="s">
        <v>345</v>
      </c>
      <c r="B85" s="59">
        <v>44938.0</v>
      </c>
      <c r="C85" s="25" t="s">
        <v>346</v>
      </c>
      <c r="D85" s="25">
        <v>3.4415324E7</v>
      </c>
      <c r="E85" s="25" t="s">
        <v>34</v>
      </c>
      <c r="F85" s="25" t="s">
        <v>347</v>
      </c>
      <c r="G85" s="25" t="s">
        <v>348</v>
      </c>
      <c r="H85" s="25" t="s">
        <v>162</v>
      </c>
      <c r="I85" s="25"/>
      <c r="J85" s="25" t="s">
        <v>349</v>
      </c>
      <c r="K85" s="25"/>
      <c r="L85" s="26" t="s">
        <v>20</v>
      </c>
      <c r="M85" s="12">
        <v>44973.0</v>
      </c>
      <c r="N85" s="77" t="str">
        <f t="shared" si="1"/>
        <v>janeiro</v>
      </c>
    </row>
    <row r="86">
      <c r="A86" s="25" t="s">
        <v>350</v>
      </c>
      <c r="B86" s="59">
        <v>44938.0</v>
      </c>
      <c r="C86" s="25" t="s">
        <v>307</v>
      </c>
      <c r="D86" s="25">
        <v>3.4999071369E10</v>
      </c>
      <c r="E86" s="20" t="s">
        <v>308</v>
      </c>
      <c r="F86" s="25" t="s">
        <v>188</v>
      </c>
      <c r="G86" s="25" t="s">
        <v>351</v>
      </c>
      <c r="H86" s="25" t="s">
        <v>37</v>
      </c>
      <c r="I86" s="25"/>
      <c r="J86" s="25" t="s">
        <v>352</v>
      </c>
      <c r="K86" s="25"/>
      <c r="L86" s="26" t="s">
        <v>20</v>
      </c>
      <c r="M86" s="12">
        <v>45153.0</v>
      </c>
      <c r="N86" s="77" t="str">
        <f t="shared" si="1"/>
        <v>janeiro</v>
      </c>
    </row>
    <row r="87">
      <c r="A87" s="25" t="s">
        <v>353</v>
      </c>
      <c r="B87" s="59">
        <v>44938.0</v>
      </c>
      <c r="C87" s="25" t="s">
        <v>354</v>
      </c>
      <c r="D87" s="25">
        <v>5365.0</v>
      </c>
      <c r="E87" s="20" t="s">
        <v>226</v>
      </c>
      <c r="F87" s="25" t="s">
        <v>61</v>
      </c>
      <c r="G87" s="25" t="s">
        <v>355</v>
      </c>
      <c r="H87" s="25" t="s">
        <v>30</v>
      </c>
      <c r="I87" s="25"/>
      <c r="J87" s="25" t="s">
        <v>356</v>
      </c>
      <c r="K87" s="25"/>
      <c r="L87" s="26" t="s">
        <v>20</v>
      </c>
      <c r="M87" s="12">
        <v>44950.0</v>
      </c>
      <c r="N87" s="77" t="str">
        <f t="shared" si="1"/>
        <v>janeiro</v>
      </c>
    </row>
    <row r="88">
      <c r="A88" s="25" t="s">
        <v>357</v>
      </c>
      <c r="B88" s="59">
        <v>44938.0</v>
      </c>
      <c r="C88" s="25" t="s">
        <v>339</v>
      </c>
      <c r="D88" s="25">
        <v>7.7999477415E10</v>
      </c>
      <c r="E88" s="25" t="s">
        <v>284</v>
      </c>
      <c r="F88" s="25" t="s">
        <v>86</v>
      </c>
      <c r="G88" s="25" t="s">
        <v>358</v>
      </c>
      <c r="H88" s="25" t="s">
        <v>37</v>
      </c>
      <c r="I88" s="25"/>
      <c r="J88" s="25" t="s">
        <v>359</v>
      </c>
      <c r="K88" s="25"/>
      <c r="L88" s="26" t="s">
        <v>20</v>
      </c>
      <c r="M88" s="12">
        <v>44942.0</v>
      </c>
      <c r="N88" s="77" t="str">
        <f t="shared" si="1"/>
        <v>janeiro</v>
      </c>
    </row>
    <row r="89">
      <c r="A89" s="25" t="s">
        <v>360</v>
      </c>
      <c r="B89" s="83">
        <v>44939.0</v>
      </c>
      <c r="C89" s="25" t="s">
        <v>69</v>
      </c>
      <c r="D89" s="25">
        <v>5340.0</v>
      </c>
      <c r="E89" s="25" t="s">
        <v>70</v>
      </c>
      <c r="F89" s="25" t="s">
        <v>313</v>
      </c>
      <c r="G89" s="25" t="s">
        <v>179</v>
      </c>
      <c r="H89" s="25" t="s">
        <v>79</v>
      </c>
      <c r="I89" s="25"/>
      <c r="J89" s="25" t="s">
        <v>361</v>
      </c>
      <c r="K89" s="25"/>
      <c r="L89" s="26" t="s">
        <v>20</v>
      </c>
      <c r="M89" s="12">
        <v>44951.0</v>
      </c>
      <c r="N89" s="77" t="str">
        <f t="shared" si="1"/>
        <v>janeiro</v>
      </c>
    </row>
    <row r="90">
      <c r="A90" s="25" t="s">
        <v>362</v>
      </c>
      <c r="B90" s="83">
        <v>44939.0</v>
      </c>
      <c r="C90" s="25" t="s">
        <v>363</v>
      </c>
      <c r="D90" s="25">
        <v>7601.0</v>
      </c>
      <c r="E90" s="25" t="s">
        <v>195</v>
      </c>
      <c r="F90" s="25" t="s">
        <v>35</v>
      </c>
      <c r="G90" s="25" t="s">
        <v>364</v>
      </c>
      <c r="H90" s="25" t="s">
        <v>37</v>
      </c>
      <c r="I90" s="25"/>
      <c r="J90" s="25" t="s">
        <v>365</v>
      </c>
      <c r="K90" s="25"/>
      <c r="L90" s="26" t="s">
        <v>20</v>
      </c>
      <c r="M90" s="12">
        <v>44944.0</v>
      </c>
      <c r="N90" s="77" t="str">
        <f t="shared" si="1"/>
        <v>janeiro</v>
      </c>
    </row>
    <row r="91">
      <c r="A91" s="65" t="s">
        <v>366</v>
      </c>
      <c r="B91" s="84">
        <v>44939.0</v>
      </c>
      <c r="C91" s="65" t="s">
        <v>182</v>
      </c>
      <c r="D91" s="65">
        <v>5305.0</v>
      </c>
      <c r="E91" s="25" t="s">
        <v>183</v>
      </c>
      <c r="F91" s="65" t="s">
        <v>367</v>
      </c>
      <c r="G91" s="65" t="s">
        <v>247</v>
      </c>
      <c r="H91" s="25" t="s">
        <v>30</v>
      </c>
      <c r="I91" s="65"/>
      <c r="J91" s="65" t="s">
        <v>368</v>
      </c>
      <c r="K91" s="81"/>
      <c r="L91" s="79" t="s">
        <v>20</v>
      </c>
      <c r="M91" s="80">
        <v>45288.0</v>
      </c>
      <c r="N91" s="77" t="str">
        <f t="shared" si="1"/>
        <v>janeiro</v>
      </c>
    </row>
    <row r="92">
      <c r="A92" s="25" t="s">
        <v>369</v>
      </c>
      <c r="B92" s="83">
        <v>44939.0</v>
      </c>
      <c r="C92" s="25" t="s">
        <v>370</v>
      </c>
      <c r="D92" s="25">
        <v>6.434415306E9</v>
      </c>
      <c r="E92" s="25" t="s">
        <v>371</v>
      </c>
      <c r="F92" s="25" t="s">
        <v>49</v>
      </c>
      <c r="G92" s="25" t="s">
        <v>372</v>
      </c>
      <c r="H92" s="25" t="s">
        <v>37</v>
      </c>
      <c r="I92" s="25"/>
      <c r="J92" s="25" t="s">
        <v>373</v>
      </c>
      <c r="K92" s="25"/>
      <c r="L92" s="26" t="s">
        <v>20</v>
      </c>
      <c r="M92" s="12">
        <v>44945.0</v>
      </c>
      <c r="N92" s="77" t="str">
        <f t="shared" si="1"/>
        <v>janeiro</v>
      </c>
    </row>
    <row r="93">
      <c r="A93" s="25" t="s">
        <v>374</v>
      </c>
      <c r="B93" s="83">
        <v>44939.0</v>
      </c>
      <c r="C93" s="25" t="s">
        <v>370</v>
      </c>
      <c r="D93" s="25">
        <v>6.434415306E9</v>
      </c>
      <c r="E93" s="25" t="s">
        <v>371</v>
      </c>
      <c r="F93" s="25" t="s">
        <v>49</v>
      </c>
      <c r="G93" s="25" t="s">
        <v>375</v>
      </c>
      <c r="H93" s="25" t="s">
        <v>18</v>
      </c>
      <c r="I93" s="25"/>
      <c r="J93" s="25" t="s">
        <v>376</v>
      </c>
      <c r="K93" s="25"/>
      <c r="L93" s="26" t="s">
        <v>20</v>
      </c>
      <c r="M93" s="12">
        <v>44943.0</v>
      </c>
      <c r="N93" s="77" t="str">
        <f t="shared" si="1"/>
        <v>janeiro</v>
      </c>
    </row>
    <row r="94">
      <c r="A94" s="25" t="s">
        <v>377</v>
      </c>
      <c r="B94" s="83">
        <v>44939.0</v>
      </c>
      <c r="C94" s="25" t="s">
        <v>76</v>
      </c>
      <c r="D94" s="25">
        <v>5340.0</v>
      </c>
      <c r="E94" s="25" t="s">
        <v>70</v>
      </c>
      <c r="F94" s="25" t="s">
        <v>49</v>
      </c>
      <c r="G94" s="25" t="s">
        <v>49</v>
      </c>
      <c r="H94" s="25" t="s">
        <v>79</v>
      </c>
      <c r="I94" s="25"/>
      <c r="J94" s="25" t="s">
        <v>378</v>
      </c>
      <c r="K94" s="25"/>
      <c r="L94" s="26" t="s">
        <v>20</v>
      </c>
      <c r="M94" s="12">
        <v>44939.0</v>
      </c>
      <c r="N94" s="77" t="str">
        <f t="shared" si="1"/>
        <v>janeiro</v>
      </c>
    </row>
    <row r="95">
      <c r="A95" s="25" t="s">
        <v>379</v>
      </c>
      <c r="B95" s="83">
        <v>44939.0</v>
      </c>
      <c r="C95" s="25" t="s">
        <v>76</v>
      </c>
      <c r="D95" s="25">
        <v>5340.0</v>
      </c>
      <c r="E95" s="25" t="s">
        <v>70</v>
      </c>
      <c r="F95" s="25" t="s">
        <v>142</v>
      </c>
      <c r="G95" s="25" t="s">
        <v>380</v>
      </c>
      <c r="H95" s="25" t="s">
        <v>37</v>
      </c>
      <c r="I95" s="25"/>
      <c r="J95" s="25" t="s">
        <v>381</v>
      </c>
      <c r="K95" s="25"/>
      <c r="L95" s="26" t="s">
        <v>20</v>
      </c>
      <c r="M95" s="12">
        <v>44939.0</v>
      </c>
      <c r="N95" s="77" t="str">
        <f t="shared" si="1"/>
        <v>janeiro</v>
      </c>
    </row>
    <row r="96">
      <c r="A96" s="25" t="s">
        <v>382</v>
      </c>
      <c r="B96" s="83">
        <v>44939.0</v>
      </c>
      <c r="C96" s="25" t="s">
        <v>383</v>
      </c>
      <c r="D96" s="25">
        <v>0.0</v>
      </c>
      <c r="E96" s="25" t="s">
        <v>195</v>
      </c>
      <c r="F96" s="25" t="s">
        <v>35</v>
      </c>
      <c r="G96" s="25" t="s">
        <v>384</v>
      </c>
      <c r="H96" s="25" t="s">
        <v>162</v>
      </c>
      <c r="I96" s="25"/>
      <c r="J96" s="25" t="s">
        <v>385</v>
      </c>
      <c r="K96" s="25"/>
      <c r="L96" s="26" t="s">
        <v>20</v>
      </c>
      <c r="M96" s="12">
        <v>45153.0</v>
      </c>
      <c r="N96" s="77" t="str">
        <f t="shared" si="1"/>
        <v>janeiro</v>
      </c>
    </row>
    <row r="97">
      <c r="A97" s="25" t="s">
        <v>386</v>
      </c>
      <c r="B97" s="83">
        <v>44942.0</v>
      </c>
      <c r="C97" s="25" t="s">
        <v>215</v>
      </c>
      <c r="D97" s="25">
        <v>5333.0</v>
      </c>
      <c r="E97" s="25" t="s">
        <v>41</v>
      </c>
      <c r="F97" s="25" t="s">
        <v>42</v>
      </c>
      <c r="G97" s="25" t="s">
        <v>387</v>
      </c>
      <c r="H97" s="25" t="s">
        <v>162</v>
      </c>
      <c r="I97" s="25"/>
      <c r="J97" s="25" t="s">
        <v>388</v>
      </c>
      <c r="K97" s="25"/>
      <c r="L97" s="26" t="s">
        <v>20</v>
      </c>
      <c r="M97" s="12">
        <v>44956.0</v>
      </c>
      <c r="N97" s="77" t="str">
        <f t="shared" si="1"/>
        <v>janeiro</v>
      </c>
    </row>
    <row r="98">
      <c r="A98" s="25" t="s">
        <v>389</v>
      </c>
      <c r="B98" s="83">
        <v>44942.0</v>
      </c>
      <c r="C98" s="25" t="s">
        <v>354</v>
      </c>
      <c r="D98" s="25">
        <v>5323.0</v>
      </c>
      <c r="E98" s="25" t="s">
        <v>251</v>
      </c>
      <c r="F98" s="25" t="s">
        <v>100</v>
      </c>
      <c r="G98" s="25" t="s">
        <v>390</v>
      </c>
      <c r="H98" s="25" t="s">
        <v>30</v>
      </c>
      <c r="I98" s="25"/>
      <c r="J98" s="25" t="s">
        <v>391</v>
      </c>
      <c r="K98" s="25"/>
      <c r="L98" s="26" t="s">
        <v>20</v>
      </c>
      <c r="M98" s="12">
        <v>44942.0</v>
      </c>
      <c r="N98" s="77" t="str">
        <f t="shared" si="1"/>
        <v>janeiro</v>
      </c>
    </row>
    <row r="99">
      <c r="A99" s="25" t="s">
        <v>392</v>
      </c>
      <c r="B99" s="83">
        <v>44942.0</v>
      </c>
      <c r="C99" s="25" t="s">
        <v>69</v>
      </c>
      <c r="D99" s="25">
        <v>5340.0</v>
      </c>
      <c r="E99" s="25" t="s">
        <v>70</v>
      </c>
      <c r="F99" s="25" t="s">
        <v>393</v>
      </c>
      <c r="G99" s="25" t="s">
        <v>179</v>
      </c>
      <c r="H99" s="25" t="s">
        <v>79</v>
      </c>
      <c r="I99" s="25"/>
      <c r="J99" s="25" t="s">
        <v>394</v>
      </c>
      <c r="K99" s="25"/>
      <c r="L99" s="26" t="s">
        <v>20</v>
      </c>
      <c r="M99" s="12">
        <v>44942.0</v>
      </c>
      <c r="N99" s="77" t="str">
        <f t="shared" si="1"/>
        <v>janeiro</v>
      </c>
    </row>
    <row r="100">
      <c r="A100" s="25" t="s">
        <v>395</v>
      </c>
      <c r="B100" s="83">
        <v>44942.0</v>
      </c>
      <c r="C100" s="25" t="s">
        <v>307</v>
      </c>
      <c r="D100" s="25">
        <v>3.4999071369E10</v>
      </c>
      <c r="E100" s="20" t="s">
        <v>308</v>
      </c>
      <c r="F100" s="25" t="s">
        <v>188</v>
      </c>
      <c r="G100" s="25" t="s">
        <v>396</v>
      </c>
      <c r="H100" s="25" t="s">
        <v>30</v>
      </c>
      <c r="I100" s="25"/>
      <c r="J100" s="25" t="s">
        <v>397</v>
      </c>
      <c r="K100" s="25"/>
      <c r="L100" s="26" t="s">
        <v>20</v>
      </c>
      <c r="M100" s="12">
        <v>44949.0</v>
      </c>
      <c r="N100" s="77" t="str">
        <f t="shared" si="1"/>
        <v>janeiro</v>
      </c>
    </row>
    <row r="101">
      <c r="A101" s="25" t="s">
        <v>398</v>
      </c>
      <c r="B101" s="83">
        <v>44942.0</v>
      </c>
      <c r="C101" s="25" t="s">
        <v>69</v>
      </c>
      <c r="D101" s="25">
        <v>5340.0</v>
      </c>
      <c r="E101" s="25" t="s">
        <v>70</v>
      </c>
      <c r="F101" s="25" t="s">
        <v>313</v>
      </c>
      <c r="G101" s="25" t="s">
        <v>399</v>
      </c>
      <c r="H101" s="25" t="s">
        <v>30</v>
      </c>
      <c r="I101" s="25"/>
      <c r="J101" s="25" t="s">
        <v>400</v>
      </c>
      <c r="K101" s="25"/>
      <c r="L101" s="26" t="s">
        <v>20</v>
      </c>
      <c r="M101" s="12">
        <v>44949.0</v>
      </c>
      <c r="N101" s="77" t="str">
        <f t="shared" si="1"/>
        <v>janeiro</v>
      </c>
    </row>
    <row r="102">
      <c r="A102" s="25" t="s">
        <v>401</v>
      </c>
      <c r="B102" s="83">
        <v>44942.0</v>
      </c>
      <c r="C102" s="25" t="s">
        <v>205</v>
      </c>
      <c r="D102" s="25">
        <v>5316.0</v>
      </c>
      <c r="E102" s="20" t="s">
        <v>206</v>
      </c>
      <c r="F102" s="25" t="s">
        <v>61</v>
      </c>
      <c r="G102" s="25" t="s">
        <v>402</v>
      </c>
      <c r="H102" s="25" t="s">
        <v>79</v>
      </c>
      <c r="I102" s="25"/>
      <c r="J102" s="25" t="s">
        <v>403</v>
      </c>
      <c r="K102" s="25"/>
      <c r="L102" s="26" t="s">
        <v>20</v>
      </c>
      <c r="M102" s="12">
        <v>44942.0</v>
      </c>
      <c r="N102" s="77" t="str">
        <f t="shared" si="1"/>
        <v>janeiro</v>
      </c>
    </row>
    <row r="103">
      <c r="A103" s="25" t="s">
        <v>404</v>
      </c>
      <c r="B103" s="83">
        <v>44942.0</v>
      </c>
      <c r="C103" s="25" t="s">
        <v>405</v>
      </c>
      <c r="D103" s="25">
        <v>5320.0</v>
      </c>
      <c r="E103" s="20" t="s">
        <v>206</v>
      </c>
      <c r="F103" s="25" t="s">
        <v>61</v>
      </c>
      <c r="G103" s="25" t="s">
        <v>406</v>
      </c>
      <c r="H103" s="25" t="s">
        <v>79</v>
      </c>
      <c r="I103" s="25"/>
      <c r="J103" s="25" t="s">
        <v>407</v>
      </c>
      <c r="K103" s="25"/>
      <c r="L103" s="26" t="s">
        <v>20</v>
      </c>
      <c r="M103" s="12">
        <v>44942.0</v>
      </c>
      <c r="N103" s="77" t="str">
        <f t="shared" si="1"/>
        <v>janeiro</v>
      </c>
    </row>
    <row r="104">
      <c r="A104" s="25" t="s">
        <v>408</v>
      </c>
      <c r="B104" s="83">
        <v>44942.0</v>
      </c>
      <c r="C104" s="25" t="s">
        <v>215</v>
      </c>
      <c r="D104" s="25">
        <v>5333.0</v>
      </c>
      <c r="E104" s="25" t="s">
        <v>41</v>
      </c>
      <c r="F104" s="25" t="s">
        <v>42</v>
      </c>
      <c r="G104" s="25" t="s">
        <v>409</v>
      </c>
      <c r="H104" s="25" t="s">
        <v>162</v>
      </c>
      <c r="I104" s="25"/>
      <c r="J104" s="25" t="s">
        <v>410</v>
      </c>
      <c r="K104" s="25"/>
      <c r="L104" s="26" t="s">
        <v>20</v>
      </c>
      <c r="M104" s="12">
        <v>44946.0</v>
      </c>
      <c r="N104" s="77" t="str">
        <f t="shared" si="1"/>
        <v>janeiro</v>
      </c>
    </row>
    <row r="105">
      <c r="A105" s="25" t="s">
        <v>411</v>
      </c>
      <c r="B105" s="83">
        <v>44942.0</v>
      </c>
      <c r="C105" s="25" t="s">
        <v>215</v>
      </c>
      <c r="D105" s="25">
        <v>5333.0</v>
      </c>
      <c r="E105" s="25" t="s">
        <v>41</v>
      </c>
      <c r="F105" s="25" t="s">
        <v>42</v>
      </c>
      <c r="G105" s="25" t="s">
        <v>412</v>
      </c>
      <c r="H105" s="25" t="s">
        <v>79</v>
      </c>
      <c r="I105" s="25"/>
      <c r="J105" s="25" t="s">
        <v>413</v>
      </c>
      <c r="K105" s="25"/>
      <c r="L105" s="26" t="s">
        <v>20</v>
      </c>
      <c r="M105" s="12">
        <v>44946.0</v>
      </c>
      <c r="N105" s="77" t="str">
        <f t="shared" si="1"/>
        <v>janeiro</v>
      </c>
    </row>
    <row r="106">
      <c r="A106" s="25" t="s">
        <v>414</v>
      </c>
      <c r="B106" s="83">
        <v>44942.0</v>
      </c>
      <c r="C106" s="25" t="s">
        <v>307</v>
      </c>
      <c r="D106" s="25">
        <v>3.4999071369E10</v>
      </c>
      <c r="E106" s="20" t="s">
        <v>308</v>
      </c>
      <c r="F106" s="25" t="s">
        <v>61</v>
      </c>
      <c r="G106" s="25">
        <v>153.0</v>
      </c>
      <c r="H106" s="25" t="s">
        <v>37</v>
      </c>
      <c r="I106" s="25"/>
      <c r="J106" s="25" t="s">
        <v>415</v>
      </c>
      <c r="K106" s="25"/>
      <c r="L106" s="26" t="s">
        <v>20</v>
      </c>
      <c r="M106" s="12">
        <v>45153.0</v>
      </c>
      <c r="N106" s="77" t="str">
        <f t="shared" si="1"/>
        <v>janeiro</v>
      </c>
    </row>
    <row r="107">
      <c r="A107" s="25" t="s">
        <v>416</v>
      </c>
      <c r="B107" s="83">
        <v>44943.0</v>
      </c>
      <c r="C107" s="25" t="s">
        <v>245</v>
      </c>
      <c r="D107" s="25">
        <v>6.498456331E10</v>
      </c>
      <c r="E107" s="7" t="s">
        <v>246</v>
      </c>
      <c r="F107" s="25" t="s">
        <v>178</v>
      </c>
      <c r="G107" s="25" t="s">
        <v>247</v>
      </c>
      <c r="H107" s="25" t="s">
        <v>18</v>
      </c>
      <c r="I107" s="25"/>
      <c r="J107" s="25" t="s">
        <v>417</v>
      </c>
      <c r="K107" s="25"/>
      <c r="L107" s="26" t="s">
        <v>20</v>
      </c>
      <c r="M107" s="12">
        <v>44946.0</v>
      </c>
      <c r="N107" s="77" t="str">
        <f t="shared" si="1"/>
        <v>janeiro</v>
      </c>
    </row>
    <row r="108">
      <c r="A108" s="25" t="s">
        <v>418</v>
      </c>
      <c r="B108" s="59">
        <v>44943.0</v>
      </c>
      <c r="C108" s="25" t="s">
        <v>53</v>
      </c>
      <c r="D108" s="25">
        <v>5302.0</v>
      </c>
      <c r="E108" s="20" t="s">
        <v>288</v>
      </c>
      <c r="F108" s="25" t="s">
        <v>55</v>
      </c>
      <c r="G108" s="25" t="s">
        <v>419</v>
      </c>
      <c r="H108" s="25" t="s">
        <v>30</v>
      </c>
      <c r="I108" s="25"/>
      <c r="J108" s="25" t="s">
        <v>420</v>
      </c>
      <c r="K108" s="25"/>
      <c r="L108" s="26" t="s">
        <v>20</v>
      </c>
      <c r="M108" s="12">
        <v>44945.0</v>
      </c>
      <c r="N108" s="77" t="str">
        <f t="shared" si="1"/>
        <v>janeiro</v>
      </c>
    </row>
    <row r="109">
      <c r="A109" s="25" t="s">
        <v>421</v>
      </c>
      <c r="B109" s="59">
        <v>44943.0</v>
      </c>
      <c r="C109" s="25" t="s">
        <v>422</v>
      </c>
      <c r="D109" s="25">
        <v>4356.0</v>
      </c>
      <c r="E109" s="25" t="s">
        <v>423</v>
      </c>
      <c r="F109" s="25" t="s">
        <v>82</v>
      </c>
      <c r="G109" s="25" t="s">
        <v>424</v>
      </c>
      <c r="H109" s="25" t="s">
        <v>37</v>
      </c>
      <c r="I109" s="25"/>
      <c r="J109" s="25" t="s">
        <v>425</v>
      </c>
      <c r="K109" s="25"/>
      <c r="L109" s="26" t="s">
        <v>20</v>
      </c>
      <c r="M109" s="12">
        <v>44944.0</v>
      </c>
      <c r="N109" s="77" t="str">
        <f t="shared" si="1"/>
        <v>janeiro</v>
      </c>
    </row>
    <row r="110">
      <c r="A110" s="25" t="s">
        <v>426</v>
      </c>
      <c r="B110" s="59">
        <v>44944.0</v>
      </c>
      <c r="C110" s="25" t="s">
        <v>427</v>
      </c>
      <c r="D110" s="25">
        <v>5337.0</v>
      </c>
      <c r="E110" s="25" t="s">
        <v>262</v>
      </c>
      <c r="F110" s="25" t="s">
        <v>428</v>
      </c>
      <c r="G110" s="25" t="s">
        <v>429</v>
      </c>
      <c r="H110" s="25" t="s">
        <v>79</v>
      </c>
      <c r="I110" s="25"/>
      <c r="J110" s="25" t="s">
        <v>430</v>
      </c>
      <c r="K110" s="25"/>
      <c r="L110" s="26" t="s">
        <v>20</v>
      </c>
      <c r="M110" s="12">
        <v>44950.0</v>
      </c>
      <c r="N110" s="77" t="str">
        <f t="shared" si="1"/>
        <v>janeiro</v>
      </c>
    </row>
    <row r="111">
      <c r="A111" s="25" t="s">
        <v>431</v>
      </c>
      <c r="B111" s="59">
        <v>44944.0</v>
      </c>
      <c r="C111" s="25" t="s">
        <v>432</v>
      </c>
      <c r="D111" s="25">
        <v>9.81321757E8</v>
      </c>
      <c r="E111" s="25" t="s">
        <v>187</v>
      </c>
      <c r="F111" s="25" t="s">
        <v>347</v>
      </c>
      <c r="G111" s="25" t="s">
        <v>433</v>
      </c>
      <c r="H111" s="25" t="s">
        <v>37</v>
      </c>
      <c r="I111" s="25"/>
      <c r="J111" s="25" t="s">
        <v>434</v>
      </c>
      <c r="K111" s="25"/>
      <c r="L111" s="26" t="s">
        <v>20</v>
      </c>
      <c r="M111" s="12">
        <v>45153.0</v>
      </c>
      <c r="N111" s="77" t="str">
        <f t="shared" si="1"/>
        <v>janeiro</v>
      </c>
    </row>
    <row r="112">
      <c r="A112" s="25" t="s">
        <v>435</v>
      </c>
      <c r="B112" s="59">
        <v>44944.0</v>
      </c>
      <c r="C112" s="25" t="s">
        <v>436</v>
      </c>
      <c r="D112" s="25">
        <v>5338.0</v>
      </c>
      <c r="E112" s="25" t="s">
        <v>41</v>
      </c>
      <c r="F112" s="25" t="s">
        <v>90</v>
      </c>
      <c r="G112" s="25" t="s">
        <v>437</v>
      </c>
      <c r="H112" s="25" t="s">
        <v>79</v>
      </c>
      <c r="I112" s="25"/>
      <c r="J112" s="25" t="s">
        <v>438</v>
      </c>
      <c r="K112" s="25"/>
      <c r="L112" s="26" t="s">
        <v>20</v>
      </c>
      <c r="M112" s="12">
        <v>44944.0</v>
      </c>
      <c r="N112" s="77" t="str">
        <f t="shared" si="1"/>
        <v>janeiro</v>
      </c>
    </row>
    <row r="113">
      <c r="A113" s="25" t="s">
        <v>439</v>
      </c>
      <c r="B113" s="59">
        <v>44944.0</v>
      </c>
      <c r="C113" s="25" t="s">
        <v>440</v>
      </c>
      <c r="D113" s="25">
        <v>5337.0</v>
      </c>
      <c r="E113" s="25" t="s">
        <v>262</v>
      </c>
      <c r="F113" s="20" t="s">
        <v>262</v>
      </c>
      <c r="G113" s="25" t="s">
        <v>441</v>
      </c>
      <c r="H113" s="25" t="s">
        <v>30</v>
      </c>
      <c r="I113" s="25"/>
      <c r="J113" s="25" t="s">
        <v>442</v>
      </c>
      <c r="K113" s="25"/>
      <c r="L113" s="26" t="s">
        <v>20</v>
      </c>
      <c r="M113" s="12">
        <v>44950.0</v>
      </c>
      <c r="N113" s="77" t="str">
        <f t="shared" si="1"/>
        <v>janeiro</v>
      </c>
    </row>
    <row r="114">
      <c r="A114" s="25" t="s">
        <v>443</v>
      </c>
      <c r="B114" s="59">
        <v>44944.0</v>
      </c>
      <c r="C114" s="25" t="s">
        <v>440</v>
      </c>
      <c r="D114" s="25">
        <v>5337.0</v>
      </c>
      <c r="E114" s="25" t="s">
        <v>262</v>
      </c>
      <c r="F114" s="20" t="s">
        <v>262</v>
      </c>
      <c r="G114" s="25" t="s">
        <v>441</v>
      </c>
      <c r="H114" s="25" t="s">
        <v>30</v>
      </c>
      <c r="I114" s="25"/>
      <c r="J114" s="25" t="s">
        <v>444</v>
      </c>
      <c r="K114" s="25"/>
      <c r="L114" s="26" t="s">
        <v>20</v>
      </c>
      <c r="M114" s="12">
        <v>44951.0</v>
      </c>
      <c r="N114" s="77" t="str">
        <f t="shared" si="1"/>
        <v>janeiro</v>
      </c>
    </row>
    <row r="115">
      <c r="A115" s="25" t="s">
        <v>445</v>
      </c>
      <c r="B115" s="59">
        <v>44944.0</v>
      </c>
      <c r="C115" s="25" t="s">
        <v>446</v>
      </c>
      <c r="D115" s="25">
        <v>5312.0</v>
      </c>
      <c r="E115" s="25" t="s">
        <v>447</v>
      </c>
      <c r="F115" s="25" t="s">
        <v>82</v>
      </c>
      <c r="G115" s="25" t="s">
        <v>448</v>
      </c>
      <c r="H115" s="25" t="s">
        <v>37</v>
      </c>
      <c r="I115" s="25"/>
      <c r="J115" s="25" t="s">
        <v>449</v>
      </c>
      <c r="K115" s="25"/>
      <c r="L115" s="26" t="s">
        <v>20</v>
      </c>
      <c r="M115" s="12">
        <v>44994.0</v>
      </c>
      <c r="N115" s="77" t="str">
        <f t="shared" si="1"/>
        <v>janeiro</v>
      </c>
    </row>
    <row r="116">
      <c r="A116" s="25" t="s">
        <v>450</v>
      </c>
      <c r="B116" s="59">
        <v>44944.0</v>
      </c>
      <c r="C116" s="25" t="s">
        <v>451</v>
      </c>
      <c r="D116" s="25">
        <v>5304.0</v>
      </c>
      <c r="E116" s="25" t="s">
        <v>27</v>
      </c>
      <c r="F116" s="25" t="s">
        <v>28</v>
      </c>
      <c r="G116" s="25" t="s">
        <v>452</v>
      </c>
      <c r="H116" s="25" t="s">
        <v>30</v>
      </c>
      <c r="I116" s="25"/>
      <c r="J116" s="25" t="s">
        <v>453</v>
      </c>
      <c r="K116" s="25"/>
      <c r="L116" s="26" t="s">
        <v>454</v>
      </c>
      <c r="M116" s="12">
        <v>44944.0</v>
      </c>
      <c r="N116" s="77" t="str">
        <f t="shared" si="1"/>
        <v>janeiro</v>
      </c>
    </row>
    <row r="117">
      <c r="A117" s="25" t="s">
        <v>455</v>
      </c>
      <c r="B117" s="59">
        <v>44944.0</v>
      </c>
      <c r="C117" s="25" t="s">
        <v>456</v>
      </c>
      <c r="D117" s="25">
        <v>3.4999071369E10</v>
      </c>
      <c r="E117" s="20" t="s">
        <v>308</v>
      </c>
      <c r="F117" s="25" t="s">
        <v>188</v>
      </c>
      <c r="G117" s="25" t="s">
        <v>457</v>
      </c>
      <c r="H117" s="25" t="s">
        <v>37</v>
      </c>
      <c r="I117" s="25"/>
      <c r="J117" s="25" t="s">
        <v>458</v>
      </c>
      <c r="K117" s="25"/>
      <c r="L117" s="26" t="s">
        <v>20</v>
      </c>
      <c r="M117" s="12">
        <v>45153.0</v>
      </c>
      <c r="N117" s="77" t="str">
        <f t="shared" si="1"/>
        <v>janeiro</v>
      </c>
    </row>
    <row r="118">
      <c r="A118" s="25" t="s">
        <v>459</v>
      </c>
      <c r="B118" s="59">
        <v>44944.0</v>
      </c>
      <c r="C118" s="25" t="s">
        <v>460</v>
      </c>
      <c r="D118" s="25">
        <v>3.4999071369E10</v>
      </c>
      <c r="E118" s="20" t="s">
        <v>308</v>
      </c>
      <c r="F118" s="25" t="s">
        <v>188</v>
      </c>
      <c r="G118" s="25" t="s">
        <v>461</v>
      </c>
      <c r="H118" s="25" t="s">
        <v>37</v>
      </c>
      <c r="I118" s="25"/>
      <c r="J118" s="25" t="s">
        <v>462</v>
      </c>
      <c r="K118" s="25"/>
      <c r="L118" s="26" t="s">
        <v>454</v>
      </c>
      <c r="M118" s="12">
        <v>44945.0</v>
      </c>
      <c r="N118" s="77" t="str">
        <f t="shared" si="1"/>
        <v>janeiro</v>
      </c>
    </row>
    <row r="119">
      <c r="A119" s="25" t="s">
        <v>463</v>
      </c>
      <c r="B119" s="59">
        <v>44945.0</v>
      </c>
      <c r="C119" s="25" t="s">
        <v>328</v>
      </c>
      <c r="D119" s="25">
        <v>5311.0</v>
      </c>
      <c r="E119" s="25" t="s">
        <v>251</v>
      </c>
      <c r="F119" s="20" t="s">
        <v>464</v>
      </c>
      <c r="G119" s="25" t="s">
        <v>465</v>
      </c>
      <c r="H119" s="25" t="s">
        <v>30</v>
      </c>
      <c r="I119" s="25"/>
      <c r="J119" s="25" t="s">
        <v>466</v>
      </c>
      <c r="K119" s="25"/>
      <c r="L119" s="26" t="s">
        <v>454</v>
      </c>
      <c r="M119" s="12">
        <v>44945.0</v>
      </c>
      <c r="N119" s="77" t="str">
        <f t="shared" si="1"/>
        <v>janeiro</v>
      </c>
    </row>
    <row r="120">
      <c r="A120" s="25" t="s">
        <v>467</v>
      </c>
      <c r="B120" s="59">
        <v>44945.0</v>
      </c>
      <c r="C120" s="25" t="s">
        <v>354</v>
      </c>
      <c r="D120" s="25">
        <v>5323.0</v>
      </c>
      <c r="E120" s="25" t="s">
        <v>251</v>
      </c>
      <c r="F120" s="25" t="s">
        <v>393</v>
      </c>
      <c r="G120" s="25" t="s">
        <v>247</v>
      </c>
      <c r="H120" s="25" t="s">
        <v>30</v>
      </c>
      <c r="I120" s="25"/>
      <c r="J120" s="25" t="s">
        <v>468</v>
      </c>
      <c r="K120" s="25"/>
      <c r="L120" s="26" t="s">
        <v>20</v>
      </c>
      <c r="M120" s="12">
        <v>45153.0</v>
      </c>
      <c r="N120" s="77" t="str">
        <f t="shared" si="1"/>
        <v>janeiro</v>
      </c>
    </row>
    <row r="121">
      <c r="A121" s="25" t="s">
        <v>469</v>
      </c>
      <c r="B121" s="59">
        <v>44945.0</v>
      </c>
      <c r="C121" s="25" t="s">
        <v>245</v>
      </c>
      <c r="D121" s="25">
        <v>6.498456331E10</v>
      </c>
      <c r="E121" s="7" t="s">
        <v>246</v>
      </c>
      <c r="F121" s="25" t="s">
        <v>178</v>
      </c>
      <c r="G121" s="25" t="s">
        <v>470</v>
      </c>
      <c r="H121" s="25" t="s">
        <v>37</v>
      </c>
      <c r="I121" s="25"/>
      <c r="J121" s="25" t="s">
        <v>471</v>
      </c>
      <c r="K121" s="25"/>
      <c r="L121" s="26" t="s">
        <v>454</v>
      </c>
      <c r="M121" s="12">
        <v>44945.0</v>
      </c>
      <c r="N121" s="77" t="str">
        <f t="shared" si="1"/>
        <v>janeiro</v>
      </c>
    </row>
    <row r="122">
      <c r="A122" s="25" t="s">
        <v>472</v>
      </c>
      <c r="B122" s="59">
        <v>44945.0</v>
      </c>
      <c r="C122" s="25" t="s">
        <v>69</v>
      </c>
      <c r="D122" s="25">
        <v>5340.0</v>
      </c>
      <c r="E122" s="25" t="s">
        <v>70</v>
      </c>
      <c r="F122" s="25" t="s">
        <v>55</v>
      </c>
      <c r="G122" s="25" t="s">
        <v>473</v>
      </c>
      <c r="H122" s="25" t="s">
        <v>30</v>
      </c>
      <c r="I122" s="25"/>
      <c r="J122" s="25" t="s">
        <v>474</v>
      </c>
      <c r="K122" s="25"/>
      <c r="L122" s="26" t="s">
        <v>20</v>
      </c>
      <c r="M122" s="12">
        <v>45157.0</v>
      </c>
      <c r="N122" s="77" t="str">
        <f t="shared" si="1"/>
        <v>janeiro</v>
      </c>
    </row>
    <row r="123">
      <c r="A123" s="25" t="s">
        <v>475</v>
      </c>
      <c r="B123" s="59">
        <v>44945.0</v>
      </c>
      <c r="C123" s="25" t="s">
        <v>194</v>
      </c>
      <c r="D123" s="25">
        <v>3.4417601E7</v>
      </c>
      <c r="E123" s="25" t="s">
        <v>195</v>
      </c>
      <c r="F123" s="25" t="s">
        <v>82</v>
      </c>
      <c r="G123" s="25" t="s">
        <v>476</v>
      </c>
      <c r="H123" s="25" t="s">
        <v>30</v>
      </c>
      <c r="I123" s="25"/>
      <c r="J123" s="25" t="s">
        <v>477</v>
      </c>
      <c r="K123" s="25"/>
      <c r="L123" s="26" t="s">
        <v>20</v>
      </c>
      <c r="M123" s="12">
        <v>44950.0</v>
      </c>
      <c r="N123" s="77" t="str">
        <f t="shared" si="1"/>
        <v>janeiro</v>
      </c>
    </row>
    <row r="124">
      <c r="A124" s="25" t="s">
        <v>478</v>
      </c>
      <c r="B124" s="59">
        <v>44945.0</v>
      </c>
      <c r="C124" s="25" t="s">
        <v>110</v>
      </c>
      <c r="D124" s="25">
        <v>5369.0</v>
      </c>
      <c r="E124" s="25" t="s">
        <v>111</v>
      </c>
      <c r="F124" s="25" t="s">
        <v>82</v>
      </c>
      <c r="G124" s="25" t="s">
        <v>479</v>
      </c>
      <c r="H124" s="25" t="s">
        <v>37</v>
      </c>
      <c r="I124" s="25"/>
      <c r="J124" s="25" t="s">
        <v>480</v>
      </c>
      <c r="K124" s="25"/>
      <c r="L124" s="26" t="s">
        <v>20</v>
      </c>
      <c r="M124" s="12">
        <v>44949.0</v>
      </c>
      <c r="N124" s="77" t="str">
        <f t="shared" si="1"/>
        <v>janeiro</v>
      </c>
    </row>
    <row r="125">
      <c r="A125" s="25" t="s">
        <v>481</v>
      </c>
      <c r="B125" s="59">
        <v>44945.0</v>
      </c>
      <c r="C125" s="25" t="s">
        <v>482</v>
      </c>
      <c r="D125" s="25">
        <v>6.4996412449E10</v>
      </c>
      <c r="E125" s="25" t="s">
        <v>27</v>
      </c>
      <c r="F125" s="25" t="s">
        <v>28</v>
      </c>
      <c r="G125" s="25" t="s">
        <v>483</v>
      </c>
      <c r="H125" s="25" t="s">
        <v>162</v>
      </c>
      <c r="I125" s="25"/>
      <c r="J125" s="25" t="s">
        <v>484</v>
      </c>
      <c r="K125" s="25"/>
      <c r="L125" s="26" t="s">
        <v>20</v>
      </c>
      <c r="M125" s="12">
        <v>44957.0</v>
      </c>
      <c r="N125" s="77" t="str">
        <f t="shared" si="1"/>
        <v>janeiro</v>
      </c>
    </row>
    <row r="126">
      <c r="A126" s="25" t="s">
        <v>485</v>
      </c>
      <c r="B126" s="59">
        <v>44946.0</v>
      </c>
      <c r="C126" s="25" t="s">
        <v>486</v>
      </c>
      <c r="D126" s="25">
        <v>5340.0</v>
      </c>
      <c r="E126" s="25" t="s">
        <v>70</v>
      </c>
      <c r="F126" s="25" t="s">
        <v>93</v>
      </c>
      <c r="G126" s="25" t="s">
        <v>487</v>
      </c>
      <c r="H126" s="25" t="s">
        <v>30</v>
      </c>
      <c r="I126" s="25"/>
      <c r="J126" s="25" t="s">
        <v>488</v>
      </c>
      <c r="K126" s="25"/>
      <c r="L126" s="26" t="s">
        <v>20</v>
      </c>
      <c r="M126" s="12">
        <v>44949.0</v>
      </c>
      <c r="N126" s="77" t="str">
        <f t="shared" si="1"/>
        <v>janeiro</v>
      </c>
    </row>
    <row r="127">
      <c r="A127" s="25" t="s">
        <v>489</v>
      </c>
      <c r="B127" s="59">
        <v>44946.0</v>
      </c>
      <c r="C127" s="25" t="s">
        <v>490</v>
      </c>
      <c r="D127" s="85" t="s">
        <v>491</v>
      </c>
      <c r="E127" s="25" t="s">
        <v>34</v>
      </c>
      <c r="F127" s="25" t="s">
        <v>347</v>
      </c>
      <c r="G127" s="25"/>
      <c r="H127" s="25" t="s">
        <v>37</v>
      </c>
      <c r="I127" s="25"/>
      <c r="J127" s="25" t="s">
        <v>492</v>
      </c>
      <c r="K127" s="25"/>
      <c r="L127" s="26" t="s">
        <v>20</v>
      </c>
      <c r="M127" s="12">
        <v>44951.0</v>
      </c>
      <c r="N127" s="77" t="str">
        <f t="shared" si="1"/>
        <v>janeiro</v>
      </c>
    </row>
    <row r="128">
      <c r="A128" s="25" t="s">
        <v>493</v>
      </c>
      <c r="B128" s="59">
        <v>44946.0</v>
      </c>
      <c r="C128" s="25" t="s">
        <v>494</v>
      </c>
      <c r="D128" s="25">
        <v>5333.0</v>
      </c>
      <c r="E128" s="25" t="s">
        <v>41</v>
      </c>
      <c r="F128" s="25" t="s">
        <v>82</v>
      </c>
      <c r="G128" s="25"/>
      <c r="H128" s="25" t="s">
        <v>30</v>
      </c>
      <c r="I128" s="25"/>
      <c r="J128" s="25" t="s">
        <v>495</v>
      </c>
      <c r="K128" s="25"/>
      <c r="L128" s="26" t="s">
        <v>20</v>
      </c>
      <c r="M128" s="12">
        <v>45158.0</v>
      </c>
      <c r="N128" s="77" t="str">
        <f t="shared" si="1"/>
        <v>janeiro</v>
      </c>
    </row>
    <row r="129">
      <c r="A129" s="25" t="s">
        <v>496</v>
      </c>
      <c r="B129" s="59">
        <v>44946.0</v>
      </c>
      <c r="C129" s="25" t="s">
        <v>59</v>
      </c>
      <c r="D129" s="25">
        <v>5349.0</v>
      </c>
      <c r="E129" s="25" t="s">
        <v>60</v>
      </c>
      <c r="F129" s="25" t="s">
        <v>61</v>
      </c>
      <c r="G129" s="25"/>
      <c r="H129" s="25" t="s">
        <v>30</v>
      </c>
      <c r="I129" s="25"/>
      <c r="J129" s="25" t="s">
        <v>497</v>
      </c>
      <c r="K129" s="25"/>
      <c r="L129" s="26" t="s">
        <v>20</v>
      </c>
      <c r="M129" s="12">
        <v>44949.0</v>
      </c>
      <c r="N129" s="77" t="str">
        <f t="shared" si="1"/>
        <v>janeiro</v>
      </c>
    </row>
    <row r="130">
      <c r="A130" s="25" t="s">
        <v>498</v>
      </c>
      <c r="B130" s="59">
        <v>44946.0</v>
      </c>
      <c r="C130" s="25" t="s">
        <v>59</v>
      </c>
      <c r="D130" s="25">
        <v>5349.0</v>
      </c>
      <c r="E130" s="25" t="s">
        <v>60</v>
      </c>
      <c r="F130" s="25" t="s">
        <v>61</v>
      </c>
      <c r="G130" s="25"/>
      <c r="H130" s="25" t="s">
        <v>37</v>
      </c>
      <c r="I130" s="25"/>
      <c r="J130" s="25" t="s">
        <v>499</v>
      </c>
      <c r="K130" s="25"/>
      <c r="L130" s="26" t="s">
        <v>20</v>
      </c>
      <c r="M130" s="12">
        <v>44981.0</v>
      </c>
      <c r="N130" s="77" t="str">
        <f t="shared" si="1"/>
        <v>janeiro</v>
      </c>
    </row>
    <row r="131">
      <c r="A131" s="25" t="s">
        <v>500</v>
      </c>
      <c r="B131" s="59">
        <v>44947.237873356484</v>
      </c>
      <c r="C131" s="25" t="s">
        <v>169</v>
      </c>
      <c r="D131" s="25">
        <v>5318.0</v>
      </c>
      <c r="E131" s="25" t="s">
        <v>15</v>
      </c>
      <c r="F131" s="20" t="s">
        <v>464</v>
      </c>
      <c r="G131" s="25"/>
      <c r="H131" s="25" t="s">
        <v>37</v>
      </c>
      <c r="I131" s="25"/>
      <c r="J131" s="25" t="s">
        <v>501</v>
      </c>
      <c r="K131" s="25"/>
      <c r="L131" s="26" t="s">
        <v>20</v>
      </c>
      <c r="M131" s="12">
        <v>44951.0</v>
      </c>
      <c r="N131" s="77" t="str">
        <f t="shared" si="1"/>
        <v>janeiro</v>
      </c>
    </row>
    <row r="132">
      <c r="A132" s="25" t="s">
        <v>502</v>
      </c>
      <c r="B132" s="59">
        <v>44949.30608728009</v>
      </c>
      <c r="C132" s="25" t="s">
        <v>486</v>
      </c>
      <c r="D132" s="25">
        <v>5340.0</v>
      </c>
      <c r="E132" s="25" t="s">
        <v>70</v>
      </c>
      <c r="F132" s="25" t="s">
        <v>90</v>
      </c>
      <c r="G132" s="25" t="s">
        <v>503</v>
      </c>
      <c r="H132" s="25" t="s">
        <v>30</v>
      </c>
      <c r="I132" s="25"/>
      <c r="J132" s="25" t="s">
        <v>504</v>
      </c>
      <c r="K132" s="25"/>
      <c r="L132" s="56" t="s">
        <v>74</v>
      </c>
      <c r="M132" s="62"/>
      <c r="N132" s="77" t="str">
        <f t="shared" si="1"/>
        <v>janeiro</v>
      </c>
    </row>
    <row r="133">
      <c r="A133" s="25" t="s">
        <v>505</v>
      </c>
      <c r="B133" s="59">
        <v>44949.32539585648</v>
      </c>
      <c r="C133" s="25" t="s">
        <v>486</v>
      </c>
      <c r="D133" s="25">
        <v>5340.0</v>
      </c>
      <c r="E133" s="25" t="s">
        <v>70</v>
      </c>
      <c r="F133" s="25" t="s">
        <v>93</v>
      </c>
      <c r="G133" s="25" t="s">
        <v>506</v>
      </c>
      <c r="H133" s="25" t="s">
        <v>30</v>
      </c>
      <c r="I133" s="25"/>
      <c r="J133" s="25" t="s">
        <v>507</v>
      </c>
      <c r="K133" s="25"/>
      <c r="L133" s="26" t="s">
        <v>20</v>
      </c>
      <c r="M133" s="12">
        <v>44949.0</v>
      </c>
      <c r="N133" s="77" t="str">
        <f t="shared" si="1"/>
        <v>janeiro</v>
      </c>
    </row>
    <row r="134">
      <c r="A134" s="25" t="s">
        <v>508</v>
      </c>
      <c r="B134" s="59">
        <v>44949.302920057875</v>
      </c>
      <c r="C134" s="25" t="s">
        <v>486</v>
      </c>
      <c r="D134" s="25">
        <v>5340.0</v>
      </c>
      <c r="E134" s="25" t="s">
        <v>70</v>
      </c>
      <c r="F134" s="20" t="s">
        <v>464</v>
      </c>
      <c r="G134" s="25" t="s">
        <v>509</v>
      </c>
      <c r="H134" s="25" t="s">
        <v>37</v>
      </c>
      <c r="I134" s="25"/>
      <c r="J134" s="25" t="s">
        <v>510</v>
      </c>
      <c r="K134" s="25"/>
      <c r="L134" s="56" t="s">
        <v>74</v>
      </c>
      <c r="M134" s="86"/>
      <c r="N134" s="77" t="str">
        <f t="shared" si="1"/>
        <v>janeiro</v>
      </c>
    </row>
    <row r="135">
      <c r="A135" s="25" t="s">
        <v>511</v>
      </c>
      <c r="B135" s="59">
        <v>44949.367227800925</v>
      </c>
      <c r="C135" s="25" t="s">
        <v>512</v>
      </c>
      <c r="D135" s="25">
        <v>5340.0</v>
      </c>
      <c r="E135" s="25" t="s">
        <v>70</v>
      </c>
      <c r="F135" s="25" t="s">
        <v>82</v>
      </c>
      <c r="G135" s="25" t="s">
        <v>513</v>
      </c>
      <c r="H135" s="25" t="s">
        <v>30</v>
      </c>
      <c r="I135" s="25"/>
      <c r="J135" s="25" t="s">
        <v>514</v>
      </c>
      <c r="K135" s="25"/>
      <c r="L135" s="26" t="s">
        <v>20</v>
      </c>
      <c r="M135" s="12">
        <v>44949.0</v>
      </c>
      <c r="N135" s="77" t="str">
        <f t="shared" si="1"/>
        <v>janeiro</v>
      </c>
    </row>
    <row r="136">
      <c r="A136" s="25" t="s">
        <v>515</v>
      </c>
      <c r="B136" s="59">
        <v>44949.37398581018</v>
      </c>
      <c r="C136" s="25" t="s">
        <v>186</v>
      </c>
      <c r="D136" s="25">
        <v>5334.0</v>
      </c>
      <c r="E136" s="25" t="s">
        <v>187</v>
      </c>
      <c r="F136" s="25" t="s">
        <v>188</v>
      </c>
      <c r="G136" s="25" t="s">
        <v>516</v>
      </c>
      <c r="H136" s="25" t="s">
        <v>107</v>
      </c>
      <c r="I136" s="25"/>
      <c r="J136" s="25" t="s">
        <v>517</v>
      </c>
      <c r="K136" s="25"/>
      <c r="L136" s="26" t="s">
        <v>20</v>
      </c>
      <c r="M136" s="12">
        <v>44984.0</v>
      </c>
      <c r="N136" s="77" t="str">
        <f t="shared" si="1"/>
        <v>janeiro</v>
      </c>
    </row>
    <row r="137">
      <c r="A137" s="25" t="s">
        <v>518</v>
      </c>
      <c r="B137" s="59">
        <v>44949.40160914352</v>
      </c>
      <c r="C137" s="25" t="s">
        <v>110</v>
      </c>
      <c r="D137" s="25">
        <v>5369.0</v>
      </c>
      <c r="E137" s="25" t="s">
        <v>111</v>
      </c>
      <c r="F137" s="25" t="s">
        <v>82</v>
      </c>
      <c r="G137" s="25" t="s">
        <v>519</v>
      </c>
      <c r="H137" s="25" t="s">
        <v>30</v>
      </c>
      <c r="I137" s="25"/>
      <c r="J137" s="25" t="s">
        <v>520</v>
      </c>
      <c r="K137" s="25"/>
      <c r="L137" s="26" t="s">
        <v>20</v>
      </c>
      <c r="M137" s="12">
        <v>44949.0</v>
      </c>
      <c r="N137" s="77" t="str">
        <f t="shared" si="1"/>
        <v>janeiro</v>
      </c>
    </row>
    <row r="138">
      <c r="A138" s="25" t="s">
        <v>521</v>
      </c>
      <c r="B138" s="59">
        <v>44949.46362483797</v>
      </c>
      <c r="C138" s="25" t="s">
        <v>522</v>
      </c>
      <c r="D138" s="25">
        <v>5333.0</v>
      </c>
      <c r="E138" s="25" t="s">
        <v>41</v>
      </c>
      <c r="F138" s="25" t="s">
        <v>42</v>
      </c>
      <c r="G138" s="25" t="s">
        <v>409</v>
      </c>
      <c r="H138" s="25" t="s">
        <v>37</v>
      </c>
      <c r="I138" s="25"/>
      <c r="J138" s="25" t="s">
        <v>523</v>
      </c>
      <c r="K138" s="25"/>
      <c r="L138" s="26" t="s">
        <v>20</v>
      </c>
      <c r="M138" s="12">
        <v>44949.0</v>
      </c>
      <c r="N138" s="77" t="str">
        <f t="shared" si="1"/>
        <v>janeiro</v>
      </c>
    </row>
    <row r="139">
      <c r="A139" s="25" t="s">
        <v>524</v>
      </c>
      <c r="B139" s="59">
        <v>44949.60758834491</v>
      </c>
      <c r="C139" s="25" t="s">
        <v>525</v>
      </c>
      <c r="D139" s="25">
        <v>3.4999071369E10</v>
      </c>
      <c r="E139" s="20" t="s">
        <v>308</v>
      </c>
      <c r="F139" s="25" t="s">
        <v>188</v>
      </c>
      <c r="G139" s="25" t="s">
        <v>263</v>
      </c>
      <c r="H139" s="25" t="s">
        <v>30</v>
      </c>
      <c r="I139" s="25"/>
      <c r="J139" s="25" t="s">
        <v>526</v>
      </c>
      <c r="K139" s="25"/>
      <c r="L139" s="26" t="s">
        <v>20</v>
      </c>
      <c r="M139" s="12">
        <v>45159.0</v>
      </c>
      <c r="N139" s="77" t="str">
        <f t="shared" si="1"/>
        <v>janeiro</v>
      </c>
    </row>
    <row r="140">
      <c r="A140" s="25" t="s">
        <v>524</v>
      </c>
      <c r="B140" s="59">
        <v>44950.36981715278</v>
      </c>
      <c r="C140" s="25" t="s">
        <v>527</v>
      </c>
      <c r="D140" s="25">
        <v>5331.0</v>
      </c>
      <c r="E140" s="25" t="s">
        <v>183</v>
      </c>
      <c r="F140" s="25" t="s">
        <v>142</v>
      </c>
      <c r="G140" s="25" t="s">
        <v>528</v>
      </c>
      <c r="H140" s="25" t="s">
        <v>30</v>
      </c>
      <c r="I140" s="25"/>
      <c r="J140" s="25" t="s">
        <v>529</v>
      </c>
      <c r="K140" s="25"/>
      <c r="L140" s="26" t="s">
        <v>20</v>
      </c>
      <c r="M140" s="12">
        <v>44951.0</v>
      </c>
      <c r="N140" s="77" t="str">
        <f t="shared" si="1"/>
        <v>janeiro</v>
      </c>
    </row>
    <row r="141">
      <c r="A141" s="25" t="s">
        <v>530</v>
      </c>
      <c r="B141" s="59">
        <v>44950.42907028935</v>
      </c>
      <c r="C141" s="25" t="s">
        <v>531</v>
      </c>
      <c r="D141" s="25">
        <v>3.4415341E7</v>
      </c>
      <c r="E141" s="25" t="s">
        <v>532</v>
      </c>
      <c r="F141" s="25" t="s">
        <v>93</v>
      </c>
      <c r="G141" s="25" t="s">
        <v>533</v>
      </c>
      <c r="H141" s="25" t="s">
        <v>30</v>
      </c>
      <c r="I141" s="25"/>
      <c r="J141" s="25" t="s">
        <v>534</v>
      </c>
      <c r="K141" s="25"/>
      <c r="L141" s="26" t="s">
        <v>20</v>
      </c>
      <c r="M141" s="12">
        <v>44950.0</v>
      </c>
      <c r="N141" s="77" t="str">
        <f t="shared" si="1"/>
        <v>janeiro</v>
      </c>
    </row>
    <row r="142">
      <c r="A142" s="25" t="s">
        <v>535</v>
      </c>
      <c r="B142" s="59">
        <v>44950.56082186343</v>
      </c>
      <c r="C142" s="25" t="s">
        <v>321</v>
      </c>
      <c r="D142" s="25">
        <v>3.4415305E7</v>
      </c>
      <c r="E142" s="25" t="s">
        <v>183</v>
      </c>
      <c r="F142" s="25" t="s">
        <v>142</v>
      </c>
      <c r="G142" s="25" t="s">
        <v>536</v>
      </c>
      <c r="H142" s="25" t="s">
        <v>30</v>
      </c>
      <c r="I142" s="25"/>
      <c r="J142" s="25" t="s">
        <v>537</v>
      </c>
      <c r="K142" s="25"/>
      <c r="L142" s="26" t="s">
        <v>20</v>
      </c>
      <c r="M142" s="12">
        <v>44951.0</v>
      </c>
      <c r="N142" s="77" t="str">
        <f t="shared" si="1"/>
        <v>janeiro</v>
      </c>
    </row>
    <row r="143">
      <c r="A143" s="9" t="s">
        <v>538</v>
      </c>
      <c r="B143" s="78">
        <v>44950.0</v>
      </c>
      <c r="C143" s="65" t="s">
        <v>539</v>
      </c>
      <c r="D143" s="65">
        <v>5303.0</v>
      </c>
      <c r="E143" s="65" t="s">
        <v>540</v>
      </c>
      <c r="F143" s="25" t="s">
        <v>82</v>
      </c>
      <c r="G143" s="65">
        <v>122.0</v>
      </c>
      <c r="H143" s="25" t="s">
        <v>30</v>
      </c>
      <c r="I143" s="65"/>
      <c r="J143" s="65" t="s">
        <v>541</v>
      </c>
      <c r="K143" s="65"/>
      <c r="L143" s="79" t="s">
        <v>74</v>
      </c>
      <c r="M143" s="87"/>
      <c r="N143" s="77" t="str">
        <f t="shared" si="1"/>
        <v>janeiro</v>
      </c>
    </row>
    <row r="144">
      <c r="A144" s="25" t="s">
        <v>542</v>
      </c>
      <c r="B144" s="59">
        <v>44950.633860208334</v>
      </c>
      <c r="C144" s="25" t="s">
        <v>543</v>
      </c>
      <c r="D144" s="25">
        <v>7602.0</v>
      </c>
      <c r="E144" s="25" t="s">
        <v>195</v>
      </c>
      <c r="F144" s="25" t="s">
        <v>35</v>
      </c>
      <c r="G144" s="25" t="s">
        <v>544</v>
      </c>
      <c r="H144" s="25" t="s">
        <v>37</v>
      </c>
      <c r="I144" s="25"/>
      <c r="J144" s="25" t="s">
        <v>545</v>
      </c>
      <c r="K144" s="25"/>
      <c r="L144" s="26" t="s">
        <v>20</v>
      </c>
      <c r="M144" s="12">
        <v>45160.0</v>
      </c>
      <c r="N144" s="77" t="str">
        <f t="shared" si="1"/>
        <v>janeiro</v>
      </c>
    </row>
    <row r="145">
      <c r="A145" s="25" t="s">
        <v>546</v>
      </c>
      <c r="B145" s="59">
        <v>44950.645285046296</v>
      </c>
      <c r="C145" s="25" t="s">
        <v>354</v>
      </c>
      <c r="D145" s="25">
        <v>5323.0</v>
      </c>
      <c r="E145" s="25" t="s">
        <v>251</v>
      </c>
      <c r="F145" s="25" t="s">
        <v>100</v>
      </c>
      <c r="G145" s="25" t="s">
        <v>547</v>
      </c>
      <c r="H145" s="25" t="s">
        <v>37</v>
      </c>
      <c r="I145" s="25"/>
      <c r="J145" s="25" t="s">
        <v>548</v>
      </c>
      <c r="K145" s="25"/>
      <c r="L145" s="26" t="s">
        <v>20</v>
      </c>
      <c r="M145" s="12">
        <v>44984.0</v>
      </c>
      <c r="N145" s="77" t="str">
        <f t="shared" si="1"/>
        <v>janeiro</v>
      </c>
    </row>
    <row r="146">
      <c r="A146" s="25" t="s">
        <v>549</v>
      </c>
      <c r="B146" s="59">
        <v>44950.654858090275</v>
      </c>
      <c r="C146" s="25" t="s">
        <v>522</v>
      </c>
      <c r="D146" s="25">
        <v>5333.0</v>
      </c>
      <c r="E146" s="25" t="s">
        <v>41</v>
      </c>
      <c r="F146" s="25" t="s">
        <v>42</v>
      </c>
      <c r="G146" s="25" t="s">
        <v>550</v>
      </c>
      <c r="H146" s="25" t="s">
        <v>37</v>
      </c>
      <c r="I146" s="25"/>
      <c r="J146" s="25" t="s">
        <v>551</v>
      </c>
      <c r="K146" s="25"/>
      <c r="L146" s="26" t="s">
        <v>20</v>
      </c>
      <c r="M146" s="12">
        <v>44956.0</v>
      </c>
      <c r="N146" s="77" t="str">
        <f t="shared" si="1"/>
        <v>janeiro</v>
      </c>
    </row>
    <row r="147">
      <c r="A147" s="25" t="s">
        <v>552</v>
      </c>
      <c r="B147" s="59">
        <v>44950.6570477662</v>
      </c>
      <c r="C147" s="25" t="s">
        <v>553</v>
      </c>
      <c r="D147" s="25">
        <v>5318.0</v>
      </c>
      <c r="E147" s="25" t="s">
        <v>15</v>
      </c>
      <c r="F147" s="25" t="s">
        <v>554</v>
      </c>
      <c r="G147" s="25" t="s">
        <v>555</v>
      </c>
      <c r="H147" s="25" t="s">
        <v>18</v>
      </c>
      <c r="I147" s="25"/>
      <c r="J147" s="25" t="s">
        <v>556</v>
      </c>
      <c r="K147" s="25"/>
      <c r="L147" s="26" t="s">
        <v>20</v>
      </c>
      <c r="M147" s="12">
        <v>44951.0</v>
      </c>
      <c r="N147" s="77" t="str">
        <f t="shared" si="1"/>
        <v>janeiro</v>
      </c>
    </row>
    <row r="148">
      <c r="A148" s="25" t="s">
        <v>557</v>
      </c>
      <c r="B148" s="59">
        <v>44951.233243553244</v>
      </c>
      <c r="C148" s="25" t="s">
        <v>169</v>
      </c>
      <c r="D148" s="25">
        <v>5318.0</v>
      </c>
      <c r="E148" s="25" t="s">
        <v>15</v>
      </c>
      <c r="F148" s="25" t="s">
        <v>93</v>
      </c>
      <c r="G148" s="25" t="s">
        <v>558</v>
      </c>
      <c r="H148" s="25" t="s">
        <v>37</v>
      </c>
      <c r="I148" s="25"/>
      <c r="J148" s="25" t="s">
        <v>559</v>
      </c>
      <c r="K148" s="25"/>
      <c r="L148" s="26" t="s">
        <v>20</v>
      </c>
      <c r="M148" s="12">
        <v>45153.0</v>
      </c>
      <c r="N148" s="77" t="str">
        <f t="shared" si="1"/>
        <v>janeiro</v>
      </c>
    </row>
    <row r="149">
      <c r="A149" s="25" t="s">
        <v>560</v>
      </c>
      <c r="B149" s="59">
        <v>44951.302346122684</v>
      </c>
      <c r="C149" s="25" t="s">
        <v>486</v>
      </c>
      <c r="D149" s="25">
        <v>5340.0</v>
      </c>
      <c r="E149" s="25" t="s">
        <v>70</v>
      </c>
      <c r="F149" s="25" t="s">
        <v>93</v>
      </c>
      <c r="G149" s="25" t="s">
        <v>561</v>
      </c>
      <c r="H149" s="25" t="s">
        <v>37</v>
      </c>
      <c r="I149" s="25"/>
      <c r="J149" s="25" t="s">
        <v>562</v>
      </c>
      <c r="K149" s="25"/>
      <c r="L149" s="26" t="s">
        <v>20</v>
      </c>
      <c r="M149" s="12">
        <v>44958.0</v>
      </c>
      <c r="N149" s="77" t="str">
        <f t="shared" si="1"/>
        <v>janeiro</v>
      </c>
    </row>
    <row r="150">
      <c r="A150" s="25" t="s">
        <v>563</v>
      </c>
      <c r="B150" s="59">
        <v>44951.39739452546</v>
      </c>
      <c r="C150" s="25" t="s">
        <v>564</v>
      </c>
      <c r="D150" s="25">
        <v>6.498456331E10</v>
      </c>
      <c r="E150" s="7" t="s">
        <v>246</v>
      </c>
      <c r="F150" s="25" t="s">
        <v>178</v>
      </c>
      <c r="G150" s="25" t="s">
        <v>565</v>
      </c>
      <c r="H150" s="25" t="s">
        <v>107</v>
      </c>
      <c r="I150" s="25"/>
      <c r="J150" s="25" t="s">
        <v>566</v>
      </c>
      <c r="K150" s="25"/>
      <c r="L150" s="26" t="s">
        <v>20</v>
      </c>
      <c r="M150" s="12">
        <v>44973.0</v>
      </c>
      <c r="N150" s="77" t="str">
        <f t="shared" si="1"/>
        <v>janeiro</v>
      </c>
    </row>
    <row r="151">
      <c r="A151" s="25" t="s">
        <v>567</v>
      </c>
      <c r="B151" s="59">
        <v>44951.53683324074</v>
      </c>
      <c r="C151" s="25" t="s">
        <v>328</v>
      </c>
      <c r="D151" s="25">
        <v>5311.0</v>
      </c>
      <c r="E151" s="25" t="s">
        <v>251</v>
      </c>
      <c r="F151" s="25" t="s">
        <v>317</v>
      </c>
      <c r="G151" s="25" t="s">
        <v>568</v>
      </c>
      <c r="H151" s="25" t="s">
        <v>37</v>
      </c>
      <c r="I151" s="25"/>
      <c r="J151" s="25" t="s">
        <v>569</v>
      </c>
      <c r="K151" s="25"/>
      <c r="L151" s="26" t="s">
        <v>20</v>
      </c>
      <c r="M151" s="12">
        <v>44951.0</v>
      </c>
      <c r="N151" s="77" t="str">
        <f t="shared" si="1"/>
        <v>janeiro</v>
      </c>
    </row>
    <row r="152">
      <c r="A152" s="25" t="s">
        <v>570</v>
      </c>
      <c r="B152" s="59">
        <v>44951.55717059028</v>
      </c>
      <c r="C152" s="25" t="s">
        <v>531</v>
      </c>
      <c r="D152" s="25">
        <v>5341.0</v>
      </c>
      <c r="E152" s="25" t="s">
        <v>532</v>
      </c>
      <c r="F152" s="65" t="s">
        <v>367</v>
      </c>
      <c r="G152" s="25" t="s">
        <v>571</v>
      </c>
      <c r="H152" s="25" t="s">
        <v>79</v>
      </c>
      <c r="I152" s="25"/>
      <c r="J152" s="25" t="s">
        <v>572</v>
      </c>
      <c r="K152" s="25"/>
      <c r="L152" s="26" t="s">
        <v>20</v>
      </c>
      <c r="M152" s="12">
        <v>44957.0</v>
      </c>
      <c r="N152" s="77" t="str">
        <f t="shared" si="1"/>
        <v>janeiro</v>
      </c>
    </row>
    <row r="153">
      <c r="A153" s="25" t="s">
        <v>573</v>
      </c>
      <c r="B153" s="59">
        <v>44951.55958356481</v>
      </c>
      <c r="C153" s="25" t="s">
        <v>531</v>
      </c>
      <c r="D153" s="25">
        <v>5341.0</v>
      </c>
      <c r="E153" s="25" t="s">
        <v>532</v>
      </c>
      <c r="F153" s="25" t="s">
        <v>100</v>
      </c>
      <c r="G153" s="25" t="s">
        <v>574</v>
      </c>
      <c r="H153" s="25" t="s">
        <v>79</v>
      </c>
      <c r="I153" s="25"/>
      <c r="J153" s="25" t="s">
        <v>575</v>
      </c>
      <c r="K153" s="25"/>
      <c r="L153" s="26" t="s">
        <v>20</v>
      </c>
      <c r="M153" s="12">
        <v>44964.0</v>
      </c>
      <c r="N153" s="77" t="str">
        <f t="shared" si="1"/>
        <v>janeiro</v>
      </c>
    </row>
    <row r="154">
      <c r="A154" s="25" t="s">
        <v>576</v>
      </c>
      <c r="B154" s="59">
        <v>44951.56113479167</v>
      </c>
      <c r="C154" s="25" t="s">
        <v>215</v>
      </c>
      <c r="D154" s="25">
        <v>5333.0</v>
      </c>
      <c r="E154" s="25" t="s">
        <v>41</v>
      </c>
      <c r="F154" s="25" t="s">
        <v>42</v>
      </c>
      <c r="G154" s="25" t="s">
        <v>409</v>
      </c>
      <c r="H154" s="25" t="s">
        <v>79</v>
      </c>
      <c r="I154" s="25"/>
      <c r="J154" s="25" t="s">
        <v>577</v>
      </c>
      <c r="K154" s="25"/>
      <c r="L154" s="26" t="s">
        <v>20</v>
      </c>
      <c r="M154" s="12">
        <v>44953.0</v>
      </c>
      <c r="N154" s="77" t="str">
        <f t="shared" si="1"/>
        <v>janeiro</v>
      </c>
    </row>
    <row r="155">
      <c r="A155" s="25" t="s">
        <v>578</v>
      </c>
      <c r="B155" s="59">
        <v>44951.6467440625</v>
      </c>
      <c r="C155" s="25" t="s">
        <v>579</v>
      </c>
      <c r="D155" s="25">
        <v>6.4984251101E10</v>
      </c>
      <c r="E155" s="25" t="s">
        <v>580</v>
      </c>
      <c r="F155" s="25" t="s">
        <v>103</v>
      </c>
      <c r="G155" s="25" t="s">
        <v>581</v>
      </c>
      <c r="H155" s="25" t="s">
        <v>30</v>
      </c>
      <c r="I155" s="25"/>
      <c r="J155" s="25" t="s">
        <v>582</v>
      </c>
      <c r="K155" s="25"/>
      <c r="L155" s="26" t="s">
        <v>20</v>
      </c>
      <c r="M155" s="12">
        <v>45161.0</v>
      </c>
      <c r="N155" s="77" t="str">
        <f t="shared" si="1"/>
        <v>janeiro</v>
      </c>
    </row>
    <row r="156">
      <c r="A156" s="25" t="s">
        <v>583</v>
      </c>
      <c r="B156" s="59">
        <v>44951.64974928241</v>
      </c>
      <c r="C156" s="25" t="s">
        <v>215</v>
      </c>
      <c r="D156" s="25">
        <v>5333.0</v>
      </c>
      <c r="E156" s="25" t="s">
        <v>41</v>
      </c>
      <c r="F156" s="25" t="s">
        <v>42</v>
      </c>
      <c r="G156" s="25" t="s">
        <v>584</v>
      </c>
      <c r="H156" s="25" t="s">
        <v>79</v>
      </c>
      <c r="I156" s="25"/>
      <c r="J156" s="25" t="s">
        <v>585</v>
      </c>
      <c r="K156" s="25"/>
      <c r="L156" s="26" t="s">
        <v>20</v>
      </c>
      <c r="M156" s="12">
        <v>44953.0</v>
      </c>
      <c r="N156" s="77" t="str">
        <f t="shared" si="1"/>
        <v>janeiro</v>
      </c>
    </row>
    <row r="157">
      <c r="A157" s="25" t="s">
        <v>586</v>
      </c>
      <c r="B157" s="59">
        <v>44951.673599201386</v>
      </c>
      <c r="C157" s="25" t="s">
        <v>215</v>
      </c>
      <c r="D157" s="25">
        <v>5333.0</v>
      </c>
      <c r="E157" s="25" t="s">
        <v>41</v>
      </c>
      <c r="F157" s="25" t="s">
        <v>42</v>
      </c>
      <c r="G157" s="25" t="s">
        <v>584</v>
      </c>
      <c r="H157" s="25" t="s">
        <v>162</v>
      </c>
      <c r="I157" s="25"/>
      <c r="J157" s="25" t="s">
        <v>587</v>
      </c>
      <c r="K157" s="25"/>
      <c r="L157" s="26" t="s">
        <v>20</v>
      </c>
      <c r="M157" s="12">
        <v>44971.0</v>
      </c>
      <c r="N157" s="77" t="str">
        <f t="shared" si="1"/>
        <v>janeiro</v>
      </c>
    </row>
    <row r="158">
      <c r="A158" s="25" t="s">
        <v>588</v>
      </c>
      <c r="B158" s="59">
        <v>44951.88914510417</v>
      </c>
      <c r="C158" s="25" t="s">
        <v>451</v>
      </c>
      <c r="D158" s="25">
        <v>5304.0</v>
      </c>
      <c r="E158" s="25" t="s">
        <v>27</v>
      </c>
      <c r="F158" s="25" t="s">
        <v>93</v>
      </c>
      <c r="G158" s="25">
        <v>101.0</v>
      </c>
      <c r="H158" s="25" t="s">
        <v>37</v>
      </c>
      <c r="I158" s="25"/>
      <c r="J158" s="25" t="s">
        <v>589</v>
      </c>
      <c r="K158" s="25"/>
      <c r="L158" s="26" t="s">
        <v>20</v>
      </c>
      <c r="M158" s="12">
        <v>44958.0</v>
      </c>
      <c r="N158" s="77" t="str">
        <f t="shared" si="1"/>
        <v>janeiro</v>
      </c>
    </row>
    <row r="159">
      <c r="A159" s="25" t="s">
        <v>590</v>
      </c>
      <c r="B159" s="59">
        <v>44952.49459097222</v>
      </c>
      <c r="C159" s="25" t="s">
        <v>215</v>
      </c>
      <c r="D159" s="25">
        <v>5333.0</v>
      </c>
      <c r="E159" s="25" t="s">
        <v>70</v>
      </c>
      <c r="F159" s="25" t="s">
        <v>42</v>
      </c>
      <c r="G159" s="25" t="s">
        <v>591</v>
      </c>
      <c r="H159" s="25" t="s">
        <v>37</v>
      </c>
      <c r="I159" s="25"/>
      <c r="J159" s="25" t="s">
        <v>592</v>
      </c>
      <c r="K159" s="25"/>
      <c r="L159" s="26" t="s">
        <v>20</v>
      </c>
      <c r="M159" s="12">
        <v>44956.0</v>
      </c>
      <c r="N159" s="77" t="str">
        <f t="shared" si="1"/>
        <v>janeiro</v>
      </c>
    </row>
    <row r="160">
      <c r="A160" s="25" t="s">
        <v>593</v>
      </c>
      <c r="B160" s="59">
        <v>44952.53959835648</v>
      </c>
      <c r="C160" s="25" t="s">
        <v>594</v>
      </c>
      <c r="D160" s="25">
        <v>5326.0</v>
      </c>
      <c r="E160" s="25" t="s">
        <v>54</v>
      </c>
      <c r="F160" s="25" t="s">
        <v>61</v>
      </c>
      <c r="G160" s="25" t="s">
        <v>595</v>
      </c>
      <c r="H160" s="25" t="s">
        <v>37</v>
      </c>
      <c r="I160" s="25"/>
      <c r="J160" s="25" t="s">
        <v>596</v>
      </c>
      <c r="K160" s="25"/>
      <c r="L160" s="26" t="s">
        <v>20</v>
      </c>
      <c r="M160" s="12">
        <v>44953.0</v>
      </c>
      <c r="N160" s="77" t="str">
        <f t="shared" si="1"/>
        <v>janeiro</v>
      </c>
    </row>
    <row r="161">
      <c r="A161" s="25" t="s">
        <v>597</v>
      </c>
      <c r="B161" s="59">
        <v>44952.551183483796</v>
      </c>
      <c r="C161" s="25" t="s">
        <v>59</v>
      </c>
      <c r="D161" s="25">
        <v>5349.0</v>
      </c>
      <c r="E161" s="25" t="s">
        <v>60</v>
      </c>
      <c r="F161" s="25" t="s">
        <v>61</v>
      </c>
      <c r="G161" s="25" t="s">
        <v>598</v>
      </c>
      <c r="H161" s="25" t="s">
        <v>107</v>
      </c>
      <c r="I161" s="25"/>
      <c r="J161" s="25" t="s">
        <v>599</v>
      </c>
      <c r="K161" s="25"/>
      <c r="L161" s="26" t="s">
        <v>20</v>
      </c>
      <c r="M161" s="12">
        <v>44991.0</v>
      </c>
      <c r="N161" s="77" t="str">
        <f t="shared" si="1"/>
        <v>janeiro</v>
      </c>
    </row>
    <row r="162">
      <c r="A162" s="25" t="s">
        <v>600</v>
      </c>
      <c r="B162" s="59">
        <v>44952.57073412037</v>
      </c>
      <c r="C162" s="25" t="s">
        <v>512</v>
      </c>
      <c r="D162" s="25">
        <v>5340.0</v>
      </c>
      <c r="E162" s="25" t="s">
        <v>70</v>
      </c>
      <c r="F162" s="25" t="s">
        <v>317</v>
      </c>
      <c r="G162" s="25" t="s">
        <v>601</v>
      </c>
      <c r="H162" s="25" t="s">
        <v>79</v>
      </c>
      <c r="I162" s="25"/>
      <c r="J162" s="25" t="s">
        <v>602</v>
      </c>
      <c r="K162" s="25"/>
      <c r="L162" s="26" t="s">
        <v>20</v>
      </c>
      <c r="M162" s="12">
        <v>44952.0</v>
      </c>
      <c r="N162" s="77" t="str">
        <f t="shared" si="1"/>
        <v>janeiro</v>
      </c>
    </row>
    <row r="163">
      <c r="A163" s="9" t="s">
        <v>603</v>
      </c>
      <c r="B163" s="78">
        <v>44952.0</v>
      </c>
      <c r="C163" s="65" t="s">
        <v>604</v>
      </c>
      <c r="D163" s="65">
        <v>5356.0</v>
      </c>
      <c r="E163" s="25" t="s">
        <v>27</v>
      </c>
      <c r="F163" s="65" t="s">
        <v>16</v>
      </c>
      <c r="G163" s="65" t="s">
        <v>605</v>
      </c>
      <c r="H163" s="65" t="s">
        <v>162</v>
      </c>
      <c r="I163" s="65"/>
      <c r="J163" s="65" t="s">
        <v>606</v>
      </c>
      <c r="K163" s="65"/>
      <c r="L163" s="79" t="s">
        <v>20</v>
      </c>
      <c r="M163" s="80">
        <v>45257.0</v>
      </c>
      <c r="N163" s="77" t="str">
        <f t="shared" si="1"/>
        <v>janeiro</v>
      </c>
    </row>
    <row r="164">
      <c r="A164" s="25" t="s">
        <v>607</v>
      </c>
      <c r="B164" s="59">
        <v>44952.776823761575</v>
      </c>
      <c r="C164" s="25" t="s">
        <v>40</v>
      </c>
      <c r="D164" s="25">
        <v>5333.0</v>
      </c>
      <c r="E164" s="25" t="s">
        <v>41</v>
      </c>
      <c r="F164" s="25" t="s">
        <v>42</v>
      </c>
      <c r="G164" s="25" t="s">
        <v>608</v>
      </c>
      <c r="H164" s="25" t="s">
        <v>79</v>
      </c>
      <c r="I164" s="25"/>
      <c r="J164" s="25" t="s">
        <v>609</v>
      </c>
      <c r="K164" s="25"/>
      <c r="L164" s="26" t="s">
        <v>20</v>
      </c>
      <c r="M164" s="12">
        <v>44953.0</v>
      </c>
      <c r="N164" s="77" t="str">
        <f t="shared" si="1"/>
        <v>janeiro</v>
      </c>
    </row>
    <row r="165">
      <c r="A165" s="25" t="s">
        <v>610</v>
      </c>
      <c r="B165" s="59">
        <v>44953.3267784375</v>
      </c>
      <c r="C165" s="25" t="s">
        <v>611</v>
      </c>
      <c r="D165" s="25">
        <v>5320.0</v>
      </c>
      <c r="E165" s="20" t="s">
        <v>206</v>
      </c>
      <c r="F165" s="25" t="s">
        <v>178</v>
      </c>
      <c r="G165" s="25" t="s">
        <v>612</v>
      </c>
      <c r="H165" s="25" t="s">
        <v>30</v>
      </c>
      <c r="I165" s="25"/>
      <c r="J165" s="25" t="s">
        <v>613</v>
      </c>
      <c r="K165" s="25"/>
      <c r="L165" s="26" t="s">
        <v>20</v>
      </c>
      <c r="M165" s="12">
        <v>44970.0</v>
      </c>
      <c r="N165" s="77" t="str">
        <f t="shared" si="1"/>
        <v>janeiro</v>
      </c>
    </row>
    <row r="166">
      <c r="A166" s="25" t="s">
        <v>614</v>
      </c>
      <c r="B166" s="59">
        <v>44953.38943980324</v>
      </c>
      <c r="C166" s="25" t="s">
        <v>307</v>
      </c>
      <c r="D166" s="25">
        <v>3.4999071369E10</v>
      </c>
      <c r="E166" s="20" t="s">
        <v>308</v>
      </c>
      <c r="F166" s="25" t="s">
        <v>61</v>
      </c>
      <c r="G166" s="25" t="s">
        <v>615</v>
      </c>
      <c r="H166" s="25" t="s">
        <v>37</v>
      </c>
      <c r="I166" s="25"/>
      <c r="J166" s="25" t="s">
        <v>616</v>
      </c>
      <c r="K166" s="25"/>
      <c r="L166" s="26" t="s">
        <v>20</v>
      </c>
      <c r="M166" s="12">
        <v>44953.0</v>
      </c>
      <c r="N166" s="77" t="str">
        <f t="shared" si="1"/>
        <v>janeiro</v>
      </c>
    </row>
    <row r="167">
      <c r="A167" s="25" t="s">
        <v>617</v>
      </c>
      <c r="B167" s="59">
        <v>44953.391029907405</v>
      </c>
      <c r="C167" s="25" t="s">
        <v>307</v>
      </c>
      <c r="D167" s="25">
        <v>3.4999071369E10</v>
      </c>
      <c r="E167" s="20" t="s">
        <v>308</v>
      </c>
      <c r="F167" s="25" t="s">
        <v>61</v>
      </c>
      <c r="G167" s="25">
        <v>163.0</v>
      </c>
      <c r="H167" s="25" t="s">
        <v>37</v>
      </c>
      <c r="I167" s="25"/>
      <c r="J167" s="25" t="s">
        <v>618</v>
      </c>
      <c r="K167" s="25"/>
      <c r="L167" s="56" t="s">
        <v>74</v>
      </c>
      <c r="M167" s="86"/>
      <c r="N167" s="77" t="str">
        <f t="shared" si="1"/>
        <v>janeiro</v>
      </c>
    </row>
    <row r="168">
      <c r="A168" s="25" t="s">
        <v>619</v>
      </c>
      <c r="B168" s="59">
        <v>44953.39209212963</v>
      </c>
      <c r="C168" s="25" t="s">
        <v>620</v>
      </c>
      <c r="D168" s="25">
        <v>2200.0</v>
      </c>
      <c r="E168" s="25" t="s">
        <v>621</v>
      </c>
      <c r="F168" s="25" t="s">
        <v>86</v>
      </c>
      <c r="G168" s="25" t="s">
        <v>622</v>
      </c>
      <c r="H168" s="25" t="s">
        <v>37</v>
      </c>
      <c r="I168" s="25"/>
      <c r="J168" s="25" t="s">
        <v>623</v>
      </c>
      <c r="K168" s="25"/>
      <c r="L168" s="26" t="s">
        <v>20</v>
      </c>
      <c r="M168" s="12">
        <v>44972.0</v>
      </c>
      <c r="N168" s="77" t="str">
        <f t="shared" si="1"/>
        <v>janeiro</v>
      </c>
    </row>
    <row r="169">
      <c r="A169" s="25" t="s">
        <v>624</v>
      </c>
      <c r="B169" s="59">
        <v>44953.392736249996</v>
      </c>
      <c r="C169" s="25" t="s">
        <v>620</v>
      </c>
      <c r="D169" s="25">
        <v>2200.0</v>
      </c>
      <c r="E169" s="25" t="s">
        <v>621</v>
      </c>
      <c r="F169" s="25" t="s">
        <v>86</v>
      </c>
      <c r="G169" s="25" t="s">
        <v>625</v>
      </c>
      <c r="H169" s="25" t="s">
        <v>79</v>
      </c>
      <c r="I169" s="25"/>
      <c r="J169" s="25" t="s">
        <v>626</v>
      </c>
      <c r="K169" s="25"/>
      <c r="L169" s="26" t="s">
        <v>20</v>
      </c>
      <c r="M169" s="12">
        <v>44956.0</v>
      </c>
      <c r="N169" s="77" t="str">
        <f t="shared" si="1"/>
        <v>janeiro</v>
      </c>
    </row>
    <row r="170">
      <c r="A170" s="25" t="s">
        <v>627</v>
      </c>
      <c r="B170" s="59">
        <v>44953.4032437037</v>
      </c>
      <c r="C170" s="25" t="s">
        <v>628</v>
      </c>
      <c r="D170" s="25">
        <v>5306.0</v>
      </c>
      <c r="E170" s="25" t="s">
        <v>371</v>
      </c>
      <c r="F170" s="25" t="s">
        <v>49</v>
      </c>
      <c r="G170" s="25" t="s">
        <v>629</v>
      </c>
      <c r="H170" s="25" t="s">
        <v>37</v>
      </c>
      <c r="I170" s="25"/>
      <c r="J170" s="25" t="s">
        <v>630</v>
      </c>
      <c r="K170" s="25"/>
      <c r="L170" s="26" t="s">
        <v>20</v>
      </c>
      <c r="M170" s="12">
        <v>44928.0</v>
      </c>
      <c r="N170" s="77" t="str">
        <f t="shared" si="1"/>
        <v>janeiro</v>
      </c>
    </row>
    <row r="171">
      <c r="A171" s="25" t="s">
        <v>631</v>
      </c>
      <c r="B171" s="59">
        <v>44953.4294603125</v>
      </c>
      <c r="C171" s="25" t="s">
        <v>632</v>
      </c>
      <c r="D171" s="25">
        <v>5305.0</v>
      </c>
      <c r="E171" s="25" t="s">
        <v>183</v>
      </c>
      <c r="F171" s="25" t="s">
        <v>142</v>
      </c>
      <c r="G171" s="25" t="s">
        <v>528</v>
      </c>
      <c r="H171" s="25" t="s">
        <v>37</v>
      </c>
      <c r="I171" s="25"/>
      <c r="J171" s="25" t="s">
        <v>633</v>
      </c>
      <c r="K171" s="25"/>
      <c r="L171" s="26" t="s">
        <v>20</v>
      </c>
      <c r="M171" s="12">
        <v>44956.0</v>
      </c>
      <c r="N171" s="77" t="str">
        <f t="shared" si="1"/>
        <v>janeiro</v>
      </c>
    </row>
    <row r="172">
      <c r="A172" s="25" t="s">
        <v>634</v>
      </c>
      <c r="B172" s="59">
        <v>44953.432239629634</v>
      </c>
      <c r="C172" s="25" t="s">
        <v>370</v>
      </c>
      <c r="D172" s="25">
        <v>5360.0</v>
      </c>
      <c r="E172" s="25" t="s">
        <v>371</v>
      </c>
      <c r="F172" s="25" t="s">
        <v>49</v>
      </c>
      <c r="G172" s="25" t="s">
        <v>635</v>
      </c>
      <c r="H172" s="25" t="s">
        <v>18</v>
      </c>
      <c r="I172" s="25"/>
      <c r="J172" s="25" t="s">
        <v>636</v>
      </c>
      <c r="K172" s="25"/>
      <c r="L172" s="26" t="s">
        <v>20</v>
      </c>
      <c r="M172" s="12">
        <v>44984.0</v>
      </c>
      <c r="N172" s="77" t="str">
        <f t="shared" si="1"/>
        <v>janeiro</v>
      </c>
    </row>
    <row r="173">
      <c r="A173" s="25" t="s">
        <v>637</v>
      </c>
      <c r="B173" s="59">
        <v>44953.43758032407</v>
      </c>
      <c r="C173" s="25" t="s">
        <v>531</v>
      </c>
      <c r="D173" s="25">
        <v>5341.0</v>
      </c>
      <c r="E173" s="25" t="s">
        <v>532</v>
      </c>
      <c r="F173" s="25" t="s">
        <v>77</v>
      </c>
      <c r="G173" s="25" t="s">
        <v>638</v>
      </c>
      <c r="H173" s="25" t="s">
        <v>79</v>
      </c>
      <c r="I173" s="25"/>
      <c r="J173" s="25" t="s">
        <v>639</v>
      </c>
      <c r="K173" s="25"/>
      <c r="L173" s="26" t="s">
        <v>20</v>
      </c>
      <c r="M173" s="12">
        <v>45162.0</v>
      </c>
      <c r="N173" s="77" t="str">
        <f t="shared" si="1"/>
        <v>janeiro</v>
      </c>
    </row>
    <row r="174">
      <c r="A174" s="25" t="s">
        <v>640</v>
      </c>
      <c r="B174" s="59">
        <v>44953.490835358796</v>
      </c>
      <c r="C174" s="25" t="s">
        <v>641</v>
      </c>
      <c r="D174" s="25">
        <v>6.4999344232E10</v>
      </c>
      <c r="E174" s="7" t="s">
        <v>199</v>
      </c>
      <c r="F174" s="25" t="s">
        <v>55</v>
      </c>
      <c r="G174" s="25" t="s">
        <v>642</v>
      </c>
      <c r="H174" s="25" t="s">
        <v>30</v>
      </c>
      <c r="I174" s="25"/>
      <c r="J174" s="25" t="s">
        <v>643</v>
      </c>
      <c r="K174" s="25"/>
      <c r="L174" s="26" t="s">
        <v>20</v>
      </c>
      <c r="M174" s="12">
        <v>44984.0</v>
      </c>
      <c r="N174" s="77" t="str">
        <f t="shared" si="1"/>
        <v>janeiro</v>
      </c>
    </row>
    <row r="175">
      <c r="A175" s="25" t="s">
        <v>644</v>
      </c>
      <c r="B175" s="59">
        <v>44953.52582572917</v>
      </c>
      <c r="C175" s="25" t="s">
        <v>645</v>
      </c>
      <c r="D175" s="25">
        <v>5305.0</v>
      </c>
      <c r="E175" s="25" t="s">
        <v>183</v>
      </c>
      <c r="F175" s="25" t="s">
        <v>142</v>
      </c>
      <c r="G175" s="25" t="s">
        <v>646</v>
      </c>
      <c r="H175" s="25" t="s">
        <v>18</v>
      </c>
      <c r="I175" s="25"/>
      <c r="J175" s="25" t="s">
        <v>647</v>
      </c>
      <c r="K175" s="25"/>
      <c r="L175" s="26" t="s">
        <v>20</v>
      </c>
      <c r="M175" s="12">
        <v>44928.0</v>
      </c>
      <c r="N175" s="77" t="str">
        <f t="shared" si="1"/>
        <v>janeiro</v>
      </c>
    </row>
    <row r="176">
      <c r="A176" s="25" t="s">
        <v>648</v>
      </c>
      <c r="B176" s="59">
        <v>44953.541065729165</v>
      </c>
      <c r="C176" s="25" t="s">
        <v>451</v>
      </c>
      <c r="D176" s="25">
        <v>5304.0</v>
      </c>
      <c r="E176" s="25" t="s">
        <v>27</v>
      </c>
      <c r="F176" s="25" t="s">
        <v>28</v>
      </c>
      <c r="G176" s="25">
        <v>4.0</v>
      </c>
      <c r="H176" s="25" t="s">
        <v>30</v>
      </c>
      <c r="I176" s="25"/>
      <c r="J176" s="25" t="s">
        <v>649</v>
      </c>
      <c r="K176" s="25"/>
      <c r="L176" s="26" t="s">
        <v>20</v>
      </c>
      <c r="M176" s="12">
        <v>44957.0</v>
      </c>
      <c r="N176" s="77" t="str">
        <f t="shared" si="1"/>
        <v>janeiro</v>
      </c>
    </row>
    <row r="177">
      <c r="A177" s="25" t="s">
        <v>650</v>
      </c>
      <c r="B177" s="59">
        <v>44953.0</v>
      </c>
      <c r="C177" s="25" t="s">
        <v>651</v>
      </c>
      <c r="D177" s="25">
        <v>5349.0</v>
      </c>
      <c r="E177" s="25" t="s">
        <v>60</v>
      </c>
      <c r="F177" s="25" t="s">
        <v>61</v>
      </c>
      <c r="G177" s="25" t="s">
        <v>598</v>
      </c>
      <c r="H177" s="25" t="s">
        <v>162</v>
      </c>
      <c r="I177" s="25"/>
      <c r="J177" s="25" t="s">
        <v>652</v>
      </c>
      <c r="K177" s="25"/>
      <c r="L177" s="26" t="s">
        <v>20</v>
      </c>
      <c r="M177" s="12">
        <v>44957.0</v>
      </c>
      <c r="N177" s="77" t="str">
        <f t="shared" si="1"/>
        <v>janeiro</v>
      </c>
    </row>
    <row r="178">
      <c r="A178" s="25" t="s">
        <v>653</v>
      </c>
      <c r="B178" s="59">
        <v>44954.0</v>
      </c>
      <c r="C178" s="25" t="s">
        <v>159</v>
      </c>
      <c r="D178" s="25">
        <v>5313.0</v>
      </c>
      <c r="E178" s="25" t="s">
        <v>160</v>
      </c>
      <c r="F178" s="25" t="s">
        <v>77</v>
      </c>
      <c r="G178" s="25" t="s">
        <v>654</v>
      </c>
      <c r="H178" s="25" t="s">
        <v>162</v>
      </c>
      <c r="I178" s="25"/>
      <c r="J178" s="25" t="s">
        <v>655</v>
      </c>
      <c r="K178" s="25"/>
      <c r="L178" s="26" t="s">
        <v>20</v>
      </c>
      <c r="M178" s="12">
        <v>44984.0</v>
      </c>
      <c r="N178" s="77" t="str">
        <f t="shared" si="1"/>
        <v>janeiro</v>
      </c>
    </row>
    <row r="179">
      <c r="A179" s="25" t="s">
        <v>656</v>
      </c>
      <c r="B179" s="59">
        <v>44954.0</v>
      </c>
      <c r="C179" s="25" t="s">
        <v>159</v>
      </c>
      <c r="D179" s="25">
        <v>5313.0</v>
      </c>
      <c r="E179" s="25" t="s">
        <v>160</v>
      </c>
      <c r="F179" s="25" t="s">
        <v>77</v>
      </c>
      <c r="G179" s="25" t="s">
        <v>654</v>
      </c>
      <c r="H179" s="25" t="s">
        <v>79</v>
      </c>
      <c r="I179" s="25"/>
      <c r="J179" s="25" t="s">
        <v>657</v>
      </c>
      <c r="K179" s="25"/>
      <c r="L179" s="26" t="s">
        <v>20</v>
      </c>
      <c r="M179" s="12">
        <v>44984.0</v>
      </c>
      <c r="N179" s="77" t="str">
        <f t="shared" si="1"/>
        <v>janeiro</v>
      </c>
    </row>
    <row r="180">
      <c r="A180" s="25" t="s">
        <v>658</v>
      </c>
      <c r="B180" s="59">
        <v>44956.0</v>
      </c>
      <c r="C180" s="25" t="s">
        <v>659</v>
      </c>
      <c r="D180" s="25">
        <v>5340.0</v>
      </c>
      <c r="E180" s="25" t="s">
        <v>183</v>
      </c>
      <c r="F180" s="25" t="s">
        <v>142</v>
      </c>
      <c r="G180" s="25" t="s">
        <v>660</v>
      </c>
      <c r="H180" s="25" t="s">
        <v>162</v>
      </c>
      <c r="I180" s="25"/>
      <c r="J180" s="25" t="s">
        <v>661</v>
      </c>
      <c r="K180" s="25"/>
      <c r="L180" s="26" t="s">
        <v>20</v>
      </c>
      <c r="M180" s="12">
        <v>44956.0</v>
      </c>
      <c r="N180" s="77" t="str">
        <f t="shared" si="1"/>
        <v>janeiro</v>
      </c>
    </row>
    <row r="181">
      <c r="A181" s="25" t="s">
        <v>662</v>
      </c>
      <c r="B181" s="59">
        <v>44956.40775909722</v>
      </c>
      <c r="C181" s="25" t="s">
        <v>205</v>
      </c>
      <c r="D181" s="25">
        <v>5316.0</v>
      </c>
      <c r="E181" s="20" t="s">
        <v>206</v>
      </c>
      <c r="F181" s="25" t="s">
        <v>61</v>
      </c>
      <c r="G181" s="25">
        <v>356.0</v>
      </c>
      <c r="H181" s="25" t="s">
        <v>37</v>
      </c>
      <c r="I181" s="25"/>
      <c r="J181" s="25" t="s">
        <v>663</v>
      </c>
      <c r="K181" s="25"/>
      <c r="L181" s="26" t="s">
        <v>20</v>
      </c>
      <c r="M181" s="12">
        <v>44998.0</v>
      </c>
      <c r="N181" s="77" t="str">
        <f t="shared" si="1"/>
        <v>janeiro</v>
      </c>
    </row>
    <row r="182">
      <c r="A182" s="25" t="s">
        <v>664</v>
      </c>
      <c r="B182" s="59">
        <v>44956.4532290625</v>
      </c>
      <c r="C182" s="25" t="s">
        <v>665</v>
      </c>
      <c r="D182" s="25">
        <v>5336.0</v>
      </c>
      <c r="E182" s="7" t="s">
        <v>666</v>
      </c>
      <c r="F182" s="25" t="s">
        <v>82</v>
      </c>
      <c r="G182" s="25" t="s">
        <v>667</v>
      </c>
      <c r="H182" s="25" t="s">
        <v>30</v>
      </c>
      <c r="I182" s="25"/>
      <c r="J182" s="25" t="s">
        <v>668</v>
      </c>
      <c r="K182" s="25"/>
      <c r="L182" s="26" t="s">
        <v>20</v>
      </c>
      <c r="M182" s="12">
        <v>44958.0</v>
      </c>
      <c r="N182" s="77" t="str">
        <f t="shared" si="1"/>
        <v>janeiro</v>
      </c>
    </row>
    <row r="183">
      <c r="A183" s="25" t="s">
        <v>669</v>
      </c>
      <c r="B183" s="59">
        <v>44956.49755707176</v>
      </c>
      <c r="C183" s="25" t="s">
        <v>215</v>
      </c>
      <c r="D183" s="25">
        <v>5333.0</v>
      </c>
      <c r="E183" s="25" t="s">
        <v>41</v>
      </c>
      <c r="F183" s="25" t="s">
        <v>42</v>
      </c>
      <c r="G183" s="25" t="s">
        <v>670</v>
      </c>
      <c r="H183" s="25" t="s">
        <v>37</v>
      </c>
      <c r="I183" s="25"/>
      <c r="J183" s="25" t="s">
        <v>671</v>
      </c>
      <c r="K183" s="25"/>
      <c r="L183" s="26" t="s">
        <v>20</v>
      </c>
      <c r="M183" s="12">
        <v>44956.0</v>
      </c>
      <c r="N183" s="77" t="str">
        <f t="shared" si="1"/>
        <v>janeiro</v>
      </c>
    </row>
    <row r="184">
      <c r="A184" s="25" t="s">
        <v>672</v>
      </c>
      <c r="B184" s="59">
        <v>44956.63389075232</v>
      </c>
      <c r="C184" s="25" t="s">
        <v>673</v>
      </c>
      <c r="D184" s="25">
        <v>5335.0</v>
      </c>
      <c r="E184" s="25" t="s">
        <v>674</v>
      </c>
      <c r="F184" s="25" t="s">
        <v>82</v>
      </c>
      <c r="G184" s="25" t="s">
        <v>675</v>
      </c>
      <c r="H184" s="25" t="s">
        <v>30</v>
      </c>
      <c r="I184" s="25"/>
      <c r="J184" s="25" t="s">
        <v>676</v>
      </c>
      <c r="K184" s="25"/>
      <c r="L184" s="56" t="s">
        <v>74</v>
      </c>
      <c r="M184" s="86">
        <v>44956.0</v>
      </c>
      <c r="N184" s="77" t="str">
        <f t="shared" si="1"/>
        <v>janeiro</v>
      </c>
    </row>
    <row r="185">
      <c r="A185" s="25" t="s">
        <v>677</v>
      </c>
      <c r="B185" s="59">
        <v>44956.64543025463</v>
      </c>
      <c r="C185" s="25" t="s">
        <v>215</v>
      </c>
      <c r="D185" s="25">
        <v>5333.0</v>
      </c>
      <c r="E185" s="25" t="s">
        <v>41</v>
      </c>
      <c r="F185" s="25" t="s">
        <v>42</v>
      </c>
      <c r="G185" s="25" t="s">
        <v>550</v>
      </c>
      <c r="H185" s="25" t="s">
        <v>37</v>
      </c>
      <c r="I185" s="25"/>
      <c r="J185" s="25" t="s">
        <v>678</v>
      </c>
      <c r="K185" s="25"/>
      <c r="L185" s="26" t="s">
        <v>20</v>
      </c>
      <c r="M185" s="12">
        <v>44958.0</v>
      </c>
      <c r="N185" s="77" t="str">
        <f t="shared" si="1"/>
        <v>janeiro</v>
      </c>
    </row>
    <row r="186">
      <c r="A186" s="25" t="s">
        <v>679</v>
      </c>
      <c r="B186" s="59">
        <v>44956.64631784722</v>
      </c>
      <c r="C186" s="25" t="s">
        <v>680</v>
      </c>
      <c r="D186" s="25">
        <v>5333.0</v>
      </c>
      <c r="E186" s="25" t="s">
        <v>41</v>
      </c>
      <c r="F186" s="25" t="s">
        <v>42</v>
      </c>
      <c r="G186" s="25" t="s">
        <v>550</v>
      </c>
      <c r="H186" s="25" t="s">
        <v>37</v>
      </c>
      <c r="I186" s="25"/>
      <c r="J186" s="25" t="s">
        <v>681</v>
      </c>
      <c r="K186" s="25"/>
      <c r="L186" s="26" t="s">
        <v>20</v>
      </c>
      <c r="M186" s="12">
        <v>44958.0</v>
      </c>
      <c r="N186" s="77" t="str">
        <f t="shared" si="1"/>
        <v>janeiro</v>
      </c>
    </row>
    <row r="187">
      <c r="A187" s="25" t="s">
        <v>682</v>
      </c>
      <c r="B187" s="59">
        <v>44957.33874670139</v>
      </c>
      <c r="C187" s="25" t="s">
        <v>683</v>
      </c>
      <c r="D187" s="25">
        <v>5340.0</v>
      </c>
      <c r="E187" s="25" t="s">
        <v>70</v>
      </c>
      <c r="F187" s="25" t="s">
        <v>100</v>
      </c>
      <c r="G187" s="25" t="s">
        <v>684</v>
      </c>
      <c r="H187" s="25" t="s">
        <v>79</v>
      </c>
      <c r="I187" s="25"/>
      <c r="J187" s="25" t="s">
        <v>685</v>
      </c>
      <c r="K187" s="25"/>
      <c r="L187" s="26" t="s">
        <v>20</v>
      </c>
      <c r="M187" s="12">
        <v>44957.0</v>
      </c>
      <c r="N187" s="77" t="str">
        <f t="shared" si="1"/>
        <v>janeiro</v>
      </c>
    </row>
    <row r="188">
      <c r="A188" s="25" t="s">
        <v>686</v>
      </c>
      <c r="B188" s="59">
        <v>44957.44521177083</v>
      </c>
      <c r="C188" s="25" t="s">
        <v>339</v>
      </c>
      <c r="D188" s="25" t="s">
        <v>687</v>
      </c>
      <c r="E188" s="25" t="s">
        <v>284</v>
      </c>
      <c r="F188" s="25" t="s">
        <v>86</v>
      </c>
      <c r="G188" s="25" t="s">
        <v>688</v>
      </c>
      <c r="H188" s="25" t="s">
        <v>79</v>
      </c>
      <c r="I188" s="25"/>
      <c r="J188" s="25" t="s">
        <v>689</v>
      </c>
      <c r="K188" s="25"/>
      <c r="L188" s="26" t="s">
        <v>20</v>
      </c>
      <c r="M188" s="12">
        <v>44985.0</v>
      </c>
      <c r="N188" s="77" t="str">
        <f t="shared" si="1"/>
        <v>janeiro</v>
      </c>
    </row>
    <row r="189">
      <c r="A189" s="25" t="s">
        <v>690</v>
      </c>
      <c r="B189" s="59">
        <v>44957.458289305556</v>
      </c>
      <c r="C189" s="25" t="s">
        <v>215</v>
      </c>
      <c r="D189" s="25">
        <v>6.198346672E10</v>
      </c>
      <c r="E189" s="25" t="s">
        <v>41</v>
      </c>
      <c r="F189" s="25" t="s">
        <v>42</v>
      </c>
      <c r="G189" s="25" t="s">
        <v>691</v>
      </c>
      <c r="H189" s="25" t="s">
        <v>162</v>
      </c>
      <c r="I189" s="25"/>
      <c r="J189" s="25" t="s">
        <v>692</v>
      </c>
      <c r="K189" s="25"/>
      <c r="L189" s="26" t="s">
        <v>20</v>
      </c>
      <c r="M189" s="12">
        <v>44971.0</v>
      </c>
      <c r="N189" s="77" t="str">
        <f t="shared" si="1"/>
        <v>janeiro</v>
      </c>
    </row>
    <row r="190">
      <c r="A190" s="25" t="s">
        <v>693</v>
      </c>
      <c r="B190" s="59">
        <v>44958.29111634259</v>
      </c>
      <c r="C190" s="25" t="s">
        <v>694</v>
      </c>
      <c r="D190" s="25">
        <v>6.4992610995E10</v>
      </c>
      <c r="E190" s="25" t="s">
        <v>34</v>
      </c>
      <c r="F190" s="25" t="s">
        <v>188</v>
      </c>
      <c r="G190" s="25" t="s">
        <v>581</v>
      </c>
      <c r="H190" s="25" t="s">
        <v>79</v>
      </c>
      <c r="I190" s="25"/>
      <c r="J190" s="25" t="s">
        <v>695</v>
      </c>
      <c r="K190" s="25"/>
      <c r="L190" s="26" t="s">
        <v>20</v>
      </c>
      <c r="M190" s="12">
        <v>44958.0</v>
      </c>
      <c r="N190" s="77" t="str">
        <f t="shared" si="1"/>
        <v>fevereiro</v>
      </c>
    </row>
    <row r="191">
      <c r="A191" s="25" t="s">
        <v>696</v>
      </c>
      <c r="B191" s="59">
        <v>44958.342897581024</v>
      </c>
      <c r="C191" s="25" t="s">
        <v>697</v>
      </c>
      <c r="D191" s="25">
        <v>5347.0</v>
      </c>
      <c r="E191" s="25" t="s">
        <v>160</v>
      </c>
      <c r="F191" s="25" t="s">
        <v>698</v>
      </c>
      <c r="G191" s="25">
        <v>24.0</v>
      </c>
      <c r="H191" s="25" t="s">
        <v>37</v>
      </c>
      <c r="I191" s="25"/>
      <c r="J191" s="25" t="s">
        <v>699</v>
      </c>
      <c r="K191" s="25"/>
      <c r="L191" s="26" t="s">
        <v>20</v>
      </c>
      <c r="M191" s="12">
        <v>44958.0</v>
      </c>
      <c r="N191" s="77" t="str">
        <f t="shared" si="1"/>
        <v>fevereiro</v>
      </c>
    </row>
    <row r="192">
      <c r="A192" s="25" t="s">
        <v>700</v>
      </c>
      <c r="B192" s="59">
        <v>44958.38596155093</v>
      </c>
      <c r="C192" s="25" t="s">
        <v>280</v>
      </c>
      <c r="D192" s="25">
        <v>5333.0</v>
      </c>
      <c r="E192" s="25" t="s">
        <v>41</v>
      </c>
      <c r="F192" s="25" t="s">
        <v>82</v>
      </c>
      <c r="G192" s="25">
        <v>101.0</v>
      </c>
      <c r="H192" s="25" t="s">
        <v>30</v>
      </c>
      <c r="I192" s="25"/>
      <c r="J192" s="25" t="s">
        <v>701</v>
      </c>
      <c r="K192" s="25"/>
      <c r="L192" s="26" t="s">
        <v>20</v>
      </c>
      <c r="M192" s="12">
        <v>44963.0</v>
      </c>
      <c r="N192" s="77" t="str">
        <f t="shared" si="1"/>
        <v>fevereiro</v>
      </c>
    </row>
    <row r="193">
      <c r="A193" s="25" t="s">
        <v>702</v>
      </c>
      <c r="B193" s="59">
        <v>44958.40596042824</v>
      </c>
      <c r="C193" s="25" t="s">
        <v>41</v>
      </c>
      <c r="D193" s="25">
        <v>5333.0</v>
      </c>
      <c r="E193" s="25" t="s">
        <v>41</v>
      </c>
      <c r="F193" s="25" t="s">
        <v>483</v>
      </c>
      <c r="G193" s="25" t="s">
        <v>703</v>
      </c>
      <c r="H193" s="25" t="s">
        <v>79</v>
      </c>
      <c r="I193" s="25"/>
      <c r="J193" s="25" t="s">
        <v>704</v>
      </c>
      <c r="K193" s="25"/>
      <c r="L193" s="26" t="s">
        <v>20</v>
      </c>
      <c r="M193" s="12">
        <v>44958.0</v>
      </c>
      <c r="N193" s="77" t="str">
        <f t="shared" si="1"/>
        <v>fevereiro</v>
      </c>
    </row>
    <row r="194">
      <c r="A194" s="25" t="s">
        <v>705</v>
      </c>
      <c r="B194" s="59">
        <v>44958.40984212963</v>
      </c>
      <c r="C194" s="25" t="s">
        <v>531</v>
      </c>
      <c r="D194" s="25">
        <v>5341.0</v>
      </c>
      <c r="E194" s="25" t="s">
        <v>532</v>
      </c>
      <c r="F194" s="25" t="s">
        <v>35</v>
      </c>
      <c r="G194" s="25" t="s">
        <v>706</v>
      </c>
      <c r="H194" s="25" t="s">
        <v>30</v>
      </c>
      <c r="I194" s="25"/>
      <c r="J194" s="25" t="s">
        <v>707</v>
      </c>
      <c r="K194" s="25"/>
      <c r="L194" s="26" t="s">
        <v>20</v>
      </c>
      <c r="M194" s="12">
        <v>44967.0</v>
      </c>
      <c r="N194" s="77" t="str">
        <f t="shared" si="1"/>
        <v>fevereiro</v>
      </c>
    </row>
    <row r="195">
      <c r="A195" s="25" t="s">
        <v>708</v>
      </c>
      <c r="B195" s="59">
        <v>44958.41348935185</v>
      </c>
      <c r="C195" s="25" t="s">
        <v>531</v>
      </c>
      <c r="D195" s="25">
        <v>5341.0</v>
      </c>
      <c r="E195" s="25" t="s">
        <v>532</v>
      </c>
      <c r="F195" s="25" t="s">
        <v>709</v>
      </c>
      <c r="G195" s="25" t="s">
        <v>179</v>
      </c>
      <c r="H195" s="25" t="s">
        <v>79</v>
      </c>
      <c r="I195" s="25"/>
      <c r="J195" s="25" t="s">
        <v>710</v>
      </c>
      <c r="K195" s="25"/>
      <c r="L195" s="26" t="s">
        <v>20</v>
      </c>
      <c r="M195" s="12">
        <v>44959.0</v>
      </c>
      <c r="N195" s="77" t="str">
        <f t="shared" si="1"/>
        <v>fevereiro</v>
      </c>
    </row>
    <row r="196">
      <c r="A196" s="25" t="s">
        <v>711</v>
      </c>
      <c r="B196" s="59">
        <v>44958.41989471065</v>
      </c>
      <c r="C196" s="25" t="s">
        <v>553</v>
      </c>
      <c r="D196" s="25">
        <v>5318.0</v>
      </c>
      <c r="E196" s="25" t="s">
        <v>15</v>
      </c>
      <c r="F196" s="25" t="s">
        <v>49</v>
      </c>
      <c r="G196" s="25" t="s">
        <v>712</v>
      </c>
      <c r="H196" s="25" t="s">
        <v>37</v>
      </c>
      <c r="I196" s="25"/>
      <c r="J196" s="25" t="s">
        <v>713</v>
      </c>
      <c r="K196" s="25"/>
      <c r="L196" s="26" t="s">
        <v>20</v>
      </c>
      <c r="M196" s="12">
        <v>44967.0</v>
      </c>
      <c r="N196" s="77" t="str">
        <f t="shared" si="1"/>
        <v>fevereiro</v>
      </c>
    </row>
    <row r="197">
      <c r="A197" s="25" t="s">
        <v>714</v>
      </c>
      <c r="B197" s="59">
        <v>44958.45382199074</v>
      </c>
      <c r="C197" s="25" t="s">
        <v>221</v>
      </c>
      <c r="D197" s="25">
        <v>5333.0</v>
      </c>
      <c r="E197" s="25" t="s">
        <v>41</v>
      </c>
      <c r="F197" s="25" t="s">
        <v>703</v>
      </c>
      <c r="G197" s="25" t="s">
        <v>703</v>
      </c>
      <c r="H197" s="25" t="s">
        <v>37</v>
      </c>
      <c r="I197" s="25"/>
      <c r="J197" s="25" t="s">
        <v>715</v>
      </c>
      <c r="K197" s="25"/>
      <c r="L197" s="26" t="s">
        <v>20</v>
      </c>
      <c r="M197" s="11">
        <v>44958.0</v>
      </c>
      <c r="N197" s="77" t="str">
        <f t="shared" si="1"/>
        <v>fevereiro</v>
      </c>
    </row>
    <row r="198">
      <c r="A198" s="25" t="s">
        <v>716</v>
      </c>
      <c r="B198" s="59">
        <v>44958.57498599537</v>
      </c>
      <c r="C198" s="25" t="s">
        <v>321</v>
      </c>
      <c r="D198" s="25">
        <v>3.4415305E7</v>
      </c>
      <c r="E198" s="25" t="s">
        <v>183</v>
      </c>
      <c r="F198" s="25" t="s">
        <v>142</v>
      </c>
      <c r="G198" s="25" t="s">
        <v>717</v>
      </c>
      <c r="H198" s="25" t="s">
        <v>79</v>
      </c>
      <c r="I198" s="25"/>
      <c r="J198" s="25" t="s">
        <v>718</v>
      </c>
      <c r="K198" s="25"/>
      <c r="L198" s="26" t="s">
        <v>20</v>
      </c>
      <c r="M198" s="12">
        <v>45163.0</v>
      </c>
      <c r="N198" s="77" t="str">
        <f t="shared" si="1"/>
        <v>fevereiro</v>
      </c>
    </row>
    <row r="199">
      <c r="A199" s="25" t="s">
        <v>719</v>
      </c>
      <c r="B199" s="59">
        <v>44958.619421296295</v>
      </c>
      <c r="C199" s="25" t="s">
        <v>620</v>
      </c>
      <c r="D199" s="25">
        <v>2200.0</v>
      </c>
      <c r="E199" s="25" t="s">
        <v>621</v>
      </c>
      <c r="F199" s="25" t="s">
        <v>86</v>
      </c>
      <c r="G199" s="25" t="s">
        <v>720</v>
      </c>
      <c r="H199" s="25" t="s">
        <v>162</v>
      </c>
      <c r="I199" s="25"/>
      <c r="J199" s="25" t="s">
        <v>721</v>
      </c>
      <c r="K199" s="25"/>
      <c r="L199" s="26" t="s">
        <v>20</v>
      </c>
      <c r="M199" s="12">
        <v>44958.0</v>
      </c>
      <c r="N199" s="77" t="str">
        <f t="shared" si="1"/>
        <v>fevereiro</v>
      </c>
    </row>
    <row r="200">
      <c r="A200" s="25" t="s">
        <v>722</v>
      </c>
      <c r="B200" s="59">
        <v>44958.655445578705</v>
      </c>
      <c r="C200" s="25" t="s">
        <v>339</v>
      </c>
      <c r="D200" s="25" t="s">
        <v>723</v>
      </c>
      <c r="E200" s="25" t="s">
        <v>284</v>
      </c>
      <c r="F200" s="25" t="s">
        <v>86</v>
      </c>
      <c r="G200" s="25" t="s">
        <v>724</v>
      </c>
      <c r="H200" s="25" t="s">
        <v>37</v>
      </c>
      <c r="I200" s="25"/>
      <c r="J200" s="25" t="s">
        <v>725</v>
      </c>
      <c r="K200" s="25"/>
      <c r="L200" s="26" t="s">
        <v>20</v>
      </c>
      <c r="M200" s="12">
        <v>44963.0</v>
      </c>
      <c r="N200" s="77" t="str">
        <f t="shared" si="1"/>
        <v>fevereiro</v>
      </c>
    </row>
    <row r="201">
      <c r="A201" s="25" t="s">
        <v>726</v>
      </c>
      <c r="B201" s="59">
        <v>44958.6964652662</v>
      </c>
      <c r="C201" s="25" t="s">
        <v>727</v>
      </c>
      <c r="D201" s="25">
        <v>5332.0</v>
      </c>
      <c r="E201" s="25" t="s">
        <v>728</v>
      </c>
      <c r="F201" s="25" t="s">
        <v>103</v>
      </c>
      <c r="G201" s="25" t="s">
        <v>452</v>
      </c>
      <c r="H201" s="25" t="s">
        <v>37</v>
      </c>
      <c r="I201" s="25"/>
      <c r="J201" s="25" t="s">
        <v>729</v>
      </c>
      <c r="K201" s="25"/>
      <c r="L201" s="26" t="s">
        <v>20</v>
      </c>
      <c r="M201" s="12">
        <v>44973.0</v>
      </c>
      <c r="N201" s="77" t="str">
        <f t="shared" si="1"/>
        <v>fevereiro</v>
      </c>
    </row>
    <row r="202">
      <c r="A202" s="25" t="s">
        <v>730</v>
      </c>
      <c r="B202" s="59">
        <v>44959.39376021991</v>
      </c>
      <c r="C202" s="25" t="s">
        <v>731</v>
      </c>
      <c r="D202" s="25">
        <v>7617.0</v>
      </c>
      <c r="E202" s="7" t="s">
        <v>666</v>
      </c>
      <c r="F202" s="25" t="s">
        <v>82</v>
      </c>
      <c r="G202" s="25" t="s">
        <v>732</v>
      </c>
      <c r="H202" s="25" t="s">
        <v>37</v>
      </c>
      <c r="I202" s="25"/>
      <c r="J202" s="25" t="s">
        <v>733</v>
      </c>
      <c r="K202" s="25"/>
      <c r="L202" s="26" t="s">
        <v>20</v>
      </c>
      <c r="M202" s="12">
        <v>44960.0</v>
      </c>
      <c r="N202" s="77" t="str">
        <f t="shared" si="1"/>
        <v>fevereiro</v>
      </c>
    </row>
    <row r="203">
      <c r="A203" s="88" t="s">
        <v>734</v>
      </c>
      <c r="B203" s="8">
        <v>44959.41958855324</v>
      </c>
      <c r="C203" s="7" t="s">
        <v>735</v>
      </c>
      <c r="D203" s="7">
        <v>2200.0</v>
      </c>
      <c r="E203" s="25" t="s">
        <v>621</v>
      </c>
      <c r="F203" s="25" t="s">
        <v>86</v>
      </c>
      <c r="G203" s="9" t="s">
        <v>736</v>
      </c>
      <c r="H203" s="7" t="s">
        <v>129</v>
      </c>
      <c r="I203" s="7"/>
      <c r="J203" s="7" t="s">
        <v>737</v>
      </c>
      <c r="K203" s="30"/>
      <c r="L203" s="10" t="s">
        <v>738</v>
      </c>
      <c r="M203" s="43"/>
      <c r="N203" s="77" t="str">
        <f t="shared" si="1"/>
        <v>fevereiro</v>
      </c>
    </row>
    <row r="204">
      <c r="A204" s="60" t="s">
        <v>739</v>
      </c>
      <c r="B204" s="8">
        <v>44959.436307083335</v>
      </c>
      <c r="C204" s="60" t="s">
        <v>194</v>
      </c>
      <c r="D204" s="60" t="s">
        <v>740</v>
      </c>
      <c r="E204" s="20" t="s">
        <v>226</v>
      </c>
      <c r="F204" s="60" t="s">
        <v>741</v>
      </c>
      <c r="G204" s="60" t="s">
        <v>742</v>
      </c>
      <c r="H204" s="60" t="s">
        <v>37</v>
      </c>
      <c r="I204" s="60"/>
      <c r="J204" s="60" t="s">
        <v>743</v>
      </c>
      <c r="K204" s="10" t="s">
        <v>744</v>
      </c>
      <c r="L204" s="60" t="s">
        <v>738</v>
      </c>
      <c r="M204" s="60"/>
      <c r="N204" s="77" t="str">
        <f t="shared" si="1"/>
        <v>fevereiro</v>
      </c>
    </row>
    <row r="205">
      <c r="A205" s="25" t="s">
        <v>745</v>
      </c>
      <c r="B205" s="59">
        <v>44959.52183244213</v>
      </c>
      <c r="C205" s="25" t="s">
        <v>59</v>
      </c>
      <c r="D205" s="25">
        <v>5349.0</v>
      </c>
      <c r="E205" s="25" t="s">
        <v>60</v>
      </c>
      <c r="F205" s="25" t="s">
        <v>746</v>
      </c>
      <c r="G205" s="25" t="s">
        <v>747</v>
      </c>
      <c r="H205" s="25" t="s">
        <v>30</v>
      </c>
      <c r="I205" s="25"/>
      <c r="J205" s="25" t="s">
        <v>748</v>
      </c>
      <c r="K205" s="25"/>
      <c r="L205" s="26" t="s">
        <v>20</v>
      </c>
      <c r="M205" s="12">
        <v>44972.0</v>
      </c>
      <c r="N205" s="77" t="str">
        <f t="shared" si="1"/>
        <v>fevereiro</v>
      </c>
    </row>
    <row r="206">
      <c r="A206" s="25" t="s">
        <v>749</v>
      </c>
      <c r="B206" s="59">
        <v>44959.591179571755</v>
      </c>
      <c r="C206" s="25" t="s">
        <v>750</v>
      </c>
      <c r="D206" s="25">
        <v>6.434415399E9</v>
      </c>
      <c r="E206" s="25" t="s">
        <v>540</v>
      </c>
      <c r="F206" s="25" t="s">
        <v>82</v>
      </c>
      <c r="G206" s="25" t="s">
        <v>751</v>
      </c>
      <c r="H206" s="25" t="s">
        <v>30</v>
      </c>
      <c r="I206" s="25"/>
      <c r="J206" s="25" t="s">
        <v>752</v>
      </c>
      <c r="K206" s="25"/>
      <c r="L206" s="26" t="s">
        <v>20</v>
      </c>
      <c r="M206" s="12">
        <v>44963.0</v>
      </c>
      <c r="N206" s="77" t="str">
        <f t="shared" si="1"/>
        <v>fevereiro</v>
      </c>
    </row>
    <row r="207">
      <c r="A207" s="88" t="s">
        <v>753</v>
      </c>
      <c r="B207" s="8">
        <v>44959.65916206018</v>
      </c>
      <c r="C207" s="7" t="s">
        <v>754</v>
      </c>
      <c r="D207" s="7">
        <v>3.4992161116E10</v>
      </c>
      <c r="E207" s="25" t="s">
        <v>34</v>
      </c>
      <c r="F207" s="7" t="s">
        <v>755</v>
      </c>
      <c r="G207" s="9">
        <v>22.0</v>
      </c>
      <c r="H207" s="7" t="s">
        <v>79</v>
      </c>
      <c r="I207" s="7"/>
      <c r="J207" s="7" t="s">
        <v>756</v>
      </c>
      <c r="K207" s="32"/>
      <c r="L207" s="7" t="s">
        <v>20</v>
      </c>
      <c r="M207" s="18">
        <v>45153.0</v>
      </c>
      <c r="N207" s="77" t="str">
        <f t="shared" si="1"/>
        <v>fevereiro</v>
      </c>
    </row>
    <row r="208">
      <c r="A208" s="25" t="s">
        <v>757</v>
      </c>
      <c r="B208" s="59">
        <v>44959.68659967593</v>
      </c>
      <c r="C208" s="25" t="s">
        <v>758</v>
      </c>
      <c r="D208" s="25">
        <v>5313.0</v>
      </c>
      <c r="E208" s="25" t="s">
        <v>160</v>
      </c>
      <c r="F208" s="25" t="s">
        <v>77</v>
      </c>
      <c r="G208" s="25" t="s">
        <v>759</v>
      </c>
      <c r="H208" s="25" t="s">
        <v>37</v>
      </c>
      <c r="I208" s="25"/>
      <c r="J208" s="25" t="s">
        <v>760</v>
      </c>
      <c r="K208" s="25"/>
      <c r="L208" s="26" t="s">
        <v>20</v>
      </c>
      <c r="M208" s="12">
        <v>44964.0</v>
      </c>
      <c r="N208" s="77" t="str">
        <f t="shared" si="1"/>
        <v>fevereiro</v>
      </c>
    </row>
    <row r="209">
      <c r="A209" s="25" t="s">
        <v>761</v>
      </c>
      <c r="B209" s="59">
        <v>44959.70183413195</v>
      </c>
      <c r="C209" s="25" t="s">
        <v>762</v>
      </c>
      <c r="D209" s="25">
        <v>3.4999071369E10</v>
      </c>
      <c r="E209" s="20" t="s">
        <v>308</v>
      </c>
      <c r="F209" s="25" t="s">
        <v>763</v>
      </c>
      <c r="G209" s="25">
        <v>5.0</v>
      </c>
      <c r="H209" s="25" t="s">
        <v>764</v>
      </c>
      <c r="I209" s="25"/>
      <c r="J209" s="25" t="s">
        <v>765</v>
      </c>
      <c r="K209" s="25"/>
      <c r="L209" s="26" t="s">
        <v>20</v>
      </c>
      <c r="M209" s="12">
        <v>45164.0</v>
      </c>
      <c r="N209" s="77" t="str">
        <f t="shared" si="1"/>
        <v>fevereiro</v>
      </c>
    </row>
    <row r="210">
      <c r="A210" s="25" t="s">
        <v>766</v>
      </c>
      <c r="B210" s="59">
        <v>44960.366508067134</v>
      </c>
      <c r="C210" s="25" t="s">
        <v>215</v>
      </c>
      <c r="D210" s="25">
        <v>5333.0</v>
      </c>
      <c r="E210" s="25" t="s">
        <v>41</v>
      </c>
      <c r="F210" s="25" t="s">
        <v>42</v>
      </c>
      <c r="G210" s="25" t="s">
        <v>767</v>
      </c>
      <c r="H210" s="25" t="s">
        <v>79</v>
      </c>
      <c r="I210" s="25"/>
      <c r="J210" s="25" t="s">
        <v>768</v>
      </c>
      <c r="K210" s="25"/>
      <c r="L210" s="26" t="s">
        <v>20</v>
      </c>
      <c r="M210" s="12">
        <v>44967.0</v>
      </c>
      <c r="N210" s="77" t="str">
        <f t="shared" si="1"/>
        <v>fevereiro</v>
      </c>
    </row>
    <row r="211">
      <c r="A211" s="25" t="s">
        <v>769</v>
      </c>
      <c r="B211" s="59">
        <v>44960.41524047454</v>
      </c>
      <c r="C211" s="25" t="s">
        <v>750</v>
      </c>
      <c r="D211" s="25">
        <v>5399.0</v>
      </c>
      <c r="E211" s="25" t="s">
        <v>540</v>
      </c>
      <c r="F211" s="25" t="s">
        <v>82</v>
      </c>
      <c r="G211" s="25">
        <v>108.0</v>
      </c>
      <c r="H211" s="25" t="s">
        <v>30</v>
      </c>
      <c r="I211" s="25"/>
      <c r="J211" s="25" t="s">
        <v>770</v>
      </c>
      <c r="K211" s="25"/>
      <c r="L211" s="26" t="s">
        <v>20</v>
      </c>
      <c r="M211" s="12">
        <v>44960.0</v>
      </c>
      <c r="N211" s="77" t="str">
        <f t="shared" si="1"/>
        <v>fevereiro</v>
      </c>
    </row>
    <row r="212">
      <c r="A212" s="25" t="s">
        <v>771</v>
      </c>
      <c r="B212" s="59">
        <v>44960.44124785879</v>
      </c>
      <c r="C212" s="25" t="s">
        <v>772</v>
      </c>
      <c r="D212" s="25">
        <v>3.44153E7</v>
      </c>
      <c r="E212" s="25" t="s">
        <v>540</v>
      </c>
      <c r="F212" s="25" t="s">
        <v>82</v>
      </c>
      <c r="G212" s="25" t="s">
        <v>773</v>
      </c>
      <c r="H212" s="25" t="s">
        <v>764</v>
      </c>
      <c r="I212" s="25"/>
      <c r="J212" s="25" t="s">
        <v>774</v>
      </c>
      <c r="K212" s="25"/>
      <c r="L212" s="26" t="s">
        <v>20</v>
      </c>
      <c r="M212" s="12">
        <v>44963.0</v>
      </c>
      <c r="N212" s="77" t="str">
        <f t="shared" si="1"/>
        <v>fevereiro</v>
      </c>
    </row>
    <row r="213">
      <c r="A213" s="25" t="s">
        <v>775</v>
      </c>
      <c r="B213" s="59">
        <v>44960.444528402775</v>
      </c>
      <c r="C213" s="25" t="s">
        <v>772</v>
      </c>
      <c r="D213" s="25">
        <v>3.44153E7</v>
      </c>
      <c r="E213" s="25" t="s">
        <v>540</v>
      </c>
      <c r="F213" s="25" t="s">
        <v>82</v>
      </c>
      <c r="G213" s="25" t="s">
        <v>776</v>
      </c>
      <c r="H213" s="25" t="s">
        <v>79</v>
      </c>
      <c r="I213" s="25"/>
      <c r="J213" s="25" t="s">
        <v>777</v>
      </c>
      <c r="K213" s="25"/>
      <c r="L213" s="26" t="s">
        <v>20</v>
      </c>
      <c r="M213" s="12">
        <v>44963.0</v>
      </c>
      <c r="N213" s="77" t="str">
        <f t="shared" si="1"/>
        <v>fevereiro</v>
      </c>
    </row>
    <row r="214">
      <c r="A214" s="25" t="s">
        <v>778</v>
      </c>
      <c r="B214" s="59">
        <v>44960.45545490741</v>
      </c>
      <c r="C214" s="25" t="s">
        <v>346</v>
      </c>
      <c r="D214" s="25" t="s">
        <v>779</v>
      </c>
      <c r="E214" s="25" t="s">
        <v>34</v>
      </c>
      <c r="F214" s="25" t="s">
        <v>780</v>
      </c>
      <c r="G214" s="25" t="s">
        <v>36</v>
      </c>
      <c r="H214" s="25" t="s">
        <v>79</v>
      </c>
      <c r="I214" s="25"/>
      <c r="J214" s="25" t="s">
        <v>781</v>
      </c>
      <c r="K214" s="25"/>
      <c r="L214" s="26" t="s">
        <v>20</v>
      </c>
      <c r="M214" s="12">
        <v>44963.0</v>
      </c>
      <c r="N214" s="77" t="str">
        <f t="shared" si="1"/>
        <v>fevereiro</v>
      </c>
    </row>
    <row r="215">
      <c r="A215" s="88" t="s">
        <v>782</v>
      </c>
      <c r="B215" s="8">
        <v>44960.45693875</v>
      </c>
      <c r="C215" s="7" t="s">
        <v>307</v>
      </c>
      <c r="D215" s="7">
        <v>3.4999071369E10</v>
      </c>
      <c r="E215" s="20" t="s">
        <v>308</v>
      </c>
      <c r="F215" s="7" t="s">
        <v>783</v>
      </c>
      <c r="G215" s="9" t="s">
        <v>784</v>
      </c>
      <c r="H215" s="7" t="s">
        <v>129</v>
      </c>
      <c r="I215" s="7"/>
      <c r="J215" s="7" t="s">
        <v>785</v>
      </c>
      <c r="K215" s="10" t="s">
        <v>786</v>
      </c>
      <c r="L215" s="10" t="s">
        <v>74</v>
      </c>
      <c r="M215" s="43"/>
      <c r="N215" s="77" t="str">
        <f t="shared" si="1"/>
        <v>fevereiro</v>
      </c>
    </row>
    <row r="216">
      <c r="A216" s="88" t="s">
        <v>787</v>
      </c>
      <c r="B216" s="8">
        <v>44960.48199082176</v>
      </c>
      <c r="C216" s="7" t="s">
        <v>788</v>
      </c>
      <c r="D216" s="7">
        <v>3.4999071369E10</v>
      </c>
      <c r="E216" s="20" t="s">
        <v>308</v>
      </c>
      <c r="F216" s="7" t="s">
        <v>783</v>
      </c>
      <c r="G216" s="9" t="s">
        <v>789</v>
      </c>
      <c r="H216" s="7" t="s">
        <v>129</v>
      </c>
      <c r="I216" s="7"/>
      <c r="J216" s="7" t="s">
        <v>790</v>
      </c>
      <c r="K216" s="10" t="s">
        <v>791</v>
      </c>
      <c r="L216" s="10" t="s">
        <v>74</v>
      </c>
      <c r="M216" s="55">
        <v>45288.0</v>
      </c>
      <c r="N216" s="77" t="str">
        <f t="shared" si="1"/>
        <v>fevereiro</v>
      </c>
    </row>
    <row r="217">
      <c r="A217" s="88" t="s">
        <v>792</v>
      </c>
      <c r="B217" s="8">
        <v>44960.58346520833</v>
      </c>
      <c r="C217" s="7" t="s">
        <v>683</v>
      </c>
      <c r="D217" s="7">
        <v>5340.0</v>
      </c>
      <c r="E217" s="25" t="s">
        <v>70</v>
      </c>
      <c r="F217" s="65" t="s">
        <v>367</v>
      </c>
      <c r="G217" s="9" t="s">
        <v>793</v>
      </c>
      <c r="H217" s="25" t="s">
        <v>30</v>
      </c>
      <c r="I217" s="7"/>
      <c r="J217" s="7" t="s">
        <v>794</v>
      </c>
      <c r="K217" s="32"/>
      <c r="L217" s="10" t="s">
        <v>20</v>
      </c>
      <c r="M217" s="55">
        <v>45260.0</v>
      </c>
      <c r="N217" s="77" t="str">
        <f t="shared" si="1"/>
        <v>fevereiro</v>
      </c>
    </row>
    <row r="218">
      <c r="A218" s="25" t="s">
        <v>795</v>
      </c>
      <c r="B218" s="59">
        <v>44960.58430400463</v>
      </c>
      <c r="C218" s="25" t="s">
        <v>683</v>
      </c>
      <c r="D218" s="25">
        <v>5340.0</v>
      </c>
      <c r="E218" s="25" t="s">
        <v>70</v>
      </c>
      <c r="F218" s="25" t="s">
        <v>100</v>
      </c>
      <c r="G218" s="25" t="s">
        <v>796</v>
      </c>
      <c r="H218" s="25" t="s">
        <v>30</v>
      </c>
      <c r="I218" s="25"/>
      <c r="J218" s="25" t="s">
        <v>797</v>
      </c>
      <c r="K218" s="25"/>
      <c r="L218" s="26" t="s">
        <v>20</v>
      </c>
      <c r="M218" s="12">
        <v>44988.0</v>
      </c>
      <c r="N218" s="77" t="str">
        <f t="shared" si="1"/>
        <v>fevereiro</v>
      </c>
    </row>
    <row r="219">
      <c r="A219" s="88" t="s">
        <v>798</v>
      </c>
      <c r="B219" s="8">
        <v>44960.5849852199</v>
      </c>
      <c r="C219" s="7" t="s">
        <v>683</v>
      </c>
      <c r="D219" s="7">
        <v>5340.0</v>
      </c>
      <c r="E219" s="25" t="s">
        <v>70</v>
      </c>
      <c r="F219" s="7" t="s">
        <v>103</v>
      </c>
      <c r="G219" s="9" t="s">
        <v>796</v>
      </c>
      <c r="H219" s="25" t="s">
        <v>30</v>
      </c>
      <c r="I219" s="7"/>
      <c r="J219" s="7" t="s">
        <v>799</v>
      </c>
      <c r="K219" s="32"/>
      <c r="L219" s="10" t="s">
        <v>20</v>
      </c>
      <c r="M219" s="55">
        <v>45260.0</v>
      </c>
      <c r="N219" s="77" t="str">
        <f t="shared" si="1"/>
        <v>fevereiro</v>
      </c>
    </row>
    <row r="220">
      <c r="A220" s="88" t="s">
        <v>800</v>
      </c>
      <c r="B220" s="8">
        <v>44960.585919317135</v>
      </c>
      <c r="C220" s="7" t="s">
        <v>683</v>
      </c>
      <c r="D220" s="7">
        <v>5340.0</v>
      </c>
      <c r="E220" s="25" t="s">
        <v>70</v>
      </c>
      <c r="F220" s="7" t="s">
        <v>554</v>
      </c>
      <c r="G220" s="9" t="s">
        <v>625</v>
      </c>
      <c r="H220" s="25" t="s">
        <v>30</v>
      </c>
      <c r="I220" s="7"/>
      <c r="J220" s="7" t="s">
        <v>801</v>
      </c>
      <c r="K220" s="32"/>
      <c r="L220" s="10" t="s">
        <v>20</v>
      </c>
      <c r="M220" s="55">
        <v>45260.0</v>
      </c>
      <c r="N220" s="77" t="str">
        <f t="shared" si="1"/>
        <v>fevereiro</v>
      </c>
    </row>
    <row r="221">
      <c r="A221" s="25" t="s">
        <v>802</v>
      </c>
      <c r="B221" s="59">
        <v>44960.58769597222</v>
      </c>
      <c r="C221" s="25" t="s">
        <v>683</v>
      </c>
      <c r="D221" s="25">
        <v>5340.0</v>
      </c>
      <c r="E221" s="25" t="s">
        <v>70</v>
      </c>
      <c r="F221" s="25" t="s">
        <v>55</v>
      </c>
      <c r="G221" s="25" t="s">
        <v>803</v>
      </c>
      <c r="H221" s="25" t="s">
        <v>30</v>
      </c>
      <c r="I221" s="25"/>
      <c r="J221" s="25" t="s">
        <v>804</v>
      </c>
      <c r="K221" s="25"/>
      <c r="L221" s="26" t="s">
        <v>20</v>
      </c>
      <c r="M221" s="12">
        <v>44998.0</v>
      </c>
      <c r="N221" s="77" t="str">
        <f t="shared" si="1"/>
        <v>fevereiro</v>
      </c>
    </row>
    <row r="222">
      <c r="A222" s="88" t="s">
        <v>805</v>
      </c>
      <c r="B222" s="8">
        <v>44960.58838446759</v>
      </c>
      <c r="C222" s="7" t="s">
        <v>683</v>
      </c>
      <c r="D222" s="7">
        <v>5340.0</v>
      </c>
      <c r="E222" s="25" t="s">
        <v>70</v>
      </c>
      <c r="F222" s="7" t="s">
        <v>188</v>
      </c>
      <c r="G222" s="9" t="s">
        <v>806</v>
      </c>
      <c r="H222" s="25" t="s">
        <v>30</v>
      </c>
      <c r="I222" s="7"/>
      <c r="J222" s="7" t="s">
        <v>807</v>
      </c>
      <c r="K222" s="32" t="s">
        <v>808</v>
      </c>
      <c r="L222" s="10" t="s">
        <v>20</v>
      </c>
      <c r="M222" s="55">
        <v>45260.0</v>
      </c>
      <c r="N222" s="77" t="str">
        <f t="shared" si="1"/>
        <v>fevereiro</v>
      </c>
    </row>
    <row r="223">
      <c r="A223" s="88" t="s">
        <v>809</v>
      </c>
      <c r="B223" s="8">
        <v>44960.589757650465</v>
      </c>
      <c r="C223" s="7" t="s">
        <v>683</v>
      </c>
      <c r="D223" s="7">
        <v>5340.0</v>
      </c>
      <c r="E223" s="25" t="s">
        <v>70</v>
      </c>
      <c r="F223" s="25" t="s">
        <v>347</v>
      </c>
      <c r="G223" s="9" t="s">
        <v>810</v>
      </c>
      <c r="H223" s="25" t="s">
        <v>30</v>
      </c>
      <c r="I223" s="7"/>
      <c r="J223" s="7" t="s">
        <v>811</v>
      </c>
      <c r="K223" s="30"/>
      <c r="L223" s="10" t="s">
        <v>20</v>
      </c>
      <c r="M223" s="55">
        <v>45366.0</v>
      </c>
      <c r="N223" s="77" t="str">
        <f t="shared" si="1"/>
        <v>fevereiro</v>
      </c>
    </row>
    <row r="224">
      <c r="A224" s="88" t="s">
        <v>812</v>
      </c>
      <c r="B224" s="8">
        <v>44960.59085412037</v>
      </c>
      <c r="C224" s="7" t="s">
        <v>683</v>
      </c>
      <c r="D224" s="7">
        <v>5340.0</v>
      </c>
      <c r="E224" s="25" t="s">
        <v>70</v>
      </c>
      <c r="F224" s="7" t="s">
        <v>313</v>
      </c>
      <c r="G224" s="9" t="s">
        <v>813</v>
      </c>
      <c r="H224" s="25" t="s">
        <v>30</v>
      </c>
      <c r="I224" s="7"/>
      <c r="J224" s="7" t="s">
        <v>814</v>
      </c>
      <c r="K224" s="30"/>
      <c r="L224" s="10" t="s">
        <v>20</v>
      </c>
      <c r="M224" s="55">
        <v>45370.0</v>
      </c>
      <c r="N224" s="77" t="str">
        <f t="shared" si="1"/>
        <v>fevereiro</v>
      </c>
    </row>
    <row r="225">
      <c r="A225" s="88" t="s">
        <v>815</v>
      </c>
      <c r="B225" s="8">
        <v>44960.59145238426</v>
      </c>
      <c r="C225" s="7" t="s">
        <v>683</v>
      </c>
      <c r="D225" s="7">
        <v>5340.0</v>
      </c>
      <c r="E225" s="25" t="s">
        <v>70</v>
      </c>
      <c r="F225" s="7" t="s">
        <v>816</v>
      </c>
      <c r="G225" s="9" t="s">
        <v>813</v>
      </c>
      <c r="H225" s="25" t="s">
        <v>30</v>
      </c>
      <c r="I225" s="7"/>
      <c r="J225" s="7" t="s">
        <v>817</v>
      </c>
      <c r="K225" s="30"/>
      <c r="L225" s="10" t="s">
        <v>20</v>
      </c>
      <c r="M225" s="55">
        <v>45370.0</v>
      </c>
      <c r="N225" s="77" t="str">
        <f t="shared" si="1"/>
        <v>fevereiro</v>
      </c>
    </row>
    <row r="226">
      <c r="A226" s="88" t="s">
        <v>818</v>
      </c>
      <c r="B226" s="8">
        <v>44960.59213443287</v>
      </c>
      <c r="C226" s="7" t="s">
        <v>683</v>
      </c>
      <c r="D226" s="7">
        <v>5340.0</v>
      </c>
      <c r="E226" s="25" t="s">
        <v>70</v>
      </c>
      <c r="F226" s="25" t="s">
        <v>86</v>
      </c>
      <c r="G226" s="9" t="s">
        <v>813</v>
      </c>
      <c r="H226" s="25" t="s">
        <v>30</v>
      </c>
      <c r="I226" s="7"/>
      <c r="J226" s="7" t="s">
        <v>819</v>
      </c>
      <c r="K226" s="30"/>
      <c r="L226" s="10" t="s">
        <v>20</v>
      </c>
      <c r="M226" s="55">
        <v>45366.0</v>
      </c>
      <c r="N226" s="77" t="str">
        <f t="shared" si="1"/>
        <v>fevereiro</v>
      </c>
    </row>
    <row r="227">
      <c r="A227" s="88" t="s">
        <v>820</v>
      </c>
      <c r="B227" s="8">
        <v>44960.593418055556</v>
      </c>
      <c r="C227" s="7" t="s">
        <v>683</v>
      </c>
      <c r="D227" s="7">
        <v>5340.0</v>
      </c>
      <c r="E227" s="25" t="s">
        <v>70</v>
      </c>
      <c r="F227" s="25" t="s">
        <v>86</v>
      </c>
      <c r="G227" s="9" t="s">
        <v>813</v>
      </c>
      <c r="H227" s="25" t="s">
        <v>30</v>
      </c>
      <c r="I227" s="7"/>
      <c r="J227" s="7" t="s">
        <v>821</v>
      </c>
      <c r="K227" s="30"/>
      <c r="L227" s="10" t="s">
        <v>20</v>
      </c>
      <c r="M227" s="55">
        <v>45366.0</v>
      </c>
      <c r="N227" s="77" t="str">
        <f t="shared" si="1"/>
        <v>fevereiro</v>
      </c>
    </row>
    <row r="228">
      <c r="A228" s="88" t="s">
        <v>822</v>
      </c>
      <c r="B228" s="8">
        <v>44960.59421638889</v>
      </c>
      <c r="C228" s="7" t="s">
        <v>683</v>
      </c>
      <c r="D228" s="7">
        <v>5340.0</v>
      </c>
      <c r="E228" s="25" t="s">
        <v>70</v>
      </c>
      <c r="F228" s="25" t="s">
        <v>86</v>
      </c>
      <c r="G228" s="9" t="s">
        <v>813</v>
      </c>
      <c r="H228" s="25" t="s">
        <v>30</v>
      </c>
      <c r="I228" s="7"/>
      <c r="J228" s="7" t="s">
        <v>823</v>
      </c>
      <c r="K228" s="30"/>
      <c r="L228" s="10" t="s">
        <v>20</v>
      </c>
      <c r="M228" s="55">
        <v>45366.0</v>
      </c>
      <c r="N228" s="77" t="str">
        <f t="shared" si="1"/>
        <v>fevereiro</v>
      </c>
    </row>
    <row r="229">
      <c r="A229" s="88" t="s">
        <v>824</v>
      </c>
      <c r="B229" s="8">
        <v>44960.59523832176</v>
      </c>
      <c r="C229" s="7" t="s">
        <v>683</v>
      </c>
      <c r="D229" s="7">
        <v>5340.0</v>
      </c>
      <c r="E229" s="25" t="s">
        <v>70</v>
      </c>
      <c r="F229" s="25" t="s">
        <v>49</v>
      </c>
      <c r="G229" s="9" t="s">
        <v>813</v>
      </c>
      <c r="H229" s="25" t="s">
        <v>30</v>
      </c>
      <c r="I229" s="7"/>
      <c r="J229" s="7" t="s">
        <v>825</v>
      </c>
      <c r="K229" s="30"/>
      <c r="L229" s="10" t="s">
        <v>20</v>
      </c>
      <c r="M229" s="55">
        <v>45153.0</v>
      </c>
      <c r="N229" s="77" t="str">
        <f t="shared" si="1"/>
        <v>fevereiro</v>
      </c>
    </row>
    <row r="230">
      <c r="A230" s="25" t="s">
        <v>826</v>
      </c>
      <c r="B230" s="59">
        <v>44960.60987490741</v>
      </c>
      <c r="C230" s="25" t="s">
        <v>827</v>
      </c>
      <c r="D230" s="25">
        <v>5387.0</v>
      </c>
      <c r="E230" s="20" t="s">
        <v>288</v>
      </c>
      <c r="F230" s="25" t="s">
        <v>828</v>
      </c>
      <c r="G230" s="25" t="s">
        <v>829</v>
      </c>
      <c r="H230" s="25" t="s">
        <v>37</v>
      </c>
      <c r="I230" s="25"/>
      <c r="J230" s="25" t="s">
        <v>830</v>
      </c>
      <c r="K230" s="25"/>
      <c r="L230" s="26" t="s">
        <v>20</v>
      </c>
      <c r="M230" s="12">
        <v>45165.0</v>
      </c>
      <c r="N230" s="77" t="str">
        <f t="shared" si="1"/>
        <v>fevereiro</v>
      </c>
    </row>
    <row r="231">
      <c r="A231" s="25" t="s">
        <v>831</v>
      </c>
      <c r="B231" s="59">
        <v>44960.614343587964</v>
      </c>
      <c r="C231" s="25" t="s">
        <v>832</v>
      </c>
      <c r="D231" s="25" t="s">
        <v>833</v>
      </c>
      <c r="E231" s="25" t="s">
        <v>34</v>
      </c>
      <c r="F231" s="25" t="s">
        <v>834</v>
      </c>
      <c r="G231" s="25" t="s">
        <v>36</v>
      </c>
      <c r="H231" s="25" t="s">
        <v>79</v>
      </c>
      <c r="I231" s="25"/>
      <c r="J231" s="25" t="s">
        <v>835</v>
      </c>
      <c r="K231" s="25"/>
      <c r="L231" s="26" t="s">
        <v>20</v>
      </c>
      <c r="M231" s="12">
        <v>44963.0</v>
      </c>
      <c r="N231" s="77" t="str">
        <f t="shared" si="1"/>
        <v>fevereiro</v>
      </c>
    </row>
    <row r="232">
      <c r="A232" s="25" t="s">
        <v>836</v>
      </c>
      <c r="B232" s="59">
        <v>44960.616442962964</v>
      </c>
      <c r="C232" s="25" t="s">
        <v>40</v>
      </c>
      <c r="D232" s="25">
        <v>5333.0</v>
      </c>
      <c r="E232" s="25" t="s">
        <v>41</v>
      </c>
      <c r="F232" s="25" t="s">
        <v>42</v>
      </c>
      <c r="G232" s="25" t="s">
        <v>837</v>
      </c>
      <c r="H232" s="25" t="s">
        <v>79</v>
      </c>
      <c r="I232" s="25"/>
      <c r="J232" s="25" t="s">
        <v>838</v>
      </c>
      <c r="K232" s="25"/>
      <c r="L232" s="26" t="s">
        <v>20</v>
      </c>
      <c r="M232" s="12">
        <v>45005.0</v>
      </c>
      <c r="N232" s="77" t="str">
        <f t="shared" si="1"/>
        <v>fevereiro</v>
      </c>
    </row>
    <row r="233">
      <c r="A233" s="25" t="s">
        <v>839</v>
      </c>
      <c r="B233" s="59">
        <v>44960.80463009259</v>
      </c>
      <c r="C233" s="25" t="s">
        <v>321</v>
      </c>
      <c r="D233" s="25">
        <v>5305.0</v>
      </c>
      <c r="E233" s="20" t="s">
        <v>183</v>
      </c>
      <c r="F233" s="25" t="s">
        <v>840</v>
      </c>
      <c r="G233" s="25">
        <v>27.0</v>
      </c>
      <c r="H233" s="25" t="s">
        <v>30</v>
      </c>
      <c r="I233" s="25"/>
      <c r="J233" s="25" t="s">
        <v>841</v>
      </c>
      <c r="K233" s="25"/>
      <c r="L233" s="26" t="s">
        <v>20</v>
      </c>
      <c r="M233" s="12">
        <v>44963.0</v>
      </c>
      <c r="N233" s="77" t="str">
        <f t="shared" si="1"/>
        <v>fevereiro</v>
      </c>
    </row>
    <row r="234">
      <c r="A234" s="25" t="s">
        <v>842</v>
      </c>
      <c r="B234" s="59">
        <v>44960.838002881945</v>
      </c>
      <c r="C234" s="25" t="s">
        <v>451</v>
      </c>
      <c r="D234" s="25">
        <v>5304.0</v>
      </c>
      <c r="E234" s="25" t="s">
        <v>27</v>
      </c>
      <c r="F234" s="25" t="s">
        <v>28</v>
      </c>
      <c r="G234" s="25" t="s">
        <v>452</v>
      </c>
      <c r="H234" s="25" t="s">
        <v>79</v>
      </c>
      <c r="I234" s="25"/>
      <c r="J234" s="25" t="s">
        <v>843</v>
      </c>
      <c r="K234" s="25"/>
      <c r="L234" s="26" t="s">
        <v>20</v>
      </c>
      <c r="M234" s="12">
        <v>44963.0</v>
      </c>
      <c r="N234" s="77" t="str">
        <f t="shared" si="1"/>
        <v>fevereiro</v>
      </c>
    </row>
    <row r="235">
      <c r="A235" s="25" t="s">
        <v>844</v>
      </c>
      <c r="B235" s="59">
        <v>44961.59571657407</v>
      </c>
      <c r="C235" s="25" t="s">
        <v>845</v>
      </c>
      <c r="D235" s="25">
        <v>5313.0</v>
      </c>
      <c r="E235" s="25" t="s">
        <v>160</v>
      </c>
      <c r="F235" s="25" t="s">
        <v>77</v>
      </c>
      <c r="G235" s="25" t="s">
        <v>846</v>
      </c>
      <c r="H235" s="25" t="s">
        <v>37</v>
      </c>
      <c r="I235" s="25"/>
      <c r="J235" s="25" t="s">
        <v>847</v>
      </c>
      <c r="K235" s="25"/>
      <c r="L235" s="26" t="s">
        <v>20</v>
      </c>
      <c r="M235" s="12">
        <v>44964.0</v>
      </c>
      <c r="N235" s="77" t="str">
        <f t="shared" si="1"/>
        <v>fevereiro</v>
      </c>
    </row>
    <row r="236">
      <c r="A236" s="25" t="s">
        <v>848</v>
      </c>
      <c r="B236" s="59">
        <v>44963.37230447917</v>
      </c>
      <c r="C236" s="25" t="s">
        <v>266</v>
      </c>
      <c r="D236" s="25">
        <v>5343.0</v>
      </c>
      <c r="E236" s="25" t="s">
        <v>116</v>
      </c>
      <c r="F236" s="25" t="s">
        <v>849</v>
      </c>
      <c r="G236" s="25" t="s">
        <v>850</v>
      </c>
      <c r="H236" s="25" t="s">
        <v>37</v>
      </c>
      <c r="I236" s="25"/>
      <c r="J236" s="25" t="s">
        <v>851</v>
      </c>
      <c r="K236" s="25"/>
      <c r="L236" s="26" t="s">
        <v>20</v>
      </c>
      <c r="M236" s="12">
        <v>44973.0</v>
      </c>
      <c r="N236" s="77" t="str">
        <f t="shared" si="1"/>
        <v>fevereiro</v>
      </c>
    </row>
    <row r="237">
      <c r="A237" s="25" t="s">
        <v>852</v>
      </c>
      <c r="B237" s="59">
        <v>44963.62321427083</v>
      </c>
      <c r="C237" s="25" t="s">
        <v>735</v>
      </c>
      <c r="D237" s="25">
        <v>2200.0</v>
      </c>
      <c r="E237" s="25" t="s">
        <v>853</v>
      </c>
      <c r="F237" s="25" t="s">
        <v>86</v>
      </c>
      <c r="G237" s="25" t="s">
        <v>854</v>
      </c>
      <c r="H237" s="25" t="s">
        <v>162</v>
      </c>
      <c r="I237" s="25"/>
      <c r="J237" s="25" t="s">
        <v>855</v>
      </c>
      <c r="K237" s="25"/>
      <c r="L237" s="26" t="s">
        <v>20</v>
      </c>
      <c r="M237" s="12">
        <v>44971.0</v>
      </c>
      <c r="N237" s="77" t="str">
        <f t="shared" si="1"/>
        <v>fevereiro</v>
      </c>
    </row>
    <row r="238">
      <c r="A238" s="25" t="s">
        <v>856</v>
      </c>
      <c r="B238" s="59">
        <v>44963.678327650465</v>
      </c>
      <c r="C238" s="25" t="s">
        <v>857</v>
      </c>
      <c r="D238" s="25">
        <v>5308.0</v>
      </c>
      <c r="E238" s="25" t="s">
        <v>858</v>
      </c>
      <c r="F238" s="25" t="s">
        <v>859</v>
      </c>
      <c r="G238" s="25" t="s">
        <v>860</v>
      </c>
      <c r="H238" s="25" t="s">
        <v>30</v>
      </c>
      <c r="I238" s="25"/>
      <c r="J238" s="25" t="s">
        <v>861</v>
      </c>
      <c r="K238" s="25"/>
      <c r="L238" s="26" t="s">
        <v>20</v>
      </c>
      <c r="M238" s="12">
        <v>45166.0</v>
      </c>
      <c r="N238" s="77" t="str">
        <f t="shared" si="1"/>
        <v>fevereiro</v>
      </c>
    </row>
    <row r="239">
      <c r="A239" s="25" t="s">
        <v>862</v>
      </c>
      <c r="B239" s="59">
        <v>44963.69378988426</v>
      </c>
      <c r="C239" s="25" t="s">
        <v>863</v>
      </c>
      <c r="D239" s="25" t="s">
        <v>864</v>
      </c>
      <c r="E239" s="25" t="s">
        <v>187</v>
      </c>
      <c r="F239" s="25" t="s">
        <v>347</v>
      </c>
      <c r="G239" s="25" t="s">
        <v>865</v>
      </c>
      <c r="H239" s="25" t="s">
        <v>79</v>
      </c>
      <c r="I239" s="25"/>
      <c r="J239" s="25" t="s">
        <v>866</v>
      </c>
      <c r="K239" s="25"/>
      <c r="L239" s="26" t="s">
        <v>20</v>
      </c>
      <c r="M239" s="12">
        <v>45035.0</v>
      </c>
      <c r="N239" s="77" t="str">
        <f t="shared" si="1"/>
        <v>fevereiro</v>
      </c>
    </row>
    <row r="240">
      <c r="A240" s="25" t="s">
        <v>867</v>
      </c>
      <c r="B240" s="59">
        <v>44963.74278212963</v>
      </c>
      <c r="C240" s="25" t="s">
        <v>432</v>
      </c>
      <c r="D240" s="25">
        <v>6.4981321757E10</v>
      </c>
      <c r="E240" s="25" t="s">
        <v>187</v>
      </c>
      <c r="F240" s="25" t="s">
        <v>347</v>
      </c>
      <c r="G240" s="25" t="s">
        <v>868</v>
      </c>
      <c r="H240" s="25" t="s">
        <v>298</v>
      </c>
      <c r="I240" s="25"/>
      <c r="J240" s="25" t="s">
        <v>869</v>
      </c>
      <c r="K240" s="25"/>
      <c r="L240" s="26" t="s">
        <v>20</v>
      </c>
      <c r="M240" s="12">
        <v>44972.0</v>
      </c>
      <c r="N240" s="77" t="str">
        <f t="shared" si="1"/>
        <v>fevereiro</v>
      </c>
    </row>
    <row r="241">
      <c r="A241" s="25" t="s">
        <v>870</v>
      </c>
      <c r="B241" s="59">
        <v>44963.999691261575</v>
      </c>
      <c r="C241" s="25" t="s">
        <v>40</v>
      </c>
      <c r="D241" s="25">
        <v>5333.0</v>
      </c>
      <c r="E241" s="25" t="s">
        <v>41</v>
      </c>
      <c r="F241" s="25" t="s">
        <v>42</v>
      </c>
      <c r="G241" s="25" t="s">
        <v>43</v>
      </c>
      <c r="H241" s="25" t="s">
        <v>37</v>
      </c>
      <c r="I241" s="25"/>
      <c r="J241" s="25" t="s">
        <v>871</v>
      </c>
      <c r="K241" s="25"/>
      <c r="L241" s="26" t="s">
        <v>20</v>
      </c>
      <c r="M241" s="12">
        <v>44967.0</v>
      </c>
      <c r="N241" s="77" t="str">
        <f t="shared" si="1"/>
        <v>fevereiro</v>
      </c>
    </row>
    <row r="242">
      <c r="A242" s="25" t="s">
        <v>872</v>
      </c>
      <c r="B242" s="59">
        <v>44964.3364037963</v>
      </c>
      <c r="C242" s="25" t="s">
        <v>215</v>
      </c>
      <c r="D242" s="25">
        <v>5333.0</v>
      </c>
      <c r="E242" s="25" t="s">
        <v>41</v>
      </c>
      <c r="F242" s="25" t="s">
        <v>42</v>
      </c>
      <c r="G242" s="25" t="s">
        <v>873</v>
      </c>
      <c r="H242" s="25" t="s">
        <v>37</v>
      </c>
      <c r="I242" s="25"/>
      <c r="J242" s="25" t="s">
        <v>874</v>
      </c>
      <c r="K242" s="25"/>
      <c r="L242" s="26" t="s">
        <v>20</v>
      </c>
      <c r="M242" s="12">
        <v>45167.0</v>
      </c>
      <c r="N242" s="77" t="str">
        <f t="shared" si="1"/>
        <v>fevereiro</v>
      </c>
    </row>
    <row r="243">
      <c r="A243" s="25" t="s">
        <v>875</v>
      </c>
      <c r="B243" s="59">
        <v>44964.390152673615</v>
      </c>
      <c r="C243" s="25" t="s">
        <v>876</v>
      </c>
      <c r="D243" s="25">
        <v>5334.0</v>
      </c>
      <c r="E243" s="25" t="s">
        <v>187</v>
      </c>
      <c r="F243" s="25" t="s">
        <v>877</v>
      </c>
      <c r="G243" s="25" t="s">
        <v>878</v>
      </c>
      <c r="H243" s="25" t="s">
        <v>79</v>
      </c>
      <c r="I243" s="25"/>
      <c r="J243" s="25" t="s">
        <v>879</v>
      </c>
      <c r="K243" s="25"/>
      <c r="L243" s="26" t="s">
        <v>20</v>
      </c>
      <c r="M243" s="12">
        <v>44964.0</v>
      </c>
      <c r="N243" s="77" t="str">
        <f t="shared" si="1"/>
        <v>fevereiro</v>
      </c>
    </row>
    <row r="244">
      <c r="A244" s="25" t="s">
        <v>880</v>
      </c>
      <c r="B244" s="59">
        <v>44964.45747898148</v>
      </c>
      <c r="C244" s="25" t="s">
        <v>346</v>
      </c>
      <c r="D244" s="25" t="s">
        <v>779</v>
      </c>
      <c r="E244" s="25" t="s">
        <v>34</v>
      </c>
      <c r="F244" s="25" t="s">
        <v>347</v>
      </c>
      <c r="G244" s="25" t="s">
        <v>881</v>
      </c>
      <c r="H244" s="25" t="s">
        <v>37</v>
      </c>
      <c r="I244" s="25"/>
      <c r="J244" s="25" t="s">
        <v>882</v>
      </c>
      <c r="K244" s="25"/>
      <c r="L244" s="26" t="s">
        <v>20</v>
      </c>
      <c r="M244" s="12">
        <v>44964.0</v>
      </c>
      <c r="N244" s="77" t="str">
        <f t="shared" si="1"/>
        <v>fevereiro</v>
      </c>
    </row>
    <row r="245">
      <c r="A245" s="25" t="s">
        <v>883</v>
      </c>
      <c r="B245" s="59">
        <v>44964.57985649306</v>
      </c>
      <c r="C245" s="25" t="s">
        <v>531</v>
      </c>
      <c r="D245" s="25">
        <v>5341.0</v>
      </c>
      <c r="E245" s="25" t="s">
        <v>532</v>
      </c>
      <c r="F245" s="25" t="s">
        <v>61</v>
      </c>
      <c r="G245" s="25" t="s">
        <v>884</v>
      </c>
      <c r="H245" s="25" t="s">
        <v>30</v>
      </c>
      <c r="I245" s="25"/>
      <c r="J245" s="25" t="s">
        <v>885</v>
      </c>
      <c r="K245" s="25"/>
      <c r="L245" s="26" t="s">
        <v>20</v>
      </c>
      <c r="M245" s="12">
        <v>44971.0</v>
      </c>
      <c r="N245" s="77" t="str">
        <f t="shared" si="1"/>
        <v>fevereiro</v>
      </c>
    </row>
    <row r="246">
      <c r="A246" s="25" t="s">
        <v>886</v>
      </c>
      <c r="B246" s="59">
        <v>44964.58217175926</v>
      </c>
      <c r="C246" s="25" t="s">
        <v>531</v>
      </c>
      <c r="D246" s="25">
        <v>5341.0</v>
      </c>
      <c r="E246" s="25" t="s">
        <v>532</v>
      </c>
      <c r="F246" s="25" t="s">
        <v>178</v>
      </c>
      <c r="G246" s="25" t="s">
        <v>179</v>
      </c>
      <c r="H246" s="25" t="s">
        <v>30</v>
      </c>
      <c r="I246" s="25"/>
      <c r="J246" s="25" t="s">
        <v>887</v>
      </c>
      <c r="K246" s="25"/>
      <c r="L246" s="26" t="s">
        <v>20</v>
      </c>
      <c r="M246" s="12">
        <v>44970.0</v>
      </c>
      <c r="N246" s="77" t="str">
        <f t="shared" si="1"/>
        <v>fevereiro</v>
      </c>
    </row>
    <row r="247">
      <c r="A247" s="25" t="s">
        <v>888</v>
      </c>
      <c r="B247" s="59">
        <v>44964.58648653935</v>
      </c>
      <c r="C247" s="25" t="s">
        <v>889</v>
      </c>
      <c r="D247" s="25">
        <v>6.4984397471E10</v>
      </c>
      <c r="E247" s="25" t="s">
        <v>34</v>
      </c>
      <c r="F247" s="25" t="s">
        <v>890</v>
      </c>
      <c r="G247" s="25" t="s">
        <v>891</v>
      </c>
      <c r="H247" s="25" t="s">
        <v>37</v>
      </c>
      <c r="I247" s="25"/>
      <c r="J247" s="25" t="s">
        <v>892</v>
      </c>
      <c r="K247" s="25"/>
      <c r="L247" s="26" t="s">
        <v>20</v>
      </c>
      <c r="M247" s="12">
        <v>44964.0</v>
      </c>
      <c r="N247" s="77" t="str">
        <f t="shared" si="1"/>
        <v>fevereiro</v>
      </c>
    </row>
    <row r="248">
      <c r="A248" s="25" t="s">
        <v>893</v>
      </c>
      <c r="B248" s="59">
        <v>44964.6284164699</v>
      </c>
      <c r="C248" s="25" t="s">
        <v>894</v>
      </c>
      <c r="D248" s="25">
        <v>7617.0</v>
      </c>
      <c r="E248" s="7" t="s">
        <v>666</v>
      </c>
      <c r="F248" s="25" t="s">
        <v>82</v>
      </c>
      <c r="G248" s="25" t="s">
        <v>895</v>
      </c>
      <c r="H248" s="25" t="s">
        <v>30</v>
      </c>
      <c r="I248" s="25"/>
      <c r="J248" s="25" t="s">
        <v>896</v>
      </c>
      <c r="K248" s="25"/>
      <c r="L248" s="26" t="s">
        <v>20</v>
      </c>
      <c r="M248" s="12">
        <v>44993.0</v>
      </c>
      <c r="N248" s="77" t="str">
        <f t="shared" si="1"/>
        <v>fevereiro</v>
      </c>
    </row>
    <row r="249">
      <c r="A249" s="25" t="s">
        <v>897</v>
      </c>
      <c r="B249" s="59">
        <v>44964.63789762731</v>
      </c>
      <c r="C249" s="25" t="s">
        <v>215</v>
      </c>
      <c r="D249" s="25">
        <v>5333.0</v>
      </c>
      <c r="E249" s="25" t="s">
        <v>41</v>
      </c>
      <c r="F249" s="25" t="s">
        <v>42</v>
      </c>
      <c r="G249" s="25" t="s">
        <v>898</v>
      </c>
      <c r="H249" s="25" t="s">
        <v>37</v>
      </c>
      <c r="I249" s="25"/>
      <c r="J249" s="25" t="s">
        <v>899</v>
      </c>
      <c r="K249" s="25"/>
      <c r="L249" s="26" t="s">
        <v>20</v>
      </c>
      <c r="M249" s="12">
        <v>44967.0</v>
      </c>
      <c r="N249" s="77" t="str">
        <f t="shared" si="1"/>
        <v>fevereiro</v>
      </c>
    </row>
    <row r="250">
      <c r="A250" s="25" t="s">
        <v>900</v>
      </c>
      <c r="B250" s="59">
        <v>44965.33240309027</v>
      </c>
      <c r="C250" s="25" t="s">
        <v>65</v>
      </c>
      <c r="D250" s="25">
        <v>5318.0</v>
      </c>
      <c r="E250" s="25" t="s">
        <v>15</v>
      </c>
      <c r="F250" s="25" t="s">
        <v>901</v>
      </c>
      <c r="G250" s="25" t="s">
        <v>902</v>
      </c>
      <c r="H250" s="25" t="s">
        <v>37</v>
      </c>
      <c r="I250" s="25"/>
      <c r="J250" s="25" t="s">
        <v>903</v>
      </c>
      <c r="K250" s="25"/>
      <c r="L250" s="26" t="s">
        <v>20</v>
      </c>
      <c r="M250" s="12">
        <v>45168.0</v>
      </c>
      <c r="N250" s="77" t="str">
        <f t="shared" si="1"/>
        <v>fevereiro</v>
      </c>
    </row>
    <row r="251">
      <c r="A251" s="25" t="s">
        <v>904</v>
      </c>
      <c r="B251" s="59">
        <v>44965.57242902778</v>
      </c>
      <c r="C251" s="25" t="s">
        <v>110</v>
      </c>
      <c r="D251" s="25">
        <v>5369.0</v>
      </c>
      <c r="E251" s="25" t="s">
        <v>111</v>
      </c>
      <c r="F251" s="25" t="s">
        <v>905</v>
      </c>
      <c r="G251" s="25" t="s">
        <v>906</v>
      </c>
      <c r="H251" s="25" t="s">
        <v>30</v>
      </c>
      <c r="I251" s="25"/>
      <c r="J251" s="25" t="s">
        <v>907</v>
      </c>
      <c r="K251" s="25"/>
      <c r="L251" s="26" t="s">
        <v>20</v>
      </c>
      <c r="M251" s="12">
        <v>44939.0</v>
      </c>
      <c r="N251" s="77" t="str">
        <f t="shared" si="1"/>
        <v>fevereiro</v>
      </c>
    </row>
    <row r="252">
      <c r="A252" s="25" t="s">
        <v>908</v>
      </c>
      <c r="B252" s="59">
        <v>44965.59925806713</v>
      </c>
      <c r="C252" s="25" t="s">
        <v>105</v>
      </c>
      <c r="D252" s="25">
        <v>5333.0</v>
      </c>
      <c r="E252" s="25" t="s">
        <v>41</v>
      </c>
      <c r="F252" s="25" t="s">
        <v>82</v>
      </c>
      <c r="G252" s="25">
        <v>101.0</v>
      </c>
      <c r="H252" s="25" t="s">
        <v>30</v>
      </c>
      <c r="I252" s="25"/>
      <c r="J252" s="25" t="s">
        <v>909</v>
      </c>
      <c r="K252" s="25"/>
      <c r="L252" s="26" t="s">
        <v>20</v>
      </c>
      <c r="M252" s="12">
        <v>44965.0</v>
      </c>
      <c r="N252" s="77" t="str">
        <f t="shared" si="1"/>
        <v>fevereiro</v>
      </c>
    </row>
    <row r="253">
      <c r="A253" s="25" t="s">
        <v>910</v>
      </c>
      <c r="B253" s="59">
        <v>44965.63669280092</v>
      </c>
      <c r="C253" s="25" t="s">
        <v>911</v>
      </c>
      <c r="D253" s="25">
        <v>5306.0</v>
      </c>
      <c r="E253" s="25" t="s">
        <v>70</v>
      </c>
      <c r="F253" s="25" t="s">
        <v>49</v>
      </c>
      <c r="G253" s="25" t="s">
        <v>912</v>
      </c>
      <c r="H253" s="25" t="s">
        <v>30</v>
      </c>
      <c r="I253" s="25"/>
      <c r="J253" s="25" t="s">
        <v>913</v>
      </c>
      <c r="K253" s="25"/>
      <c r="L253" s="26" t="s">
        <v>20</v>
      </c>
      <c r="M253" s="12">
        <v>44993.0</v>
      </c>
      <c r="N253" s="77" t="str">
        <f t="shared" si="1"/>
        <v>fevereiro</v>
      </c>
    </row>
    <row r="254">
      <c r="A254" s="25" t="s">
        <v>914</v>
      </c>
      <c r="B254" s="59">
        <v>44965.694377962966</v>
      </c>
      <c r="C254" s="25" t="s">
        <v>26</v>
      </c>
      <c r="D254" s="25">
        <v>5304.0</v>
      </c>
      <c r="E254" s="25" t="s">
        <v>27</v>
      </c>
      <c r="F254" s="25" t="s">
        <v>28</v>
      </c>
      <c r="G254" s="25" t="s">
        <v>915</v>
      </c>
      <c r="H254" s="25" t="s">
        <v>30</v>
      </c>
      <c r="I254" s="25"/>
      <c r="J254" s="25" t="s">
        <v>916</v>
      </c>
      <c r="K254" s="25"/>
      <c r="L254" s="26" t="s">
        <v>20</v>
      </c>
      <c r="M254" s="12">
        <v>45169.0</v>
      </c>
      <c r="N254" s="77" t="str">
        <f t="shared" si="1"/>
        <v>fevereiro</v>
      </c>
    </row>
    <row r="255">
      <c r="A255" s="25" t="s">
        <v>917</v>
      </c>
      <c r="B255" s="59">
        <v>44965.735306296294</v>
      </c>
      <c r="C255" s="25" t="s">
        <v>918</v>
      </c>
      <c r="D255" s="25">
        <v>2114.0</v>
      </c>
      <c r="E255" s="25" t="s">
        <v>853</v>
      </c>
      <c r="F255" s="25" t="s">
        <v>86</v>
      </c>
      <c r="G255" s="25" t="s">
        <v>919</v>
      </c>
      <c r="H255" s="25" t="s">
        <v>37</v>
      </c>
      <c r="I255" s="25"/>
      <c r="J255" s="25" t="s">
        <v>920</v>
      </c>
      <c r="K255" s="25"/>
      <c r="L255" s="26" t="s">
        <v>20</v>
      </c>
      <c r="M255" s="12">
        <v>45007.0</v>
      </c>
      <c r="N255" s="77" t="str">
        <f t="shared" si="1"/>
        <v>fevereiro</v>
      </c>
    </row>
    <row r="256">
      <c r="A256" s="25" t="s">
        <v>921</v>
      </c>
      <c r="B256" s="59">
        <v>44966.34897774305</v>
      </c>
      <c r="C256" s="25" t="s">
        <v>922</v>
      </c>
      <c r="D256" s="25">
        <v>5340.0</v>
      </c>
      <c r="E256" s="25" t="s">
        <v>70</v>
      </c>
      <c r="F256" s="25" t="s">
        <v>923</v>
      </c>
      <c r="G256" s="25" t="s">
        <v>924</v>
      </c>
      <c r="H256" s="25" t="s">
        <v>37</v>
      </c>
      <c r="I256" s="25"/>
      <c r="J256" s="25" t="s">
        <v>925</v>
      </c>
      <c r="K256" s="25"/>
      <c r="L256" s="26" t="s">
        <v>20</v>
      </c>
      <c r="M256" s="12">
        <v>44971.0</v>
      </c>
      <c r="N256" s="77" t="str">
        <f t="shared" si="1"/>
        <v>fevereiro</v>
      </c>
    </row>
    <row r="257">
      <c r="A257" s="25" t="s">
        <v>926</v>
      </c>
      <c r="B257" s="59">
        <v>44966.35021675926</v>
      </c>
      <c r="C257" s="25" t="s">
        <v>927</v>
      </c>
      <c r="D257" s="25">
        <v>5363.0</v>
      </c>
      <c r="E257" s="25" t="s">
        <v>261</v>
      </c>
      <c r="F257" s="25" t="s">
        <v>928</v>
      </c>
      <c r="G257" s="25" t="s">
        <v>929</v>
      </c>
      <c r="H257" s="25" t="s">
        <v>37</v>
      </c>
      <c r="I257" s="25"/>
      <c r="J257" s="25" t="s">
        <v>930</v>
      </c>
      <c r="K257" s="25"/>
      <c r="L257" s="26" t="s">
        <v>20</v>
      </c>
      <c r="M257" s="12">
        <v>44966.0</v>
      </c>
      <c r="N257" s="77" t="str">
        <f t="shared" si="1"/>
        <v>fevereiro</v>
      </c>
    </row>
    <row r="258">
      <c r="A258" s="25" t="s">
        <v>931</v>
      </c>
      <c r="B258" s="59">
        <v>44966.379952268515</v>
      </c>
      <c r="C258" s="25" t="s">
        <v>932</v>
      </c>
      <c r="D258" s="25">
        <v>5333.0</v>
      </c>
      <c r="E258" s="25" t="s">
        <v>41</v>
      </c>
      <c r="F258" s="25" t="s">
        <v>42</v>
      </c>
      <c r="G258" s="25" t="s">
        <v>691</v>
      </c>
      <c r="H258" s="25" t="s">
        <v>37</v>
      </c>
      <c r="I258" s="25"/>
      <c r="J258" s="25" t="s">
        <v>933</v>
      </c>
      <c r="K258" s="25"/>
      <c r="L258" s="26" t="s">
        <v>20</v>
      </c>
      <c r="M258" s="12">
        <v>44967.0</v>
      </c>
      <c r="N258" s="77" t="str">
        <f t="shared" si="1"/>
        <v>fevereiro</v>
      </c>
    </row>
    <row r="259">
      <c r="A259" s="25" t="s">
        <v>934</v>
      </c>
      <c r="B259" s="59">
        <v>44966.40617569444</v>
      </c>
      <c r="C259" s="25" t="s">
        <v>645</v>
      </c>
      <c r="D259" s="25">
        <v>5305.0</v>
      </c>
      <c r="E259" s="25" t="s">
        <v>183</v>
      </c>
      <c r="F259" s="25" t="s">
        <v>840</v>
      </c>
      <c r="G259" s="25" t="s">
        <v>935</v>
      </c>
      <c r="H259" s="25" t="s">
        <v>764</v>
      </c>
      <c r="I259" s="25"/>
      <c r="J259" s="25" t="s">
        <v>936</v>
      </c>
      <c r="K259" s="25"/>
      <c r="L259" s="26" t="s">
        <v>20</v>
      </c>
      <c r="M259" s="12">
        <v>44970.0</v>
      </c>
      <c r="N259" s="77" t="str">
        <f t="shared" si="1"/>
        <v>fevereiro</v>
      </c>
    </row>
    <row r="260">
      <c r="A260" s="25" t="s">
        <v>937</v>
      </c>
      <c r="B260" s="59">
        <v>44966.41243349537</v>
      </c>
      <c r="C260" s="25" t="s">
        <v>645</v>
      </c>
      <c r="D260" s="25">
        <v>5305.0</v>
      </c>
      <c r="E260" s="25" t="s">
        <v>183</v>
      </c>
      <c r="F260" s="25" t="s">
        <v>840</v>
      </c>
      <c r="G260" s="25">
        <v>27.0</v>
      </c>
      <c r="H260" s="25" t="s">
        <v>129</v>
      </c>
      <c r="I260" s="25"/>
      <c r="J260" s="25" t="s">
        <v>938</v>
      </c>
      <c r="K260" s="25"/>
      <c r="L260" s="26" t="s">
        <v>20</v>
      </c>
      <c r="M260" s="12">
        <v>44970.0</v>
      </c>
      <c r="N260" s="77" t="str">
        <f t="shared" si="1"/>
        <v>fevereiro</v>
      </c>
    </row>
    <row r="261">
      <c r="A261" s="25" t="s">
        <v>939</v>
      </c>
      <c r="B261" s="59">
        <v>44966.44673733796</v>
      </c>
      <c r="C261" s="25" t="s">
        <v>543</v>
      </c>
      <c r="D261" s="25">
        <v>7602.0</v>
      </c>
      <c r="E261" s="25" t="s">
        <v>34</v>
      </c>
      <c r="F261" s="25" t="s">
        <v>755</v>
      </c>
      <c r="G261" s="25" t="s">
        <v>755</v>
      </c>
      <c r="H261" s="25" t="s">
        <v>37</v>
      </c>
      <c r="I261" s="25"/>
      <c r="J261" s="25" t="s">
        <v>940</v>
      </c>
      <c r="K261" s="25"/>
      <c r="L261" s="26" t="s">
        <v>20</v>
      </c>
      <c r="M261" s="12">
        <v>45170.0</v>
      </c>
      <c r="N261" s="77" t="str">
        <f t="shared" si="1"/>
        <v>fevereiro</v>
      </c>
    </row>
    <row r="262">
      <c r="A262" s="25" t="s">
        <v>941</v>
      </c>
      <c r="B262" s="59">
        <v>44966.591625243054</v>
      </c>
      <c r="C262" s="25" t="s">
        <v>53</v>
      </c>
      <c r="D262" s="25">
        <v>5302.0</v>
      </c>
      <c r="E262" s="20" t="s">
        <v>288</v>
      </c>
      <c r="F262" s="25" t="s">
        <v>55</v>
      </c>
      <c r="G262" s="25" t="s">
        <v>942</v>
      </c>
      <c r="H262" s="25" t="s">
        <v>37</v>
      </c>
      <c r="I262" s="25"/>
      <c r="J262" s="25" t="s">
        <v>943</v>
      </c>
      <c r="K262" s="25"/>
      <c r="L262" s="26" t="s">
        <v>20</v>
      </c>
      <c r="M262" s="12">
        <v>44980.0</v>
      </c>
      <c r="N262" s="77" t="str">
        <f t="shared" si="1"/>
        <v>fevereiro</v>
      </c>
    </row>
    <row r="263">
      <c r="A263" s="25" t="s">
        <v>944</v>
      </c>
      <c r="B263" s="59">
        <v>44966.61002613426</v>
      </c>
      <c r="C263" s="25" t="s">
        <v>53</v>
      </c>
      <c r="D263" s="25">
        <v>5302.0</v>
      </c>
      <c r="E263" s="20" t="s">
        <v>288</v>
      </c>
      <c r="F263" s="25" t="s">
        <v>55</v>
      </c>
      <c r="G263" s="25" t="s">
        <v>945</v>
      </c>
      <c r="H263" s="25" t="s">
        <v>79</v>
      </c>
      <c r="I263" s="25"/>
      <c r="J263" s="25" t="s">
        <v>946</v>
      </c>
      <c r="K263" s="25"/>
      <c r="L263" s="26" t="s">
        <v>20</v>
      </c>
      <c r="M263" s="12">
        <v>44998.0</v>
      </c>
      <c r="N263" s="77" t="str">
        <f t="shared" si="1"/>
        <v>fevereiro</v>
      </c>
    </row>
    <row r="264">
      <c r="A264" s="25" t="s">
        <v>947</v>
      </c>
      <c r="B264" s="59">
        <v>44966.98618421296</v>
      </c>
      <c r="C264" s="25" t="s">
        <v>948</v>
      </c>
      <c r="D264" s="25">
        <v>6.4981321757E10</v>
      </c>
      <c r="E264" s="25" t="s">
        <v>187</v>
      </c>
      <c r="F264" s="25" t="s">
        <v>347</v>
      </c>
      <c r="G264" s="25" t="s">
        <v>949</v>
      </c>
      <c r="H264" s="25" t="s">
        <v>37</v>
      </c>
      <c r="I264" s="25"/>
      <c r="J264" s="25" t="s">
        <v>950</v>
      </c>
      <c r="K264" s="25"/>
      <c r="L264" s="26" t="s">
        <v>20</v>
      </c>
      <c r="M264" s="12">
        <v>44981.0</v>
      </c>
      <c r="N264" s="77" t="str">
        <f t="shared" si="1"/>
        <v>fevereiro</v>
      </c>
    </row>
    <row r="265">
      <c r="A265" s="25" t="s">
        <v>951</v>
      </c>
      <c r="B265" s="59">
        <v>44966.99014877315</v>
      </c>
      <c r="C265" s="25" t="s">
        <v>952</v>
      </c>
      <c r="D265" s="25">
        <v>6.4981321757E10</v>
      </c>
      <c r="E265" s="25" t="s">
        <v>187</v>
      </c>
      <c r="F265" s="25" t="s">
        <v>347</v>
      </c>
      <c r="G265" s="25">
        <v>115.0</v>
      </c>
      <c r="H265" s="25" t="s">
        <v>129</v>
      </c>
      <c r="I265" s="25"/>
      <c r="J265" s="25" t="s">
        <v>953</v>
      </c>
      <c r="K265" s="25"/>
      <c r="L265" s="26" t="s">
        <v>20</v>
      </c>
      <c r="M265" s="12">
        <v>45092.0</v>
      </c>
      <c r="N265" s="77" t="str">
        <f t="shared" si="1"/>
        <v>fevereiro</v>
      </c>
    </row>
    <row r="266">
      <c r="A266" s="25" t="s">
        <v>954</v>
      </c>
      <c r="B266" s="59">
        <v>44967.4819264699</v>
      </c>
      <c r="C266" s="25" t="s">
        <v>955</v>
      </c>
      <c r="D266" s="25">
        <v>5335.0</v>
      </c>
      <c r="E266" s="25" t="s">
        <v>674</v>
      </c>
      <c r="F266" s="25" t="s">
        <v>82</v>
      </c>
      <c r="G266" s="25" t="s">
        <v>956</v>
      </c>
      <c r="H266" s="25" t="s">
        <v>37</v>
      </c>
      <c r="I266" s="25"/>
      <c r="J266" s="25" t="s">
        <v>957</v>
      </c>
      <c r="K266" s="25"/>
      <c r="L266" s="56" t="s">
        <v>74</v>
      </c>
      <c r="M266" s="62">
        <v>44967.0</v>
      </c>
      <c r="N266" s="77" t="str">
        <f t="shared" si="1"/>
        <v>fevereiro</v>
      </c>
    </row>
    <row r="267">
      <c r="A267" s="25" t="s">
        <v>958</v>
      </c>
      <c r="B267" s="59">
        <v>44967.59129976852</v>
      </c>
      <c r="C267" s="25" t="s">
        <v>383</v>
      </c>
      <c r="D267" s="85" t="s">
        <v>959</v>
      </c>
      <c r="E267" s="25" t="s">
        <v>34</v>
      </c>
      <c r="F267" s="25" t="s">
        <v>960</v>
      </c>
      <c r="G267" s="25" t="s">
        <v>961</v>
      </c>
      <c r="H267" s="25" t="s">
        <v>30</v>
      </c>
      <c r="I267" s="25"/>
      <c r="J267" s="25" t="s">
        <v>962</v>
      </c>
      <c r="K267" s="25"/>
      <c r="L267" s="26" t="s">
        <v>20</v>
      </c>
      <c r="M267" s="12">
        <v>45171.0</v>
      </c>
      <c r="N267" s="77" t="str">
        <f t="shared" si="1"/>
        <v>fevereiro</v>
      </c>
    </row>
    <row r="268">
      <c r="A268" s="25" t="s">
        <v>963</v>
      </c>
      <c r="B268" s="59">
        <v>44970.30107386574</v>
      </c>
      <c r="C268" s="25" t="s">
        <v>964</v>
      </c>
      <c r="D268" s="25">
        <v>5327.0</v>
      </c>
      <c r="E268" s="25" t="s">
        <v>621</v>
      </c>
      <c r="F268" s="25" t="s">
        <v>86</v>
      </c>
      <c r="G268" s="25" t="s">
        <v>965</v>
      </c>
      <c r="H268" s="25" t="s">
        <v>37</v>
      </c>
      <c r="I268" s="25"/>
      <c r="J268" s="25" t="s">
        <v>966</v>
      </c>
      <c r="K268" s="25"/>
      <c r="L268" s="26" t="s">
        <v>20</v>
      </c>
      <c r="M268" s="12">
        <v>44999.0</v>
      </c>
      <c r="N268" s="77" t="str">
        <f t="shared" si="1"/>
        <v>fevereiro</v>
      </c>
    </row>
    <row r="269">
      <c r="A269" s="25" t="s">
        <v>967</v>
      </c>
      <c r="B269" s="59">
        <v>44970.60255831019</v>
      </c>
      <c r="C269" s="25" t="s">
        <v>968</v>
      </c>
      <c r="D269" s="25">
        <v>5345.0</v>
      </c>
      <c r="E269" s="25" t="s">
        <v>969</v>
      </c>
      <c r="F269" s="25" t="s">
        <v>82</v>
      </c>
      <c r="G269" s="25" t="s">
        <v>970</v>
      </c>
      <c r="H269" s="25" t="s">
        <v>37</v>
      </c>
      <c r="I269" s="25"/>
      <c r="J269" s="25" t="s">
        <v>971</v>
      </c>
      <c r="K269" s="25"/>
      <c r="L269" s="26" t="s">
        <v>20</v>
      </c>
      <c r="M269" s="12">
        <v>44999.0</v>
      </c>
      <c r="N269" s="77" t="str">
        <f t="shared" si="1"/>
        <v>fevereiro</v>
      </c>
    </row>
    <row r="270">
      <c r="A270" s="25" t="s">
        <v>972</v>
      </c>
      <c r="B270" s="59">
        <v>44970.616335659724</v>
      </c>
      <c r="C270" s="25" t="s">
        <v>40</v>
      </c>
      <c r="D270" s="25">
        <v>5333.0</v>
      </c>
      <c r="E270" s="25" t="s">
        <v>41</v>
      </c>
      <c r="F270" s="25" t="s">
        <v>42</v>
      </c>
      <c r="G270" s="25" t="s">
        <v>973</v>
      </c>
      <c r="H270" s="25" t="s">
        <v>79</v>
      </c>
      <c r="I270" s="25"/>
      <c r="J270" s="25" t="s">
        <v>974</v>
      </c>
      <c r="K270" s="25"/>
      <c r="L270" s="26" t="s">
        <v>20</v>
      </c>
      <c r="M270" s="12">
        <v>45005.0</v>
      </c>
      <c r="N270" s="77" t="str">
        <f t="shared" si="1"/>
        <v>fevereiro</v>
      </c>
    </row>
    <row r="271">
      <c r="A271" s="25" t="s">
        <v>975</v>
      </c>
      <c r="B271" s="59">
        <v>44970.61811847222</v>
      </c>
      <c r="C271" s="25" t="s">
        <v>40</v>
      </c>
      <c r="D271" s="25">
        <v>5333.0</v>
      </c>
      <c r="E271" s="25" t="s">
        <v>41</v>
      </c>
      <c r="F271" s="25" t="s">
        <v>42</v>
      </c>
      <c r="G271" s="25" t="s">
        <v>976</v>
      </c>
      <c r="H271" s="25" t="s">
        <v>30</v>
      </c>
      <c r="I271" s="25"/>
      <c r="J271" s="25" t="s">
        <v>977</v>
      </c>
      <c r="K271" s="25"/>
      <c r="L271" s="26" t="s">
        <v>20</v>
      </c>
      <c r="M271" s="12">
        <v>44987.0</v>
      </c>
      <c r="N271" s="77" t="str">
        <f t="shared" si="1"/>
        <v>fevereiro</v>
      </c>
    </row>
    <row r="272">
      <c r="A272" s="25" t="s">
        <v>978</v>
      </c>
      <c r="B272" s="59">
        <v>44970.68742815973</v>
      </c>
      <c r="C272" s="25" t="s">
        <v>665</v>
      </c>
      <c r="D272" s="25">
        <v>5636.0</v>
      </c>
      <c r="E272" s="7" t="s">
        <v>666</v>
      </c>
      <c r="F272" s="25" t="s">
        <v>82</v>
      </c>
      <c r="G272" s="25" t="s">
        <v>979</v>
      </c>
      <c r="H272" s="25" t="s">
        <v>37</v>
      </c>
      <c r="I272" s="25"/>
      <c r="J272" s="25" t="s">
        <v>980</v>
      </c>
      <c r="K272" s="25"/>
      <c r="L272" s="26" t="s">
        <v>20</v>
      </c>
      <c r="M272" s="12">
        <v>45172.0</v>
      </c>
      <c r="N272" s="77" t="str">
        <f t="shared" si="1"/>
        <v>fevereiro</v>
      </c>
    </row>
    <row r="273">
      <c r="A273" s="25" t="s">
        <v>981</v>
      </c>
      <c r="B273" s="59">
        <v>44970.69060487268</v>
      </c>
      <c r="C273" s="25" t="s">
        <v>982</v>
      </c>
      <c r="D273" s="25">
        <v>5336.0</v>
      </c>
      <c r="E273" s="7" t="s">
        <v>666</v>
      </c>
      <c r="F273" s="25" t="s">
        <v>82</v>
      </c>
      <c r="G273" s="25" t="s">
        <v>983</v>
      </c>
      <c r="H273" s="25" t="s">
        <v>37</v>
      </c>
      <c r="I273" s="25"/>
      <c r="J273" s="25" t="s">
        <v>984</v>
      </c>
      <c r="K273" s="25"/>
      <c r="L273" s="26" t="s">
        <v>20</v>
      </c>
      <c r="M273" s="12">
        <v>45173.0</v>
      </c>
      <c r="N273" s="77" t="str">
        <f t="shared" si="1"/>
        <v>fevereiro</v>
      </c>
    </row>
    <row r="274">
      <c r="A274" s="25" t="s">
        <v>985</v>
      </c>
      <c r="B274" s="59">
        <v>44970.691477071756</v>
      </c>
      <c r="C274" s="25" t="s">
        <v>986</v>
      </c>
      <c r="D274" s="25">
        <v>5343.0</v>
      </c>
      <c r="E274" s="25" t="s">
        <v>987</v>
      </c>
      <c r="F274" s="25" t="s">
        <v>82</v>
      </c>
      <c r="G274" s="25" t="s">
        <v>988</v>
      </c>
      <c r="H274" s="25" t="s">
        <v>37</v>
      </c>
      <c r="I274" s="25"/>
      <c r="J274" s="25" t="s">
        <v>989</v>
      </c>
      <c r="K274" s="25"/>
      <c r="L274" s="26" t="s">
        <v>20</v>
      </c>
      <c r="M274" s="12">
        <v>44999.0</v>
      </c>
      <c r="N274" s="77" t="str">
        <f t="shared" si="1"/>
        <v>fevereiro</v>
      </c>
    </row>
    <row r="275">
      <c r="A275" s="25" t="s">
        <v>990</v>
      </c>
      <c r="B275" s="59">
        <v>44970.69227193287</v>
      </c>
      <c r="C275" s="25" t="s">
        <v>991</v>
      </c>
      <c r="D275" s="25">
        <v>5336.0</v>
      </c>
      <c r="E275" s="7" t="s">
        <v>666</v>
      </c>
      <c r="F275" s="25" t="s">
        <v>82</v>
      </c>
      <c r="G275" s="25" t="s">
        <v>667</v>
      </c>
      <c r="H275" s="25" t="s">
        <v>37</v>
      </c>
      <c r="I275" s="25"/>
      <c r="J275" s="25" t="s">
        <v>992</v>
      </c>
      <c r="K275" s="25"/>
      <c r="L275" s="26" t="s">
        <v>20</v>
      </c>
      <c r="M275" s="12">
        <v>45174.0</v>
      </c>
      <c r="N275" s="77" t="str">
        <f t="shared" si="1"/>
        <v>fevereiro</v>
      </c>
    </row>
    <row r="276">
      <c r="A276" s="25" t="s">
        <v>993</v>
      </c>
      <c r="B276" s="59">
        <v>44970.69370715278</v>
      </c>
      <c r="C276" s="25" t="s">
        <v>994</v>
      </c>
      <c r="D276" s="25">
        <v>3.4415308E7</v>
      </c>
      <c r="E276" s="25" t="s">
        <v>858</v>
      </c>
      <c r="F276" s="25" t="s">
        <v>709</v>
      </c>
      <c r="G276" s="25" t="s">
        <v>995</v>
      </c>
      <c r="H276" s="25" t="s">
        <v>79</v>
      </c>
      <c r="I276" s="25"/>
      <c r="J276" s="25" t="s">
        <v>996</v>
      </c>
      <c r="K276" s="25"/>
      <c r="L276" s="26" t="s">
        <v>20</v>
      </c>
      <c r="M276" s="12">
        <v>45153.0</v>
      </c>
      <c r="N276" s="77" t="str">
        <f t="shared" si="1"/>
        <v>fevereiro</v>
      </c>
    </row>
    <row r="277">
      <c r="A277" s="25" t="s">
        <v>997</v>
      </c>
      <c r="B277" s="59">
        <v>44970.711931666665</v>
      </c>
      <c r="C277" s="25" t="s">
        <v>994</v>
      </c>
      <c r="D277" s="25">
        <v>3.4415308E7</v>
      </c>
      <c r="E277" s="25" t="s">
        <v>858</v>
      </c>
      <c r="F277" s="25" t="s">
        <v>554</v>
      </c>
      <c r="G277" s="25" t="s">
        <v>998</v>
      </c>
      <c r="H277" s="25" t="s">
        <v>30</v>
      </c>
      <c r="I277" s="25"/>
      <c r="J277" s="25" t="s">
        <v>999</v>
      </c>
      <c r="K277" s="25"/>
      <c r="L277" s="26" t="s">
        <v>20</v>
      </c>
      <c r="M277" s="12">
        <v>44971.0</v>
      </c>
      <c r="N277" s="77" t="str">
        <f t="shared" si="1"/>
        <v>fevereiro</v>
      </c>
    </row>
    <row r="278">
      <c r="A278" s="25" t="s">
        <v>1000</v>
      </c>
      <c r="B278" s="59">
        <v>44970.83213203704</v>
      </c>
      <c r="C278" s="25" t="s">
        <v>40</v>
      </c>
      <c r="D278" s="25">
        <v>5333.0</v>
      </c>
      <c r="E278" s="25" t="s">
        <v>41</v>
      </c>
      <c r="F278" s="25" t="s">
        <v>42</v>
      </c>
      <c r="G278" s="25" t="s">
        <v>1001</v>
      </c>
      <c r="H278" s="25" t="s">
        <v>37</v>
      </c>
      <c r="I278" s="25"/>
      <c r="J278" s="25" t="s">
        <v>1002</v>
      </c>
      <c r="K278" s="25"/>
      <c r="L278" s="26" t="s">
        <v>20</v>
      </c>
      <c r="M278" s="12">
        <v>44987.0</v>
      </c>
      <c r="N278" s="77" t="str">
        <f t="shared" si="1"/>
        <v>fevereiro</v>
      </c>
    </row>
    <row r="279">
      <c r="A279" s="25" t="s">
        <v>1003</v>
      </c>
      <c r="B279" s="59">
        <v>44971.38283258102</v>
      </c>
      <c r="C279" s="25" t="s">
        <v>1004</v>
      </c>
      <c r="D279" s="25">
        <v>5342.0</v>
      </c>
      <c r="E279" s="25" t="s">
        <v>27</v>
      </c>
      <c r="F279" s="25" t="s">
        <v>1005</v>
      </c>
      <c r="G279" s="25" t="s">
        <v>1006</v>
      </c>
      <c r="H279" s="25" t="s">
        <v>37</v>
      </c>
      <c r="I279" s="25"/>
      <c r="J279" s="25" t="s">
        <v>1007</v>
      </c>
      <c r="K279" s="25"/>
      <c r="L279" s="26" t="s">
        <v>20</v>
      </c>
      <c r="M279" s="12">
        <v>45006.0</v>
      </c>
      <c r="N279" s="77" t="str">
        <f t="shared" si="1"/>
        <v>fevereiro</v>
      </c>
    </row>
    <row r="280">
      <c r="A280" s="25" t="s">
        <v>1008</v>
      </c>
      <c r="B280" s="59">
        <v>44971.46092636574</v>
      </c>
      <c r="C280" s="25" t="s">
        <v>673</v>
      </c>
      <c r="D280" s="25">
        <v>5332.0</v>
      </c>
      <c r="E280" s="25" t="s">
        <v>728</v>
      </c>
      <c r="F280" s="25" t="s">
        <v>103</v>
      </c>
      <c r="G280" s="25" t="s">
        <v>1009</v>
      </c>
      <c r="H280" s="25" t="s">
        <v>30</v>
      </c>
      <c r="I280" s="25"/>
      <c r="J280" s="25" t="s">
        <v>1010</v>
      </c>
      <c r="K280" s="20" t="s">
        <v>1011</v>
      </c>
      <c r="L280" s="26" t="s">
        <v>74</v>
      </c>
      <c r="M280" s="12">
        <v>45229.0</v>
      </c>
      <c r="N280" s="77" t="str">
        <f t="shared" si="1"/>
        <v>fevereiro</v>
      </c>
    </row>
    <row r="281">
      <c r="A281" s="25" t="s">
        <v>1012</v>
      </c>
      <c r="B281" s="59">
        <v>44971.48497914352</v>
      </c>
      <c r="C281" s="25" t="s">
        <v>194</v>
      </c>
      <c r="D281" s="25" t="s">
        <v>740</v>
      </c>
      <c r="E281" s="25" t="s">
        <v>195</v>
      </c>
      <c r="F281" s="25" t="s">
        <v>1013</v>
      </c>
      <c r="G281" s="25" t="s">
        <v>1013</v>
      </c>
      <c r="H281" s="25" t="s">
        <v>298</v>
      </c>
      <c r="I281" s="25"/>
      <c r="J281" s="25" t="s">
        <v>1014</v>
      </c>
      <c r="K281" s="25"/>
      <c r="L281" s="26" t="s">
        <v>20</v>
      </c>
      <c r="M281" s="12">
        <v>44986.0</v>
      </c>
      <c r="N281" s="77" t="str">
        <f t="shared" si="1"/>
        <v>fevereiro</v>
      </c>
    </row>
    <row r="282">
      <c r="A282" s="25" t="s">
        <v>1015</v>
      </c>
      <c r="B282" s="59">
        <v>44971.56282721065</v>
      </c>
      <c r="C282" s="25" t="s">
        <v>1016</v>
      </c>
      <c r="D282" s="25">
        <v>5236.0</v>
      </c>
      <c r="E282" s="25" t="s">
        <v>54</v>
      </c>
      <c r="F282" s="25" t="s">
        <v>61</v>
      </c>
      <c r="G282" s="25" t="s">
        <v>1017</v>
      </c>
      <c r="H282" s="25" t="s">
        <v>37</v>
      </c>
      <c r="I282" s="25"/>
      <c r="J282" s="25" t="s">
        <v>1018</v>
      </c>
      <c r="K282" s="25"/>
      <c r="L282" s="26" t="s">
        <v>20</v>
      </c>
      <c r="M282" s="12">
        <v>44998.0</v>
      </c>
      <c r="N282" s="77" t="str">
        <f t="shared" si="1"/>
        <v>fevereiro</v>
      </c>
    </row>
    <row r="283">
      <c r="A283" s="25" t="s">
        <v>1019</v>
      </c>
      <c r="B283" s="59">
        <v>44971.572613854165</v>
      </c>
      <c r="C283" s="25" t="s">
        <v>40</v>
      </c>
      <c r="D283" s="25">
        <v>5333.0</v>
      </c>
      <c r="E283" s="25" t="s">
        <v>41</v>
      </c>
      <c r="F283" s="25" t="s">
        <v>42</v>
      </c>
      <c r="G283" s="25" t="s">
        <v>1020</v>
      </c>
      <c r="H283" s="25" t="s">
        <v>79</v>
      </c>
      <c r="I283" s="25"/>
      <c r="J283" s="25" t="s">
        <v>1021</v>
      </c>
      <c r="K283" s="25"/>
      <c r="L283" s="26" t="s">
        <v>20</v>
      </c>
      <c r="M283" s="12">
        <v>45005.0</v>
      </c>
      <c r="N283" s="77" t="str">
        <f t="shared" si="1"/>
        <v>fevereiro</v>
      </c>
    </row>
    <row r="284">
      <c r="A284" s="25" t="s">
        <v>1022</v>
      </c>
      <c r="B284" s="59">
        <v>44971.79623064815</v>
      </c>
      <c r="C284" s="25" t="s">
        <v>432</v>
      </c>
      <c r="D284" s="25">
        <v>6.4981321757E10</v>
      </c>
      <c r="E284" s="25" t="s">
        <v>187</v>
      </c>
      <c r="F284" s="25" t="s">
        <v>347</v>
      </c>
      <c r="G284" s="25" t="s">
        <v>1023</v>
      </c>
      <c r="H284" s="25" t="s">
        <v>129</v>
      </c>
      <c r="I284" s="25"/>
      <c r="J284" s="25" t="s">
        <v>1024</v>
      </c>
      <c r="K284" s="25"/>
      <c r="L284" s="26" t="s">
        <v>20</v>
      </c>
      <c r="M284" s="12">
        <v>44972.0</v>
      </c>
      <c r="N284" s="77" t="str">
        <f t="shared" si="1"/>
        <v>fevereiro</v>
      </c>
    </row>
    <row r="285">
      <c r="A285" s="88" t="s">
        <v>1025</v>
      </c>
      <c r="B285" s="8">
        <v>44971.79736172454</v>
      </c>
      <c r="C285" s="7" t="s">
        <v>1026</v>
      </c>
      <c r="D285" s="7" t="s">
        <v>1027</v>
      </c>
      <c r="E285" s="25" t="s">
        <v>187</v>
      </c>
      <c r="F285" s="7" t="s">
        <v>1028</v>
      </c>
      <c r="G285" s="9" t="s">
        <v>433</v>
      </c>
      <c r="H285" s="7" t="s">
        <v>79</v>
      </c>
      <c r="I285" s="7"/>
      <c r="J285" s="7" t="s">
        <v>1029</v>
      </c>
      <c r="K285" s="30"/>
      <c r="L285" s="10" t="s">
        <v>20</v>
      </c>
      <c r="M285" s="55">
        <v>45322.0</v>
      </c>
      <c r="N285" s="77" t="str">
        <f t="shared" si="1"/>
        <v>fevereiro</v>
      </c>
    </row>
    <row r="286">
      <c r="A286" s="25" t="s">
        <v>1030</v>
      </c>
      <c r="B286" s="59">
        <v>44972.33863125</v>
      </c>
      <c r="C286" s="25" t="s">
        <v>1031</v>
      </c>
      <c r="D286" s="25">
        <v>6.4981321757E10</v>
      </c>
      <c r="E286" s="25" t="s">
        <v>187</v>
      </c>
      <c r="F286" s="25" t="s">
        <v>347</v>
      </c>
      <c r="G286" s="25" t="s">
        <v>1023</v>
      </c>
      <c r="H286" s="25" t="s">
        <v>129</v>
      </c>
      <c r="I286" s="25"/>
      <c r="J286" s="25" t="s">
        <v>1032</v>
      </c>
      <c r="K286" s="25"/>
      <c r="L286" s="26" t="s">
        <v>20</v>
      </c>
      <c r="M286" s="12">
        <v>45203.0</v>
      </c>
      <c r="N286" s="77" t="str">
        <f t="shared" si="1"/>
        <v>fevereiro</v>
      </c>
    </row>
    <row r="287">
      <c r="A287" s="25" t="s">
        <v>1033</v>
      </c>
      <c r="B287" s="59">
        <v>44972.34153523148</v>
      </c>
      <c r="C287" s="25" t="s">
        <v>1031</v>
      </c>
      <c r="D287" s="25">
        <v>6.4981321757E10</v>
      </c>
      <c r="E287" s="25" t="s">
        <v>187</v>
      </c>
      <c r="F287" s="25" t="s">
        <v>347</v>
      </c>
      <c r="G287" s="25" t="s">
        <v>1034</v>
      </c>
      <c r="H287" s="25" t="s">
        <v>79</v>
      </c>
      <c r="I287" s="25"/>
      <c r="J287" s="25" t="s">
        <v>1035</v>
      </c>
      <c r="K287" s="25"/>
      <c r="L287" s="26" t="s">
        <v>20</v>
      </c>
      <c r="M287" s="12">
        <v>45153.0</v>
      </c>
      <c r="N287" s="77" t="str">
        <f t="shared" si="1"/>
        <v>fevereiro</v>
      </c>
    </row>
    <row r="288">
      <c r="A288" s="25" t="s">
        <v>1036</v>
      </c>
      <c r="B288" s="59">
        <v>44972.43468460648</v>
      </c>
      <c r="C288" s="25" t="s">
        <v>611</v>
      </c>
      <c r="D288" s="25">
        <v>5320.0</v>
      </c>
      <c r="E288" s="20" t="s">
        <v>206</v>
      </c>
      <c r="F288" s="25" t="s">
        <v>1037</v>
      </c>
      <c r="G288" s="25" t="s">
        <v>1038</v>
      </c>
      <c r="H288" s="25" t="s">
        <v>37</v>
      </c>
      <c r="I288" s="25"/>
      <c r="J288" s="25" t="s">
        <v>1039</v>
      </c>
      <c r="K288" s="25"/>
      <c r="L288" s="26" t="s">
        <v>20</v>
      </c>
      <c r="M288" s="12">
        <v>44972.0</v>
      </c>
      <c r="N288" s="77" t="str">
        <f t="shared" si="1"/>
        <v>fevereiro</v>
      </c>
    </row>
    <row r="289">
      <c r="A289" s="25" t="s">
        <v>1040</v>
      </c>
      <c r="B289" s="59">
        <v>44972.54875120371</v>
      </c>
      <c r="C289" s="25" t="s">
        <v>1041</v>
      </c>
      <c r="D289" s="25" t="s">
        <v>1042</v>
      </c>
      <c r="E289" s="25" t="s">
        <v>34</v>
      </c>
      <c r="F289" s="25" t="s">
        <v>347</v>
      </c>
      <c r="G289" s="25">
        <v>109.0</v>
      </c>
      <c r="H289" s="25" t="s">
        <v>79</v>
      </c>
      <c r="I289" s="25"/>
      <c r="J289" s="25" t="s">
        <v>1043</v>
      </c>
      <c r="K289" s="25"/>
      <c r="L289" s="26" t="s">
        <v>20</v>
      </c>
      <c r="M289" s="12">
        <v>44973.0</v>
      </c>
      <c r="N289" s="77" t="str">
        <f t="shared" si="1"/>
        <v>fevereiro</v>
      </c>
    </row>
    <row r="290">
      <c r="A290" s="25" t="s">
        <v>1044</v>
      </c>
      <c r="B290" s="59">
        <v>44972.62831659723</v>
      </c>
      <c r="C290" s="25" t="s">
        <v>486</v>
      </c>
      <c r="D290" s="25">
        <v>5340.0</v>
      </c>
      <c r="E290" s="25" t="s">
        <v>70</v>
      </c>
      <c r="F290" s="25" t="s">
        <v>393</v>
      </c>
      <c r="G290" s="25" t="s">
        <v>1045</v>
      </c>
      <c r="H290" s="25" t="s">
        <v>30</v>
      </c>
      <c r="I290" s="25"/>
      <c r="J290" s="25" t="s">
        <v>1046</v>
      </c>
      <c r="K290" s="25"/>
      <c r="L290" s="26" t="s">
        <v>20</v>
      </c>
      <c r="M290" s="12">
        <v>44973.0</v>
      </c>
      <c r="N290" s="77" t="str">
        <f t="shared" si="1"/>
        <v>fevereiro</v>
      </c>
    </row>
    <row r="291">
      <c r="A291" s="25" t="s">
        <v>1047</v>
      </c>
      <c r="B291" s="59">
        <v>44972.62951388889</v>
      </c>
      <c r="C291" s="25" t="s">
        <v>105</v>
      </c>
      <c r="D291" s="25">
        <v>5333.0</v>
      </c>
      <c r="E291" s="25" t="s">
        <v>41</v>
      </c>
      <c r="F291" s="25" t="s">
        <v>1048</v>
      </c>
      <c r="G291" s="25" t="s">
        <v>1048</v>
      </c>
      <c r="H291" s="25" t="s">
        <v>764</v>
      </c>
      <c r="I291" s="25"/>
      <c r="J291" s="25" t="s">
        <v>1049</v>
      </c>
      <c r="K291" s="25"/>
      <c r="L291" s="26" t="s">
        <v>20</v>
      </c>
      <c r="M291" s="12">
        <v>44973.0</v>
      </c>
      <c r="N291" s="77" t="str">
        <f t="shared" si="1"/>
        <v>fevereiro</v>
      </c>
    </row>
    <row r="292">
      <c r="A292" s="25" t="s">
        <v>1050</v>
      </c>
      <c r="B292" s="59">
        <v>44972.70228760417</v>
      </c>
      <c r="C292" s="25" t="s">
        <v>40</v>
      </c>
      <c r="D292" s="25">
        <v>5333.0</v>
      </c>
      <c r="E292" s="25" t="s">
        <v>41</v>
      </c>
      <c r="F292" s="25" t="s">
        <v>42</v>
      </c>
      <c r="G292" s="25" t="s">
        <v>1051</v>
      </c>
      <c r="H292" s="25" t="s">
        <v>79</v>
      </c>
      <c r="I292" s="25"/>
      <c r="J292" s="25" t="s">
        <v>1052</v>
      </c>
      <c r="K292" s="25"/>
      <c r="L292" s="26" t="s">
        <v>20</v>
      </c>
      <c r="M292" s="12">
        <v>45005.0</v>
      </c>
      <c r="N292" s="77" t="str">
        <f t="shared" si="1"/>
        <v>fevereiro</v>
      </c>
    </row>
    <row r="293">
      <c r="A293" s="25" t="s">
        <v>1053</v>
      </c>
      <c r="B293" s="59">
        <v>44972.705597569446</v>
      </c>
      <c r="C293" s="25" t="s">
        <v>59</v>
      </c>
      <c r="D293" s="25">
        <v>5349.0</v>
      </c>
      <c r="E293" s="25" t="s">
        <v>60</v>
      </c>
      <c r="F293" s="25" t="s">
        <v>61</v>
      </c>
      <c r="G293" s="25" t="s">
        <v>598</v>
      </c>
      <c r="H293" s="25" t="s">
        <v>37</v>
      </c>
      <c r="I293" s="25"/>
      <c r="J293" s="25" t="s">
        <v>1054</v>
      </c>
      <c r="K293" s="25"/>
      <c r="L293" s="26" t="s">
        <v>20</v>
      </c>
      <c r="M293" s="12">
        <v>44974.0</v>
      </c>
      <c r="N293" s="77" t="str">
        <f t="shared" si="1"/>
        <v>fevereiro</v>
      </c>
    </row>
    <row r="294">
      <c r="A294" s="25" t="s">
        <v>1055</v>
      </c>
      <c r="B294" s="59">
        <v>44973.38879539352</v>
      </c>
      <c r="C294" s="25" t="s">
        <v>370</v>
      </c>
      <c r="D294" s="25">
        <v>5306.0</v>
      </c>
      <c r="E294" s="25" t="s">
        <v>371</v>
      </c>
      <c r="F294" s="25" t="s">
        <v>49</v>
      </c>
      <c r="G294" s="25" t="s">
        <v>372</v>
      </c>
      <c r="H294" s="25" t="s">
        <v>37</v>
      </c>
      <c r="I294" s="25"/>
      <c r="J294" s="25" t="s">
        <v>1056</v>
      </c>
      <c r="K294" s="25"/>
      <c r="L294" s="26" t="s">
        <v>20</v>
      </c>
      <c r="M294" s="12">
        <v>44974.0</v>
      </c>
      <c r="N294" s="77" t="str">
        <f t="shared" si="1"/>
        <v>fevereiro</v>
      </c>
    </row>
    <row r="295">
      <c r="A295" s="25" t="s">
        <v>1057</v>
      </c>
      <c r="B295" s="59">
        <v>44973.39048934028</v>
      </c>
      <c r="C295" s="25" t="s">
        <v>215</v>
      </c>
      <c r="D295" s="25">
        <v>5333.0</v>
      </c>
      <c r="E295" s="25" t="s">
        <v>41</v>
      </c>
      <c r="F295" s="25" t="s">
        <v>42</v>
      </c>
      <c r="G295" s="25" t="s">
        <v>1058</v>
      </c>
      <c r="H295" s="25" t="s">
        <v>162</v>
      </c>
      <c r="I295" s="25"/>
      <c r="J295" s="25" t="s">
        <v>1059</v>
      </c>
      <c r="K295" s="25"/>
      <c r="L295" s="26" t="s">
        <v>20</v>
      </c>
      <c r="M295" s="12">
        <v>44987.0</v>
      </c>
      <c r="N295" s="77" t="str">
        <f t="shared" si="1"/>
        <v>fevereiro</v>
      </c>
    </row>
    <row r="296">
      <c r="A296" s="25" t="s">
        <v>1060</v>
      </c>
      <c r="B296" s="59">
        <v>44973.40968254629</v>
      </c>
      <c r="C296" s="25" t="s">
        <v>1061</v>
      </c>
      <c r="D296" s="25">
        <v>5309.0</v>
      </c>
      <c r="E296" s="25" t="s">
        <v>580</v>
      </c>
      <c r="F296" s="25" t="s">
        <v>1062</v>
      </c>
      <c r="G296" s="25" t="s">
        <v>1063</v>
      </c>
      <c r="H296" s="25" t="s">
        <v>37</v>
      </c>
      <c r="I296" s="25"/>
      <c r="J296" s="25" t="s">
        <v>1064</v>
      </c>
      <c r="K296" s="25"/>
      <c r="L296" s="26" t="s">
        <v>20</v>
      </c>
      <c r="M296" s="12">
        <v>44974.0</v>
      </c>
      <c r="N296" s="77" t="str">
        <f t="shared" si="1"/>
        <v>fevereiro</v>
      </c>
    </row>
    <row r="297">
      <c r="A297" s="25" t="s">
        <v>1065</v>
      </c>
      <c r="B297" s="59">
        <v>44973.45523979167</v>
      </c>
      <c r="C297" s="25" t="s">
        <v>245</v>
      </c>
      <c r="D297" s="25">
        <v>6.498456331E10</v>
      </c>
      <c r="E297" s="7" t="s">
        <v>246</v>
      </c>
      <c r="F297" s="25" t="s">
        <v>178</v>
      </c>
      <c r="G297" s="25" t="s">
        <v>247</v>
      </c>
      <c r="H297" s="25" t="s">
        <v>79</v>
      </c>
      <c r="I297" s="25"/>
      <c r="J297" s="25" t="s">
        <v>1066</v>
      </c>
      <c r="K297" s="25"/>
      <c r="L297" s="26" t="s">
        <v>20</v>
      </c>
      <c r="M297" s="12">
        <v>44986.0</v>
      </c>
      <c r="N297" s="77" t="str">
        <f t="shared" si="1"/>
        <v>fevereiro</v>
      </c>
    </row>
    <row r="298">
      <c r="A298" s="25" t="s">
        <v>1067</v>
      </c>
      <c r="B298" s="59">
        <v>44973.5860025463</v>
      </c>
      <c r="C298" s="25" t="s">
        <v>1068</v>
      </c>
      <c r="D298" s="25">
        <v>5311.0</v>
      </c>
      <c r="E298" s="25" t="s">
        <v>251</v>
      </c>
      <c r="F298" s="25" t="s">
        <v>1069</v>
      </c>
      <c r="G298" s="25" t="s">
        <v>1070</v>
      </c>
      <c r="H298" s="25" t="s">
        <v>37</v>
      </c>
      <c r="I298" s="25"/>
      <c r="J298" s="25" t="s">
        <v>1071</v>
      </c>
      <c r="K298" s="25"/>
      <c r="L298" s="26" t="s">
        <v>20</v>
      </c>
      <c r="M298" s="12">
        <v>44974.0</v>
      </c>
      <c r="N298" s="77" t="str">
        <f t="shared" si="1"/>
        <v>fevereiro</v>
      </c>
    </row>
    <row r="299">
      <c r="A299" s="25" t="s">
        <v>1072</v>
      </c>
      <c r="B299" s="59">
        <v>44973.58784252315</v>
      </c>
      <c r="C299" s="25" t="s">
        <v>1068</v>
      </c>
      <c r="D299" s="25">
        <v>5311.0</v>
      </c>
      <c r="E299" s="25" t="s">
        <v>251</v>
      </c>
      <c r="F299" s="25" t="s">
        <v>1069</v>
      </c>
      <c r="G299" s="25" t="s">
        <v>1073</v>
      </c>
      <c r="H299" s="25" t="s">
        <v>37</v>
      </c>
      <c r="I299" s="25"/>
      <c r="J299" s="25" t="s">
        <v>1074</v>
      </c>
      <c r="K299" s="25"/>
      <c r="L299" s="26" t="s">
        <v>20</v>
      </c>
      <c r="M299" s="12">
        <v>44974.0</v>
      </c>
      <c r="N299" s="77" t="str">
        <f t="shared" si="1"/>
        <v>fevereiro</v>
      </c>
    </row>
    <row r="300">
      <c r="A300" s="25" t="s">
        <v>1075</v>
      </c>
      <c r="B300" s="59">
        <v>44973.65638207176</v>
      </c>
      <c r="C300" s="25" t="s">
        <v>486</v>
      </c>
      <c r="D300" s="25">
        <v>5340.0</v>
      </c>
      <c r="E300" s="25" t="s">
        <v>70</v>
      </c>
      <c r="F300" s="25" t="s">
        <v>1076</v>
      </c>
      <c r="G300" s="25" t="s">
        <v>1077</v>
      </c>
      <c r="H300" s="25" t="s">
        <v>30</v>
      </c>
      <c r="I300" s="25"/>
      <c r="J300" s="25" t="s">
        <v>1078</v>
      </c>
      <c r="K300" s="25"/>
      <c r="L300" s="26" t="s">
        <v>20</v>
      </c>
      <c r="M300" s="12">
        <v>44984.0</v>
      </c>
      <c r="N300" s="77" t="str">
        <f t="shared" si="1"/>
        <v>fevereiro</v>
      </c>
    </row>
    <row r="301">
      <c r="A301" s="25" t="s">
        <v>1079</v>
      </c>
      <c r="B301" s="59">
        <v>44973.75714130787</v>
      </c>
      <c r="C301" s="25" t="s">
        <v>1080</v>
      </c>
      <c r="D301" s="25">
        <v>5349.0</v>
      </c>
      <c r="E301" s="25" t="s">
        <v>60</v>
      </c>
      <c r="F301" s="25" t="s">
        <v>61</v>
      </c>
      <c r="G301" s="25" t="s">
        <v>146</v>
      </c>
      <c r="H301" s="25" t="s">
        <v>30</v>
      </c>
      <c r="I301" s="25"/>
      <c r="J301" s="25" t="s">
        <v>1081</v>
      </c>
      <c r="K301" s="25"/>
      <c r="L301" s="26" t="s">
        <v>20</v>
      </c>
      <c r="M301" s="12">
        <v>44974.0</v>
      </c>
      <c r="N301" s="77" t="str">
        <f t="shared" si="1"/>
        <v>fevereiro</v>
      </c>
    </row>
    <row r="302">
      <c r="A302" s="25" t="s">
        <v>1082</v>
      </c>
      <c r="B302" s="59">
        <v>44973.77346236111</v>
      </c>
      <c r="C302" s="25" t="s">
        <v>321</v>
      </c>
      <c r="D302" s="25">
        <v>5305.0</v>
      </c>
      <c r="E302" s="25" t="s">
        <v>183</v>
      </c>
      <c r="F302" s="25" t="s">
        <v>1083</v>
      </c>
      <c r="G302" s="25" t="s">
        <v>1084</v>
      </c>
      <c r="H302" s="25" t="s">
        <v>44</v>
      </c>
      <c r="I302" s="25"/>
      <c r="J302" s="25" t="s">
        <v>1085</v>
      </c>
      <c r="K302" s="25"/>
      <c r="L302" s="26" t="s">
        <v>20</v>
      </c>
      <c r="M302" s="12">
        <v>44974.0</v>
      </c>
      <c r="N302" s="77" t="str">
        <f t="shared" si="1"/>
        <v>fevereiro</v>
      </c>
    </row>
    <row r="303">
      <c r="A303" s="25" t="s">
        <v>1086</v>
      </c>
      <c r="B303" s="59">
        <v>44973.83789892361</v>
      </c>
      <c r="C303" s="25" t="s">
        <v>1080</v>
      </c>
      <c r="D303" s="25">
        <v>5349.0</v>
      </c>
      <c r="E303" s="25" t="s">
        <v>60</v>
      </c>
      <c r="F303" s="25" t="s">
        <v>61</v>
      </c>
      <c r="G303" s="25" t="s">
        <v>1087</v>
      </c>
      <c r="H303" s="25" t="s">
        <v>79</v>
      </c>
      <c r="I303" s="25"/>
      <c r="J303" s="25" t="s">
        <v>1088</v>
      </c>
      <c r="K303" s="25"/>
      <c r="L303" s="26" t="s">
        <v>20</v>
      </c>
      <c r="M303" s="12">
        <v>44986.0</v>
      </c>
      <c r="N303" s="77" t="str">
        <f t="shared" si="1"/>
        <v>fevereiro</v>
      </c>
    </row>
    <row r="304">
      <c r="A304" s="25" t="s">
        <v>1089</v>
      </c>
      <c r="B304" s="59">
        <v>44973.85677189815</v>
      </c>
      <c r="C304" s="25" t="s">
        <v>451</v>
      </c>
      <c r="D304" s="25">
        <v>5304.0</v>
      </c>
      <c r="E304" s="25" t="s">
        <v>27</v>
      </c>
      <c r="F304" s="25" t="s">
        <v>1090</v>
      </c>
      <c r="G304" s="25" t="s">
        <v>452</v>
      </c>
      <c r="H304" s="25" t="s">
        <v>764</v>
      </c>
      <c r="I304" s="25"/>
      <c r="J304" s="25" t="s">
        <v>1091</v>
      </c>
      <c r="K304" s="25"/>
      <c r="L304" s="26" t="s">
        <v>20</v>
      </c>
      <c r="M304" s="12">
        <v>44974.0</v>
      </c>
      <c r="N304" s="77" t="str">
        <f t="shared" si="1"/>
        <v>fevereiro</v>
      </c>
    </row>
    <row r="305">
      <c r="A305" s="25" t="s">
        <v>1092</v>
      </c>
      <c r="B305" s="59">
        <v>44974.34675164352</v>
      </c>
      <c r="C305" s="25" t="s">
        <v>354</v>
      </c>
      <c r="D305" s="25">
        <v>5323.0</v>
      </c>
      <c r="E305" s="25" t="s">
        <v>251</v>
      </c>
      <c r="F305" s="25" t="s">
        <v>1093</v>
      </c>
      <c r="G305" s="25" t="s">
        <v>1094</v>
      </c>
      <c r="H305" s="25" t="s">
        <v>37</v>
      </c>
      <c r="I305" s="25"/>
      <c r="J305" s="25" t="s">
        <v>1095</v>
      </c>
      <c r="K305" s="25"/>
      <c r="L305" s="26" t="s">
        <v>20</v>
      </c>
      <c r="M305" s="12">
        <v>44974.0</v>
      </c>
      <c r="N305" s="77" t="str">
        <f t="shared" si="1"/>
        <v>fevereiro</v>
      </c>
    </row>
    <row r="306">
      <c r="A306" s="25" t="s">
        <v>1096</v>
      </c>
      <c r="B306" s="59">
        <v>44974.39854516204</v>
      </c>
      <c r="C306" s="25" t="s">
        <v>1004</v>
      </c>
      <c r="D306" s="25">
        <v>5342.0</v>
      </c>
      <c r="E306" s="25" t="s">
        <v>1097</v>
      </c>
      <c r="F306" s="25" t="s">
        <v>1098</v>
      </c>
      <c r="G306" s="25">
        <v>104.0</v>
      </c>
      <c r="H306" s="25" t="s">
        <v>30</v>
      </c>
      <c r="I306" s="25"/>
      <c r="J306" s="25" t="s">
        <v>1099</v>
      </c>
      <c r="K306" s="25"/>
      <c r="L306" s="26" t="s">
        <v>20</v>
      </c>
      <c r="M306" s="12">
        <v>44980.0</v>
      </c>
      <c r="N306" s="77" t="str">
        <f t="shared" si="1"/>
        <v>fevereiro</v>
      </c>
    </row>
    <row r="307">
      <c r="A307" s="25" t="s">
        <v>1100</v>
      </c>
      <c r="B307" s="59">
        <v>44974.4002947338</v>
      </c>
      <c r="C307" s="25" t="s">
        <v>1101</v>
      </c>
      <c r="D307" s="25" t="s">
        <v>1102</v>
      </c>
      <c r="E307" s="25" t="s">
        <v>60</v>
      </c>
      <c r="F307" s="25" t="s">
        <v>61</v>
      </c>
      <c r="G307" s="25" t="s">
        <v>1103</v>
      </c>
      <c r="H307" s="25" t="s">
        <v>37</v>
      </c>
      <c r="I307" s="25"/>
      <c r="J307" s="25" t="s">
        <v>1104</v>
      </c>
      <c r="K307" s="25"/>
      <c r="L307" s="26" t="s">
        <v>20</v>
      </c>
      <c r="M307" s="12">
        <v>44979.0</v>
      </c>
      <c r="N307" s="77" t="str">
        <f t="shared" si="1"/>
        <v>fevereiro</v>
      </c>
    </row>
    <row r="308">
      <c r="A308" s="25" t="s">
        <v>1105</v>
      </c>
      <c r="B308" s="59">
        <v>44974.40110084491</v>
      </c>
      <c r="C308" s="25" t="s">
        <v>1004</v>
      </c>
      <c r="D308" s="25">
        <v>5342.0</v>
      </c>
      <c r="E308" s="25" t="s">
        <v>1097</v>
      </c>
      <c r="F308" s="25" t="s">
        <v>1106</v>
      </c>
      <c r="G308" s="25" t="s">
        <v>1107</v>
      </c>
      <c r="H308" s="25" t="s">
        <v>30</v>
      </c>
      <c r="I308" s="25"/>
      <c r="J308" s="25" t="s">
        <v>1108</v>
      </c>
      <c r="K308" s="25"/>
      <c r="L308" s="26" t="s">
        <v>20</v>
      </c>
      <c r="M308" s="12">
        <v>44980.0</v>
      </c>
      <c r="N308" s="77" t="str">
        <f t="shared" si="1"/>
        <v>fevereiro</v>
      </c>
    </row>
    <row r="309">
      <c r="A309" s="25" t="s">
        <v>1109</v>
      </c>
      <c r="B309" s="59">
        <v>44974.402358645835</v>
      </c>
      <c r="C309" s="25" t="s">
        <v>1004</v>
      </c>
      <c r="D309" s="25">
        <v>5342.0</v>
      </c>
      <c r="E309" s="25" t="s">
        <v>1097</v>
      </c>
      <c r="F309" s="25" t="s">
        <v>1110</v>
      </c>
      <c r="G309" s="25" t="s">
        <v>1111</v>
      </c>
      <c r="H309" s="25" t="s">
        <v>30</v>
      </c>
      <c r="I309" s="25"/>
      <c r="J309" s="25" t="s">
        <v>1108</v>
      </c>
      <c r="K309" s="25"/>
      <c r="L309" s="26" t="s">
        <v>20</v>
      </c>
      <c r="M309" s="12">
        <v>44980.0</v>
      </c>
      <c r="N309" s="77" t="str">
        <f t="shared" si="1"/>
        <v>fevereiro</v>
      </c>
    </row>
    <row r="310">
      <c r="A310" s="25" t="s">
        <v>1112</v>
      </c>
      <c r="B310" s="59">
        <v>44974.45031097222</v>
      </c>
      <c r="C310" s="25" t="s">
        <v>354</v>
      </c>
      <c r="D310" s="25">
        <v>5323.0</v>
      </c>
      <c r="E310" s="7" t="s">
        <v>246</v>
      </c>
      <c r="F310" s="25" t="s">
        <v>61</v>
      </c>
      <c r="G310" s="25" t="s">
        <v>1113</v>
      </c>
      <c r="H310" s="25" t="s">
        <v>79</v>
      </c>
      <c r="I310" s="25"/>
      <c r="J310" s="25" t="s">
        <v>1114</v>
      </c>
      <c r="K310" s="25"/>
      <c r="L310" s="26" t="s">
        <v>20</v>
      </c>
      <c r="M310" s="12">
        <v>44991.0</v>
      </c>
      <c r="N310" s="77" t="str">
        <f t="shared" si="1"/>
        <v>fevereiro</v>
      </c>
    </row>
    <row r="311">
      <c r="A311" s="25" t="s">
        <v>1115</v>
      </c>
      <c r="B311" s="59">
        <v>44974.478276967595</v>
      </c>
      <c r="C311" s="25" t="s">
        <v>876</v>
      </c>
      <c r="D311" s="25">
        <v>5334.0</v>
      </c>
      <c r="E311" s="25" t="s">
        <v>187</v>
      </c>
      <c r="F311" s="25" t="s">
        <v>347</v>
      </c>
      <c r="G311" s="25" t="s">
        <v>1116</v>
      </c>
      <c r="H311" s="25" t="s">
        <v>37</v>
      </c>
      <c r="I311" s="25"/>
      <c r="J311" s="25" t="s">
        <v>1117</v>
      </c>
      <c r="K311" s="25"/>
      <c r="L311" s="26" t="s">
        <v>20</v>
      </c>
      <c r="M311" s="12">
        <v>44974.0</v>
      </c>
      <c r="N311" s="77" t="str">
        <f t="shared" si="1"/>
        <v>fevereiro</v>
      </c>
    </row>
    <row r="312">
      <c r="A312" s="25" t="s">
        <v>1118</v>
      </c>
      <c r="B312" s="59">
        <v>44974.48080322916</v>
      </c>
      <c r="C312" s="25" t="s">
        <v>53</v>
      </c>
      <c r="D312" s="25">
        <v>5302.0</v>
      </c>
      <c r="E312" s="20" t="s">
        <v>288</v>
      </c>
      <c r="F312" s="25" t="s">
        <v>55</v>
      </c>
      <c r="G312" s="25" t="s">
        <v>1119</v>
      </c>
      <c r="H312" s="25" t="s">
        <v>37</v>
      </c>
      <c r="I312" s="25"/>
      <c r="J312" s="25" t="s">
        <v>1120</v>
      </c>
      <c r="K312" s="25"/>
      <c r="L312" s="26" t="s">
        <v>20</v>
      </c>
      <c r="M312" s="12">
        <v>45008.0</v>
      </c>
      <c r="N312" s="77" t="str">
        <f t="shared" si="1"/>
        <v>fevereiro</v>
      </c>
    </row>
    <row r="313">
      <c r="A313" s="25" t="s">
        <v>1121</v>
      </c>
      <c r="B313" s="59">
        <v>44974.48294273148</v>
      </c>
      <c r="C313" s="25" t="s">
        <v>53</v>
      </c>
      <c r="D313" s="25">
        <v>5302.0</v>
      </c>
      <c r="E313" s="20" t="s">
        <v>288</v>
      </c>
      <c r="F313" s="25" t="s">
        <v>55</v>
      </c>
      <c r="G313" s="25" t="s">
        <v>1119</v>
      </c>
      <c r="H313" s="25" t="s">
        <v>37</v>
      </c>
      <c r="I313" s="25"/>
      <c r="J313" s="25" t="s">
        <v>1122</v>
      </c>
      <c r="K313" s="25"/>
      <c r="L313" s="26" t="s">
        <v>20</v>
      </c>
      <c r="M313" s="12">
        <v>44980.0</v>
      </c>
      <c r="N313" s="77" t="str">
        <f t="shared" si="1"/>
        <v>fevereiro</v>
      </c>
    </row>
    <row r="314">
      <c r="A314" s="25" t="s">
        <v>1123</v>
      </c>
      <c r="B314" s="59">
        <v>44974.48689559028</v>
      </c>
      <c r="C314" s="25" t="s">
        <v>53</v>
      </c>
      <c r="D314" s="25">
        <v>5302.0</v>
      </c>
      <c r="E314" s="20" t="s">
        <v>288</v>
      </c>
      <c r="F314" s="25" t="s">
        <v>55</v>
      </c>
      <c r="G314" s="25" t="s">
        <v>1119</v>
      </c>
      <c r="H314" s="25" t="s">
        <v>37</v>
      </c>
      <c r="I314" s="25"/>
      <c r="J314" s="25" t="s">
        <v>1124</v>
      </c>
      <c r="K314" s="25"/>
      <c r="L314" s="26" t="s">
        <v>20</v>
      </c>
      <c r="M314" s="12">
        <v>44980.0</v>
      </c>
      <c r="N314" s="77" t="str">
        <f t="shared" si="1"/>
        <v>fevereiro</v>
      </c>
    </row>
    <row r="315">
      <c r="A315" s="25" t="s">
        <v>1125</v>
      </c>
      <c r="B315" s="59">
        <v>44974.58483064815</v>
      </c>
      <c r="C315" s="25" t="s">
        <v>1126</v>
      </c>
      <c r="D315" s="25">
        <v>7610.0</v>
      </c>
      <c r="E315" s="25" t="s">
        <v>1127</v>
      </c>
      <c r="F315" s="25" t="s">
        <v>1128</v>
      </c>
      <c r="G315" s="25" t="s">
        <v>1129</v>
      </c>
      <c r="H315" s="25" t="s">
        <v>37</v>
      </c>
      <c r="I315" s="25"/>
      <c r="J315" s="25" t="s">
        <v>1130</v>
      </c>
      <c r="K315" s="25"/>
      <c r="L315" s="26" t="s">
        <v>20</v>
      </c>
      <c r="M315" s="12">
        <v>44993.0</v>
      </c>
      <c r="N315" s="77" t="str">
        <f t="shared" si="1"/>
        <v>fevereiro</v>
      </c>
    </row>
    <row r="316">
      <c r="A316" s="25" t="s">
        <v>1131</v>
      </c>
      <c r="B316" s="59">
        <v>44979.619535289356</v>
      </c>
      <c r="C316" s="25" t="s">
        <v>215</v>
      </c>
      <c r="D316" s="25">
        <v>5333.0</v>
      </c>
      <c r="E316" s="25" t="s">
        <v>41</v>
      </c>
      <c r="F316" s="25" t="s">
        <v>42</v>
      </c>
      <c r="G316" s="25" t="s">
        <v>1132</v>
      </c>
      <c r="H316" s="25" t="s">
        <v>79</v>
      </c>
      <c r="I316" s="25"/>
      <c r="J316" s="25" t="s">
        <v>1133</v>
      </c>
      <c r="K316" s="25"/>
      <c r="L316" s="26" t="s">
        <v>20</v>
      </c>
      <c r="M316" s="12">
        <v>45005.0</v>
      </c>
      <c r="N316" s="77" t="str">
        <f t="shared" si="1"/>
        <v>fevereiro</v>
      </c>
    </row>
    <row r="317">
      <c r="A317" s="25" t="s">
        <v>1134</v>
      </c>
      <c r="B317" s="59">
        <v>44980.43658872685</v>
      </c>
      <c r="C317" s="25" t="s">
        <v>307</v>
      </c>
      <c r="D317" s="25">
        <v>3.4999071369E10</v>
      </c>
      <c r="E317" s="20" t="s">
        <v>308</v>
      </c>
      <c r="F317" s="25" t="s">
        <v>188</v>
      </c>
      <c r="G317" s="25" t="s">
        <v>97</v>
      </c>
      <c r="H317" s="25" t="s">
        <v>79</v>
      </c>
      <c r="I317" s="25"/>
      <c r="J317" s="25" t="s">
        <v>1135</v>
      </c>
      <c r="K317" s="25"/>
      <c r="L317" s="26" t="s">
        <v>20</v>
      </c>
      <c r="M317" s="12">
        <v>44980.0</v>
      </c>
      <c r="N317" s="77" t="str">
        <f t="shared" si="1"/>
        <v>fevereiro</v>
      </c>
    </row>
    <row r="318">
      <c r="A318" s="25" t="s">
        <v>1136</v>
      </c>
      <c r="B318" s="59">
        <v>44980.56653575231</v>
      </c>
      <c r="C318" s="25" t="s">
        <v>1137</v>
      </c>
      <c r="D318" s="25">
        <v>5306.0</v>
      </c>
      <c r="E318" s="25" t="s">
        <v>371</v>
      </c>
      <c r="F318" s="25" t="s">
        <v>1138</v>
      </c>
      <c r="G318" s="25" t="s">
        <v>684</v>
      </c>
      <c r="H318" s="25" t="s">
        <v>30</v>
      </c>
      <c r="I318" s="25"/>
      <c r="J318" s="25" t="s">
        <v>1139</v>
      </c>
      <c r="K318" s="25"/>
      <c r="L318" s="26" t="s">
        <v>20</v>
      </c>
      <c r="M318" s="12">
        <v>44981.0</v>
      </c>
      <c r="N318" s="77" t="str">
        <f t="shared" si="1"/>
        <v>fevereiro</v>
      </c>
    </row>
    <row r="319">
      <c r="A319" s="25" t="s">
        <v>1140</v>
      </c>
      <c r="B319" s="59">
        <v>44980.60087231481</v>
      </c>
      <c r="C319" s="25" t="s">
        <v>486</v>
      </c>
      <c r="D319" s="25">
        <v>5340.0</v>
      </c>
      <c r="E319" s="25" t="s">
        <v>70</v>
      </c>
      <c r="F319" s="25" t="s">
        <v>61</v>
      </c>
      <c r="G319" s="25" t="s">
        <v>1141</v>
      </c>
      <c r="H319" s="25" t="s">
        <v>79</v>
      </c>
      <c r="I319" s="25"/>
      <c r="J319" s="25" t="s">
        <v>1142</v>
      </c>
      <c r="K319" s="25"/>
      <c r="L319" s="26" t="s">
        <v>20</v>
      </c>
      <c r="M319" s="12">
        <v>44981.0</v>
      </c>
      <c r="N319" s="77" t="str">
        <f t="shared" si="1"/>
        <v>fevereiro</v>
      </c>
    </row>
    <row r="320">
      <c r="A320" s="25" t="s">
        <v>1143</v>
      </c>
      <c r="B320" s="59">
        <v>44980.60623009259</v>
      </c>
      <c r="C320" s="25" t="s">
        <v>486</v>
      </c>
      <c r="D320" s="25">
        <v>5340.0</v>
      </c>
      <c r="E320" s="25" t="s">
        <v>70</v>
      </c>
      <c r="F320" s="25" t="s">
        <v>1144</v>
      </c>
      <c r="G320" s="25" t="s">
        <v>1145</v>
      </c>
      <c r="H320" s="25" t="s">
        <v>30</v>
      </c>
      <c r="I320" s="25"/>
      <c r="J320" s="25" t="s">
        <v>1146</v>
      </c>
      <c r="K320" s="25"/>
      <c r="L320" s="26" t="s">
        <v>20</v>
      </c>
      <c r="M320" s="12">
        <v>44981.0</v>
      </c>
      <c r="N320" s="77" t="str">
        <f t="shared" si="1"/>
        <v>fevereiro</v>
      </c>
    </row>
    <row r="321">
      <c r="A321" s="25" t="s">
        <v>1147</v>
      </c>
      <c r="B321" s="59">
        <v>44980.6109512963</v>
      </c>
      <c r="C321" s="25" t="s">
        <v>486</v>
      </c>
      <c r="D321" s="25">
        <v>5340.0</v>
      </c>
      <c r="E321" s="25" t="s">
        <v>70</v>
      </c>
      <c r="F321" s="25" t="s">
        <v>1148</v>
      </c>
      <c r="G321" s="25" t="s">
        <v>1149</v>
      </c>
      <c r="H321" s="25" t="s">
        <v>37</v>
      </c>
      <c r="I321" s="25"/>
      <c r="J321" s="25" t="s">
        <v>1150</v>
      </c>
      <c r="K321" s="25"/>
      <c r="L321" s="26" t="s">
        <v>20</v>
      </c>
      <c r="M321" s="12">
        <v>44988.0</v>
      </c>
      <c r="N321" s="77" t="str">
        <f t="shared" si="1"/>
        <v>fevereiro</v>
      </c>
    </row>
    <row r="322">
      <c r="A322" s="25" t="s">
        <v>1151</v>
      </c>
      <c r="B322" s="59">
        <v>44980.61762056713</v>
      </c>
      <c r="C322" s="25" t="s">
        <v>486</v>
      </c>
      <c r="D322" s="25">
        <v>5340.0</v>
      </c>
      <c r="E322" s="25" t="s">
        <v>70</v>
      </c>
      <c r="F322" s="25" t="s">
        <v>1076</v>
      </c>
      <c r="G322" s="25" t="s">
        <v>1152</v>
      </c>
      <c r="H322" s="25" t="s">
        <v>37</v>
      </c>
      <c r="I322" s="25"/>
      <c r="J322" s="25" t="s">
        <v>1153</v>
      </c>
      <c r="K322" s="25"/>
      <c r="L322" s="26" t="s">
        <v>20</v>
      </c>
      <c r="M322" s="12">
        <v>45006.0</v>
      </c>
      <c r="N322" s="77" t="str">
        <f t="shared" si="1"/>
        <v>fevereiro</v>
      </c>
    </row>
    <row r="323">
      <c r="A323" s="25" t="s">
        <v>1154</v>
      </c>
      <c r="B323" s="59">
        <v>44980.620152256946</v>
      </c>
      <c r="C323" s="25" t="s">
        <v>486</v>
      </c>
      <c r="D323" s="25">
        <v>5340.0</v>
      </c>
      <c r="E323" s="25" t="s">
        <v>70</v>
      </c>
      <c r="F323" s="25" t="s">
        <v>1155</v>
      </c>
      <c r="G323" s="25" t="s">
        <v>1156</v>
      </c>
      <c r="H323" s="25" t="s">
        <v>162</v>
      </c>
      <c r="I323" s="25"/>
      <c r="J323" s="25" t="s">
        <v>1157</v>
      </c>
      <c r="K323" s="25"/>
      <c r="L323" s="26" t="s">
        <v>20</v>
      </c>
      <c r="M323" s="12">
        <v>44984.0</v>
      </c>
      <c r="N323" s="77" t="str">
        <f t="shared" si="1"/>
        <v>fevereiro</v>
      </c>
    </row>
    <row r="324">
      <c r="A324" s="88" t="s">
        <v>1158</v>
      </c>
      <c r="B324" s="8">
        <v>44980.664897939816</v>
      </c>
      <c r="C324" s="7" t="s">
        <v>59</v>
      </c>
      <c r="D324" s="7">
        <v>5349.0</v>
      </c>
      <c r="E324" s="25" t="s">
        <v>60</v>
      </c>
      <c r="F324" s="25" t="s">
        <v>61</v>
      </c>
      <c r="G324" s="9" t="s">
        <v>1159</v>
      </c>
      <c r="H324" s="25" t="s">
        <v>30</v>
      </c>
      <c r="I324" s="7"/>
      <c r="J324" s="7" t="s">
        <v>1160</v>
      </c>
      <c r="K324" s="30"/>
      <c r="L324" s="10" t="s">
        <v>20</v>
      </c>
      <c r="M324" s="55">
        <v>45369.0</v>
      </c>
      <c r="N324" s="77" t="str">
        <f t="shared" si="1"/>
        <v>fevereiro</v>
      </c>
    </row>
    <row r="325">
      <c r="A325" s="25" t="s">
        <v>1161</v>
      </c>
      <c r="B325" s="59">
        <v>44980.67024697916</v>
      </c>
      <c r="C325" s="25" t="s">
        <v>1162</v>
      </c>
      <c r="D325" s="25">
        <v>5333.0</v>
      </c>
      <c r="E325" s="25" t="s">
        <v>41</v>
      </c>
      <c r="F325" s="25" t="s">
        <v>1163</v>
      </c>
      <c r="G325" s="25">
        <v>101.0</v>
      </c>
      <c r="H325" s="25" t="s">
        <v>30</v>
      </c>
      <c r="I325" s="25"/>
      <c r="J325" s="25" t="s">
        <v>1164</v>
      </c>
      <c r="K325" s="25"/>
      <c r="L325" s="26" t="s">
        <v>454</v>
      </c>
      <c r="M325" s="11">
        <v>45369.0</v>
      </c>
      <c r="N325" s="77" t="str">
        <f t="shared" si="1"/>
        <v>fevereiro</v>
      </c>
    </row>
    <row r="326">
      <c r="A326" s="88" t="s">
        <v>1165</v>
      </c>
      <c r="B326" s="8">
        <v>44980.694115798615</v>
      </c>
      <c r="C326" s="7" t="s">
        <v>59</v>
      </c>
      <c r="D326" s="7">
        <v>5349.0</v>
      </c>
      <c r="E326" s="25" t="s">
        <v>60</v>
      </c>
      <c r="F326" s="25" t="s">
        <v>61</v>
      </c>
      <c r="G326" s="9" t="s">
        <v>1166</v>
      </c>
      <c r="H326" s="7" t="s">
        <v>79</v>
      </c>
      <c r="I326" s="7"/>
      <c r="J326" s="7" t="s">
        <v>1167</v>
      </c>
      <c r="K326" s="32"/>
      <c r="L326" s="10" t="s">
        <v>20</v>
      </c>
      <c r="M326" s="55">
        <v>45247.0</v>
      </c>
      <c r="N326" s="77" t="str">
        <f t="shared" si="1"/>
        <v>fevereiro</v>
      </c>
    </row>
    <row r="327">
      <c r="A327" s="25" t="s">
        <v>1168</v>
      </c>
      <c r="B327" s="59">
        <v>44981.37163862269</v>
      </c>
      <c r="C327" s="25" t="s">
        <v>215</v>
      </c>
      <c r="D327" s="25">
        <v>5333.0</v>
      </c>
      <c r="E327" s="25" t="s">
        <v>41</v>
      </c>
      <c r="F327" s="25" t="s">
        <v>42</v>
      </c>
      <c r="G327" s="25" t="s">
        <v>1169</v>
      </c>
      <c r="H327" s="25" t="s">
        <v>30</v>
      </c>
      <c r="I327" s="25"/>
      <c r="J327" s="25" t="s">
        <v>1170</v>
      </c>
      <c r="K327" s="25"/>
      <c r="L327" s="26" t="s">
        <v>20</v>
      </c>
      <c r="M327" s="12">
        <v>45005.0</v>
      </c>
      <c r="N327" s="77" t="str">
        <f t="shared" si="1"/>
        <v>fevereiro</v>
      </c>
    </row>
    <row r="328">
      <c r="A328" s="25" t="s">
        <v>1171</v>
      </c>
      <c r="B328" s="59">
        <v>44981.39233462963</v>
      </c>
      <c r="C328" s="25" t="s">
        <v>225</v>
      </c>
      <c r="D328" s="25">
        <v>5365.0</v>
      </c>
      <c r="E328" s="20" t="s">
        <v>226</v>
      </c>
      <c r="F328" s="25" t="s">
        <v>61</v>
      </c>
      <c r="G328" s="25" t="s">
        <v>227</v>
      </c>
      <c r="H328" s="25" t="s">
        <v>79</v>
      </c>
      <c r="I328" s="25"/>
      <c r="J328" s="25" t="s">
        <v>1172</v>
      </c>
      <c r="K328" s="25"/>
      <c r="L328" s="26" t="s">
        <v>20</v>
      </c>
      <c r="M328" s="12">
        <v>44986.0</v>
      </c>
      <c r="N328" s="77" t="str">
        <f t="shared" si="1"/>
        <v>fevereiro</v>
      </c>
    </row>
    <row r="329">
      <c r="A329" s="25" t="s">
        <v>1173</v>
      </c>
      <c r="B329" s="59">
        <v>44981.418307534725</v>
      </c>
      <c r="C329" s="25" t="s">
        <v>307</v>
      </c>
      <c r="D329" s="25">
        <v>3.4999071369E10</v>
      </c>
      <c r="E329" s="20" t="s">
        <v>308</v>
      </c>
      <c r="F329" s="25" t="s">
        <v>1174</v>
      </c>
      <c r="G329" s="25">
        <v>5.0</v>
      </c>
      <c r="H329" s="25" t="s">
        <v>764</v>
      </c>
      <c r="I329" s="25"/>
      <c r="J329" s="25" t="s">
        <v>1175</v>
      </c>
      <c r="K329" s="25"/>
      <c r="L329" s="26" t="s">
        <v>20</v>
      </c>
      <c r="M329" s="12">
        <v>44985.0</v>
      </c>
      <c r="N329" s="77" t="str">
        <f t="shared" si="1"/>
        <v>fevereiro</v>
      </c>
    </row>
    <row r="330">
      <c r="A330" s="25" t="s">
        <v>1176</v>
      </c>
      <c r="B330" s="59">
        <v>44981.41874728009</v>
      </c>
      <c r="C330" s="25" t="s">
        <v>307</v>
      </c>
      <c r="D330" s="25">
        <v>3.4999071369E10</v>
      </c>
      <c r="E330" s="20" t="s">
        <v>308</v>
      </c>
      <c r="F330" s="25" t="s">
        <v>783</v>
      </c>
      <c r="G330" s="25">
        <v>163.0</v>
      </c>
      <c r="H330" s="25" t="s">
        <v>764</v>
      </c>
      <c r="I330" s="25"/>
      <c r="J330" s="25" t="s">
        <v>1175</v>
      </c>
      <c r="K330" s="25"/>
      <c r="L330" s="26" t="s">
        <v>20</v>
      </c>
      <c r="M330" s="12">
        <v>44985.0</v>
      </c>
      <c r="N330" s="77" t="str">
        <f t="shared" si="1"/>
        <v>fevereiro</v>
      </c>
    </row>
    <row r="331">
      <c r="A331" s="25" t="s">
        <v>1177</v>
      </c>
      <c r="B331" s="59">
        <v>44981.5774916088</v>
      </c>
      <c r="C331" s="25" t="s">
        <v>65</v>
      </c>
      <c r="D331" s="25">
        <v>5318.0</v>
      </c>
      <c r="E331" s="25" t="s">
        <v>15</v>
      </c>
      <c r="F331" s="25" t="s">
        <v>86</v>
      </c>
      <c r="G331" s="25" t="s">
        <v>86</v>
      </c>
      <c r="H331" s="25" t="s">
        <v>37</v>
      </c>
      <c r="I331" s="25"/>
      <c r="J331" s="25" t="s">
        <v>1178</v>
      </c>
      <c r="K331" s="25"/>
      <c r="L331" s="26" t="s">
        <v>20</v>
      </c>
      <c r="M331" s="12">
        <v>44984.0</v>
      </c>
      <c r="N331" s="77" t="str">
        <f t="shared" si="1"/>
        <v>fevereiro</v>
      </c>
    </row>
    <row r="332">
      <c r="A332" s="88" t="s">
        <v>1179</v>
      </c>
      <c r="B332" s="8">
        <v>44982.373610787035</v>
      </c>
      <c r="C332" s="7" t="s">
        <v>531</v>
      </c>
      <c r="D332" s="7">
        <v>5341.0</v>
      </c>
      <c r="E332" s="25" t="s">
        <v>532</v>
      </c>
      <c r="F332" s="25" t="s">
        <v>393</v>
      </c>
      <c r="G332" s="9" t="s">
        <v>1180</v>
      </c>
      <c r="H332" s="25" t="s">
        <v>30</v>
      </c>
      <c r="I332" s="7"/>
      <c r="J332" s="7" t="s">
        <v>1181</v>
      </c>
      <c r="K332" s="32"/>
      <c r="L332" s="10" t="s">
        <v>20</v>
      </c>
      <c r="M332" s="55">
        <v>45054.0</v>
      </c>
      <c r="N332" s="77" t="str">
        <f t="shared" si="1"/>
        <v>fevereiro</v>
      </c>
    </row>
    <row r="333">
      <c r="A333" s="88" t="s">
        <v>1182</v>
      </c>
      <c r="B333" s="8">
        <v>44982.37677795139</v>
      </c>
      <c r="C333" s="7" t="s">
        <v>531</v>
      </c>
      <c r="D333" s="7">
        <v>5341.0</v>
      </c>
      <c r="E333" s="25" t="s">
        <v>532</v>
      </c>
      <c r="F333" s="65" t="s">
        <v>367</v>
      </c>
      <c r="G333" s="9" t="s">
        <v>571</v>
      </c>
      <c r="H333" s="7" t="s">
        <v>129</v>
      </c>
      <c r="I333" s="7"/>
      <c r="J333" s="7" t="s">
        <v>1183</v>
      </c>
      <c r="K333" s="10" t="s">
        <v>1184</v>
      </c>
      <c r="L333" s="10" t="s">
        <v>20</v>
      </c>
      <c r="M333" s="55">
        <v>45320.0</v>
      </c>
      <c r="N333" s="77" t="str">
        <f t="shared" si="1"/>
        <v>fevereiro</v>
      </c>
    </row>
    <row r="334">
      <c r="A334" s="25" t="s">
        <v>1185</v>
      </c>
      <c r="B334" s="59">
        <v>44984.30849092593</v>
      </c>
      <c r="C334" s="25" t="s">
        <v>486</v>
      </c>
      <c r="D334" s="25">
        <v>5340.0</v>
      </c>
      <c r="E334" s="25" t="s">
        <v>70</v>
      </c>
      <c r="F334" s="25" t="s">
        <v>1186</v>
      </c>
      <c r="G334" s="25" t="s">
        <v>1187</v>
      </c>
      <c r="H334" s="25" t="s">
        <v>37</v>
      </c>
      <c r="I334" s="25"/>
      <c r="J334" s="25" t="s">
        <v>1188</v>
      </c>
      <c r="K334" s="25"/>
      <c r="L334" s="26" t="s">
        <v>20</v>
      </c>
      <c r="M334" s="12">
        <v>44984.0</v>
      </c>
      <c r="N334" s="77" t="str">
        <f t="shared" si="1"/>
        <v>fevereiro</v>
      </c>
    </row>
    <row r="335">
      <c r="A335" s="25" t="s">
        <v>1189</v>
      </c>
      <c r="B335" s="59">
        <v>44984.3928049074</v>
      </c>
      <c r="C335" s="25" t="s">
        <v>1190</v>
      </c>
      <c r="D335" s="25">
        <v>3.4999071369E10</v>
      </c>
      <c r="E335" s="20" t="s">
        <v>308</v>
      </c>
      <c r="F335" s="25" t="s">
        <v>1191</v>
      </c>
      <c r="G335" s="25" t="s">
        <v>1191</v>
      </c>
      <c r="H335" s="25" t="s">
        <v>764</v>
      </c>
      <c r="I335" s="25"/>
      <c r="J335" s="25" t="s">
        <v>1192</v>
      </c>
      <c r="K335" s="25"/>
      <c r="L335" s="26" t="s">
        <v>20</v>
      </c>
      <c r="M335" s="12">
        <v>44984.0</v>
      </c>
      <c r="N335" s="77" t="str">
        <f t="shared" si="1"/>
        <v>fevereiro</v>
      </c>
    </row>
    <row r="336">
      <c r="A336" s="25" t="s">
        <v>1193</v>
      </c>
      <c r="B336" s="59">
        <v>44984.45243931713</v>
      </c>
      <c r="C336" s="25" t="s">
        <v>1194</v>
      </c>
      <c r="D336" s="25">
        <v>5334.0</v>
      </c>
      <c r="E336" s="25" t="s">
        <v>187</v>
      </c>
      <c r="F336" s="25" t="s">
        <v>1195</v>
      </c>
      <c r="G336" s="25" t="s">
        <v>1196</v>
      </c>
      <c r="H336" s="25" t="s">
        <v>79</v>
      </c>
      <c r="I336" s="25"/>
      <c r="J336" s="25" t="s">
        <v>1197</v>
      </c>
      <c r="K336" s="25"/>
      <c r="L336" s="26" t="s">
        <v>20</v>
      </c>
      <c r="M336" s="12">
        <v>44998.0</v>
      </c>
      <c r="N336" s="77" t="str">
        <f t="shared" si="1"/>
        <v>fevereiro</v>
      </c>
    </row>
    <row r="337">
      <c r="A337" s="88" t="s">
        <v>1198</v>
      </c>
      <c r="B337" s="8">
        <v>44984.55286836806</v>
      </c>
      <c r="C337" s="7" t="s">
        <v>451</v>
      </c>
      <c r="D337" s="7">
        <v>5304.0</v>
      </c>
      <c r="E337" s="7" t="s">
        <v>1097</v>
      </c>
      <c r="F337" s="7" t="s">
        <v>1199</v>
      </c>
      <c r="G337" s="9">
        <v>3.0</v>
      </c>
      <c r="H337" s="25" t="s">
        <v>30</v>
      </c>
      <c r="I337" s="7"/>
      <c r="J337" s="7" t="s">
        <v>1200</v>
      </c>
      <c r="K337" s="32"/>
      <c r="L337" s="10" t="s">
        <v>20</v>
      </c>
      <c r="M337" s="55">
        <v>45253.0</v>
      </c>
      <c r="N337" s="77" t="str">
        <f t="shared" si="1"/>
        <v>fevereiro</v>
      </c>
    </row>
    <row r="338">
      <c r="A338" s="25" t="s">
        <v>1201</v>
      </c>
      <c r="B338" s="59">
        <v>44984.605820219906</v>
      </c>
      <c r="C338" s="25" t="s">
        <v>876</v>
      </c>
      <c r="D338" s="25">
        <v>5334.0</v>
      </c>
      <c r="E338" s="25" t="s">
        <v>187</v>
      </c>
      <c r="F338" s="25" t="s">
        <v>347</v>
      </c>
      <c r="G338" s="25" t="s">
        <v>1202</v>
      </c>
      <c r="H338" s="25" t="s">
        <v>37</v>
      </c>
      <c r="I338" s="25"/>
      <c r="J338" s="25" t="s">
        <v>1203</v>
      </c>
      <c r="K338" s="25"/>
      <c r="L338" s="26" t="s">
        <v>20</v>
      </c>
      <c r="M338" s="12">
        <v>44985.0</v>
      </c>
      <c r="N338" s="77" t="str">
        <f t="shared" si="1"/>
        <v>fevereiro</v>
      </c>
    </row>
    <row r="339">
      <c r="A339" s="25" t="s">
        <v>1204</v>
      </c>
      <c r="B339" s="59">
        <v>44984.60735204861</v>
      </c>
      <c r="C339" s="25" t="s">
        <v>876</v>
      </c>
      <c r="D339" s="25">
        <v>5334.0</v>
      </c>
      <c r="E339" s="25" t="s">
        <v>187</v>
      </c>
      <c r="F339" s="25" t="s">
        <v>877</v>
      </c>
      <c r="G339" s="25" t="s">
        <v>1205</v>
      </c>
      <c r="H339" s="25" t="s">
        <v>37</v>
      </c>
      <c r="I339" s="25"/>
      <c r="J339" s="25" t="s">
        <v>1206</v>
      </c>
      <c r="K339" s="25"/>
      <c r="L339" s="26" t="s">
        <v>20</v>
      </c>
      <c r="M339" s="12">
        <v>44984.0</v>
      </c>
      <c r="N339" s="77" t="str">
        <f t="shared" si="1"/>
        <v>fevereiro</v>
      </c>
    </row>
    <row r="340">
      <c r="A340" s="25" t="s">
        <v>1207</v>
      </c>
      <c r="B340" s="59">
        <v>44985.31751940973</v>
      </c>
      <c r="C340" s="25" t="s">
        <v>486</v>
      </c>
      <c r="D340" s="25">
        <v>5340.0</v>
      </c>
      <c r="E340" s="25" t="s">
        <v>70</v>
      </c>
      <c r="F340" s="25" t="s">
        <v>100</v>
      </c>
      <c r="G340" s="25" t="s">
        <v>1208</v>
      </c>
      <c r="H340" s="25" t="s">
        <v>79</v>
      </c>
      <c r="I340" s="25"/>
      <c r="J340" s="25" t="s">
        <v>1209</v>
      </c>
      <c r="K340" s="25"/>
      <c r="L340" s="26" t="s">
        <v>20</v>
      </c>
      <c r="M340" s="12">
        <v>44985.0</v>
      </c>
      <c r="N340" s="77" t="str">
        <f t="shared" si="1"/>
        <v>fevereiro</v>
      </c>
    </row>
    <row r="341">
      <c r="A341" s="25" t="s">
        <v>1210</v>
      </c>
      <c r="B341" s="59">
        <v>44985.59950321759</v>
      </c>
      <c r="C341" s="25" t="s">
        <v>525</v>
      </c>
      <c r="D341" s="25">
        <v>3.4999071369E10</v>
      </c>
      <c r="E341" s="20" t="s">
        <v>308</v>
      </c>
      <c r="F341" s="25" t="s">
        <v>783</v>
      </c>
      <c r="G341" s="25" t="s">
        <v>1211</v>
      </c>
      <c r="H341" s="25" t="s">
        <v>764</v>
      </c>
      <c r="I341" s="25"/>
      <c r="J341" s="25" t="s">
        <v>1212</v>
      </c>
      <c r="K341" s="25"/>
      <c r="L341" s="26" t="s">
        <v>20</v>
      </c>
      <c r="M341" s="12">
        <v>44985.0</v>
      </c>
      <c r="N341" s="77" t="str">
        <f t="shared" si="1"/>
        <v>fevereiro</v>
      </c>
    </row>
    <row r="342">
      <c r="A342" s="25" t="s">
        <v>1213</v>
      </c>
      <c r="B342" s="59">
        <v>44985.601412222226</v>
      </c>
      <c r="C342" s="25" t="s">
        <v>1214</v>
      </c>
      <c r="D342" s="25">
        <v>6.434415373E9</v>
      </c>
      <c r="E342" s="20" t="s">
        <v>1215</v>
      </c>
      <c r="F342" s="25" t="s">
        <v>1216</v>
      </c>
      <c r="G342" s="25" t="s">
        <v>1217</v>
      </c>
      <c r="H342" s="25" t="s">
        <v>37</v>
      </c>
      <c r="I342" s="25"/>
      <c r="J342" s="25" t="s">
        <v>1218</v>
      </c>
      <c r="K342" s="25"/>
      <c r="L342" s="26" t="s">
        <v>20</v>
      </c>
      <c r="M342" s="12">
        <v>44999.0</v>
      </c>
      <c r="N342" s="77" t="str">
        <f t="shared" si="1"/>
        <v>fevereiro</v>
      </c>
    </row>
    <row r="343">
      <c r="A343" s="25" t="s">
        <v>1219</v>
      </c>
      <c r="B343" s="59">
        <v>44985.604503090275</v>
      </c>
      <c r="C343" s="25" t="s">
        <v>307</v>
      </c>
      <c r="D343" s="25">
        <v>3.4999071369E10</v>
      </c>
      <c r="E343" s="20" t="s">
        <v>308</v>
      </c>
      <c r="F343" s="20" t="s">
        <v>1220</v>
      </c>
      <c r="G343" s="25" t="s">
        <v>1221</v>
      </c>
      <c r="H343" s="25" t="s">
        <v>30</v>
      </c>
      <c r="I343" s="25"/>
      <c r="J343" s="25" t="s">
        <v>1222</v>
      </c>
      <c r="K343" s="25"/>
      <c r="L343" s="26" t="s">
        <v>20</v>
      </c>
      <c r="M343" s="12">
        <v>44985.0</v>
      </c>
      <c r="N343" s="77" t="str">
        <f t="shared" si="1"/>
        <v>fevereiro</v>
      </c>
    </row>
    <row r="344">
      <c r="A344" s="25" t="s">
        <v>1223</v>
      </c>
      <c r="B344" s="59">
        <v>44986.405553819444</v>
      </c>
      <c r="C344" s="25" t="s">
        <v>876</v>
      </c>
      <c r="D344" s="25">
        <v>5334.0</v>
      </c>
      <c r="E344" s="25" t="s">
        <v>187</v>
      </c>
      <c r="F344" s="25" t="s">
        <v>347</v>
      </c>
      <c r="G344" s="25" t="s">
        <v>1224</v>
      </c>
      <c r="H344" s="25" t="s">
        <v>37</v>
      </c>
      <c r="I344" s="25"/>
      <c r="J344" s="25" t="s">
        <v>1225</v>
      </c>
      <c r="K344" s="25"/>
      <c r="L344" s="26" t="s">
        <v>20</v>
      </c>
      <c r="M344" s="12">
        <v>44986.0</v>
      </c>
      <c r="N344" s="77" t="str">
        <f t="shared" si="1"/>
        <v>março</v>
      </c>
    </row>
    <row r="345">
      <c r="A345" s="25" t="s">
        <v>1226</v>
      </c>
      <c r="B345" s="59">
        <v>44986.41454738426</v>
      </c>
      <c r="C345" s="25" t="s">
        <v>1227</v>
      </c>
      <c r="D345" s="25">
        <v>5335.0</v>
      </c>
      <c r="E345" s="25" t="s">
        <v>674</v>
      </c>
      <c r="F345" s="25" t="s">
        <v>82</v>
      </c>
      <c r="G345" s="25" t="s">
        <v>1228</v>
      </c>
      <c r="H345" s="25" t="s">
        <v>764</v>
      </c>
      <c r="I345" s="25"/>
      <c r="J345" s="25" t="s">
        <v>1229</v>
      </c>
      <c r="K345" s="25"/>
      <c r="L345" s="26" t="s">
        <v>20</v>
      </c>
      <c r="M345" s="12">
        <v>44987.0</v>
      </c>
      <c r="N345" s="77" t="str">
        <f t="shared" si="1"/>
        <v>março</v>
      </c>
    </row>
    <row r="346">
      <c r="A346" s="25" t="s">
        <v>1230</v>
      </c>
      <c r="B346" s="59">
        <v>44986.41745833334</v>
      </c>
      <c r="C346" s="25" t="s">
        <v>307</v>
      </c>
      <c r="D346" s="25">
        <v>3.4999071369E10</v>
      </c>
      <c r="E346" s="20" t="s">
        <v>308</v>
      </c>
      <c r="F346" s="25" t="s">
        <v>61</v>
      </c>
      <c r="G346" s="25" t="s">
        <v>1231</v>
      </c>
      <c r="H346" s="25" t="s">
        <v>764</v>
      </c>
      <c r="I346" s="25"/>
      <c r="J346" s="25" t="s">
        <v>1232</v>
      </c>
      <c r="K346" s="25"/>
      <c r="L346" s="26" t="s">
        <v>20</v>
      </c>
      <c r="M346" s="12">
        <v>44986.0</v>
      </c>
      <c r="N346" s="77" t="str">
        <f t="shared" si="1"/>
        <v>março</v>
      </c>
    </row>
    <row r="347">
      <c r="A347" s="25" t="s">
        <v>1233</v>
      </c>
      <c r="B347" s="59">
        <v>44986.53040762732</v>
      </c>
      <c r="C347" s="25" t="s">
        <v>673</v>
      </c>
      <c r="D347" s="25">
        <v>5335.0</v>
      </c>
      <c r="E347" s="25" t="s">
        <v>674</v>
      </c>
      <c r="F347" s="25" t="s">
        <v>82</v>
      </c>
      <c r="G347" s="25" t="s">
        <v>1234</v>
      </c>
      <c r="H347" s="25" t="s">
        <v>129</v>
      </c>
      <c r="I347" s="25"/>
      <c r="J347" s="25" t="s">
        <v>1235</v>
      </c>
      <c r="K347" s="25"/>
      <c r="L347" s="26" t="s">
        <v>20</v>
      </c>
      <c r="M347" s="12">
        <v>44988.0</v>
      </c>
      <c r="N347" s="77" t="str">
        <f t="shared" si="1"/>
        <v>março</v>
      </c>
    </row>
    <row r="348">
      <c r="A348" s="25" t="s">
        <v>1236</v>
      </c>
      <c r="B348" s="59">
        <v>44986.534598252314</v>
      </c>
      <c r="C348" s="25" t="s">
        <v>673</v>
      </c>
      <c r="D348" s="25">
        <v>5335.0</v>
      </c>
      <c r="E348" s="25" t="s">
        <v>674</v>
      </c>
      <c r="F348" s="25" t="s">
        <v>82</v>
      </c>
      <c r="G348" s="25" t="s">
        <v>1237</v>
      </c>
      <c r="H348" s="25" t="s">
        <v>162</v>
      </c>
      <c r="I348" s="25"/>
      <c r="J348" s="25" t="s">
        <v>1238</v>
      </c>
      <c r="K348" s="25"/>
      <c r="L348" s="26" t="s">
        <v>20</v>
      </c>
      <c r="M348" s="12">
        <v>45153.0</v>
      </c>
      <c r="N348" s="77" t="str">
        <f t="shared" si="1"/>
        <v>março</v>
      </c>
    </row>
    <row r="349">
      <c r="A349" s="25" t="s">
        <v>1239</v>
      </c>
      <c r="B349" s="59">
        <v>44986.53613947917</v>
      </c>
      <c r="C349" s="25" t="s">
        <v>673</v>
      </c>
      <c r="D349" s="25">
        <v>5335.0</v>
      </c>
      <c r="E349" s="25" t="s">
        <v>674</v>
      </c>
      <c r="F349" s="25" t="s">
        <v>82</v>
      </c>
      <c r="G349" s="25" t="s">
        <v>1240</v>
      </c>
      <c r="H349" s="25" t="s">
        <v>79</v>
      </c>
      <c r="I349" s="25"/>
      <c r="J349" s="25" t="s">
        <v>1241</v>
      </c>
      <c r="K349" s="25"/>
      <c r="L349" s="26" t="s">
        <v>20</v>
      </c>
      <c r="M349" s="12">
        <v>45153.0</v>
      </c>
      <c r="N349" s="77" t="str">
        <f t="shared" si="1"/>
        <v>março</v>
      </c>
    </row>
    <row r="350">
      <c r="A350" s="88" t="s">
        <v>1242</v>
      </c>
      <c r="B350" s="8">
        <v>44986.667279270834</v>
      </c>
      <c r="C350" s="7" t="s">
        <v>982</v>
      </c>
      <c r="D350" s="7">
        <v>5336.0</v>
      </c>
      <c r="E350" s="7" t="s">
        <v>1243</v>
      </c>
      <c r="F350" s="7" t="s">
        <v>1244</v>
      </c>
      <c r="G350" s="9" t="s">
        <v>1245</v>
      </c>
      <c r="H350" s="7" t="s">
        <v>79</v>
      </c>
      <c r="I350" s="7"/>
      <c r="J350" s="7" t="s">
        <v>1246</v>
      </c>
      <c r="K350" s="10" t="s">
        <v>261</v>
      </c>
      <c r="L350" s="10" t="s">
        <v>74</v>
      </c>
      <c r="M350" s="55">
        <v>45301.0</v>
      </c>
      <c r="N350" s="77" t="str">
        <f t="shared" si="1"/>
        <v>março</v>
      </c>
    </row>
    <row r="351">
      <c r="A351" s="25" t="s">
        <v>1247</v>
      </c>
      <c r="B351" s="59">
        <v>44986.846847430555</v>
      </c>
      <c r="C351" s="25" t="s">
        <v>758</v>
      </c>
      <c r="D351" s="25">
        <v>5313.0</v>
      </c>
      <c r="E351" s="25" t="s">
        <v>160</v>
      </c>
      <c r="F351" s="25" t="s">
        <v>77</v>
      </c>
      <c r="G351" s="25" t="s">
        <v>1248</v>
      </c>
      <c r="H351" s="25" t="s">
        <v>37</v>
      </c>
      <c r="I351" s="25"/>
      <c r="J351" s="25" t="s">
        <v>1249</v>
      </c>
      <c r="K351" s="25"/>
      <c r="L351" s="26" t="s">
        <v>20</v>
      </c>
      <c r="M351" s="12">
        <v>44998.0</v>
      </c>
      <c r="N351" s="77" t="str">
        <f t="shared" si="1"/>
        <v>março</v>
      </c>
    </row>
    <row r="352">
      <c r="A352" s="88" t="s">
        <v>1250</v>
      </c>
      <c r="B352" s="8">
        <v>44986.848142476854</v>
      </c>
      <c r="C352" s="7" t="s">
        <v>845</v>
      </c>
      <c r="D352" s="7">
        <v>5313.0</v>
      </c>
      <c r="E352" s="25" t="s">
        <v>160</v>
      </c>
      <c r="F352" s="25" t="s">
        <v>77</v>
      </c>
      <c r="G352" s="9" t="s">
        <v>1251</v>
      </c>
      <c r="H352" s="7" t="s">
        <v>37</v>
      </c>
      <c r="I352" s="7"/>
      <c r="J352" s="7" t="s">
        <v>1252</v>
      </c>
      <c r="K352" s="32"/>
      <c r="L352" s="10" t="s">
        <v>20</v>
      </c>
      <c r="M352" s="55">
        <v>45252.0</v>
      </c>
      <c r="N352" s="77" t="str">
        <f t="shared" si="1"/>
        <v>março</v>
      </c>
    </row>
    <row r="353">
      <c r="A353" s="25" t="s">
        <v>1253</v>
      </c>
      <c r="B353" s="59">
        <v>44986.85053127314</v>
      </c>
      <c r="C353" s="25" t="s">
        <v>845</v>
      </c>
      <c r="D353" s="25">
        <v>5313.0</v>
      </c>
      <c r="E353" s="25" t="s">
        <v>160</v>
      </c>
      <c r="F353" s="25" t="s">
        <v>77</v>
      </c>
      <c r="G353" s="25" t="s">
        <v>1254</v>
      </c>
      <c r="H353" s="25" t="s">
        <v>37</v>
      </c>
      <c r="I353" s="25"/>
      <c r="J353" s="25" t="s">
        <v>1255</v>
      </c>
      <c r="K353" s="25"/>
      <c r="L353" s="26" t="s">
        <v>20</v>
      </c>
      <c r="M353" s="12">
        <v>44991.0</v>
      </c>
      <c r="N353" s="77" t="str">
        <f t="shared" si="1"/>
        <v>março</v>
      </c>
    </row>
    <row r="354">
      <c r="A354" s="25" t="s">
        <v>1256</v>
      </c>
      <c r="B354" s="59">
        <v>44987.39156541666</v>
      </c>
      <c r="C354" s="25" t="s">
        <v>490</v>
      </c>
      <c r="D354" s="25">
        <v>6.4992610995E10</v>
      </c>
      <c r="E354" s="25" t="s">
        <v>34</v>
      </c>
      <c r="F354" s="25" t="s">
        <v>347</v>
      </c>
      <c r="G354" s="25" t="s">
        <v>1257</v>
      </c>
      <c r="H354" s="25" t="s">
        <v>79</v>
      </c>
      <c r="I354" s="25"/>
      <c r="J354" s="25" t="s">
        <v>1258</v>
      </c>
      <c r="K354" s="25"/>
      <c r="L354" s="26" t="s">
        <v>20</v>
      </c>
      <c r="M354" s="12">
        <v>44988.0</v>
      </c>
      <c r="N354" s="77" t="str">
        <f t="shared" si="1"/>
        <v>março</v>
      </c>
    </row>
    <row r="355">
      <c r="A355" s="25" t="s">
        <v>1259</v>
      </c>
      <c r="B355" s="59">
        <v>44987.44710153935</v>
      </c>
      <c r="C355" s="25" t="s">
        <v>1260</v>
      </c>
      <c r="D355" s="25" t="s">
        <v>1261</v>
      </c>
      <c r="E355" s="25" t="s">
        <v>371</v>
      </c>
      <c r="F355" s="25" t="s">
        <v>1262</v>
      </c>
      <c r="G355" s="25" t="s">
        <v>1263</v>
      </c>
      <c r="H355" s="25" t="s">
        <v>30</v>
      </c>
      <c r="I355" s="25"/>
      <c r="J355" s="25" t="s">
        <v>1264</v>
      </c>
      <c r="K355" s="25"/>
      <c r="L355" s="26" t="s">
        <v>20</v>
      </c>
      <c r="M355" s="12">
        <v>45187.0</v>
      </c>
      <c r="N355" s="77" t="str">
        <f t="shared" si="1"/>
        <v>março</v>
      </c>
    </row>
    <row r="356">
      <c r="A356" s="25" t="s">
        <v>1265</v>
      </c>
      <c r="B356" s="59">
        <v>44987.51614460648</v>
      </c>
      <c r="C356" s="25" t="s">
        <v>59</v>
      </c>
      <c r="D356" s="25">
        <v>5349.0</v>
      </c>
      <c r="E356" s="25" t="s">
        <v>60</v>
      </c>
      <c r="F356" s="25" t="s">
        <v>61</v>
      </c>
      <c r="G356" s="25" t="s">
        <v>1266</v>
      </c>
      <c r="H356" s="25" t="s">
        <v>37</v>
      </c>
      <c r="I356" s="25"/>
      <c r="J356" s="25" t="s">
        <v>1267</v>
      </c>
      <c r="K356" s="25"/>
      <c r="L356" s="26" t="s">
        <v>20</v>
      </c>
      <c r="M356" s="12">
        <v>44998.0</v>
      </c>
      <c r="N356" s="77" t="str">
        <f t="shared" si="1"/>
        <v>março</v>
      </c>
    </row>
    <row r="357">
      <c r="A357" s="25" t="s">
        <v>1268</v>
      </c>
      <c r="B357" s="59">
        <v>44987.578591666665</v>
      </c>
      <c r="C357" s="25" t="s">
        <v>40</v>
      </c>
      <c r="D357" s="25">
        <v>5333.0</v>
      </c>
      <c r="E357" s="25" t="s">
        <v>41</v>
      </c>
      <c r="F357" s="25" t="s">
        <v>42</v>
      </c>
      <c r="G357" s="25" t="s">
        <v>1269</v>
      </c>
      <c r="H357" s="25" t="s">
        <v>30</v>
      </c>
      <c r="I357" s="25"/>
      <c r="J357" s="25" t="s">
        <v>1270</v>
      </c>
      <c r="K357" s="25"/>
      <c r="L357" s="26" t="s">
        <v>20</v>
      </c>
      <c r="M357" s="12">
        <v>44987.0</v>
      </c>
      <c r="N357" s="77" t="str">
        <f t="shared" si="1"/>
        <v>março</v>
      </c>
    </row>
    <row r="358">
      <c r="A358" s="25" t="s">
        <v>1271</v>
      </c>
      <c r="B358" s="59">
        <v>44987.58933967593</v>
      </c>
      <c r="C358" s="25" t="s">
        <v>1272</v>
      </c>
      <c r="D358" s="25" t="s">
        <v>1273</v>
      </c>
      <c r="E358" s="25" t="s">
        <v>371</v>
      </c>
      <c r="F358" s="25" t="s">
        <v>49</v>
      </c>
      <c r="G358" s="25" t="s">
        <v>1274</v>
      </c>
      <c r="H358" s="25" t="s">
        <v>37</v>
      </c>
      <c r="I358" s="25"/>
      <c r="J358" s="25" t="s">
        <v>1275</v>
      </c>
      <c r="K358" s="25"/>
      <c r="L358" s="26" t="s">
        <v>20</v>
      </c>
      <c r="M358" s="12">
        <v>45006.0</v>
      </c>
      <c r="N358" s="77" t="str">
        <f t="shared" si="1"/>
        <v>março</v>
      </c>
    </row>
    <row r="359">
      <c r="A359" s="25" t="s">
        <v>1276</v>
      </c>
      <c r="B359" s="59">
        <v>44987.594054050925</v>
      </c>
      <c r="C359" s="25" t="s">
        <v>1272</v>
      </c>
      <c r="D359" s="25" t="s">
        <v>1273</v>
      </c>
      <c r="E359" s="25" t="s">
        <v>371</v>
      </c>
      <c r="F359" s="25" t="s">
        <v>49</v>
      </c>
      <c r="G359" s="25" t="s">
        <v>1274</v>
      </c>
      <c r="H359" s="25" t="s">
        <v>30</v>
      </c>
      <c r="I359" s="25"/>
      <c r="J359" s="25" t="s">
        <v>1277</v>
      </c>
      <c r="K359" s="25"/>
      <c r="L359" s="26" t="s">
        <v>20</v>
      </c>
      <c r="M359" s="12">
        <v>44988.0</v>
      </c>
      <c r="N359" s="77" t="str">
        <f t="shared" si="1"/>
        <v>março</v>
      </c>
    </row>
    <row r="360">
      <c r="A360" s="25" t="s">
        <v>1278</v>
      </c>
      <c r="B360" s="59">
        <v>44987.600407743055</v>
      </c>
      <c r="C360" s="25" t="s">
        <v>65</v>
      </c>
      <c r="D360" s="25">
        <v>5318.0</v>
      </c>
      <c r="E360" s="25" t="s">
        <v>15</v>
      </c>
      <c r="F360" s="25" t="s">
        <v>1279</v>
      </c>
      <c r="G360" s="25" t="s">
        <v>1280</v>
      </c>
      <c r="H360" s="25" t="s">
        <v>79</v>
      </c>
      <c r="I360" s="25"/>
      <c r="J360" s="25" t="s">
        <v>1281</v>
      </c>
      <c r="K360" s="25"/>
      <c r="L360" s="26" t="s">
        <v>20</v>
      </c>
      <c r="M360" s="12">
        <v>44987.0</v>
      </c>
      <c r="N360" s="77" t="str">
        <f t="shared" si="1"/>
        <v>março</v>
      </c>
    </row>
    <row r="361">
      <c r="A361" s="25" t="s">
        <v>1282</v>
      </c>
      <c r="B361" s="59">
        <v>44987.63515598379</v>
      </c>
      <c r="C361" s="25" t="s">
        <v>53</v>
      </c>
      <c r="D361" s="25">
        <v>5302.0</v>
      </c>
      <c r="E361" s="20" t="s">
        <v>288</v>
      </c>
      <c r="F361" s="25" t="s">
        <v>55</v>
      </c>
      <c r="G361" s="25" t="s">
        <v>1103</v>
      </c>
      <c r="H361" s="25" t="s">
        <v>37</v>
      </c>
      <c r="I361" s="25"/>
      <c r="J361" s="25" t="s">
        <v>1283</v>
      </c>
      <c r="K361" s="25"/>
      <c r="L361" s="26" t="s">
        <v>20</v>
      </c>
      <c r="M361" s="12">
        <v>44988.0</v>
      </c>
      <c r="N361" s="77" t="str">
        <f t="shared" si="1"/>
        <v>março</v>
      </c>
    </row>
    <row r="362">
      <c r="A362" s="25" t="s">
        <v>1284</v>
      </c>
      <c r="B362" s="59">
        <v>44987.64222108797</v>
      </c>
      <c r="C362" s="25" t="s">
        <v>354</v>
      </c>
      <c r="D362" s="25">
        <v>5323.0</v>
      </c>
      <c r="E362" s="25" t="s">
        <v>251</v>
      </c>
      <c r="F362" s="25" t="s">
        <v>142</v>
      </c>
      <c r="G362" s="25" t="s">
        <v>1285</v>
      </c>
      <c r="H362" s="25" t="s">
        <v>298</v>
      </c>
      <c r="I362" s="25"/>
      <c r="J362" s="25" t="s">
        <v>1286</v>
      </c>
      <c r="K362" s="25"/>
      <c r="L362" s="26" t="s">
        <v>20</v>
      </c>
      <c r="M362" s="12">
        <v>45147.0</v>
      </c>
      <c r="N362" s="77" t="str">
        <f t="shared" si="1"/>
        <v>março</v>
      </c>
    </row>
    <row r="363">
      <c r="A363" s="25" t="s">
        <v>1287</v>
      </c>
      <c r="B363" s="59">
        <v>44988.40798292824</v>
      </c>
      <c r="C363" s="25" t="s">
        <v>659</v>
      </c>
      <c r="D363" s="25">
        <v>5340.0</v>
      </c>
      <c r="E363" s="25" t="s">
        <v>70</v>
      </c>
      <c r="F363" s="25" t="s">
        <v>890</v>
      </c>
      <c r="G363" s="25" t="s">
        <v>1288</v>
      </c>
      <c r="H363" s="25" t="s">
        <v>79</v>
      </c>
      <c r="I363" s="25"/>
      <c r="J363" s="25" t="s">
        <v>1289</v>
      </c>
      <c r="K363" s="25"/>
      <c r="L363" s="26" t="s">
        <v>20</v>
      </c>
      <c r="M363" s="12">
        <v>44988.0</v>
      </c>
      <c r="N363" s="77" t="str">
        <f t="shared" si="1"/>
        <v>março</v>
      </c>
    </row>
    <row r="364">
      <c r="A364" s="25" t="s">
        <v>1290</v>
      </c>
      <c r="B364" s="59">
        <v>44988.46590648148</v>
      </c>
      <c r="C364" s="25" t="s">
        <v>659</v>
      </c>
      <c r="D364" s="25">
        <v>5340.0</v>
      </c>
      <c r="E364" s="25" t="s">
        <v>70</v>
      </c>
      <c r="F364" s="25" t="s">
        <v>1291</v>
      </c>
      <c r="G364" s="25" t="s">
        <v>684</v>
      </c>
      <c r="H364" s="25" t="s">
        <v>79</v>
      </c>
      <c r="I364" s="25"/>
      <c r="J364" s="25" t="s">
        <v>1292</v>
      </c>
      <c r="K364" s="25"/>
      <c r="L364" s="26" t="s">
        <v>20</v>
      </c>
      <c r="M364" s="12">
        <v>44991.0</v>
      </c>
      <c r="N364" s="77" t="str">
        <f t="shared" si="1"/>
        <v>março</v>
      </c>
    </row>
    <row r="365">
      <c r="A365" s="25" t="s">
        <v>1293</v>
      </c>
      <c r="B365" s="59">
        <v>44988.468865057876</v>
      </c>
      <c r="C365" s="25" t="s">
        <v>659</v>
      </c>
      <c r="D365" s="25">
        <v>5340.0</v>
      </c>
      <c r="E365" s="25" t="s">
        <v>70</v>
      </c>
      <c r="F365" s="25" t="s">
        <v>1294</v>
      </c>
      <c r="G365" s="25" t="s">
        <v>684</v>
      </c>
      <c r="H365" s="25" t="s">
        <v>79</v>
      </c>
      <c r="I365" s="25"/>
      <c r="J365" s="25" t="s">
        <v>1295</v>
      </c>
      <c r="K365" s="25"/>
      <c r="L365" s="26" t="s">
        <v>20</v>
      </c>
      <c r="M365" s="12">
        <v>44991.0</v>
      </c>
      <c r="N365" s="77" t="str">
        <f t="shared" si="1"/>
        <v>março</v>
      </c>
    </row>
    <row r="366">
      <c r="A366" s="25" t="s">
        <v>1296</v>
      </c>
      <c r="B366" s="59">
        <v>44988.47386986111</v>
      </c>
      <c r="C366" s="25" t="s">
        <v>659</v>
      </c>
      <c r="D366" s="25" t="s">
        <v>1297</v>
      </c>
      <c r="E366" s="25" t="s">
        <v>70</v>
      </c>
      <c r="F366" s="25" t="s">
        <v>1298</v>
      </c>
      <c r="G366" s="25" t="s">
        <v>1299</v>
      </c>
      <c r="H366" s="25" t="s">
        <v>298</v>
      </c>
      <c r="I366" s="25"/>
      <c r="J366" s="25" t="s">
        <v>1300</v>
      </c>
      <c r="K366" s="25"/>
      <c r="L366" s="26" t="s">
        <v>20</v>
      </c>
      <c r="M366" s="12">
        <v>45006.0</v>
      </c>
      <c r="N366" s="77" t="str">
        <f t="shared" si="1"/>
        <v>março</v>
      </c>
    </row>
    <row r="367">
      <c r="A367" s="25" t="s">
        <v>1301</v>
      </c>
      <c r="B367" s="59">
        <v>44988.55339128472</v>
      </c>
      <c r="C367" s="25" t="s">
        <v>1302</v>
      </c>
      <c r="D367" s="25">
        <v>5376.0</v>
      </c>
      <c r="E367" s="25" t="s">
        <v>284</v>
      </c>
      <c r="F367" s="25" t="s">
        <v>1303</v>
      </c>
      <c r="G367" s="25" t="s">
        <v>1304</v>
      </c>
      <c r="H367" s="25" t="s">
        <v>37</v>
      </c>
      <c r="I367" s="25"/>
      <c r="J367" s="25" t="s">
        <v>1305</v>
      </c>
      <c r="K367" s="25"/>
      <c r="L367" s="26" t="s">
        <v>20</v>
      </c>
      <c r="M367" s="12">
        <v>44999.0</v>
      </c>
      <c r="N367" s="77" t="str">
        <f t="shared" si="1"/>
        <v>março</v>
      </c>
    </row>
    <row r="368">
      <c r="A368" s="25" t="s">
        <v>1306</v>
      </c>
      <c r="B368" s="59">
        <v>44988.60788324074</v>
      </c>
      <c r="C368" s="25" t="s">
        <v>1307</v>
      </c>
      <c r="D368" s="25" t="s">
        <v>1308</v>
      </c>
      <c r="E368" s="25" t="s">
        <v>1127</v>
      </c>
      <c r="F368" s="25" t="s">
        <v>1309</v>
      </c>
      <c r="G368" s="25" t="s">
        <v>1310</v>
      </c>
      <c r="H368" s="25" t="s">
        <v>37</v>
      </c>
      <c r="I368" s="25"/>
      <c r="J368" s="25" t="s">
        <v>1311</v>
      </c>
      <c r="K368" s="25"/>
      <c r="L368" s="26" t="s">
        <v>20</v>
      </c>
      <c r="M368" s="12">
        <v>44993.0</v>
      </c>
      <c r="N368" s="77" t="str">
        <f t="shared" si="1"/>
        <v>março</v>
      </c>
    </row>
    <row r="369">
      <c r="A369" s="25" t="s">
        <v>1312</v>
      </c>
      <c r="B369" s="59">
        <v>44991.30990789352</v>
      </c>
      <c r="C369" s="25" t="s">
        <v>486</v>
      </c>
      <c r="D369" s="25">
        <v>5340.0</v>
      </c>
      <c r="E369" s="25" t="s">
        <v>70</v>
      </c>
      <c r="F369" s="25" t="s">
        <v>1313</v>
      </c>
      <c r="G369" s="25" t="s">
        <v>1208</v>
      </c>
      <c r="H369" s="25" t="s">
        <v>30</v>
      </c>
      <c r="I369" s="25"/>
      <c r="J369" s="25" t="s">
        <v>1314</v>
      </c>
      <c r="K369" s="25"/>
      <c r="L369" s="26" t="s">
        <v>20</v>
      </c>
      <c r="M369" s="12">
        <v>44991.0</v>
      </c>
      <c r="N369" s="77" t="str">
        <f t="shared" si="1"/>
        <v>março</v>
      </c>
    </row>
    <row r="370">
      <c r="A370" s="25" t="s">
        <v>1315</v>
      </c>
      <c r="B370" s="59">
        <v>44991.31301587963</v>
      </c>
      <c r="C370" s="25" t="s">
        <v>486</v>
      </c>
      <c r="D370" s="25">
        <v>5340.0</v>
      </c>
      <c r="E370" s="25" t="s">
        <v>70</v>
      </c>
      <c r="F370" s="25" t="s">
        <v>86</v>
      </c>
      <c r="G370" s="25" t="s">
        <v>1316</v>
      </c>
      <c r="H370" s="25" t="s">
        <v>79</v>
      </c>
      <c r="I370" s="25"/>
      <c r="J370" s="25" t="s">
        <v>1317</v>
      </c>
      <c r="K370" s="25"/>
      <c r="L370" s="26" t="s">
        <v>20</v>
      </c>
      <c r="M370" s="12">
        <v>44991.0</v>
      </c>
      <c r="N370" s="77" t="str">
        <f t="shared" si="1"/>
        <v>março</v>
      </c>
    </row>
    <row r="371">
      <c r="A371" s="25" t="s">
        <v>1318</v>
      </c>
      <c r="B371" s="59">
        <v>44991.316317164354</v>
      </c>
      <c r="C371" s="25" t="s">
        <v>486</v>
      </c>
      <c r="D371" s="25">
        <v>5340.0</v>
      </c>
      <c r="E371" s="25" t="s">
        <v>70</v>
      </c>
      <c r="F371" s="25" t="s">
        <v>86</v>
      </c>
      <c r="G371" s="25" t="s">
        <v>1319</v>
      </c>
      <c r="H371" s="25" t="s">
        <v>30</v>
      </c>
      <c r="I371" s="25"/>
      <c r="J371" s="25" t="s">
        <v>1320</v>
      </c>
      <c r="K371" s="25"/>
      <c r="L371" s="26" t="s">
        <v>20</v>
      </c>
      <c r="M371" s="12">
        <v>44984.0</v>
      </c>
      <c r="N371" s="77" t="str">
        <f t="shared" si="1"/>
        <v>março</v>
      </c>
    </row>
    <row r="372">
      <c r="A372" s="88" t="s">
        <v>1321</v>
      </c>
      <c r="B372" s="8">
        <v>44991.39765518518</v>
      </c>
      <c r="C372" s="7" t="s">
        <v>486</v>
      </c>
      <c r="D372" s="7">
        <v>5340.0</v>
      </c>
      <c r="E372" s="25" t="s">
        <v>70</v>
      </c>
      <c r="F372" s="65" t="s">
        <v>367</v>
      </c>
      <c r="G372" s="9" t="s">
        <v>1322</v>
      </c>
      <c r="H372" s="25" t="s">
        <v>30</v>
      </c>
      <c r="I372" s="7"/>
      <c r="J372" s="7" t="s">
        <v>1323</v>
      </c>
      <c r="K372" s="10" t="s">
        <v>1324</v>
      </c>
      <c r="L372" s="10" t="s">
        <v>74</v>
      </c>
      <c r="M372" s="43"/>
      <c r="N372" s="77" t="str">
        <f t="shared" si="1"/>
        <v>março</v>
      </c>
    </row>
    <row r="373">
      <c r="A373" s="25" t="s">
        <v>1325</v>
      </c>
      <c r="B373" s="59">
        <v>44991.61221767361</v>
      </c>
      <c r="C373" s="25" t="s">
        <v>486</v>
      </c>
      <c r="D373" s="25">
        <v>5340.0</v>
      </c>
      <c r="E373" s="25" t="s">
        <v>70</v>
      </c>
      <c r="F373" s="25" t="s">
        <v>86</v>
      </c>
      <c r="G373" s="25" t="s">
        <v>1326</v>
      </c>
      <c r="H373" s="25" t="s">
        <v>30</v>
      </c>
      <c r="I373" s="25"/>
      <c r="J373" s="25" t="s">
        <v>1327</v>
      </c>
      <c r="K373" s="25"/>
      <c r="L373" s="26" t="s">
        <v>20</v>
      </c>
      <c r="M373" s="12">
        <v>44998.0</v>
      </c>
      <c r="N373" s="77" t="str">
        <f t="shared" si="1"/>
        <v>março</v>
      </c>
    </row>
    <row r="374">
      <c r="A374" s="25" t="s">
        <v>1328</v>
      </c>
      <c r="B374" s="59">
        <v>44991.64222835648</v>
      </c>
      <c r="C374" s="25" t="s">
        <v>1329</v>
      </c>
      <c r="D374" s="25">
        <v>6.4999033602E10</v>
      </c>
      <c r="E374" s="20" t="s">
        <v>308</v>
      </c>
      <c r="F374" s="25" t="s">
        <v>783</v>
      </c>
      <c r="G374" s="25">
        <v>152.0</v>
      </c>
      <c r="H374" s="25" t="s">
        <v>37</v>
      </c>
      <c r="I374" s="25"/>
      <c r="J374" s="25" t="s">
        <v>1330</v>
      </c>
      <c r="K374" s="25"/>
      <c r="L374" s="26" t="s">
        <v>20</v>
      </c>
      <c r="M374" s="12">
        <v>44998.0</v>
      </c>
      <c r="N374" s="77" t="str">
        <f t="shared" si="1"/>
        <v>março</v>
      </c>
    </row>
    <row r="375">
      <c r="A375" s="25" t="s">
        <v>1331</v>
      </c>
      <c r="B375" s="59">
        <v>44991.65784994213</v>
      </c>
      <c r="C375" s="25" t="s">
        <v>1332</v>
      </c>
      <c r="D375" s="25">
        <v>5397.0</v>
      </c>
      <c r="E375" s="25" t="s">
        <v>1333</v>
      </c>
      <c r="F375" s="25" t="s">
        <v>49</v>
      </c>
      <c r="G375" s="25" t="s">
        <v>1334</v>
      </c>
      <c r="H375" s="25" t="s">
        <v>764</v>
      </c>
      <c r="I375" s="25"/>
      <c r="J375" s="25" t="s">
        <v>1335</v>
      </c>
      <c r="K375" s="25"/>
      <c r="L375" s="26" t="s">
        <v>20</v>
      </c>
      <c r="M375" s="12">
        <v>44992.0</v>
      </c>
      <c r="N375" s="77" t="str">
        <f t="shared" si="1"/>
        <v>março</v>
      </c>
    </row>
    <row r="376">
      <c r="A376" s="25" t="s">
        <v>1336</v>
      </c>
      <c r="B376" s="59">
        <v>44991.659026678244</v>
      </c>
      <c r="C376" s="25" t="s">
        <v>1337</v>
      </c>
      <c r="D376" s="25">
        <v>5397.0</v>
      </c>
      <c r="E376" s="25" t="s">
        <v>1333</v>
      </c>
      <c r="F376" s="25" t="s">
        <v>49</v>
      </c>
      <c r="G376" s="25" t="s">
        <v>1334</v>
      </c>
      <c r="H376" s="25" t="s">
        <v>37</v>
      </c>
      <c r="I376" s="25"/>
      <c r="J376" s="25" t="s">
        <v>1338</v>
      </c>
      <c r="K376" s="25"/>
      <c r="L376" s="26" t="s">
        <v>20</v>
      </c>
      <c r="M376" s="12">
        <v>44992.0</v>
      </c>
      <c r="N376" s="77" t="str">
        <f t="shared" si="1"/>
        <v>março</v>
      </c>
    </row>
    <row r="377">
      <c r="A377" s="25" t="s">
        <v>1339</v>
      </c>
      <c r="B377" s="59">
        <v>44991.718808391204</v>
      </c>
      <c r="C377" s="25" t="s">
        <v>307</v>
      </c>
      <c r="D377" s="25">
        <v>3.4999071369E10</v>
      </c>
      <c r="E377" s="20" t="s">
        <v>308</v>
      </c>
      <c r="F377" s="25" t="s">
        <v>763</v>
      </c>
      <c r="G377" s="25" t="s">
        <v>1340</v>
      </c>
      <c r="H377" s="25" t="s">
        <v>37</v>
      </c>
      <c r="I377" s="25"/>
      <c r="J377" s="25" t="s">
        <v>1341</v>
      </c>
      <c r="K377" s="25"/>
      <c r="L377" s="26" t="s">
        <v>20</v>
      </c>
      <c r="M377" s="12">
        <v>44992.0</v>
      </c>
      <c r="N377" s="77" t="str">
        <f t="shared" si="1"/>
        <v>março</v>
      </c>
    </row>
    <row r="378">
      <c r="A378" s="25" t="s">
        <v>1342</v>
      </c>
      <c r="B378" s="59">
        <v>44991.73691415509</v>
      </c>
      <c r="C378" s="25" t="s">
        <v>845</v>
      </c>
      <c r="D378" s="25">
        <v>5313.0</v>
      </c>
      <c r="E378" s="25" t="s">
        <v>160</v>
      </c>
      <c r="F378" s="25" t="s">
        <v>77</v>
      </c>
      <c r="G378" s="25" t="s">
        <v>1343</v>
      </c>
      <c r="H378" s="25" t="s">
        <v>30</v>
      </c>
      <c r="I378" s="25"/>
      <c r="J378" s="25" t="s">
        <v>1344</v>
      </c>
      <c r="K378" s="25"/>
      <c r="L378" s="26" t="s">
        <v>20</v>
      </c>
      <c r="M378" s="12">
        <v>45110.0</v>
      </c>
      <c r="N378" s="77" t="str">
        <f t="shared" si="1"/>
        <v>março</v>
      </c>
    </row>
    <row r="379">
      <c r="A379" s="25" t="s">
        <v>1345</v>
      </c>
      <c r="B379" s="59">
        <v>44991.74383564814</v>
      </c>
      <c r="C379" s="25" t="s">
        <v>845</v>
      </c>
      <c r="D379" s="25">
        <v>5313.0</v>
      </c>
      <c r="E379" s="25" t="s">
        <v>160</v>
      </c>
      <c r="F379" s="25" t="s">
        <v>77</v>
      </c>
      <c r="G379" s="25" t="s">
        <v>1346</v>
      </c>
      <c r="H379" s="25" t="s">
        <v>37</v>
      </c>
      <c r="I379" s="25"/>
      <c r="J379" s="25" t="s">
        <v>1347</v>
      </c>
      <c r="K379" s="25"/>
      <c r="L379" s="26" t="s">
        <v>20</v>
      </c>
      <c r="M379" s="12">
        <v>45153.0</v>
      </c>
      <c r="N379" s="77" t="str">
        <f t="shared" si="1"/>
        <v>março</v>
      </c>
    </row>
    <row r="380">
      <c r="A380" s="25" t="s">
        <v>1348</v>
      </c>
      <c r="B380" s="59">
        <v>44992.274975636574</v>
      </c>
      <c r="C380" s="25" t="s">
        <v>165</v>
      </c>
      <c r="D380" s="25">
        <v>5318.0</v>
      </c>
      <c r="E380" s="25" t="s">
        <v>15</v>
      </c>
      <c r="F380" s="25" t="s">
        <v>86</v>
      </c>
      <c r="G380" s="25" t="s">
        <v>1349</v>
      </c>
      <c r="H380" s="25" t="s">
        <v>37</v>
      </c>
      <c r="I380" s="25"/>
      <c r="J380" s="25" t="s">
        <v>1350</v>
      </c>
      <c r="K380" s="25"/>
      <c r="L380" s="26" t="s">
        <v>20</v>
      </c>
      <c r="M380" s="12">
        <v>44992.0</v>
      </c>
      <c r="N380" s="77" t="str">
        <f t="shared" si="1"/>
        <v>março</v>
      </c>
    </row>
    <row r="381">
      <c r="A381" s="25" t="s">
        <v>1351</v>
      </c>
      <c r="B381" s="59">
        <v>44992.27713552084</v>
      </c>
      <c r="C381" s="25" t="s">
        <v>165</v>
      </c>
      <c r="D381" s="25">
        <v>5318.0</v>
      </c>
      <c r="E381" s="25" t="s">
        <v>15</v>
      </c>
      <c r="F381" s="25" t="s">
        <v>49</v>
      </c>
      <c r="G381" s="25" t="s">
        <v>1352</v>
      </c>
      <c r="H381" s="25" t="s">
        <v>37</v>
      </c>
      <c r="I381" s="25"/>
      <c r="J381" s="25" t="s">
        <v>1353</v>
      </c>
      <c r="K381" s="25"/>
      <c r="L381" s="26" t="s">
        <v>20</v>
      </c>
      <c r="M381" s="12">
        <v>44992.0</v>
      </c>
      <c r="N381" s="77" t="str">
        <f t="shared" si="1"/>
        <v>março</v>
      </c>
    </row>
    <row r="382">
      <c r="A382" s="25" t="s">
        <v>1354</v>
      </c>
      <c r="B382" s="59">
        <v>44992.27901666667</v>
      </c>
      <c r="C382" s="25" t="s">
        <v>165</v>
      </c>
      <c r="D382" s="25">
        <v>5318.0</v>
      </c>
      <c r="E382" s="25" t="s">
        <v>15</v>
      </c>
      <c r="F382" s="25" t="s">
        <v>1355</v>
      </c>
      <c r="G382" s="25" t="s">
        <v>1356</v>
      </c>
      <c r="H382" s="25" t="s">
        <v>37</v>
      </c>
      <c r="I382" s="25"/>
      <c r="J382" s="25" t="s">
        <v>1357</v>
      </c>
      <c r="K382" s="25"/>
      <c r="L382" s="26" t="s">
        <v>20</v>
      </c>
      <c r="M382" s="12">
        <v>44992.0</v>
      </c>
      <c r="N382" s="77" t="str">
        <f t="shared" si="1"/>
        <v>março</v>
      </c>
    </row>
    <row r="383">
      <c r="A383" s="25" t="s">
        <v>1358</v>
      </c>
      <c r="B383" s="59">
        <v>44992.39614030093</v>
      </c>
      <c r="C383" s="25" t="s">
        <v>215</v>
      </c>
      <c r="D383" s="25">
        <v>5333.0</v>
      </c>
      <c r="E383" s="25" t="s">
        <v>41</v>
      </c>
      <c r="F383" s="25" t="s">
        <v>42</v>
      </c>
      <c r="G383" s="25" t="s">
        <v>1359</v>
      </c>
      <c r="H383" s="25" t="s">
        <v>37</v>
      </c>
      <c r="I383" s="25"/>
      <c r="J383" s="25" t="s">
        <v>1360</v>
      </c>
      <c r="K383" s="25"/>
      <c r="L383" s="26" t="s">
        <v>20</v>
      </c>
      <c r="M383" s="12">
        <v>44993.0</v>
      </c>
      <c r="N383" s="77" t="str">
        <f t="shared" si="1"/>
        <v>março</v>
      </c>
    </row>
    <row r="384">
      <c r="A384" s="25" t="s">
        <v>1361</v>
      </c>
      <c r="B384" s="59">
        <v>44992.45493508102</v>
      </c>
      <c r="C384" s="25" t="s">
        <v>1362</v>
      </c>
      <c r="D384" s="25">
        <v>5340.0</v>
      </c>
      <c r="E384" s="25" t="s">
        <v>70</v>
      </c>
      <c r="F384" s="25" t="s">
        <v>1363</v>
      </c>
      <c r="G384" s="25" t="s">
        <v>1363</v>
      </c>
      <c r="H384" s="25" t="s">
        <v>129</v>
      </c>
      <c r="I384" s="25"/>
      <c r="J384" s="25" t="s">
        <v>1364</v>
      </c>
      <c r="K384" s="25"/>
      <c r="L384" s="26" t="s">
        <v>20</v>
      </c>
      <c r="M384" s="12">
        <v>44995.0</v>
      </c>
      <c r="N384" s="77" t="str">
        <f t="shared" si="1"/>
        <v>março</v>
      </c>
    </row>
    <row r="385">
      <c r="A385" s="25" t="s">
        <v>1365</v>
      </c>
      <c r="B385" s="59">
        <v>44992.48694332176</v>
      </c>
      <c r="C385" s="25" t="s">
        <v>307</v>
      </c>
      <c r="D385" s="25">
        <v>3.4999071369E10</v>
      </c>
      <c r="E385" s="20" t="s">
        <v>308</v>
      </c>
      <c r="F385" s="25" t="s">
        <v>61</v>
      </c>
      <c r="G385" s="25" t="s">
        <v>615</v>
      </c>
      <c r="H385" s="25" t="s">
        <v>37</v>
      </c>
      <c r="I385" s="25"/>
      <c r="J385" s="25" t="s">
        <v>1366</v>
      </c>
      <c r="K385" s="25"/>
      <c r="L385" s="26" t="s">
        <v>20</v>
      </c>
      <c r="M385" s="12">
        <v>44993.0</v>
      </c>
      <c r="N385" s="77" t="str">
        <f t="shared" si="1"/>
        <v>março</v>
      </c>
    </row>
    <row r="386">
      <c r="A386" s="25" t="s">
        <v>1367</v>
      </c>
      <c r="B386" s="59">
        <v>44992.48821456019</v>
      </c>
      <c r="C386" s="25" t="s">
        <v>59</v>
      </c>
      <c r="D386" s="25">
        <v>5349.0</v>
      </c>
      <c r="E386" s="25" t="s">
        <v>60</v>
      </c>
      <c r="F386" s="25" t="s">
        <v>61</v>
      </c>
      <c r="G386" s="25" t="s">
        <v>1368</v>
      </c>
      <c r="H386" s="25" t="s">
        <v>79</v>
      </c>
      <c r="I386" s="25"/>
      <c r="J386" s="25" t="s">
        <v>1369</v>
      </c>
      <c r="K386" s="25"/>
      <c r="L386" s="26" t="s">
        <v>20</v>
      </c>
      <c r="M386" s="12">
        <v>44993.0</v>
      </c>
      <c r="N386" s="77" t="str">
        <f t="shared" si="1"/>
        <v>março</v>
      </c>
    </row>
    <row r="387">
      <c r="A387" s="25" t="s">
        <v>1370</v>
      </c>
      <c r="B387" s="59">
        <v>44992.573965648146</v>
      </c>
      <c r="C387" s="25" t="s">
        <v>1371</v>
      </c>
      <c r="D387" s="25">
        <v>3.4415308E7</v>
      </c>
      <c r="E387" s="25" t="s">
        <v>1372</v>
      </c>
      <c r="F387" s="25" t="s">
        <v>554</v>
      </c>
      <c r="G387" s="25" t="s">
        <v>1208</v>
      </c>
      <c r="H387" s="25" t="s">
        <v>79</v>
      </c>
      <c r="I387" s="25"/>
      <c r="J387" s="25" t="s">
        <v>1373</v>
      </c>
      <c r="K387" s="25"/>
      <c r="L387" s="26" t="s">
        <v>20</v>
      </c>
      <c r="M387" s="12">
        <v>44994.0</v>
      </c>
      <c r="N387" s="77" t="str">
        <f t="shared" si="1"/>
        <v>março</v>
      </c>
    </row>
    <row r="388">
      <c r="A388" s="25" t="s">
        <v>1374</v>
      </c>
      <c r="B388" s="59">
        <v>44992.59999166666</v>
      </c>
      <c r="C388" s="25" t="s">
        <v>26</v>
      </c>
      <c r="D388" s="25">
        <v>5304.0</v>
      </c>
      <c r="E388" s="25" t="s">
        <v>1097</v>
      </c>
      <c r="F388" s="25" t="s">
        <v>1375</v>
      </c>
      <c r="G388" s="25" t="s">
        <v>1376</v>
      </c>
      <c r="H388" s="25" t="s">
        <v>30</v>
      </c>
      <c r="I388" s="25"/>
      <c r="J388" s="25" t="s">
        <v>1377</v>
      </c>
      <c r="K388" s="25"/>
      <c r="L388" s="26" t="s">
        <v>20</v>
      </c>
      <c r="M388" s="12">
        <v>44994.0</v>
      </c>
      <c r="N388" s="77" t="str">
        <f t="shared" si="1"/>
        <v>março</v>
      </c>
    </row>
    <row r="389">
      <c r="A389" s="25" t="s">
        <v>1378</v>
      </c>
      <c r="B389" s="59">
        <v>44993.34998784722</v>
      </c>
      <c r="C389" s="25" t="s">
        <v>1379</v>
      </c>
      <c r="D389" s="25">
        <v>5320.0</v>
      </c>
      <c r="E389" s="20" t="s">
        <v>206</v>
      </c>
      <c r="F389" s="25" t="s">
        <v>61</v>
      </c>
      <c r="G389" s="25" t="s">
        <v>1380</v>
      </c>
      <c r="H389" s="25" t="s">
        <v>37</v>
      </c>
      <c r="I389" s="25"/>
      <c r="J389" s="25" t="s">
        <v>1381</v>
      </c>
      <c r="K389" s="25"/>
      <c r="L389" s="26" t="s">
        <v>20</v>
      </c>
      <c r="M389" s="12">
        <v>44998.0</v>
      </c>
      <c r="N389" s="77" t="str">
        <f t="shared" si="1"/>
        <v>março</v>
      </c>
    </row>
    <row r="390">
      <c r="A390" s="25" t="s">
        <v>1382</v>
      </c>
      <c r="B390" s="59">
        <v>44993.44438494213</v>
      </c>
      <c r="C390" s="25" t="s">
        <v>40</v>
      </c>
      <c r="D390" s="25">
        <v>5333.0</v>
      </c>
      <c r="E390" s="25" t="s">
        <v>41</v>
      </c>
      <c r="F390" s="25" t="s">
        <v>42</v>
      </c>
      <c r="G390" s="25" t="s">
        <v>1383</v>
      </c>
      <c r="H390" s="25" t="s">
        <v>79</v>
      </c>
      <c r="I390" s="25"/>
      <c r="J390" s="25" t="s">
        <v>1384</v>
      </c>
      <c r="K390" s="25"/>
      <c r="L390" s="26" t="s">
        <v>20</v>
      </c>
      <c r="M390" s="12">
        <v>45005.0</v>
      </c>
      <c r="N390" s="77" t="str">
        <f t="shared" si="1"/>
        <v>março</v>
      </c>
    </row>
    <row r="391">
      <c r="A391" s="25" t="s">
        <v>1385</v>
      </c>
      <c r="B391" s="59">
        <v>44994.34475771991</v>
      </c>
      <c r="C391" s="25" t="s">
        <v>1126</v>
      </c>
      <c r="D391" s="25">
        <v>7610.0</v>
      </c>
      <c r="E391" s="25" t="s">
        <v>1127</v>
      </c>
      <c r="F391" s="25" t="s">
        <v>1386</v>
      </c>
      <c r="G391" s="25" t="s">
        <v>1387</v>
      </c>
      <c r="H391" s="25" t="s">
        <v>37</v>
      </c>
      <c r="I391" s="25"/>
      <c r="J391" s="25" t="s">
        <v>1388</v>
      </c>
      <c r="K391" s="25"/>
      <c r="L391" s="26" t="s">
        <v>20</v>
      </c>
      <c r="M391" s="12">
        <v>44994.0</v>
      </c>
      <c r="N391" s="77" t="str">
        <f t="shared" si="1"/>
        <v>março</v>
      </c>
    </row>
    <row r="392">
      <c r="A392" s="25" t="s">
        <v>1389</v>
      </c>
      <c r="B392" s="59">
        <v>44994.35138393518</v>
      </c>
      <c r="C392" s="25" t="s">
        <v>1390</v>
      </c>
      <c r="D392" s="25">
        <v>5346.0</v>
      </c>
      <c r="E392" s="25" t="s">
        <v>70</v>
      </c>
      <c r="F392" s="25" t="s">
        <v>82</v>
      </c>
      <c r="G392" s="25">
        <v>18.0</v>
      </c>
      <c r="H392" s="25" t="s">
        <v>30</v>
      </c>
      <c r="I392" s="25"/>
      <c r="J392" s="25" t="s">
        <v>1391</v>
      </c>
      <c r="K392" s="25"/>
      <c r="L392" s="26" t="s">
        <v>20</v>
      </c>
      <c r="M392" s="12">
        <v>44995.0</v>
      </c>
      <c r="N392" s="77" t="str">
        <f t="shared" si="1"/>
        <v>março</v>
      </c>
    </row>
    <row r="393">
      <c r="A393" s="25" t="s">
        <v>1392</v>
      </c>
      <c r="B393" s="59">
        <v>44994.35504847222</v>
      </c>
      <c r="C393" s="25" t="s">
        <v>486</v>
      </c>
      <c r="D393" s="25">
        <v>5340.0</v>
      </c>
      <c r="E393" s="25" t="s">
        <v>70</v>
      </c>
      <c r="F393" s="25" t="s">
        <v>1393</v>
      </c>
      <c r="G393" s="25" t="s">
        <v>1394</v>
      </c>
      <c r="H393" s="25" t="s">
        <v>30</v>
      </c>
      <c r="I393" s="25"/>
      <c r="J393" s="25" t="s">
        <v>1395</v>
      </c>
      <c r="K393" s="25"/>
      <c r="L393" s="26" t="s">
        <v>20</v>
      </c>
      <c r="M393" s="12">
        <v>44995.0</v>
      </c>
      <c r="N393" s="77" t="str">
        <f t="shared" si="1"/>
        <v>março</v>
      </c>
    </row>
    <row r="394">
      <c r="A394" s="25" t="s">
        <v>1396</v>
      </c>
      <c r="B394" s="59">
        <v>44994.64917553241</v>
      </c>
      <c r="C394" s="25" t="s">
        <v>1397</v>
      </c>
      <c r="D394" s="25">
        <v>5323.0</v>
      </c>
      <c r="E394" s="20" t="s">
        <v>308</v>
      </c>
      <c r="F394" s="25" t="s">
        <v>783</v>
      </c>
      <c r="G394" s="25">
        <v>320.0</v>
      </c>
      <c r="H394" s="25" t="s">
        <v>37</v>
      </c>
      <c r="I394" s="25"/>
      <c r="J394" s="25" t="s">
        <v>1398</v>
      </c>
      <c r="K394" s="25"/>
      <c r="L394" s="26" t="s">
        <v>20</v>
      </c>
      <c r="M394" s="12">
        <v>44998.0</v>
      </c>
      <c r="N394" s="77" t="str">
        <f t="shared" si="1"/>
        <v>março</v>
      </c>
    </row>
    <row r="395">
      <c r="A395" s="25" t="s">
        <v>1399</v>
      </c>
      <c r="B395" s="59">
        <v>44995.422297349534</v>
      </c>
      <c r="C395" s="25" t="s">
        <v>1400</v>
      </c>
      <c r="D395" s="25" t="s">
        <v>1401</v>
      </c>
      <c r="E395" s="25" t="s">
        <v>1127</v>
      </c>
      <c r="F395" s="25" t="s">
        <v>100</v>
      </c>
      <c r="G395" s="25" t="s">
        <v>1402</v>
      </c>
      <c r="H395" s="25" t="s">
        <v>162</v>
      </c>
      <c r="I395" s="25"/>
      <c r="J395" s="25" t="s">
        <v>1403</v>
      </c>
      <c r="K395" s="25"/>
      <c r="L395" s="26" t="s">
        <v>20</v>
      </c>
      <c r="M395" s="12">
        <v>45153.0</v>
      </c>
      <c r="N395" s="77" t="str">
        <f t="shared" si="1"/>
        <v>março</v>
      </c>
    </row>
    <row r="396">
      <c r="A396" s="25" t="s">
        <v>1404</v>
      </c>
      <c r="B396" s="59">
        <v>44995.641726319445</v>
      </c>
      <c r="C396" s="25" t="s">
        <v>292</v>
      </c>
      <c r="D396" s="25">
        <v>5356.0</v>
      </c>
      <c r="E396" s="25" t="s">
        <v>1097</v>
      </c>
      <c r="F396" s="25" t="s">
        <v>1405</v>
      </c>
      <c r="G396" s="25" t="s">
        <v>1406</v>
      </c>
      <c r="H396" s="25" t="s">
        <v>129</v>
      </c>
      <c r="I396" s="25"/>
      <c r="J396" s="25" t="s">
        <v>1407</v>
      </c>
      <c r="K396" s="25"/>
      <c r="L396" s="26" t="s">
        <v>20</v>
      </c>
      <c r="M396" s="12">
        <v>44998.0</v>
      </c>
      <c r="N396" s="77" t="str">
        <f t="shared" si="1"/>
        <v>março</v>
      </c>
    </row>
    <row r="397">
      <c r="A397" s="25" t="s">
        <v>1408</v>
      </c>
      <c r="B397" s="59">
        <v>44995.664431701385</v>
      </c>
      <c r="C397" s="25" t="s">
        <v>1409</v>
      </c>
      <c r="D397" s="25">
        <v>5376.0</v>
      </c>
      <c r="E397" s="25" t="s">
        <v>621</v>
      </c>
      <c r="F397" s="25" t="s">
        <v>86</v>
      </c>
      <c r="G397" s="25" t="s">
        <v>1410</v>
      </c>
      <c r="H397" s="25" t="s">
        <v>162</v>
      </c>
      <c r="I397" s="25"/>
      <c r="J397" s="25" t="s">
        <v>1411</v>
      </c>
      <c r="K397" s="25"/>
      <c r="L397" s="26" t="s">
        <v>20</v>
      </c>
      <c r="M397" s="12">
        <v>44984.0</v>
      </c>
      <c r="N397" s="77" t="str">
        <f t="shared" si="1"/>
        <v>março</v>
      </c>
    </row>
    <row r="398">
      <c r="A398" s="25" t="s">
        <v>1412</v>
      </c>
      <c r="B398" s="59">
        <v>44998.504766701386</v>
      </c>
      <c r="C398" s="25" t="s">
        <v>432</v>
      </c>
      <c r="D398" s="25">
        <v>6.4981321757E10</v>
      </c>
      <c r="E398" s="25" t="s">
        <v>187</v>
      </c>
      <c r="F398" s="25" t="s">
        <v>188</v>
      </c>
      <c r="G398" s="25" t="s">
        <v>1413</v>
      </c>
      <c r="H398" s="25" t="s">
        <v>764</v>
      </c>
      <c r="I398" s="25"/>
      <c r="J398" s="25" t="s">
        <v>1414</v>
      </c>
      <c r="K398" s="25"/>
      <c r="L398" s="26" t="s">
        <v>20</v>
      </c>
      <c r="M398" s="12">
        <v>45092.0</v>
      </c>
      <c r="N398" s="77" t="str">
        <f t="shared" si="1"/>
        <v>março</v>
      </c>
    </row>
    <row r="399">
      <c r="A399" s="25" t="s">
        <v>1415</v>
      </c>
      <c r="B399" s="59">
        <v>44998.68032251157</v>
      </c>
      <c r="C399" s="25" t="s">
        <v>512</v>
      </c>
      <c r="D399" s="25">
        <v>3.4113059E7</v>
      </c>
      <c r="E399" s="25" t="s">
        <v>70</v>
      </c>
      <c r="F399" s="25" t="s">
        <v>86</v>
      </c>
      <c r="G399" s="25" t="s">
        <v>1416</v>
      </c>
      <c r="H399" s="25" t="s">
        <v>37</v>
      </c>
      <c r="I399" s="25"/>
      <c r="J399" s="25" t="s">
        <v>1417</v>
      </c>
      <c r="K399" s="25"/>
      <c r="L399" s="26" t="s">
        <v>20</v>
      </c>
      <c r="M399" s="12">
        <v>44998.0</v>
      </c>
      <c r="N399" s="77" t="str">
        <f t="shared" si="1"/>
        <v>março</v>
      </c>
    </row>
    <row r="400">
      <c r="A400" s="25" t="s">
        <v>1418</v>
      </c>
      <c r="B400" s="59">
        <v>44999.42518984954</v>
      </c>
      <c r="C400" s="25" t="s">
        <v>432</v>
      </c>
      <c r="D400" s="25">
        <v>6.4981321757E10</v>
      </c>
      <c r="E400" s="25" t="s">
        <v>187</v>
      </c>
      <c r="F400" s="25" t="s">
        <v>347</v>
      </c>
      <c r="G400" s="25" t="s">
        <v>1419</v>
      </c>
      <c r="H400" s="25" t="s">
        <v>129</v>
      </c>
      <c r="I400" s="25"/>
      <c r="J400" s="25" t="s">
        <v>1420</v>
      </c>
      <c r="K400" s="25"/>
      <c r="L400" s="26" t="s">
        <v>20</v>
      </c>
      <c r="M400" s="12">
        <v>45093.0</v>
      </c>
      <c r="N400" s="77" t="str">
        <f t="shared" si="1"/>
        <v>março</v>
      </c>
    </row>
    <row r="401">
      <c r="A401" s="25" t="s">
        <v>1421</v>
      </c>
      <c r="B401" s="59">
        <v>44999.60100416667</v>
      </c>
      <c r="C401" s="25" t="s">
        <v>1422</v>
      </c>
      <c r="D401" s="25">
        <v>5346.0</v>
      </c>
      <c r="E401" s="25" t="s">
        <v>446</v>
      </c>
      <c r="F401" s="25" t="s">
        <v>1423</v>
      </c>
      <c r="G401" s="25" t="s">
        <v>1423</v>
      </c>
      <c r="H401" s="25" t="s">
        <v>764</v>
      </c>
      <c r="I401" s="25"/>
      <c r="J401" s="25" t="s">
        <v>1424</v>
      </c>
      <c r="K401" s="25"/>
      <c r="L401" s="26" t="s">
        <v>20</v>
      </c>
      <c r="M401" s="12">
        <v>44999.0</v>
      </c>
      <c r="N401" s="77" t="str">
        <f t="shared" si="1"/>
        <v>março</v>
      </c>
    </row>
    <row r="402">
      <c r="A402" s="25" t="s">
        <v>1425</v>
      </c>
      <c r="B402" s="59">
        <v>45000.357237118056</v>
      </c>
      <c r="C402" s="25" t="s">
        <v>1426</v>
      </c>
      <c r="D402" s="25">
        <v>5343.0</v>
      </c>
      <c r="E402" s="25" t="s">
        <v>116</v>
      </c>
      <c r="F402" s="25" t="s">
        <v>1427</v>
      </c>
      <c r="G402" s="25" t="s">
        <v>1427</v>
      </c>
      <c r="H402" s="25" t="s">
        <v>764</v>
      </c>
      <c r="I402" s="25"/>
      <c r="J402" s="25" t="s">
        <v>1428</v>
      </c>
      <c r="K402" s="25"/>
      <c r="L402" s="26" t="s">
        <v>20</v>
      </c>
      <c r="M402" s="12">
        <v>45000.0</v>
      </c>
      <c r="N402" s="77" t="str">
        <f t="shared" si="1"/>
        <v>março</v>
      </c>
    </row>
    <row r="403">
      <c r="A403" s="25" t="s">
        <v>1429</v>
      </c>
      <c r="B403" s="59">
        <v>45000.609613981476</v>
      </c>
      <c r="C403" s="25" t="s">
        <v>553</v>
      </c>
      <c r="D403" s="25">
        <v>5318.0</v>
      </c>
      <c r="E403" s="25" t="s">
        <v>15</v>
      </c>
      <c r="F403" s="25" t="s">
        <v>86</v>
      </c>
      <c r="G403" s="25" t="s">
        <v>1430</v>
      </c>
      <c r="H403" s="25" t="s">
        <v>37</v>
      </c>
      <c r="I403" s="25"/>
      <c r="J403" s="25" t="s">
        <v>1431</v>
      </c>
      <c r="K403" s="25"/>
      <c r="L403" s="26" t="s">
        <v>20</v>
      </c>
      <c r="M403" s="12">
        <v>45000.0</v>
      </c>
      <c r="N403" s="77" t="str">
        <f t="shared" si="1"/>
        <v>março</v>
      </c>
    </row>
    <row r="404">
      <c r="A404" s="25" t="s">
        <v>1432</v>
      </c>
      <c r="B404" s="59">
        <v>45000.63369667824</v>
      </c>
      <c r="C404" s="25" t="s">
        <v>525</v>
      </c>
      <c r="D404" s="25">
        <v>3.4999071369E10</v>
      </c>
      <c r="E404" s="20" t="s">
        <v>308</v>
      </c>
      <c r="F404" s="25" t="s">
        <v>783</v>
      </c>
      <c r="G404" s="25">
        <v>151.0</v>
      </c>
      <c r="H404" s="25" t="s">
        <v>37</v>
      </c>
      <c r="I404" s="25"/>
      <c r="J404" s="25" t="s">
        <v>1433</v>
      </c>
      <c r="K404" s="25"/>
      <c r="L404" s="26" t="s">
        <v>20</v>
      </c>
      <c r="M404" s="12">
        <v>45005.0</v>
      </c>
      <c r="N404" s="77" t="str">
        <f t="shared" si="1"/>
        <v>março</v>
      </c>
    </row>
    <row r="405">
      <c r="A405" s="25" t="s">
        <v>1434</v>
      </c>
      <c r="B405" s="59">
        <v>45000.65284200231</v>
      </c>
      <c r="C405" s="25" t="s">
        <v>1068</v>
      </c>
      <c r="D405" s="25">
        <v>5311.0</v>
      </c>
      <c r="E405" s="25" t="s">
        <v>251</v>
      </c>
      <c r="F405" s="25" t="s">
        <v>100</v>
      </c>
      <c r="G405" s="25" t="s">
        <v>1435</v>
      </c>
      <c r="H405" s="25" t="s">
        <v>37</v>
      </c>
      <c r="I405" s="25"/>
      <c r="J405" s="25" t="s">
        <v>1436</v>
      </c>
      <c r="K405" s="25"/>
      <c r="L405" s="26" t="s">
        <v>20</v>
      </c>
      <c r="M405" s="12">
        <v>45005.0</v>
      </c>
      <c r="N405" s="77" t="str">
        <f t="shared" si="1"/>
        <v>março</v>
      </c>
    </row>
    <row r="406">
      <c r="A406" s="88" t="s">
        <v>1437</v>
      </c>
      <c r="B406" s="8">
        <v>45000.65452740741</v>
      </c>
      <c r="C406" s="7" t="s">
        <v>1438</v>
      </c>
      <c r="D406" s="7">
        <v>5311.0</v>
      </c>
      <c r="E406" s="25" t="s">
        <v>251</v>
      </c>
      <c r="F406" s="25" t="s">
        <v>100</v>
      </c>
      <c r="G406" s="9" t="s">
        <v>1439</v>
      </c>
      <c r="H406" s="7" t="s">
        <v>298</v>
      </c>
      <c r="I406" s="7"/>
      <c r="J406" s="7" t="s">
        <v>1440</v>
      </c>
      <c r="K406" s="32"/>
      <c r="L406" s="10" t="s">
        <v>20</v>
      </c>
      <c r="M406" s="55">
        <v>45264.0</v>
      </c>
      <c r="N406" s="77" t="str">
        <f t="shared" si="1"/>
        <v>março</v>
      </c>
    </row>
    <row r="407">
      <c r="A407" s="88" t="s">
        <v>1441</v>
      </c>
      <c r="B407" s="8">
        <v>45000.655940185185</v>
      </c>
      <c r="C407" s="7" t="s">
        <v>1438</v>
      </c>
      <c r="D407" s="7">
        <v>5311.0</v>
      </c>
      <c r="E407" s="25" t="s">
        <v>251</v>
      </c>
      <c r="F407" s="25" t="s">
        <v>100</v>
      </c>
      <c r="G407" s="9" t="s">
        <v>465</v>
      </c>
      <c r="H407" s="7" t="s">
        <v>298</v>
      </c>
      <c r="I407" s="7"/>
      <c r="J407" s="7" t="s">
        <v>1442</v>
      </c>
      <c r="K407" s="32"/>
      <c r="L407" s="10" t="s">
        <v>20</v>
      </c>
      <c r="M407" s="55">
        <v>45264.0</v>
      </c>
      <c r="N407" s="77" t="str">
        <f t="shared" si="1"/>
        <v>março</v>
      </c>
    </row>
    <row r="408">
      <c r="A408" s="88" t="s">
        <v>1443</v>
      </c>
      <c r="B408" s="8">
        <v>45000.65768379629</v>
      </c>
      <c r="C408" s="7" t="s">
        <v>1438</v>
      </c>
      <c r="D408" s="7">
        <v>5311.0</v>
      </c>
      <c r="E408" s="25" t="s">
        <v>251</v>
      </c>
      <c r="F408" s="25" t="s">
        <v>100</v>
      </c>
      <c r="G408" s="9" t="s">
        <v>465</v>
      </c>
      <c r="H408" s="7" t="s">
        <v>298</v>
      </c>
      <c r="I408" s="7"/>
      <c r="J408" s="7" t="s">
        <v>1444</v>
      </c>
      <c r="K408" s="10" t="s">
        <v>1445</v>
      </c>
      <c r="L408" s="10" t="s">
        <v>74</v>
      </c>
      <c r="M408" s="43"/>
      <c r="N408" s="77" t="str">
        <f t="shared" si="1"/>
        <v>março</v>
      </c>
    </row>
    <row r="409">
      <c r="A409" s="88" t="s">
        <v>1446</v>
      </c>
      <c r="B409" s="8">
        <v>45000.65889910879</v>
      </c>
      <c r="C409" s="7" t="s">
        <v>1068</v>
      </c>
      <c r="D409" s="7">
        <v>5311.0</v>
      </c>
      <c r="E409" s="25" t="s">
        <v>251</v>
      </c>
      <c r="F409" s="25" t="s">
        <v>100</v>
      </c>
      <c r="G409" s="9" t="s">
        <v>1447</v>
      </c>
      <c r="H409" s="7" t="s">
        <v>37</v>
      </c>
      <c r="I409" s="7"/>
      <c r="J409" s="7" t="s">
        <v>1448</v>
      </c>
      <c r="K409" s="10" t="s">
        <v>1449</v>
      </c>
      <c r="L409" s="10" t="s">
        <v>74</v>
      </c>
      <c r="M409" s="55">
        <v>45288.0</v>
      </c>
      <c r="N409" s="77" t="str">
        <f t="shared" si="1"/>
        <v>março</v>
      </c>
    </row>
    <row r="410">
      <c r="A410" s="25" t="s">
        <v>1450</v>
      </c>
      <c r="B410" s="59">
        <v>45000.66033518518</v>
      </c>
      <c r="C410" s="25" t="s">
        <v>1068</v>
      </c>
      <c r="D410" s="25">
        <v>5311.0</v>
      </c>
      <c r="E410" s="25" t="s">
        <v>251</v>
      </c>
      <c r="F410" s="25" t="s">
        <v>100</v>
      </c>
      <c r="G410" s="25" t="s">
        <v>332</v>
      </c>
      <c r="H410" s="25" t="s">
        <v>37</v>
      </c>
      <c r="I410" s="25"/>
      <c r="J410" s="25" t="s">
        <v>1451</v>
      </c>
      <c r="K410" s="25"/>
      <c r="L410" s="26" t="s">
        <v>20</v>
      </c>
      <c r="M410" s="12">
        <v>45043.0</v>
      </c>
      <c r="N410" s="77" t="str">
        <f t="shared" si="1"/>
        <v>março</v>
      </c>
    </row>
    <row r="411">
      <c r="A411" s="25" t="s">
        <v>1452</v>
      </c>
      <c r="B411" s="59">
        <v>45001.30166766203</v>
      </c>
      <c r="C411" s="25" t="s">
        <v>486</v>
      </c>
      <c r="D411" s="25">
        <v>5340.0</v>
      </c>
      <c r="E411" s="25" t="s">
        <v>70</v>
      </c>
      <c r="F411" s="25" t="s">
        <v>1090</v>
      </c>
      <c r="G411" s="25" t="s">
        <v>1208</v>
      </c>
      <c r="H411" s="25" t="s">
        <v>30</v>
      </c>
      <c r="I411" s="25"/>
      <c r="J411" s="25" t="s">
        <v>1453</v>
      </c>
      <c r="K411" s="25"/>
      <c r="L411" s="26" t="s">
        <v>20</v>
      </c>
      <c r="M411" s="12">
        <v>45007.0</v>
      </c>
      <c r="N411" s="77" t="str">
        <f t="shared" si="1"/>
        <v>março</v>
      </c>
    </row>
    <row r="412">
      <c r="A412" s="25" t="s">
        <v>1454</v>
      </c>
      <c r="B412" s="59">
        <v>45001.31884739583</v>
      </c>
      <c r="C412" s="25" t="s">
        <v>1455</v>
      </c>
      <c r="D412" s="25" t="s">
        <v>1456</v>
      </c>
      <c r="E412" s="25" t="s">
        <v>423</v>
      </c>
      <c r="F412" s="25" t="s">
        <v>82</v>
      </c>
      <c r="G412" s="25">
        <v>16.0</v>
      </c>
      <c r="H412" s="25" t="s">
        <v>30</v>
      </c>
      <c r="I412" s="25"/>
      <c r="J412" s="25" t="s">
        <v>1457</v>
      </c>
      <c r="K412" s="25"/>
      <c r="L412" s="26" t="s">
        <v>20</v>
      </c>
      <c r="M412" s="12">
        <v>45001.0</v>
      </c>
      <c r="N412" s="77" t="str">
        <f t="shared" si="1"/>
        <v>março</v>
      </c>
    </row>
    <row r="413">
      <c r="A413" s="25" t="s">
        <v>1458</v>
      </c>
      <c r="B413" s="59">
        <v>45001.45350376157</v>
      </c>
      <c r="C413" s="25" t="s">
        <v>1459</v>
      </c>
      <c r="D413" s="25">
        <v>5343.0</v>
      </c>
      <c r="E413" s="25" t="s">
        <v>987</v>
      </c>
      <c r="F413" s="25" t="s">
        <v>82</v>
      </c>
      <c r="G413" s="25" t="s">
        <v>1460</v>
      </c>
      <c r="H413" s="25" t="s">
        <v>764</v>
      </c>
      <c r="I413" s="25"/>
      <c r="J413" s="25" t="s">
        <v>1461</v>
      </c>
      <c r="K413" s="25"/>
      <c r="L413" s="26" t="s">
        <v>20</v>
      </c>
      <c r="M413" s="12">
        <v>45005.0</v>
      </c>
      <c r="N413" s="77" t="str">
        <f t="shared" si="1"/>
        <v>março</v>
      </c>
    </row>
    <row r="414">
      <c r="A414" s="25" t="s">
        <v>1462</v>
      </c>
      <c r="B414" s="59">
        <v>45001.48815020833</v>
      </c>
      <c r="C414" s="25" t="s">
        <v>948</v>
      </c>
      <c r="D414" s="25">
        <v>6.4981321757E10</v>
      </c>
      <c r="E414" s="25" t="s">
        <v>187</v>
      </c>
      <c r="F414" s="25" t="s">
        <v>347</v>
      </c>
      <c r="G414" s="25" t="s">
        <v>1463</v>
      </c>
      <c r="H414" s="25" t="s">
        <v>79</v>
      </c>
      <c r="I414" s="25"/>
      <c r="J414" s="25" t="s">
        <v>1464</v>
      </c>
      <c r="K414" s="25"/>
      <c r="L414" s="26" t="s">
        <v>20</v>
      </c>
      <c r="M414" s="12">
        <v>45001.0</v>
      </c>
      <c r="N414" s="77" t="str">
        <f t="shared" si="1"/>
        <v>março</v>
      </c>
    </row>
    <row r="415">
      <c r="A415" s="25" t="s">
        <v>1465</v>
      </c>
      <c r="B415" s="59">
        <v>45001.491977881946</v>
      </c>
      <c r="C415" s="25" t="s">
        <v>198</v>
      </c>
      <c r="D415" s="25">
        <v>6.2991579626E10</v>
      </c>
      <c r="E415" s="25" t="s">
        <v>621</v>
      </c>
      <c r="F415" s="25" t="s">
        <v>86</v>
      </c>
      <c r="G415" s="25" t="s">
        <v>1466</v>
      </c>
      <c r="H415" s="25" t="s">
        <v>129</v>
      </c>
      <c r="I415" s="25"/>
      <c r="J415" s="25" t="s">
        <v>1467</v>
      </c>
      <c r="K415" s="25" t="s">
        <v>1468</v>
      </c>
      <c r="L415" s="26" t="s">
        <v>20</v>
      </c>
      <c r="M415" s="12">
        <v>45162.0</v>
      </c>
      <c r="N415" s="77" t="str">
        <f t="shared" si="1"/>
        <v>março</v>
      </c>
    </row>
    <row r="416">
      <c r="A416" s="25" t="s">
        <v>1469</v>
      </c>
      <c r="B416" s="59">
        <v>45001.55176217592</v>
      </c>
      <c r="C416" s="25" t="s">
        <v>1470</v>
      </c>
      <c r="D416" s="25">
        <v>3.4415308E7</v>
      </c>
      <c r="E416" s="25" t="s">
        <v>1372</v>
      </c>
      <c r="F416" s="25" t="s">
        <v>709</v>
      </c>
      <c r="G416" s="25" t="s">
        <v>1208</v>
      </c>
      <c r="H416" s="25" t="s">
        <v>79</v>
      </c>
      <c r="I416" s="25"/>
      <c r="J416" s="25" t="s">
        <v>1471</v>
      </c>
      <c r="K416" s="25"/>
      <c r="L416" s="26" t="s">
        <v>20</v>
      </c>
      <c r="M416" s="12">
        <v>45007.0</v>
      </c>
      <c r="N416" s="77" t="str">
        <f t="shared" si="1"/>
        <v>março</v>
      </c>
    </row>
    <row r="417">
      <c r="A417" s="25" t="s">
        <v>1472</v>
      </c>
      <c r="B417" s="59">
        <v>45001.56551609954</v>
      </c>
      <c r="C417" s="25" t="s">
        <v>911</v>
      </c>
      <c r="D417" s="25">
        <v>5306.0</v>
      </c>
      <c r="E417" s="25" t="s">
        <v>371</v>
      </c>
      <c r="F417" s="25" t="s">
        <v>49</v>
      </c>
      <c r="G417" s="25" t="s">
        <v>1180</v>
      </c>
      <c r="H417" s="25" t="s">
        <v>764</v>
      </c>
      <c r="I417" s="25"/>
      <c r="J417" s="25" t="s">
        <v>1473</v>
      </c>
      <c r="K417" s="25"/>
      <c r="L417" s="26" t="s">
        <v>20</v>
      </c>
      <c r="M417" s="12">
        <v>45002.0</v>
      </c>
      <c r="N417" s="77" t="str">
        <f t="shared" si="1"/>
        <v>março</v>
      </c>
    </row>
    <row r="418">
      <c r="A418" s="25" t="s">
        <v>1474</v>
      </c>
      <c r="B418" s="59">
        <v>45001.61448508102</v>
      </c>
      <c r="C418" s="25" t="s">
        <v>1475</v>
      </c>
      <c r="D418" s="25">
        <v>5334.0</v>
      </c>
      <c r="E418" s="25" t="s">
        <v>187</v>
      </c>
      <c r="F418" s="25" t="s">
        <v>188</v>
      </c>
      <c r="G418" s="25" t="s">
        <v>1476</v>
      </c>
      <c r="H418" s="25" t="s">
        <v>79</v>
      </c>
      <c r="I418" s="25"/>
      <c r="J418" s="25" t="s">
        <v>1477</v>
      </c>
      <c r="K418" s="25"/>
      <c r="L418" s="26" t="s">
        <v>20</v>
      </c>
      <c r="M418" s="12">
        <v>45002.0</v>
      </c>
      <c r="N418" s="77" t="str">
        <f t="shared" si="1"/>
        <v>março</v>
      </c>
    </row>
    <row r="419">
      <c r="A419" s="25" t="s">
        <v>1478</v>
      </c>
      <c r="B419" s="59">
        <v>45001.72130434027</v>
      </c>
      <c r="C419" s="25" t="s">
        <v>273</v>
      </c>
      <c r="D419" s="25">
        <v>3.4415304E7</v>
      </c>
      <c r="E419" s="25" t="s">
        <v>1097</v>
      </c>
      <c r="F419" s="25" t="s">
        <v>1090</v>
      </c>
      <c r="G419" s="25" t="s">
        <v>1479</v>
      </c>
      <c r="H419" s="25" t="s">
        <v>79</v>
      </c>
      <c r="I419" s="25"/>
      <c r="J419" s="25" t="s">
        <v>1480</v>
      </c>
      <c r="K419" s="25"/>
      <c r="L419" s="26" t="s">
        <v>20</v>
      </c>
      <c r="M419" s="12">
        <v>45008.0</v>
      </c>
      <c r="N419" s="77" t="str">
        <f t="shared" si="1"/>
        <v>março</v>
      </c>
    </row>
    <row r="420">
      <c r="A420" s="25" t="s">
        <v>1481</v>
      </c>
      <c r="B420" s="59">
        <v>45002.61248135417</v>
      </c>
      <c r="C420" s="25" t="s">
        <v>40</v>
      </c>
      <c r="D420" s="25">
        <v>5333.0</v>
      </c>
      <c r="E420" s="25" t="s">
        <v>41</v>
      </c>
      <c r="F420" s="25" t="s">
        <v>42</v>
      </c>
      <c r="G420" s="25" t="s">
        <v>135</v>
      </c>
      <c r="H420" s="25" t="s">
        <v>30</v>
      </c>
      <c r="I420" s="25"/>
      <c r="J420" s="25" t="s">
        <v>1482</v>
      </c>
      <c r="K420" s="25"/>
      <c r="L420" s="26" t="s">
        <v>20</v>
      </c>
      <c r="M420" s="12">
        <v>45005.0</v>
      </c>
      <c r="N420" s="77" t="str">
        <f t="shared" si="1"/>
        <v>março</v>
      </c>
    </row>
    <row r="421">
      <c r="A421" s="25" t="s">
        <v>1483</v>
      </c>
      <c r="B421" s="59">
        <v>45005.24608618056</v>
      </c>
      <c r="C421" s="25" t="s">
        <v>169</v>
      </c>
      <c r="D421" s="25">
        <v>5318.0</v>
      </c>
      <c r="E421" s="25" t="s">
        <v>15</v>
      </c>
      <c r="F421" s="25" t="s">
        <v>16</v>
      </c>
      <c r="G421" s="25" t="s">
        <v>1484</v>
      </c>
      <c r="H421" s="25" t="s">
        <v>30</v>
      </c>
      <c r="I421" s="25"/>
      <c r="J421" s="25" t="s">
        <v>1485</v>
      </c>
      <c r="K421" s="25"/>
      <c r="L421" s="26" t="s">
        <v>20</v>
      </c>
      <c r="M421" s="12">
        <v>45153.0</v>
      </c>
      <c r="N421" s="77" t="str">
        <f t="shared" si="1"/>
        <v>março</v>
      </c>
    </row>
    <row r="422">
      <c r="A422" s="25" t="s">
        <v>1486</v>
      </c>
      <c r="B422" s="59">
        <v>45005.39059231481</v>
      </c>
      <c r="C422" s="25" t="s">
        <v>1470</v>
      </c>
      <c r="D422" s="25">
        <v>3.4415308E7</v>
      </c>
      <c r="E422" s="25" t="s">
        <v>1372</v>
      </c>
      <c r="F422" s="25" t="s">
        <v>1487</v>
      </c>
      <c r="G422" s="25" t="s">
        <v>1488</v>
      </c>
      <c r="H422" s="25" t="s">
        <v>37</v>
      </c>
      <c r="I422" s="25"/>
      <c r="J422" s="25" t="s">
        <v>1489</v>
      </c>
      <c r="K422" s="25"/>
      <c r="L422" s="26" t="s">
        <v>20</v>
      </c>
      <c r="M422" s="12">
        <v>45008.0</v>
      </c>
      <c r="N422" s="77" t="str">
        <f t="shared" si="1"/>
        <v>março</v>
      </c>
    </row>
    <row r="423">
      <c r="A423" s="25" t="s">
        <v>1490</v>
      </c>
      <c r="B423" s="59">
        <v>45005.455798553245</v>
      </c>
      <c r="C423" s="25" t="s">
        <v>1491</v>
      </c>
      <c r="D423" s="25">
        <v>5333.0</v>
      </c>
      <c r="E423" s="25" t="s">
        <v>41</v>
      </c>
      <c r="F423" s="25" t="s">
        <v>42</v>
      </c>
      <c r="G423" s="25" t="s">
        <v>1492</v>
      </c>
      <c r="H423" s="25" t="s">
        <v>162</v>
      </c>
      <c r="I423" s="25"/>
      <c r="J423" s="25" t="s">
        <v>1493</v>
      </c>
      <c r="K423" s="25"/>
      <c r="L423" s="26" t="s">
        <v>20</v>
      </c>
      <c r="M423" s="12">
        <v>45058.0</v>
      </c>
      <c r="N423" s="77" t="str">
        <f t="shared" si="1"/>
        <v>março</v>
      </c>
    </row>
    <row r="424">
      <c r="A424" s="25" t="s">
        <v>1494</v>
      </c>
      <c r="B424" s="59">
        <v>45005.46277128472</v>
      </c>
      <c r="C424" s="25" t="s">
        <v>1068</v>
      </c>
      <c r="D424" s="25">
        <v>5311.0</v>
      </c>
      <c r="E424" s="25" t="s">
        <v>251</v>
      </c>
      <c r="F424" s="25" t="s">
        <v>100</v>
      </c>
      <c r="G424" s="25" t="s">
        <v>1073</v>
      </c>
      <c r="H424" s="25" t="s">
        <v>37</v>
      </c>
      <c r="I424" s="25"/>
      <c r="J424" s="25" t="s">
        <v>1495</v>
      </c>
      <c r="K424" s="25"/>
      <c r="L424" s="26" t="s">
        <v>20</v>
      </c>
      <c r="M424" s="12">
        <v>45005.0</v>
      </c>
      <c r="N424" s="77" t="str">
        <f t="shared" si="1"/>
        <v>março</v>
      </c>
    </row>
    <row r="425">
      <c r="A425" s="25" t="s">
        <v>1496</v>
      </c>
      <c r="B425" s="59">
        <v>45005.46594350695</v>
      </c>
      <c r="C425" s="25" t="s">
        <v>1068</v>
      </c>
      <c r="D425" s="25">
        <v>5311.0</v>
      </c>
      <c r="E425" s="25" t="s">
        <v>251</v>
      </c>
      <c r="F425" s="25" t="s">
        <v>393</v>
      </c>
      <c r="G425" s="25" t="s">
        <v>1497</v>
      </c>
      <c r="H425" s="25" t="s">
        <v>37</v>
      </c>
      <c r="I425" s="25"/>
      <c r="J425" s="25" t="s">
        <v>1498</v>
      </c>
      <c r="K425" s="25"/>
      <c r="L425" s="26" t="s">
        <v>20</v>
      </c>
      <c r="M425" s="12">
        <v>45005.0</v>
      </c>
      <c r="N425" s="77" t="str">
        <f t="shared" si="1"/>
        <v>março</v>
      </c>
    </row>
    <row r="426">
      <c r="A426" s="25" t="s">
        <v>1499</v>
      </c>
      <c r="B426" s="59">
        <v>45005.479109340275</v>
      </c>
      <c r="C426" s="25" t="s">
        <v>486</v>
      </c>
      <c r="D426" s="25">
        <v>5340.0</v>
      </c>
      <c r="E426" s="25" t="s">
        <v>70</v>
      </c>
      <c r="F426" s="25" t="s">
        <v>393</v>
      </c>
      <c r="G426" s="25" t="s">
        <v>1500</v>
      </c>
      <c r="H426" s="25" t="s">
        <v>30</v>
      </c>
      <c r="I426" s="25"/>
      <c r="J426" s="25" t="s">
        <v>1501</v>
      </c>
      <c r="K426" s="25"/>
      <c r="L426" s="26" t="s">
        <v>20</v>
      </c>
      <c r="M426" s="12">
        <v>45006.0</v>
      </c>
      <c r="N426" s="77" t="str">
        <f t="shared" si="1"/>
        <v>março</v>
      </c>
    </row>
    <row r="427">
      <c r="A427" s="25" t="s">
        <v>1502</v>
      </c>
      <c r="B427" s="59">
        <v>45005.48843730324</v>
      </c>
      <c r="C427" s="25" t="s">
        <v>40</v>
      </c>
      <c r="D427" s="25">
        <v>5333.0</v>
      </c>
      <c r="E427" s="25" t="s">
        <v>41</v>
      </c>
      <c r="F427" s="25" t="s">
        <v>42</v>
      </c>
      <c r="G427" s="25" t="s">
        <v>1503</v>
      </c>
      <c r="H427" s="25" t="s">
        <v>764</v>
      </c>
      <c r="I427" s="25"/>
      <c r="J427" s="25" t="s">
        <v>1504</v>
      </c>
      <c r="K427" s="25"/>
      <c r="L427" s="26" t="s">
        <v>20</v>
      </c>
      <c r="M427" s="12">
        <v>45153.0</v>
      </c>
      <c r="N427" s="77" t="str">
        <f t="shared" si="1"/>
        <v>março</v>
      </c>
    </row>
    <row r="428">
      <c r="A428" s="25" t="s">
        <v>1505</v>
      </c>
      <c r="B428" s="59">
        <v>45005.598001562495</v>
      </c>
      <c r="C428" s="25" t="s">
        <v>876</v>
      </c>
      <c r="D428" s="25">
        <v>5334.0</v>
      </c>
      <c r="E428" s="25" t="s">
        <v>187</v>
      </c>
      <c r="F428" s="25" t="s">
        <v>877</v>
      </c>
      <c r="G428" s="25" t="s">
        <v>1506</v>
      </c>
      <c r="H428" s="25" t="s">
        <v>79</v>
      </c>
      <c r="I428" s="25"/>
      <c r="J428" s="25" t="s">
        <v>1507</v>
      </c>
      <c r="K428" s="25"/>
      <c r="L428" s="26" t="s">
        <v>20</v>
      </c>
      <c r="M428" s="12">
        <v>45006.0</v>
      </c>
      <c r="N428" s="77" t="str">
        <f t="shared" si="1"/>
        <v>março</v>
      </c>
    </row>
    <row r="429">
      <c r="A429" s="25" t="s">
        <v>1508</v>
      </c>
      <c r="B429" s="59">
        <v>45005.631116296296</v>
      </c>
      <c r="C429" s="25" t="s">
        <v>354</v>
      </c>
      <c r="D429" s="25">
        <v>5323.0</v>
      </c>
      <c r="E429" s="25" t="s">
        <v>251</v>
      </c>
      <c r="F429" s="25" t="s">
        <v>100</v>
      </c>
      <c r="G429" s="25" t="s">
        <v>1509</v>
      </c>
      <c r="H429" s="25" t="s">
        <v>30</v>
      </c>
      <c r="I429" s="25"/>
      <c r="J429" s="25" t="s">
        <v>1510</v>
      </c>
      <c r="K429" s="25"/>
      <c r="L429" s="26" t="s">
        <v>20</v>
      </c>
      <c r="M429" s="12">
        <v>45006.0</v>
      </c>
      <c r="N429" s="77" t="str">
        <f t="shared" si="1"/>
        <v>março</v>
      </c>
    </row>
    <row r="430">
      <c r="A430" s="25" t="s">
        <v>1511</v>
      </c>
      <c r="B430" s="59">
        <v>45006.304305300924</v>
      </c>
      <c r="C430" s="25" t="s">
        <v>451</v>
      </c>
      <c r="D430" s="25">
        <v>5304.0</v>
      </c>
      <c r="E430" s="25" t="s">
        <v>1097</v>
      </c>
      <c r="F430" s="25" t="s">
        <v>28</v>
      </c>
      <c r="G430" s="25" t="s">
        <v>1512</v>
      </c>
      <c r="H430" s="25" t="s">
        <v>37</v>
      </c>
      <c r="I430" s="25"/>
      <c r="J430" s="25" t="s">
        <v>1513</v>
      </c>
      <c r="K430" s="25"/>
      <c r="L430" s="26" t="s">
        <v>20</v>
      </c>
      <c r="M430" s="12">
        <v>45007.0</v>
      </c>
      <c r="N430" s="77" t="str">
        <f t="shared" si="1"/>
        <v>março</v>
      </c>
    </row>
    <row r="431">
      <c r="A431" s="25" t="s">
        <v>1514</v>
      </c>
      <c r="B431" s="59">
        <v>45006.66007953703</v>
      </c>
      <c r="C431" s="25" t="s">
        <v>659</v>
      </c>
      <c r="D431" s="25">
        <v>6.4992531009E10</v>
      </c>
      <c r="E431" s="25" t="s">
        <v>70</v>
      </c>
      <c r="F431" s="25" t="s">
        <v>28</v>
      </c>
      <c r="G431" s="25" t="s">
        <v>1515</v>
      </c>
      <c r="H431" s="25" t="s">
        <v>79</v>
      </c>
      <c r="I431" s="25"/>
      <c r="J431" s="25" t="s">
        <v>1516</v>
      </c>
      <c r="K431" s="25"/>
      <c r="L431" s="26" t="s">
        <v>20</v>
      </c>
      <c r="M431" s="12">
        <v>45006.0</v>
      </c>
      <c r="N431" s="77" t="str">
        <f t="shared" si="1"/>
        <v>março</v>
      </c>
    </row>
    <row r="432">
      <c r="A432" s="25" t="s">
        <v>1517</v>
      </c>
      <c r="B432" s="59">
        <v>45007.30389462963</v>
      </c>
      <c r="C432" s="25" t="s">
        <v>1518</v>
      </c>
      <c r="D432" s="25">
        <v>5343.0</v>
      </c>
      <c r="E432" s="20" t="s">
        <v>1215</v>
      </c>
      <c r="F432" s="25" t="s">
        <v>82</v>
      </c>
      <c r="G432" s="25" t="s">
        <v>1519</v>
      </c>
      <c r="H432" s="25" t="s">
        <v>37</v>
      </c>
      <c r="I432" s="25"/>
      <c r="J432" s="25" t="s">
        <v>1520</v>
      </c>
      <c r="K432" s="25"/>
      <c r="L432" s="26" t="s">
        <v>20</v>
      </c>
      <c r="M432" s="12">
        <v>45008.0</v>
      </c>
      <c r="N432" s="77" t="str">
        <f t="shared" si="1"/>
        <v>março</v>
      </c>
    </row>
    <row r="433">
      <c r="A433" s="25" t="s">
        <v>1521</v>
      </c>
      <c r="B433" s="59">
        <v>45007.45220396991</v>
      </c>
      <c r="C433" s="25" t="s">
        <v>198</v>
      </c>
      <c r="D433" s="25" t="s">
        <v>1522</v>
      </c>
      <c r="E433" s="25" t="s">
        <v>621</v>
      </c>
      <c r="F433" s="25" t="s">
        <v>86</v>
      </c>
      <c r="G433" s="25" t="s">
        <v>1523</v>
      </c>
      <c r="H433" s="25" t="s">
        <v>129</v>
      </c>
      <c r="I433" s="25"/>
      <c r="J433" s="25" t="s">
        <v>1524</v>
      </c>
      <c r="K433" s="25" t="s">
        <v>1468</v>
      </c>
      <c r="L433" s="26" t="s">
        <v>20</v>
      </c>
      <c r="M433" s="12">
        <v>45162.0</v>
      </c>
      <c r="N433" s="77" t="str">
        <f t="shared" si="1"/>
        <v>março</v>
      </c>
    </row>
    <row r="434">
      <c r="A434" s="25" t="s">
        <v>1525</v>
      </c>
      <c r="B434" s="59">
        <v>45007.61086246528</v>
      </c>
      <c r="C434" s="25" t="s">
        <v>486</v>
      </c>
      <c r="D434" s="25">
        <v>5340.0</v>
      </c>
      <c r="E434" s="25" t="s">
        <v>70</v>
      </c>
      <c r="F434" s="25" t="s">
        <v>82</v>
      </c>
      <c r="G434" s="25" t="s">
        <v>1526</v>
      </c>
      <c r="H434" s="25" t="s">
        <v>30</v>
      </c>
      <c r="I434" s="25"/>
      <c r="J434" s="25" t="s">
        <v>1527</v>
      </c>
      <c r="K434" s="25"/>
      <c r="L434" s="26" t="s">
        <v>20</v>
      </c>
      <c r="M434" s="12">
        <v>45009.0</v>
      </c>
      <c r="N434" s="77" t="str">
        <f t="shared" si="1"/>
        <v>março</v>
      </c>
    </row>
    <row r="435">
      <c r="A435" s="25" t="s">
        <v>1528</v>
      </c>
      <c r="B435" s="59">
        <v>45007.650348703704</v>
      </c>
      <c r="C435" s="25" t="s">
        <v>307</v>
      </c>
      <c r="D435" s="25">
        <v>3.4999071369E10</v>
      </c>
      <c r="E435" s="20" t="s">
        <v>308</v>
      </c>
      <c r="F435" s="25" t="s">
        <v>1529</v>
      </c>
      <c r="G435" s="25" t="s">
        <v>1530</v>
      </c>
      <c r="H435" s="25" t="s">
        <v>37</v>
      </c>
      <c r="I435" s="25"/>
      <c r="J435" s="25" t="s">
        <v>1531</v>
      </c>
      <c r="K435" s="25"/>
      <c r="L435" s="26" t="s">
        <v>20</v>
      </c>
      <c r="M435" s="12">
        <v>45008.0</v>
      </c>
      <c r="N435" s="77" t="str">
        <f t="shared" si="1"/>
        <v>março</v>
      </c>
    </row>
    <row r="436">
      <c r="A436" s="25" t="s">
        <v>1532</v>
      </c>
      <c r="B436" s="59">
        <v>45007.67948011574</v>
      </c>
      <c r="C436" s="25" t="s">
        <v>1470</v>
      </c>
      <c r="D436" s="25">
        <v>3.4415308E7</v>
      </c>
      <c r="E436" s="25" t="s">
        <v>1372</v>
      </c>
      <c r="F436" s="25" t="s">
        <v>1533</v>
      </c>
      <c r="G436" s="25" t="s">
        <v>1534</v>
      </c>
      <c r="H436" s="25" t="s">
        <v>37</v>
      </c>
      <c r="I436" s="25"/>
      <c r="J436" s="25" t="s">
        <v>1535</v>
      </c>
      <c r="K436" s="25"/>
      <c r="L436" s="26" t="s">
        <v>20</v>
      </c>
      <c r="M436" s="12">
        <v>45008.0</v>
      </c>
      <c r="N436" s="77" t="str">
        <f t="shared" si="1"/>
        <v>março</v>
      </c>
    </row>
    <row r="437">
      <c r="A437" s="88" t="s">
        <v>1536</v>
      </c>
      <c r="B437" s="8">
        <v>45007.680289930555</v>
      </c>
      <c r="C437" s="7" t="s">
        <v>1470</v>
      </c>
      <c r="D437" s="7">
        <v>3.4415308E7</v>
      </c>
      <c r="E437" s="7" t="s">
        <v>1372</v>
      </c>
      <c r="F437" s="7" t="s">
        <v>1487</v>
      </c>
      <c r="G437" s="9" t="s">
        <v>1537</v>
      </c>
      <c r="H437" s="7" t="s">
        <v>298</v>
      </c>
      <c r="I437" s="7"/>
      <c r="J437" s="7" t="s">
        <v>1538</v>
      </c>
      <c r="K437" s="30"/>
      <c r="L437" s="10" t="s">
        <v>20</v>
      </c>
      <c r="M437" s="55">
        <v>45288.0</v>
      </c>
      <c r="N437" s="77" t="str">
        <f t="shared" si="1"/>
        <v>março</v>
      </c>
    </row>
    <row r="438">
      <c r="A438" s="88" t="s">
        <v>1539</v>
      </c>
      <c r="B438" s="8">
        <v>45007.70420466435</v>
      </c>
      <c r="C438" s="7" t="s">
        <v>307</v>
      </c>
      <c r="D438" s="7">
        <v>3.4999071369E10</v>
      </c>
      <c r="E438" s="20" t="s">
        <v>308</v>
      </c>
      <c r="F438" s="7" t="s">
        <v>783</v>
      </c>
      <c r="G438" s="9" t="s">
        <v>179</v>
      </c>
      <c r="H438" s="7" t="s">
        <v>298</v>
      </c>
      <c r="I438" s="7"/>
      <c r="J438" s="7" t="s">
        <v>1540</v>
      </c>
      <c r="K438" s="30"/>
      <c r="L438" s="10" t="s">
        <v>20</v>
      </c>
      <c r="M438" s="55">
        <v>45288.0</v>
      </c>
      <c r="N438" s="77" t="str">
        <f t="shared" si="1"/>
        <v>março</v>
      </c>
    </row>
    <row r="439">
      <c r="A439" s="25" t="s">
        <v>1541</v>
      </c>
      <c r="B439" s="59">
        <v>45007.70647560185</v>
      </c>
      <c r="C439" s="25" t="s">
        <v>307</v>
      </c>
      <c r="D439" s="25">
        <v>3.4999071369E10</v>
      </c>
      <c r="E439" s="20" t="s">
        <v>308</v>
      </c>
      <c r="F439" s="20" t="s">
        <v>783</v>
      </c>
      <c r="G439" s="25" t="s">
        <v>179</v>
      </c>
      <c r="H439" s="25" t="s">
        <v>79</v>
      </c>
      <c r="I439" s="25"/>
      <c r="J439" s="25" t="s">
        <v>1542</v>
      </c>
      <c r="K439" s="25"/>
      <c r="L439" s="26" t="s">
        <v>20</v>
      </c>
      <c r="M439" s="12">
        <v>45034.0</v>
      </c>
      <c r="N439" s="77" t="str">
        <f t="shared" si="1"/>
        <v>março</v>
      </c>
    </row>
    <row r="440">
      <c r="A440" s="25" t="s">
        <v>1543</v>
      </c>
      <c r="B440" s="59">
        <v>45008.31654260417</v>
      </c>
      <c r="C440" s="25" t="s">
        <v>512</v>
      </c>
      <c r="D440" s="25">
        <v>5340.0</v>
      </c>
      <c r="E440" s="25" t="s">
        <v>70</v>
      </c>
      <c r="F440" s="25" t="s">
        <v>1090</v>
      </c>
      <c r="G440" s="25" t="s">
        <v>1322</v>
      </c>
      <c r="H440" s="25" t="s">
        <v>44</v>
      </c>
      <c r="I440" s="25"/>
      <c r="J440" s="25" t="s">
        <v>1544</v>
      </c>
      <c r="K440" s="25"/>
      <c r="L440" s="26" t="s">
        <v>20</v>
      </c>
      <c r="M440" s="12">
        <v>45008.0</v>
      </c>
      <c r="N440" s="77" t="str">
        <f t="shared" si="1"/>
        <v>março</v>
      </c>
    </row>
    <row r="441">
      <c r="A441" s="25" t="s">
        <v>1545</v>
      </c>
      <c r="B441" s="59">
        <v>45008.3546268287</v>
      </c>
      <c r="C441" s="25" t="s">
        <v>292</v>
      </c>
      <c r="D441" s="25">
        <v>5356.0</v>
      </c>
      <c r="E441" s="25" t="s">
        <v>1097</v>
      </c>
      <c r="F441" s="25" t="s">
        <v>1294</v>
      </c>
      <c r="G441" s="25">
        <v>106.0</v>
      </c>
      <c r="H441" s="25" t="s">
        <v>129</v>
      </c>
      <c r="I441" s="25"/>
      <c r="J441" s="25" t="s">
        <v>1546</v>
      </c>
      <c r="K441" s="25"/>
      <c r="L441" s="26" t="s">
        <v>20</v>
      </c>
      <c r="M441" s="12">
        <v>45009.0</v>
      </c>
      <c r="N441" s="77" t="str">
        <f t="shared" si="1"/>
        <v>março</v>
      </c>
    </row>
    <row r="442">
      <c r="A442" s="25" t="s">
        <v>1547</v>
      </c>
      <c r="B442" s="59">
        <v>45008.357722546294</v>
      </c>
      <c r="C442" s="25" t="s">
        <v>292</v>
      </c>
      <c r="D442" s="25">
        <v>5356.0</v>
      </c>
      <c r="E442" s="25" t="s">
        <v>1097</v>
      </c>
      <c r="F442" s="25" t="s">
        <v>1548</v>
      </c>
      <c r="G442" s="25" t="s">
        <v>1549</v>
      </c>
      <c r="H442" s="25" t="s">
        <v>37</v>
      </c>
      <c r="I442" s="25"/>
      <c r="J442" s="25" t="s">
        <v>1550</v>
      </c>
      <c r="K442" s="25"/>
      <c r="L442" s="26" t="s">
        <v>20</v>
      </c>
      <c r="M442" s="12">
        <v>45153.0</v>
      </c>
      <c r="N442" s="77" t="str">
        <f t="shared" si="1"/>
        <v>março</v>
      </c>
    </row>
    <row r="443">
      <c r="A443" s="25" t="s">
        <v>1551</v>
      </c>
      <c r="B443" s="59">
        <v>45008.406192916664</v>
      </c>
      <c r="C443" s="25" t="s">
        <v>307</v>
      </c>
      <c r="D443" s="25">
        <v>3.4999071369E10</v>
      </c>
      <c r="E443" s="20" t="s">
        <v>308</v>
      </c>
      <c r="F443" s="25" t="s">
        <v>1552</v>
      </c>
      <c r="G443" s="25" t="s">
        <v>1553</v>
      </c>
      <c r="H443" s="25" t="s">
        <v>30</v>
      </c>
      <c r="I443" s="25"/>
      <c r="J443" s="25" t="s">
        <v>1554</v>
      </c>
      <c r="K443" s="25"/>
      <c r="L443" s="26" t="s">
        <v>20</v>
      </c>
      <c r="M443" s="12">
        <v>45008.0</v>
      </c>
      <c r="N443" s="77" t="str">
        <f t="shared" si="1"/>
        <v>março</v>
      </c>
    </row>
    <row r="444">
      <c r="A444" s="25" t="s">
        <v>1555</v>
      </c>
      <c r="B444" s="59">
        <v>45008.57457815972</v>
      </c>
      <c r="C444" s="25" t="s">
        <v>53</v>
      </c>
      <c r="D444" s="25">
        <v>5302.0</v>
      </c>
      <c r="E444" s="20" t="s">
        <v>288</v>
      </c>
      <c r="F444" s="25" t="s">
        <v>55</v>
      </c>
      <c r="G444" s="25" t="s">
        <v>1556</v>
      </c>
      <c r="H444" s="25" t="s">
        <v>79</v>
      </c>
      <c r="I444" s="25"/>
      <c r="J444" s="25" t="s">
        <v>1557</v>
      </c>
      <c r="K444" s="25"/>
      <c r="L444" s="26" t="s">
        <v>20</v>
      </c>
      <c r="M444" s="12">
        <v>45009.0</v>
      </c>
      <c r="N444" s="77" t="str">
        <f t="shared" si="1"/>
        <v>março</v>
      </c>
    </row>
    <row r="445">
      <c r="A445" s="25" t="s">
        <v>1558</v>
      </c>
      <c r="B445" s="59">
        <v>45008.57640611111</v>
      </c>
      <c r="C445" s="25" t="s">
        <v>53</v>
      </c>
      <c r="D445" s="25">
        <v>6.434415302E9</v>
      </c>
      <c r="E445" s="20" t="s">
        <v>288</v>
      </c>
      <c r="F445" s="25" t="s">
        <v>1559</v>
      </c>
      <c r="G445" s="25" t="s">
        <v>53</v>
      </c>
      <c r="H445" s="25" t="s">
        <v>30</v>
      </c>
      <c r="I445" s="25"/>
      <c r="J445" s="25" t="s">
        <v>1560</v>
      </c>
      <c r="K445" s="25"/>
      <c r="L445" s="26" t="s">
        <v>20</v>
      </c>
      <c r="M445" s="12">
        <v>45008.0</v>
      </c>
      <c r="N445" s="77" t="str">
        <f t="shared" si="1"/>
        <v>março</v>
      </c>
    </row>
    <row r="446">
      <c r="A446" s="25" t="s">
        <v>1561</v>
      </c>
      <c r="B446" s="59">
        <v>45008.57941710648</v>
      </c>
      <c r="C446" s="25" t="s">
        <v>1470</v>
      </c>
      <c r="D446" s="25">
        <v>3.4415308E7</v>
      </c>
      <c r="E446" s="25" t="s">
        <v>1372</v>
      </c>
      <c r="F446" s="25" t="s">
        <v>1533</v>
      </c>
      <c r="G446" s="25" t="s">
        <v>1562</v>
      </c>
      <c r="H446" s="25" t="s">
        <v>37</v>
      </c>
      <c r="I446" s="25"/>
      <c r="J446" s="25" t="s">
        <v>1563</v>
      </c>
      <c r="K446" s="25"/>
      <c r="L446" s="26" t="s">
        <v>20</v>
      </c>
      <c r="M446" s="12">
        <v>45009.0</v>
      </c>
      <c r="N446" s="77" t="str">
        <f t="shared" si="1"/>
        <v>março</v>
      </c>
    </row>
    <row r="447">
      <c r="A447" s="25" t="s">
        <v>1564</v>
      </c>
      <c r="B447" s="59">
        <v>45008.58085167824</v>
      </c>
      <c r="C447" s="25" t="s">
        <v>1470</v>
      </c>
      <c r="D447" s="25">
        <v>3.4415308E7</v>
      </c>
      <c r="E447" s="25" t="s">
        <v>1372</v>
      </c>
      <c r="F447" s="25" t="s">
        <v>1533</v>
      </c>
      <c r="G447" s="25" t="s">
        <v>1565</v>
      </c>
      <c r="H447" s="25" t="s">
        <v>37</v>
      </c>
      <c r="I447" s="25"/>
      <c r="J447" s="25" t="s">
        <v>1566</v>
      </c>
      <c r="K447" s="25"/>
      <c r="L447" s="26" t="s">
        <v>20</v>
      </c>
      <c r="M447" s="12">
        <v>45009.0</v>
      </c>
      <c r="N447" s="77" t="str">
        <f t="shared" si="1"/>
        <v>março</v>
      </c>
    </row>
    <row r="448">
      <c r="A448" s="25" t="s">
        <v>1567</v>
      </c>
      <c r="B448" s="59">
        <v>45009.36160038195</v>
      </c>
      <c r="C448" s="25" t="s">
        <v>53</v>
      </c>
      <c r="D448" s="25">
        <v>5302.0</v>
      </c>
      <c r="E448" s="20" t="s">
        <v>288</v>
      </c>
      <c r="F448" s="25" t="s">
        <v>55</v>
      </c>
      <c r="G448" s="25" t="s">
        <v>1568</v>
      </c>
      <c r="H448" s="25" t="s">
        <v>79</v>
      </c>
      <c r="I448" s="25"/>
      <c r="J448" s="25" t="s">
        <v>1569</v>
      </c>
      <c r="K448" s="25"/>
      <c r="L448" s="26" t="s">
        <v>20</v>
      </c>
      <c r="M448" s="12">
        <v>45020.0</v>
      </c>
      <c r="N448" s="77" t="str">
        <f t="shared" si="1"/>
        <v>março</v>
      </c>
    </row>
    <row r="449">
      <c r="A449" s="25" t="s">
        <v>1570</v>
      </c>
      <c r="B449" s="59">
        <v>45009.56586019676</v>
      </c>
      <c r="C449" s="25" t="s">
        <v>110</v>
      </c>
      <c r="D449" s="25">
        <v>5369.0</v>
      </c>
      <c r="E449" s="25" t="s">
        <v>111</v>
      </c>
      <c r="F449" s="25" t="s">
        <v>82</v>
      </c>
      <c r="G449" s="25" t="s">
        <v>1571</v>
      </c>
      <c r="H449" s="25" t="s">
        <v>30</v>
      </c>
      <c r="I449" s="25"/>
      <c r="J449" s="25" t="s">
        <v>1572</v>
      </c>
      <c r="K449" s="25"/>
      <c r="L449" s="26" t="s">
        <v>20</v>
      </c>
      <c r="M449" s="12">
        <v>45009.0</v>
      </c>
      <c r="N449" s="77" t="str">
        <f t="shared" si="1"/>
        <v>março</v>
      </c>
    </row>
    <row r="450">
      <c r="A450" s="25" t="s">
        <v>1573</v>
      </c>
      <c r="B450" s="59">
        <v>45009.57899271991</v>
      </c>
      <c r="C450" s="25" t="s">
        <v>460</v>
      </c>
      <c r="D450" s="25">
        <v>3.4999071369E10</v>
      </c>
      <c r="E450" s="20" t="s">
        <v>308</v>
      </c>
      <c r="F450" s="25" t="s">
        <v>783</v>
      </c>
      <c r="G450" s="25">
        <v>151.0</v>
      </c>
      <c r="H450" s="25" t="s">
        <v>30</v>
      </c>
      <c r="I450" s="25"/>
      <c r="J450" s="25" t="s">
        <v>1574</v>
      </c>
      <c r="K450" s="25"/>
      <c r="L450" s="26" t="s">
        <v>20</v>
      </c>
      <c r="M450" s="12">
        <v>45042.0</v>
      </c>
      <c r="N450" s="77" t="str">
        <f t="shared" si="1"/>
        <v>março</v>
      </c>
    </row>
    <row r="451">
      <c r="A451" s="25" t="s">
        <v>1575</v>
      </c>
      <c r="B451" s="59">
        <v>45009.5889927199</v>
      </c>
      <c r="C451" s="25" t="s">
        <v>762</v>
      </c>
      <c r="D451" s="25">
        <v>3.4999071369E10</v>
      </c>
      <c r="E451" s="20" t="s">
        <v>308</v>
      </c>
      <c r="F451" s="25" t="s">
        <v>763</v>
      </c>
      <c r="G451" s="25" t="s">
        <v>1576</v>
      </c>
      <c r="H451" s="25" t="s">
        <v>30</v>
      </c>
      <c r="I451" s="25"/>
      <c r="J451" s="25" t="s">
        <v>1577</v>
      </c>
      <c r="K451" s="25"/>
      <c r="L451" s="26" t="s">
        <v>20</v>
      </c>
      <c r="M451" s="12">
        <v>45055.0</v>
      </c>
      <c r="N451" s="77" t="str">
        <f t="shared" si="1"/>
        <v>março</v>
      </c>
    </row>
    <row r="452">
      <c r="A452" s="25" t="s">
        <v>1578</v>
      </c>
      <c r="B452" s="59">
        <v>45009.65163045139</v>
      </c>
      <c r="C452" s="25" t="s">
        <v>762</v>
      </c>
      <c r="D452" s="25">
        <v>3.4999071369E10</v>
      </c>
      <c r="E452" s="20" t="s">
        <v>308</v>
      </c>
      <c r="F452" s="25" t="s">
        <v>783</v>
      </c>
      <c r="G452" s="25">
        <v>153.0</v>
      </c>
      <c r="H452" s="25" t="s">
        <v>37</v>
      </c>
      <c r="I452" s="25"/>
      <c r="J452" s="25" t="s">
        <v>1579</v>
      </c>
      <c r="K452" s="25"/>
      <c r="L452" s="26" t="s">
        <v>20</v>
      </c>
      <c r="M452" s="12">
        <v>45068.0</v>
      </c>
      <c r="N452" s="77" t="str">
        <f t="shared" si="1"/>
        <v>março</v>
      </c>
    </row>
    <row r="453">
      <c r="A453" s="25" t="s">
        <v>1580</v>
      </c>
      <c r="B453" s="59">
        <v>45011.72171810185</v>
      </c>
      <c r="C453" s="25" t="s">
        <v>65</v>
      </c>
      <c r="D453" s="25">
        <v>5318.0</v>
      </c>
      <c r="E453" s="25" t="s">
        <v>15</v>
      </c>
      <c r="F453" s="25" t="s">
        <v>86</v>
      </c>
      <c r="G453" s="25" t="s">
        <v>86</v>
      </c>
      <c r="H453" s="25" t="s">
        <v>37</v>
      </c>
      <c r="I453" s="25"/>
      <c r="J453" s="25" t="s">
        <v>1581</v>
      </c>
      <c r="K453" s="25"/>
      <c r="L453" s="26" t="s">
        <v>20</v>
      </c>
      <c r="M453" s="12">
        <v>45012.0</v>
      </c>
      <c r="N453" s="77" t="str">
        <f t="shared" si="1"/>
        <v>março</v>
      </c>
    </row>
    <row r="454">
      <c r="A454" s="25" t="s">
        <v>1582</v>
      </c>
      <c r="B454" s="59">
        <v>45012.42028525463</v>
      </c>
      <c r="C454" s="25" t="s">
        <v>59</v>
      </c>
      <c r="D454" s="25">
        <v>5349.0</v>
      </c>
      <c r="E454" s="25" t="s">
        <v>60</v>
      </c>
      <c r="F454" s="25" t="s">
        <v>61</v>
      </c>
      <c r="G454" s="25" t="s">
        <v>146</v>
      </c>
      <c r="H454" s="25" t="s">
        <v>764</v>
      </c>
      <c r="I454" s="25"/>
      <c r="J454" s="25" t="s">
        <v>1583</v>
      </c>
      <c r="K454" s="25"/>
      <c r="L454" s="26" t="s">
        <v>20</v>
      </c>
      <c r="M454" s="12">
        <v>45014.0</v>
      </c>
      <c r="N454" s="77" t="str">
        <f t="shared" si="1"/>
        <v>março</v>
      </c>
    </row>
    <row r="455">
      <c r="A455" s="25" t="s">
        <v>1584</v>
      </c>
      <c r="B455" s="59">
        <v>45012.43965460648</v>
      </c>
      <c r="C455" s="25" t="s">
        <v>659</v>
      </c>
      <c r="D455" s="25" t="s">
        <v>1585</v>
      </c>
      <c r="E455" s="25" t="s">
        <v>70</v>
      </c>
      <c r="F455" s="25" t="s">
        <v>1586</v>
      </c>
      <c r="G455" s="25" t="s">
        <v>1587</v>
      </c>
      <c r="H455" s="25" t="s">
        <v>37</v>
      </c>
      <c r="I455" s="25"/>
      <c r="J455" s="25" t="s">
        <v>1588</v>
      </c>
      <c r="K455" s="25"/>
      <c r="L455" s="26" t="s">
        <v>20</v>
      </c>
      <c r="M455" s="12">
        <v>45035.0</v>
      </c>
      <c r="N455" s="77" t="str">
        <f t="shared" si="1"/>
        <v>março</v>
      </c>
    </row>
    <row r="456">
      <c r="A456" s="25" t="s">
        <v>1589</v>
      </c>
      <c r="B456" s="59">
        <v>45012.569515104165</v>
      </c>
      <c r="C456" s="25" t="s">
        <v>987</v>
      </c>
      <c r="D456" s="25">
        <v>5343.0</v>
      </c>
      <c r="E456" s="25" t="s">
        <v>116</v>
      </c>
      <c r="F456" s="25" t="s">
        <v>82</v>
      </c>
      <c r="G456" s="25" t="s">
        <v>1590</v>
      </c>
      <c r="H456" s="25" t="s">
        <v>37</v>
      </c>
      <c r="I456" s="25"/>
      <c r="J456" s="25" t="s">
        <v>1591</v>
      </c>
      <c r="K456" s="25"/>
      <c r="L456" s="26" t="s">
        <v>20</v>
      </c>
      <c r="M456" s="12">
        <v>45016.0</v>
      </c>
      <c r="N456" s="77" t="str">
        <f t="shared" si="1"/>
        <v>março</v>
      </c>
    </row>
    <row r="457">
      <c r="A457" s="25" t="s">
        <v>1592</v>
      </c>
      <c r="B457" s="59">
        <v>45013.48813917824</v>
      </c>
      <c r="C457" s="25" t="s">
        <v>40</v>
      </c>
      <c r="D457" s="25">
        <v>5333.0</v>
      </c>
      <c r="E457" s="25" t="s">
        <v>41</v>
      </c>
      <c r="F457" s="25" t="s">
        <v>42</v>
      </c>
      <c r="G457" s="25" t="s">
        <v>973</v>
      </c>
      <c r="H457" s="25" t="s">
        <v>37</v>
      </c>
      <c r="I457" s="25"/>
      <c r="J457" s="25" t="s">
        <v>1593</v>
      </c>
      <c r="K457" s="25"/>
      <c r="L457" s="26" t="s">
        <v>20</v>
      </c>
      <c r="M457" s="12">
        <v>45016.0</v>
      </c>
      <c r="N457" s="77" t="str">
        <f t="shared" si="1"/>
        <v>março</v>
      </c>
    </row>
    <row r="458">
      <c r="A458" s="25" t="s">
        <v>1594</v>
      </c>
      <c r="B458" s="59">
        <v>45013.58596005787</v>
      </c>
      <c r="C458" s="25" t="s">
        <v>1302</v>
      </c>
      <c r="D458" s="25">
        <v>5376.0</v>
      </c>
      <c r="E458" s="25" t="s">
        <v>853</v>
      </c>
      <c r="F458" s="25" t="s">
        <v>1595</v>
      </c>
      <c r="G458" s="25" t="s">
        <v>1596</v>
      </c>
      <c r="H458" s="25" t="s">
        <v>37</v>
      </c>
      <c r="I458" s="25"/>
      <c r="J458" s="25" t="s">
        <v>1597</v>
      </c>
      <c r="K458" s="25"/>
      <c r="L458" s="26" t="s">
        <v>20</v>
      </c>
      <c r="M458" s="12">
        <v>45153.0</v>
      </c>
      <c r="N458" s="77" t="str">
        <f t="shared" si="1"/>
        <v>março</v>
      </c>
    </row>
    <row r="459">
      <c r="A459" s="25" t="s">
        <v>1598</v>
      </c>
      <c r="B459" s="59">
        <v>45013.605954375</v>
      </c>
      <c r="C459" s="25" t="s">
        <v>40</v>
      </c>
      <c r="D459" s="25">
        <v>5333.0</v>
      </c>
      <c r="E459" s="25" t="s">
        <v>41</v>
      </c>
      <c r="F459" s="25" t="s">
        <v>42</v>
      </c>
      <c r="G459" s="25" t="s">
        <v>1599</v>
      </c>
      <c r="H459" s="25" t="s">
        <v>79</v>
      </c>
      <c r="I459" s="25"/>
      <c r="J459" s="25" t="s">
        <v>1600</v>
      </c>
      <c r="K459" s="25"/>
      <c r="L459" s="26" t="s">
        <v>20</v>
      </c>
      <c r="M459" s="12">
        <v>45035.0</v>
      </c>
      <c r="N459" s="77" t="str">
        <f t="shared" si="1"/>
        <v>março</v>
      </c>
    </row>
    <row r="460">
      <c r="A460" s="25" t="s">
        <v>1601</v>
      </c>
      <c r="B460" s="59">
        <v>45014.34264555556</v>
      </c>
      <c r="C460" s="25" t="s">
        <v>486</v>
      </c>
      <c r="D460" s="25">
        <v>5340.0</v>
      </c>
      <c r="E460" s="25" t="s">
        <v>70</v>
      </c>
      <c r="F460" s="25" t="s">
        <v>61</v>
      </c>
      <c r="G460" s="25" t="s">
        <v>1602</v>
      </c>
      <c r="H460" s="25" t="s">
        <v>30</v>
      </c>
      <c r="I460" s="25"/>
      <c r="J460" s="25" t="s">
        <v>1603</v>
      </c>
      <c r="K460" s="25"/>
      <c r="L460" s="26" t="s">
        <v>20</v>
      </c>
      <c r="M460" s="12">
        <v>45013.0</v>
      </c>
      <c r="N460" s="77" t="str">
        <f t="shared" si="1"/>
        <v>março</v>
      </c>
    </row>
    <row r="461">
      <c r="A461" s="25" t="s">
        <v>1601</v>
      </c>
      <c r="B461" s="59">
        <v>45014.41853097222</v>
      </c>
      <c r="C461" s="25" t="s">
        <v>659</v>
      </c>
      <c r="D461" s="25" t="s">
        <v>1585</v>
      </c>
      <c r="E461" s="25" t="s">
        <v>70</v>
      </c>
      <c r="F461" s="25" t="s">
        <v>28</v>
      </c>
      <c r="G461" s="25" t="s">
        <v>1604</v>
      </c>
      <c r="H461" s="25" t="s">
        <v>79</v>
      </c>
      <c r="I461" s="25"/>
      <c r="J461" s="25" t="s">
        <v>1605</v>
      </c>
      <c r="K461" s="25"/>
      <c r="L461" s="26" t="s">
        <v>20</v>
      </c>
      <c r="M461" s="12">
        <v>45153.0</v>
      </c>
      <c r="N461" s="77" t="str">
        <f t="shared" si="1"/>
        <v>março</v>
      </c>
    </row>
    <row r="462">
      <c r="A462" s="25" t="s">
        <v>1606</v>
      </c>
      <c r="B462" s="59">
        <v>45014.56453914352</v>
      </c>
      <c r="C462" s="25" t="s">
        <v>1607</v>
      </c>
      <c r="D462" s="25">
        <v>5313.0</v>
      </c>
      <c r="E462" s="25" t="s">
        <v>160</v>
      </c>
      <c r="F462" s="25" t="s">
        <v>49</v>
      </c>
      <c r="G462" s="25" t="s">
        <v>1608</v>
      </c>
      <c r="H462" s="25" t="s">
        <v>37</v>
      </c>
      <c r="I462" s="25"/>
      <c r="J462" s="25" t="s">
        <v>1609</v>
      </c>
      <c r="K462" s="25"/>
      <c r="L462" s="26" t="s">
        <v>20</v>
      </c>
      <c r="M462" s="12">
        <v>45035.0</v>
      </c>
      <c r="N462" s="77" t="str">
        <f t="shared" si="1"/>
        <v>março</v>
      </c>
    </row>
    <row r="463">
      <c r="A463" s="25" t="s">
        <v>1610</v>
      </c>
      <c r="B463" s="59">
        <v>45014.61301325231</v>
      </c>
      <c r="C463" s="25" t="s">
        <v>525</v>
      </c>
      <c r="D463" s="25">
        <v>3.4999071369E10</v>
      </c>
      <c r="E463" s="20" t="s">
        <v>308</v>
      </c>
      <c r="F463" s="25" t="s">
        <v>1611</v>
      </c>
      <c r="G463" s="25" t="s">
        <v>1612</v>
      </c>
      <c r="H463" s="25" t="s">
        <v>764</v>
      </c>
      <c r="I463" s="25"/>
      <c r="J463" s="25" t="s">
        <v>1613</v>
      </c>
      <c r="K463" s="25"/>
      <c r="L463" s="26" t="s">
        <v>20</v>
      </c>
      <c r="M463" s="12">
        <v>45028.0</v>
      </c>
      <c r="N463" s="77" t="str">
        <f t="shared" si="1"/>
        <v>março</v>
      </c>
    </row>
    <row r="464">
      <c r="A464" s="25" t="s">
        <v>1614</v>
      </c>
      <c r="B464" s="59">
        <v>45015.631794155095</v>
      </c>
      <c r="C464" s="25" t="s">
        <v>451</v>
      </c>
      <c r="D464" s="25">
        <v>5304.0</v>
      </c>
      <c r="E464" s="25" t="s">
        <v>1097</v>
      </c>
      <c r="F464" s="25" t="s">
        <v>1199</v>
      </c>
      <c r="G464" s="25">
        <v>3.0</v>
      </c>
      <c r="H464" s="25" t="s">
        <v>79</v>
      </c>
      <c r="I464" s="25"/>
      <c r="J464" s="25" t="s">
        <v>1615</v>
      </c>
      <c r="K464" s="25"/>
      <c r="L464" s="26" t="s">
        <v>20</v>
      </c>
      <c r="M464" s="12">
        <v>45016.0</v>
      </c>
      <c r="N464" s="77" t="str">
        <f t="shared" si="1"/>
        <v>março</v>
      </c>
    </row>
    <row r="465">
      <c r="A465" s="25" t="s">
        <v>1616</v>
      </c>
      <c r="B465" s="59">
        <v>45016.30065684028</v>
      </c>
      <c r="C465" s="25" t="s">
        <v>486</v>
      </c>
      <c r="D465" s="25">
        <v>5340.0</v>
      </c>
      <c r="E465" s="25" t="s">
        <v>70</v>
      </c>
      <c r="F465" s="25" t="s">
        <v>1617</v>
      </c>
      <c r="G465" s="25" t="s">
        <v>1618</v>
      </c>
      <c r="H465" s="25" t="s">
        <v>30</v>
      </c>
      <c r="I465" s="25"/>
      <c r="J465" s="25" t="s">
        <v>1619</v>
      </c>
      <c r="K465" s="25"/>
      <c r="L465" s="26" t="s">
        <v>20</v>
      </c>
      <c r="M465" s="12">
        <v>45016.0</v>
      </c>
      <c r="N465" s="77" t="str">
        <f t="shared" si="1"/>
        <v>março</v>
      </c>
    </row>
    <row r="466">
      <c r="A466" s="25" t="s">
        <v>1620</v>
      </c>
      <c r="B466" s="59">
        <v>45016.30825646991</v>
      </c>
      <c r="C466" s="25" t="s">
        <v>922</v>
      </c>
      <c r="D466" s="25">
        <v>5340.0</v>
      </c>
      <c r="E466" s="25" t="s">
        <v>70</v>
      </c>
      <c r="F466" s="25" t="s">
        <v>1621</v>
      </c>
      <c r="G466" s="25" t="s">
        <v>1622</v>
      </c>
      <c r="H466" s="25" t="s">
        <v>37</v>
      </c>
      <c r="I466" s="25"/>
      <c r="J466" s="25" t="s">
        <v>1623</v>
      </c>
      <c r="K466" s="25"/>
      <c r="L466" s="26" t="s">
        <v>20</v>
      </c>
      <c r="M466" s="12">
        <v>45016.0</v>
      </c>
      <c r="N466" s="77" t="str">
        <f t="shared" si="1"/>
        <v>março</v>
      </c>
    </row>
    <row r="467">
      <c r="A467" s="25" t="s">
        <v>1624</v>
      </c>
      <c r="B467" s="59">
        <v>45019.385558877315</v>
      </c>
      <c r="C467" s="25" t="s">
        <v>486</v>
      </c>
      <c r="D467" s="25">
        <v>5340.0</v>
      </c>
      <c r="E467" s="25" t="s">
        <v>70</v>
      </c>
      <c r="F467" s="25" t="s">
        <v>1625</v>
      </c>
      <c r="G467" s="25" t="s">
        <v>1626</v>
      </c>
      <c r="H467" s="25" t="s">
        <v>30</v>
      </c>
      <c r="I467" s="25"/>
      <c r="J467" s="25" t="s">
        <v>1627</v>
      </c>
      <c r="K467" s="25"/>
      <c r="L467" s="26" t="s">
        <v>20</v>
      </c>
      <c r="M467" s="12">
        <v>45043.0</v>
      </c>
      <c r="N467" s="77" t="str">
        <f t="shared" si="1"/>
        <v>abril</v>
      </c>
    </row>
    <row r="468">
      <c r="A468" s="25" t="s">
        <v>1628</v>
      </c>
      <c r="B468" s="59">
        <v>45019.39109957176</v>
      </c>
      <c r="C468" s="25" t="s">
        <v>486</v>
      </c>
      <c r="D468" s="25">
        <v>5340.0</v>
      </c>
      <c r="E468" s="25" t="s">
        <v>70</v>
      </c>
      <c r="F468" s="25" t="s">
        <v>77</v>
      </c>
      <c r="G468" s="25" t="s">
        <v>1629</v>
      </c>
      <c r="H468" s="25" t="s">
        <v>37</v>
      </c>
      <c r="I468" s="25"/>
      <c r="J468" s="25" t="s">
        <v>1630</v>
      </c>
      <c r="K468" s="25"/>
      <c r="L468" s="26" t="s">
        <v>20</v>
      </c>
      <c r="M468" s="12">
        <v>45022.0</v>
      </c>
      <c r="N468" s="77" t="str">
        <f t="shared" si="1"/>
        <v>abril</v>
      </c>
    </row>
    <row r="469">
      <c r="A469" s="25" t="s">
        <v>1631</v>
      </c>
      <c r="B469" s="59">
        <v>45019.433069375</v>
      </c>
      <c r="C469" s="25" t="s">
        <v>307</v>
      </c>
      <c r="D469" s="25">
        <v>3.4999071369E10</v>
      </c>
      <c r="E469" s="20" t="s">
        <v>308</v>
      </c>
      <c r="F469" s="25" t="s">
        <v>783</v>
      </c>
      <c r="G469" s="25">
        <v>151.0</v>
      </c>
      <c r="H469" s="25" t="s">
        <v>30</v>
      </c>
      <c r="I469" s="25"/>
      <c r="J469" s="25" t="s">
        <v>1632</v>
      </c>
      <c r="K469" s="25"/>
      <c r="L469" s="26" t="s">
        <v>20</v>
      </c>
      <c r="M469" s="12">
        <v>45019.0</v>
      </c>
      <c r="N469" s="77" t="str">
        <f t="shared" si="1"/>
        <v>abril</v>
      </c>
    </row>
    <row r="470">
      <c r="A470" s="25" t="s">
        <v>1633</v>
      </c>
      <c r="B470" s="59">
        <v>45019.434720150464</v>
      </c>
      <c r="C470" s="25" t="s">
        <v>307</v>
      </c>
      <c r="D470" s="25">
        <v>3.4999071369E10</v>
      </c>
      <c r="E470" s="20" t="s">
        <v>308</v>
      </c>
      <c r="F470" s="25" t="s">
        <v>1634</v>
      </c>
      <c r="G470" s="25">
        <v>5.0</v>
      </c>
      <c r="H470" s="25" t="s">
        <v>30</v>
      </c>
      <c r="I470" s="25"/>
      <c r="J470" s="25" t="s">
        <v>1635</v>
      </c>
      <c r="K470" s="25"/>
      <c r="L470" s="26" t="s">
        <v>20</v>
      </c>
      <c r="M470" s="12">
        <v>45055.0</v>
      </c>
      <c r="N470" s="77" t="str">
        <f t="shared" si="1"/>
        <v>abril</v>
      </c>
    </row>
    <row r="471">
      <c r="A471" s="25" t="s">
        <v>1636</v>
      </c>
      <c r="B471" s="59">
        <v>45019.69382729167</v>
      </c>
      <c r="C471" s="25" t="s">
        <v>665</v>
      </c>
      <c r="D471" s="25">
        <v>5336.0</v>
      </c>
      <c r="E471" s="25" t="s">
        <v>666</v>
      </c>
      <c r="F471" s="25" t="s">
        <v>82</v>
      </c>
      <c r="G471" s="25" t="s">
        <v>667</v>
      </c>
      <c r="H471" s="25" t="s">
        <v>30</v>
      </c>
      <c r="I471" s="25"/>
      <c r="J471" s="25" t="s">
        <v>1637</v>
      </c>
      <c r="K471" s="25"/>
      <c r="L471" s="26" t="s">
        <v>20</v>
      </c>
      <c r="M471" s="12">
        <v>45026.0</v>
      </c>
      <c r="N471" s="77" t="str">
        <f t="shared" si="1"/>
        <v>abril</v>
      </c>
    </row>
    <row r="472">
      <c r="A472" s="25" t="s">
        <v>1638</v>
      </c>
      <c r="B472" s="59">
        <v>45019.70761283565</v>
      </c>
      <c r="C472" s="25" t="s">
        <v>59</v>
      </c>
      <c r="D472" s="25">
        <v>5349.0</v>
      </c>
      <c r="E472" s="25" t="s">
        <v>60</v>
      </c>
      <c r="F472" s="25" t="s">
        <v>61</v>
      </c>
      <c r="G472" s="25" t="s">
        <v>146</v>
      </c>
      <c r="H472" s="25" t="s">
        <v>79</v>
      </c>
      <c r="I472" s="25"/>
      <c r="J472" s="25" t="s">
        <v>1639</v>
      </c>
      <c r="K472" s="25"/>
      <c r="L472" s="26" t="s">
        <v>20</v>
      </c>
      <c r="M472" s="12">
        <v>45026.0</v>
      </c>
      <c r="N472" s="77" t="str">
        <f t="shared" si="1"/>
        <v>abril</v>
      </c>
    </row>
    <row r="473">
      <c r="A473" s="25" t="s">
        <v>1640</v>
      </c>
      <c r="B473" s="59">
        <v>45020.3258340162</v>
      </c>
      <c r="C473" s="25" t="s">
        <v>354</v>
      </c>
      <c r="D473" s="25">
        <v>5323.0</v>
      </c>
      <c r="E473" s="25" t="s">
        <v>251</v>
      </c>
      <c r="F473" s="25" t="s">
        <v>1346</v>
      </c>
      <c r="G473" s="25" t="s">
        <v>1641</v>
      </c>
      <c r="H473" s="25" t="s">
        <v>37</v>
      </c>
      <c r="I473" s="25"/>
      <c r="J473" s="25" t="s">
        <v>1642</v>
      </c>
      <c r="K473" s="25"/>
      <c r="L473" s="26" t="s">
        <v>20</v>
      </c>
      <c r="M473" s="12">
        <v>45030.0</v>
      </c>
      <c r="N473" s="77" t="str">
        <f t="shared" si="1"/>
        <v>abril</v>
      </c>
    </row>
    <row r="474">
      <c r="A474" s="25" t="s">
        <v>1643</v>
      </c>
      <c r="B474" s="59">
        <v>45020.601152222225</v>
      </c>
      <c r="C474" s="25" t="s">
        <v>422</v>
      </c>
      <c r="D474" s="25">
        <v>5346.0</v>
      </c>
      <c r="E474" s="25" t="s">
        <v>423</v>
      </c>
      <c r="F474" s="25" t="s">
        <v>82</v>
      </c>
      <c r="G474" s="25" t="s">
        <v>1644</v>
      </c>
      <c r="H474" s="25" t="s">
        <v>30</v>
      </c>
      <c r="I474" s="25"/>
      <c r="J474" s="25" t="s">
        <v>1645</v>
      </c>
      <c r="K474" s="25"/>
      <c r="L474" s="26" t="s">
        <v>20</v>
      </c>
      <c r="M474" s="12">
        <v>45028.0</v>
      </c>
      <c r="N474" s="77" t="str">
        <f t="shared" si="1"/>
        <v>abril</v>
      </c>
    </row>
    <row r="475">
      <c r="A475" s="25" t="s">
        <v>1646</v>
      </c>
      <c r="B475" s="59">
        <v>45021.31136395833</v>
      </c>
      <c r="C475" s="25" t="s">
        <v>1068</v>
      </c>
      <c r="D475" s="25">
        <v>5311.0</v>
      </c>
      <c r="E475" s="25" t="s">
        <v>251</v>
      </c>
      <c r="F475" s="25" t="s">
        <v>100</v>
      </c>
      <c r="G475" s="25" t="s">
        <v>1647</v>
      </c>
      <c r="H475" s="25" t="s">
        <v>44</v>
      </c>
      <c r="I475" s="25"/>
      <c r="J475" s="25" t="s">
        <v>1648</v>
      </c>
      <c r="K475" s="25"/>
      <c r="L475" s="26" t="s">
        <v>20</v>
      </c>
      <c r="M475" s="12">
        <v>45153.0</v>
      </c>
      <c r="N475" s="77" t="str">
        <f t="shared" si="1"/>
        <v>abril</v>
      </c>
    </row>
    <row r="476">
      <c r="A476" s="25" t="s">
        <v>1649</v>
      </c>
      <c r="B476" s="59">
        <v>45021.31313724537</v>
      </c>
      <c r="C476" s="25" t="s">
        <v>1068</v>
      </c>
      <c r="D476" s="25">
        <v>5311.0</v>
      </c>
      <c r="E476" s="25" t="s">
        <v>251</v>
      </c>
      <c r="F476" s="25" t="s">
        <v>100</v>
      </c>
      <c r="G476" s="25" t="s">
        <v>1650</v>
      </c>
      <c r="H476" s="25" t="s">
        <v>44</v>
      </c>
      <c r="I476" s="25"/>
      <c r="J476" s="25" t="s">
        <v>1651</v>
      </c>
      <c r="K476" s="25"/>
      <c r="L476" s="26" t="s">
        <v>20</v>
      </c>
      <c r="M476" s="12">
        <v>45153.0</v>
      </c>
      <c r="N476" s="77" t="str">
        <f t="shared" si="1"/>
        <v>abril</v>
      </c>
    </row>
    <row r="477">
      <c r="A477" s="25" t="s">
        <v>1652</v>
      </c>
      <c r="B477" s="59">
        <v>45021.31487325231</v>
      </c>
      <c r="C477" s="25" t="s">
        <v>1068</v>
      </c>
      <c r="D477" s="25">
        <v>5311.0</v>
      </c>
      <c r="E477" s="25" t="s">
        <v>251</v>
      </c>
      <c r="F477" s="25" t="s">
        <v>100</v>
      </c>
      <c r="G477" s="25" t="s">
        <v>1653</v>
      </c>
      <c r="H477" s="25" t="s">
        <v>44</v>
      </c>
      <c r="I477" s="25"/>
      <c r="J477" s="25" t="s">
        <v>1654</v>
      </c>
      <c r="K477" s="25"/>
      <c r="L477" s="26" t="s">
        <v>20</v>
      </c>
      <c r="M477" s="12">
        <v>45153.0</v>
      </c>
      <c r="N477" s="77" t="str">
        <f t="shared" si="1"/>
        <v>abril</v>
      </c>
    </row>
    <row r="478">
      <c r="A478" s="25" t="s">
        <v>1655</v>
      </c>
      <c r="B478" s="59">
        <v>45021.31671584491</v>
      </c>
      <c r="C478" s="25" t="s">
        <v>1656</v>
      </c>
      <c r="D478" s="25">
        <v>5311.0</v>
      </c>
      <c r="E478" s="25" t="s">
        <v>251</v>
      </c>
      <c r="F478" s="25" t="s">
        <v>1657</v>
      </c>
      <c r="G478" s="25" t="s">
        <v>1658</v>
      </c>
      <c r="H478" s="25" t="s">
        <v>44</v>
      </c>
      <c r="I478" s="25"/>
      <c r="J478" s="25" t="s">
        <v>1659</v>
      </c>
      <c r="K478" s="25"/>
      <c r="L478" s="26" t="s">
        <v>20</v>
      </c>
      <c r="M478" s="12">
        <v>45153.0</v>
      </c>
      <c r="N478" s="77" t="str">
        <f t="shared" si="1"/>
        <v>abril</v>
      </c>
    </row>
    <row r="479">
      <c r="A479" s="25" t="s">
        <v>1660</v>
      </c>
      <c r="B479" s="59">
        <v>45021.331698194444</v>
      </c>
      <c r="C479" s="25" t="s">
        <v>486</v>
      </c>
      <c r="D479" s="25">
        <v>5340.0</v>
      </c>
      <c r="E479" s="25" t="s">
        <v>70</v>
      </c>
      <c r="F479" s="25" t="s">
        <v>1661</v>
      </c>
      <c r="G479" s="25" t="s">
        <v>1662</v>
      </c>
      <c r="H479" s="25" t="s">
        <v>37</v>
      </c>
      <c r="I479" s="25"/>
      <c r="J479" s="25" t="s">
        <v>1663</v>
      </c>
      <c r="K479" s="25"/>
      <c r="L479" s="26" t="s">
        <v>20</v>
      </c>
      <c r="M479" s="12">
        <v>45030.0</v>
      </c>
      <c r="N479" s="77" t="str">
        <f t="shared" si="1"/>
        <v>abril</v>
      </c>
    </row>
    <row r="480">
      <c r="A480" s="25" t="s">
        <v>1664</v>
      </c>
      <c r="B480" s="59">
        <v>45021.33406459491</v>
      </c>
      <c r="C480" s="25" t="s">
        <v>486</v>
      </c>
      <c r="D480" s="25">
        <v>5340.0</v>
      </c>
      <c r="E480" s="25" t="s">
        <v>70</v>
      </c>
      <c r="F480" s="25" t="s">
        <v>1005</v>
      </c>
      <c r="G480" s="25" t="s">
        <v>1665</v>
      </c>
      <c r="H480" s="25" t="s">
        <v>37</v>
      </c>
      <c r="I480" s="25"/>
      <c r="J480" s="25" t="s">
        <v>1666</v>
      </c>
      <c r="K480" s="25"/>
      <c r="L480" s="26" t="s">
        <v>20</v>
      </c>
      <c r="M480" s="12">
        <v>45033.0</v>
      </c>
      <c r="N480" s="77" t="str">
        <f t="shared" si="1"/>
        <v>abril</v>
      </c>
    </row>
    <row r="481">
      <c r="A481" s="25" t="s">
        <v>1667</v>
      </c>
      <c r="B481" s="59">
        <v>45021.33600496528</v>
      </c>
      <c r="C481" s="25" t="s">
        <v>486</v>
      </c>
      <c r="D481" s="25">
        <v>5340.0</v>
      </c>
      <c r="E481" s="25" t="s">
        <v>70</v>
      </c>
      <c r="F481" s="25" t="s">
        <v>1186</v>
      </c>
      <c r="G481" s="25" t="s">
        <v>1668</v>
      </c>
      <c r="H481" s="25" t="s">
        <v>37</v>
      </c>
      <c r="I481" s="25"/>
      <c r="J481" s="25" t="s">
        <v>1669</v>
      </c>
      <c r="K481" s="25"/>
      <c r="L481" s="26" t="s">
        <v>20</v>
      </c>
      <c r="M481" s="12">
        <v>45040.0</v>
      </c>
      <c r="N481" s="77" t="str">
        <f t="shared" si="1"/>
        <v>abril</v>
      </c>
    </row>
    <row r="482">
      <c r="A482" s="25" t="s">
        <v>1670</v>
      </c>
      <c r="B482" s="59">
        <v>45021.356680219906</v>
      </c>
      <c r="C482" s="25" t="s">
        <v>1068</v>
      </c>
      <c r="D482" s="25">
        <v>5311.0</v>
      </c>
      <c r="E482" s="25" t="s">
        <v>251</v>
      </c>
      <c r="F482" s="25" t="s">
        <v>100</v>
      </c>
      <c r="G482" s="25">
        <v>5311.0</v>
      </c>
      <c r="H482" s="25" t="s">
        <v>37</v>
      </c>
      <c r="I482" s="25"/>
      <c r="J482" s="25" t="s">
        <v>1671</v>
      </c>
      <c r="K482" s="25"/>
      <c r="L482" s="26" t="s">
        <v>20</v>
      </c>
      <c r="M482" s="12">
        <v>45043.0</v>
      </c>
      <c r="N482" s="77" t="str">
        <f t="shared" si="1"/>
        <v>abril</v>
      </c>
    </row>
    <row r="483">
      <c r="A483" s="25" t="s">
        <v>1672</v>
      </c>
      <c r="B483" s="59">
        <v>45021.38827737268</v>
      </c>
      <c r="C483" s="25" t="s">
        <v>673</v>
      </c>
      <c r="D483" s="25">
        <v>5332.0</v>
      </c>
      <c r="E483" s="25" t="s">
        <v>728</v>
      </c>
      <c r="F483" s="25" t="s">
        <v>103</v>
      </c>
      <c r="G483" s="25" t="s">
        <v>1673</v>
      </c>
      <c r="H483" s="25" t="s">
        <v>37</v>
      </c>
      <c r="I483" s="25"/>
      <c r="J483" s="25" t="s">
        <v>1674</v>
      </c>
      <c r="K483" s="25"/>
      <c r="L483" s="26" t="s">
        <v>20</v>
      </c>
      <c r="M483" s="12">
        <v>45033.0</v>
      </c>
      <c r="N483" s="77" t="str">
        <f t="shared" si="1"/>
        <v>abril</v>
      </c>
    </row>
    <row r="484">
      <c r="A484" s="25" t="s">
        <v>1675</v>
      </c>
      <c r="B484" s="59">
        <v>45021.41416880787</v>
      </c>
      <c r="C484" s="25" t="s">
        <v>1676</v>
      </c>
      <c r="D484" s="25">
        <v>3.4415363E7</v>
      </c>
      <c r="E484" s="25" t="s">
        <v>261</v>
      </c>
      <c r="F484" s="25" t="s">
        <v>82</v>
      </c>
      <c r="G484" s="25">
        <v>116.0</v>
      </c>
      <c r="H484" s="25" t="s">
        <v>37</v>
      </c>
      <c r="I484" s="25"/>
      <c r="J484" s="25" t="s">
        <v>1677</v>
      </c>
      <c r="K484" s="25"/>
      <c r="L484" s="26" t="s">
        <v>20</v>
      </c>
      <c r="M484" s="12">
        <v>45027.0</v>
      </c>
      <c r="N484" s="77" t="str">
        <f t="shared" si="1"/>
        <v>abril</v>
      </c>
    </row>
    <row r="485">
      <c r="A485" s="25" t="s">
        <v>1678</v>
      </c>
      <c r="B485" s="59">
        <v>45021.555928981485</v>
      </c>
      <c r="C485" s="25" t="s">
        <v>1068</v>
      </c>
      <c r="D485" s="25">
        <v>5311.0</v>
      </c>
      <c r="E485" s="25" t="s">
        <v>251</v>
      </c>
      <c r="F485" s="25" t="s">
        <v>100</v>
      </c>
      <c r="G485" s="25" t="s">
        <v>1679</v>
      </c>
      <c r="H485" s="25" t="s">
        <v>44</v>
      </c>
      <c r="I485" s="25"/>
      <c r="J485" s="25" t="s">
        <v>1680</v>
      </c>
      <c r="K485" s="25"/>
      <c r="L485" s="26" t="s">
        <v>20</v>
      </c>
      <c r="M485" s="12">
        <v>45153.0</v>
      </c>
      <c r="N485" s="77" t="str">
        <f t="shared" si="1"/>
        <v>abril</v>
      </c>
    </row>
    <row r="486">
      <c r="A486" s="25" t="s">
        <v>1681</v>
      </c>
      <c r="B486" s="59">
        <v>45021.61117238426</v>
      </c>
      <c r="C486" s="25" t="s">
        <v>1682</v>
      </c>
      <c r="D486" s="25">
        <v>6.2991579626E10</v>
      </c>
      <c r="E486" s="25" t="s">
        <v>621</v>
      </c>
      <c r="F486" s="25" t="s">
        <v>86</v>
      </c>
      <c r="G486" s="25" t="s">
        <v>1683</v>
      </c>
      <c r="H486" s="25" t="s">
        <v>37</v>
      </c>
      <c r="I486" s="25"/>
      <c r="J486" s="25" t="s">
        <v>1684</v>
      </c>
      <c r="K486" s="25"/>
      <c r="L486" s="26" t="s">
        <v>20</v>
      </c>
      <c r="M486" s="12">
        <v>45030.0</v>
      </c>
      <c r="N486" s="77" t="str">
        <f t="shared" si="1"/>
        <v>abril</v>
      </c>
    </row>
    <row r="487">
      <c r="A487" s="25" t="s">
        <v>1685</v>
      </c>
      <c r="B487" s="59">
        <v>45021.61295726852</v>
      </c>
      <c r="C487" s="25" t="s">
        <v>1682</v>
      </c>
      <c r="D487" s="25">
        <v>6.2991579626E10</v>
      </c>
      <c r="E487" s="25" t="s">
        <v>621</v>
      </c>
      <c r="F487" s="25" t="s">
        <v>86</v>
      </c>
      <c r="G487" s="25" t="s">
        <v>1686</v>
      </c>
      <c r="H487" s="25" t="s">
        <v>129</v>
      </c>
      <c r="I487" s="25"/>
      <c r="J487" s="25" t="s">
        <v>1687</v>
      </c>
      <c r="K487" s="25"/>
      <c r="L487" s="26" t="s">
        <v>20</v>
      </c>
      <c r="M487" s="12">
        <v>45077.0</v>
      </c>
      <c r="N487" s="77" t="str">
        <f t="shared" si="1"/>
        <v>abril</v>
      </c>
    </row>
    <row r="488">
      <c r="A488" s="25" t="s">
        <v>1688</v>
      </c>
      <c r="B488" s="59">
        <v>45021.61446075232</v>
      </c>
      <c r="C488" s="25" t="s">
        <v>1682</v>
      </c>
      <c r="D488" s="25">
        <v>6.2991579626E10</v>
      </c>
      <c r="E488" s="25" t="s">
        <v>621</v>
      </c>
      <c r="F488" s="25" t="s">
        <v>86</v>
      </c>
      <c r="G488" s="25" t="s">
        <v>1689</v>
      </c>
      <c r="H488" s="25" t="s">
        <v>79</v>
      </c>
      <c r="I488" s="25"/>
      <c r="J488" s="25" t="s">
        <v>1690</v>
      </c>
      <c r="K488" s="25"/>
      <c r="L488" s="26" t="s">
        <v>20</v>
      </c>
      <c r="M488" s="12">
        <v>45058.0</v>
      </c>
      <c r="N488" s="77" t="str">
        <f t="shared" si="1"/>
        <v>abril</v>
      </c>
    </row>
    <row r="489">
      <c r="A489" s="25" t="s">
        <v>1691</v>
      </c>
      <c r="B489" s="59">
        <v>45026.66346473379</v>
      </c>
      <c r="C489" s="25" t="s">
        <v>451</v>
      </c>
      <c r="D489" s="25">
        <v>5304.0</v>
      </c>
      <c r="E489" s="25" t="s">
        <v>1097</v>
      </c>
      <c r="F489" s="25" t="s">
        <v>1199</v>
      </c>
      <c r="G489" s="25">
        <v>3.0</v>
      </c>
      <c r="H489" s="25" t="s">
        <v>37</v>
      </c>
      <c r="I489" s="25"/>
      <c r="J489" s="25" t="s">
        <v>1692</v>
      </c>
      <c r="K489" s="25"/>
      <c r="L489" s="26" t="s">
        <v>20</v>
      </c>
      <c r="M489" s="12">
        <v>45036.0</v>
      </c>
      <c r="N489" s="77" t="str">
        <f t="shared" si="1"/>
        <v>abril</v>
      </c>
    </row>
    <row r="490">
      <c r="A490" s="25" t="s">
        <v>1693</v>
      </c>
      <c r="B490" s="59">
        <v>45026.68521121528</v>
      </c>
      <c r="C490" s="25" t="s">
        <v>876</v>
      </c>
      <c r="D490" s="25">
        <v>5334.0</v>
      </c>
      <c r="E490" s="25" t="s">
        <v>187</v>
      </c>
      <c r="F490" s="25" t="s">
        <v>347</v>
      </c>
      <c r="G490" s="25" t="s">
        <v>1694</v>
      </c>
      <c r="H490" s="25" t="s">
        <v>37</v>
      </c>
      <c r="I490" s="25"/>
      <c r="J490" s="25" t="s">
        <v>1695</v>
      </c>
      <c r="K490" s="25"/>
      <c r="L490" s="26" t="s">
        <v>20</v>
      </c>
      <c r="M490" s="12">
        <v>45030.0</v>
      </c>
      <c r="N490" s="77" t="str">
        <f t="shared" si="1"/>
        <v>abril</v>
      </c>
    </row>
    <row r="491">
      <c r="A491" s="25" t="s">
        <v>1696</v>
      </c>
      <c r="B491" s="59">
        <v>45026.703272962965</v>
      </c>
      <c r="C491" s="25" t="s">
        <v>59</v>
      </c>
      <c r="D491" s="25">
        <v>5349.0</v>
      </c>
      <c r="E491" s="25" t="s">
        <v>60</v>
      </c>
      <c r="F491" s="25" t="s">
        <v>61</v>
      </c>
      <c r="G491" s="25" t="s">
        <v>1697</v>
      </c>
      <c r="H491" s="25" t="s">
        <v>79</v>
      </c>
      <c r="I491" s="25"/>
      <c r="J491" s="25" t="s">
        <v>1698</v>
      </c>
      <c r="K491" s="25"/>
      <c r="L491" s="26" t="s">
        <v>20</v>
      </c>
      <c r="M491" s="12">
        <v>45040.0</v>
      </c>
      <c r="N491" s="77" t="str">
        <f t="shared" si="1"/>
        <v>abril</v>
      </c>
    </row>
    <row r="492">
      <c r="A492" s="25" t="s">
        <v>1699</v>
      </c>
      <c r="B492" s="59">
        <v>45027.34558761574</v>
      </c>
      <c r="C492" s="25" t="s">
        <v>486</v>
      </c>
      <c r="D492" s="25">
        <v>5340.0</v>
      </c>
      <c r="E492" s="25" t="s">
        <v>70</v>
      </c>
      <c r="F492" s="25" t="s">
        <v>1700</v>
      </c>
      <c r="G492" s="25" t="s">
        <v>1701</v>
      </c>
      <c r="H492" s="25" t="s">
        <v>37</v>
      </c>
      <c r="I492" s="25"/>
      <c r="J492" s="25" t="s">
        <v>1702</v>
      </c>
      <c r="K492" s="25"/>
      <c r="L492" s="26" t="s">
        <v>20</v>
      </c>
      <c r="M492" s="12">
        <v>45035.0</v>
      </c>
      <c r="N492" s="77" t="str">
        <f t="shared" si="1"/>
        <v>abril</v>
      </c>
    </row>
    <row r="493">
      <c r="A493" s="25" t="s">
        <v>1703</v>
      </c>
      <c r="B493" s="59">
        <v>45027.36322773148</v>
      </c>
      <c r="C493" s="25" t="s">
        <v>1704</v>
      </c>
      <c r="D493" s="25">
        <v>5305.0</v>
      </c>
      <c r="E493" s="25" t="s">
        <v>183</v>
      </c>
      <c r="F493" s="25" t="s">
        <v>840</v>
      </c>
      <c r="G493" s="85" t="s">
        <v>1705</v>
      </c>
      <c r="H493" s="25" t="s">
        <v>30</v>
      </c>
      <c r="I493" s="25"/>
      <c r="J493" s="25" t="s">
        <v>1706</v>
      </c>
      <c r="K493" s="25"/>
      <c r="L493" s="26" t="s">
        <v>20</v>
      </c>
      <c r="M493" s="12">
        <v>45030.0</v>
      </c>
      <c r="N493" s="77" t="str">
        <f t="shared" si="1"/>
        <v>abril</v>
      </c>
    </row>
    <row r="494">
      <c r="A494" s="25" t="s">
        <v>1707</v>
      </c>
      <c r="B494" s="59">
        <v>45027.366222083336</v>
      </c>
      <c r="C494" s="25" t="s">
        <v>370</v>
      </c>
      <c r="D494" s="25">
        <v>5306.0</v>
      </c>
      <c r="E494" s="25" t="s">
        <v>371</v>
      </c>
      <c r="F494" s="25" t="s">
        <v>49</v>
      </c>
      <c r="G494" s="25" t="s">
        <v>1708</v>
      </c>
      <c r="H494" s="25" t="s">
        <v>37</v>
      </c>
      <c r="I494" s="25"/>
      <c r="J494" s="25" t="s">
        <v>1709</v>
      </c>
      <c r="K494" s="25"/>
      <c r="L494" s="26" t="s">
        <v>20</v>
      </c>
      <c r="M494" s="12">
        <v>45029.0</v>
      </c>
      <c r="N494" s="77" t="str">
        <f t="shared" si="1"/>
        <v>abril</v>
      </c>
    </row>
    <row r="495">
      <c r="A495" s="25" t="s">
        <v>1710</v>
      </c>
      <c r="B495" s="59">
        <v>45027.37327270833</v>
      </c>
      <c r="C495" s="25" t="s">
        <v>659</v>
      </c>
      <c r="D495" s="25">
        <v>5340.0</v>
      </c>
      <c r="E495" s="25" t="s">
        <v>41</v>
      </c>
      <c r="F495" s="25" t="s">
        <v>1661</v>
      </c>
      <c r="G495" s="25" t="s">
        <v>1711</v>
      </c>
      <c r="H495" s="25" t="s">
        <v>79</v>
      </c>
      <c r="I495" s="25"/>
      <c r="J495" s="25" t="s">
        <v>1712</v>
      </c>
      <c r="K495" s="25"/>
      <c r="L495" s="26" t="s">
        <v>20</v>
      </c>
      <c r="M495" s="12">
        <v>45027.0</v>
      </c>
      <c r="N495" s="77" t="str">
        <f t="shared" si="1"/>
        <v>abril</v>
      </c>
    </row>
    <row r="496">
      <c r="A496" s="25" t="s">
        <v>1713</v>
      </c>
      <c r="B496" s="59">
        <v>45027.3936077199</v>
      </c>
      <c r="C496" s="25" t="s">
        <v>182</v>
      </c>
      <c r="D496" s="25">
        <v>5503.0</v>
      </c>
      <c r="E496" s="25" t="s">
        <v>183</v>
      </c>
      <c r="F496" s="65" t="s">
        <v>367</v>
      </c>
      <c r="G496" s="25" t="s">
        <v>367</v>
      </c>
      <c r="H496" s="25" t="s">
        <v>30</v>
      </c>
      <c r="I496" s="25"/>
      <c r="J496" s="25" t="s">
        <v>1714</v>
      </c>
      <c r="K496" s="25"/>
      <c r="L496" s="26" t="s">
        <v>20</v>
      </c>
      <c r="M496" s="12">
        <v>45042.0</v>
      </c>
      <c r="N496" s="77" t="str">
        <f t="shared" si="1"/>
        <v>abril</v>
      </c>
    </row>
    <row r="497">
      <c r="A497" s="25" t="s">
        <v>1715</v>
      </c>
      <c r="B497" s="59">
        <v>45027.40122791666</v>
      </c>
      <c r="C497" s="25" t="s">
        <v>1716</v>
      </c>
      <c r="D497" s="25">
        <v>5306.0</v>
      </c>
      <c r="E497" s="25" t="s">
        <v>371</v>
      </c>
      <c r="F497" s="25" t="s">
        <v>49</v>
      </c>
      <c r="G497" s="25" t="s">
        <v>1717</v>
      </c>
      <c r="H497" s="25" t="s">
        <v>79</v>
      </c>
      <c r="I497" s="25"/>
      <c r="J497" s="25" t="s">
        <v>1718</v>
      </c>
      <c r="K497" s="25"/>
      <c r="L497" s="26" t="s">
        <v>20</v>
      </c>
      <c r="M497" s="12">
        <v>45030.0</v>
      </c>
      <c r="N497" s="77" t="str">
        <f t="shared" si="1"/>
        <v>abril</v>
      </c>
    </row>
    <row r="498">
      <c r="A498" s="25" t="s">
        <v>1719</v>
      </c>
      <c r="B498" s="59">
        <v>45027.42266390046</v>
      </c>
      <c r="C498" s="25" t="s">
        <v>1491</v>
      </c>
      <c r="D498" s="25">
        <v>5333.0</v>
      </c>
      <c r="E498" s="25" t="s">
        <v>41</v>
      </c>
      <c r="F498" s="25" t="s">
        <v>42</v>
      </c>
      <c r="G498" s="25" t="s">
        <v>42</v>
      </c>
      <c r="H498" s="25" t="s">
        <v>30</v>
      </c>
      <c r="I498" s="25"/>
      <c r="J498" s="25" t="s">
        <v>1720</v>
      </c>
      <c r="K498" s="25"/>
      <c r="L498" s="26" t="s">
        <v>20</v>
      </c>
      <c r="M498" s="12">
        <v>45031.0</v>
      </c>
      <c r="N498" s="77" t="str">
        <f t="shared" si="1"/>
        <v>abril</v>
      </c>
    </row>
    <row r="499">
      <c r="A499" s="25" t="s">
        <v>1721</v>
      </c>
      <c r="B499" s="59">
        <v>45027.632257881945</v>
      </c>
      <c r="C499" s="25" t="s">
        <v>876</v>
      </c>
      <c r="D499" s="25">
        <v>5334.0</v>
      </c>
      <c r="E499" s="25" t="s">
        <v>187</v>
      </c>
      <c r="F499" s="25" t="s">
        <v>347</v>
      </c>
      <c r="G499" s="25" t="s">
        <v>1722</v>
      </c>
      <c r="H499" s="25" t="s">
        <v>37</v>
      </c>
      <c r="I499" s="25"/>
      <c r="J499" s="25" t="s">
        <v>1723</v>
      </c>
      <c r="K499" s="25"/>
      <c r="L499" s="26" t="s">
        <v>20</v>
      </c>
      <c r="M499" s="12">
        <v>45040.0</v>
      </c>
      <c r="N499" s="77" t="str">
        <f t="shared" si="1"/>
        <v>abril</v>
      </c>
    </row>
    <row r="500">
      <c r="A500" s="25" t="s">
        <v>1724</v>
      </c>
      <c r="B500" s="59">
        <v>45028.4579771412</v>
      </c>
      <c r="C500" s="25" t="s">
        <v>321</v>
      </c>
      <c r="D500" s="25">
        <v>9.81047171E8</v>
      </c>
      <c r="E500" s="25" t="s">
        <v>183</v>
      </c>
      <c r="F500" s="25" t="s">
        <v>142</v>
      </c>
      <c r="G500" s="25" t="s">
        <v>1725</v>
      </c>
      <c r="H500" s="25" t="s">
        <v>37</v>
      </c>
      <c r="I500" s="25"/>
      <c r="J500" s="25" t="s">
        <v>1726</v>
      </c>
      <c r="K500" s="25"/>
      <c r="L500" s="26" t="s">
        <v>20</v>
      </c>
      <c r="M500" s="12">
        <v>45055.0</v>
      </c>
      <c r="N500" s="77" t="str">
        <f t="shared" si="1"/>
        <v>abril</v>
      </c>
    </row>
    <row r="501">
      <c r="A501" s="25" t="s">
        <v>1727</v>
      </c>
      <c r="B501" s="59">
        <v>45028.601431250005</v>
      </c>
      <c r="C501" s="25" t="s">
        <v>1728</v>
      </c>
      <c r="D501" s="25">
        <v>5337.0</v>
      </c>
      <c r="E501" s="25" t="s">
        <v>262</v>
      </c>
      <c r="F501" s="25" t="s">
        <v>428</v>
      </c>
      <c r="G501" s="25" t="s">
        <v>1711</v>
      </c>
      <c r="H501" s="25" t="s">
        <v>79</v>
      </c>
      <c r="I501" s="25"/>
      <c r="J501" s="25" t="s">
        <v>1729</v>
      </c>
      <c r="K501" s="25"/>
      <c r="L501" s="26" t="s">
        <v>20</v>
      </c>
      <c r="M501" s="12">
        <v>45030.0</v>
      </c>
      <c r="N501" s="77" t="str">
        <f t="shared" si="1"/>
        <v>abril</v>
      </c>
    </row>
    <row r="502">
      <c r="A502" s="25" t="s">
        <v>1730</v>
      </c>
      <c r="B502" s="59">
        <v>45028.63466428241</v>
      </c>
      <c r="C502" s="25" t="s">
        <v>1728</v>
      </c>
      <c r="D502" s="25">
        <v>5337.0</v>
      </c>
      <c r="E502" s="25" t="s">
        <v>262</v>
      </c>
      <c r="F502" s="25" t="s">
        <v>428</v>
      </c>
      <c r="G502" s="25" t="s">
        <v>1180</v>
      </c>
      <c r="H502" s="25" t="s">
        <v>79</v>
      </c>
      <c r="I502" s="25"/>
      <c r="J502" s="25" t="s">
        <v>1731</v>
      </c>
      <c r="K502" s="25"/>
      <c r="L502" s="26" t="s">
        <v>20</v>
      </c>
      <c r="M502" s="12">
        <v>45046.0</v>
      </c>
      <c r="N502" s="77" t="str">
        <f t="shared" si="1"/>
        <v>abril</v>
      </c>
    </row>
    <row r="503">
      <c r="A503" s="25" t="s">
        <v>1732</v>
      </c>
      <c r="B503" s="59">
        <v>45028.69198232639</v>
      </c>
      <c r="C503" s="25" t="s">
        <v>225</v>
      </c>
      <c r="D503" s="25">
        <v>5365.0</v>
      </c>
      <c r="E503" s="20" t="s">
        <v>226</v>
      </c>
      <c r="F503" s="25" t="s">
        <v>61</v>
      </c>
      <c r="G503" s="25" t="s">
        <v>1733</v>
      </c>
      <c r="H503" s="25" t="s">
        <v>1734</v>
      </c>
      <c r="I503" s="25"/>
      <c r="J503" s="25" t="s">
        <v>1735</v>
      </c>
      <c r="K503" s="25"/>
      <c r="L503" s="26" t="s">
        <v>20</v>
      </c>
      <c r="M503" s="12">
        <v>45040.0</v>
      </c>
      <c r="N503" s="77" t="str">
        <f t="shared" si="1"/>
        <v>abril</v>
      </c>
    </row>
    <row r="504">
      <c r="A504" s="25" t="s">
        <v>1736</v>
      </c>
      <c r="B504" s="59">
        <v>45029.358466226855</v>
      </c>
      <c r="C504" s="25" t="s">
        <v>1737</v>
      </c>
      <c r="D504" s="25">
        <v>5306.0</v>
      </c>
      <c r="E504" s="25" t="s">
        <v>371</v>
      </c>
      <c r="F504" s="25" t="s">
        <v>49</v>
      </c>
      <c r="G504" s="25" t="s">
        <v>1738</v>
      </c>
      <c r="H504" s="25" t="s">
        <v>37</v>
      </c>
      <c r="I504" s="25"/>
      <c r="J504" s="25" t="s">
        <v>1739</v>
      </c>
      <c r="K504" s="25"/>
      <c r="L504" s="26" t="s">
        <v>20</v>
      </c>
      <c r="M504" s="12">
        <v>45029.0</v>
      </c>
      <c r="N504" s="77" t="str">
        <f t="shared" si="1"/>
        <v>abril</v>
      </c>
    </row>
    <row r="505">
      <c r="A505" s="25" t="s">
        <v>1740</v>
      </c>
      <c r="B505" s="59">
        <v>45029.359576145835</v>
      </c>
      <c r="C505" s="25" t="s">
        <v>138</v>
      </c>
      <c r="D505" s="25">
        <v>5318.0</v>
      </c>
      <c r="E505" s="25" t="s">
        <v>15</v>
      </c>
      <c r="F505" s="25" t="s">
        <v>1741</v>
      </c>
      <c r="G505" s="25" t="s">
        <v>1742</v>
      </c>
      <c r="H505" s="25" t="s">
        <v>18</v>
      </c>
      <c r="I505" s="25"/>
      <c r="J505" s="25" t="s">
        <v>1743</v>
      </c>
      <c r="K505" s="25"/>
      <c r="L505" s="26" t="s">
        <v>20</v>
      </c>
      <c r="M505" s="12">
        <v>45029.0</v>
      </c>
      <c r="N505" s="77" t="str">
        <f t="shared" si="1"/>
        <v>abril</v>
      </c>
    </row>
    <row r="506">
      <c r="A506" s="25" t="s">
        <v>1744</v>
      </c>
      <c r="B506" s="59">
        <v>45029.36819104166</v>
      </c>
      <c r="C506" s="25" t="s">
        <v>53</v>
      </c>
      <c r="D506" s="25">
        <v>5302.0</v>
      </c>
      <c r="E506" s="20" t="s">
        <v>288</v>
      </c>
      <c r="F506" s="25" t="s">
        <v>55</v>
      </c>
      <c r="G506" s="25" t="s">
        <v>1745</v>
      </c>
      <c r="H506" s="25" t="s">
        <v>37</v>
      </c>
      <c r="I506" s="25"/>
      <c r="J506" s="25" t="s">
        <v>1746</v>
      </c>
      <c r="K506" s="25"/>
      <c r="L506" s="26" t="s">
        <v>20</v>
      </c>
      <c r="M506" s="12">
        <v>45029.0</v>
      </c>
      <c r="N506" s="77" t="str">
        <f t="shared" si="1"/>
        <v>abril</v>
      </c>
    </row>
    <row r="507">
      <c r="A507" s="88" t="s">
        <v>1747</v>
      </c>
      <c r="B507" s="59">
        <v>45029.37187354166</v>
      </c>
      <c r="C507" s="7" t="s">
        <v>53</v>
      </c>
      <c r="D507" s="7">
        <v>5302.0</v>
      </c>
      <c r="E507" s="20" t="s">
        <v>288</v>
      </c>
      <c r="F507" s="7" t="s">
        <v>55</v>
      </c>
      <c r="G507" s="9" t="s">
        <v>1748</v>
      </c>
      <c r="H507" s="7" t="s">
        <v>79</v>
      </c>
      <c r="I507" s="7"/>
      <c r="J507" s="60" t="s">
        <v>1749</v>
      </c>
      <c r="K507" s="54"/>
      <c r="L507" s="10" t="s">
        <v>20</v>
      </c>
      <c r="M507" s="55">
        <v>45288.0</v>
      </c>
      <c r="N507" s="77" t="str">
        <f t="shared" si="1"/>
        <v>abril</v>
      </c>
    </row>
    <row r="508">
      <c r="A508" s="25" t="s">
        <v>1750</v>
      </c>
      <c r="B508" s="59">
        <v>45029.37611744213</v>
      </c>
      <c r="C508" s="25" t="s">
        <v>53</v>
      </c>
      <c r="D508" s="25">
        <v>5302.0</v>
      </c>
      <c r="E508" s="20" t="s">
        <v>288</v>
      </c>
      <c r="F508" s="25" t="s">
        <v>55</v>
      </c>
      <c r="G508" s="25" t="s">
        <v>1751</v>
      </c>
      <c r="H508" s="25" t="s">
        <v>79</v>
      </c>
      <c r="I508" s="25"/>
      <c r="J508" s="25" t="s">
        <v>1752</v>
      </c>
      <c r="K508" s="25"/>
      <c r="L508" s="56" t="s">
        <v>74</v>
      </c>
      <c r="M508" s="62">
        <v>45124.0</v>
      </c>
      <c r="N508" s="77" t="str">
        <f t="shared" si="1"/>
        <v>abril</v>
      </c>
    </row>
    <row r="509">
      <c r="A509" s="25" t="s">
        <v>1753</v>
      </c>
      <c r="B509" s="59">
        <v>45029.38315638889</v>
      </c>
      <c r="C509" s="25" t="s">
        <v>53</v>
      </c>
      <c r="D509" s="25">
        <v>5302.0</v>
      </c>
      <c r="E509" s="20" t="s">
        <v>288</v>
      </c>
      <c r="F509" s="25" t="s">
        <v>55</v>
      </c>
      <c r="G509" s="25" t="s">
        <v>1754</v>
      </c>
      <c r="H509" s="25" t="s">
        <v>162</v>
      </c>
      <c r="I509" s="25"/>
      <c r="J509" s="25" t="s">
        <v>1755</v>
      </c>
      <c r="K509" s="25"/>
      <c r="L509" s="26" t="s">
        <v>20</v>
      </c>
      <c r="M509" s="12">
        <v>45153.0</v>
      </c>
      <c r="N509" s="77" t="str">
        <f t="shared" si="1"/>
        <v>abril</v>
      </c>
    </row>
    <row r="510">
      <c r="A510" s="25" t="s">
        <v>1756</v>
      </c>
      <c r="B510" s="59">
        <v>45029.41182003472</v>
      </c>
      <c r="C510" s="25" t="s">
        <v>53</v>
      </c>
      <c r="D510" s="25">
        <v>5302.0</v>
      </c>
      <c r="E510" s="20" t="s">
        <v>288</v>
      </c>
      <c r="F510" s="25" t="s">
        <v>55</v>
      </c>
      <c r="G510" s="25" t="s">
        <v>1757</v>
      </c>
      <c r="H510" s="25" t="s">
        <v>30</v>
      </c>
      <c r="I510" s="25"/>
      <c r="J510" s="25" t="s">
        <v>1758</v>
      </c>
      <c r="K510" s="25"/>
      <c r="L510" s="26" t="s">
        <v>20</v>
      </c>
      <c r="M510" s="12">
        <v>45029.0</v>
      </c>
      <c r="N510" s="77" t="str">
        <f t="shared" si="1"/>
        <v>abril</v>
      </c>
    </row>
    <row r="511">
      <c r="A511" s="25" t="s">
        <v>1759</v>
      </c>
      <c r="B511" s="59">
        <v>45029.41216864584</v>
      </c>
      <c r="C511" s="25" t="s">
        <v>1760</v>
      </c>
      <c r="D511" s="25">
        <v>3.4988077797E10</v>
      </c>
      <c r="E511" s="25" t="s">
        <v>195</v>
      </c>
      <c r="F511" s="25" t="s">
        <v>1186</v>
      </c>
      <c r="G511" s="25" t="s">
        <v>1761</v>
      </c>
      <c r="H511" s="25" t="s">
        <v>764</v>
      </c>
      <c r="I511" s="25"/>
      <c r="J511" s="25" t="s">
        <v>1762</v>
      </c>
      <c r="K511" s="25"/>
      <c r="L511" s="26" t="s">
        <v>20</v>
      </c>
      <c r="M511" s="12">
        <v>45030.0</v>
      </c>
      <c r="N511" s="77" t="str">
        <f t="shared" si="1"/>
        <v>abril</v>
      </c>
    </row>
    <row r="512">
      <c r="A512" s="25" t="s">
        <v>1763</v>
      </c>
      <c r="B512" s="59">
        <v>45029.41476797454</v>
      </c>
      <c r="C512" s="25" t="s">
        <v>1764</v>
      </c>
      <c r="D512" s="25">
        <v>6.498456331E10</v>
      </c>
      <c r="E512" s="7" t="s">
        <v>246</v>
      </c>
      <c r="F512" s="25" t="s">
        <v>1765</v>
      </c>
      <c r="G512" s="25" t="s">
        <v>1766</v>
      </c>
      <c r="H512" s="25" t="s">
        <v>764</v>
      </c>
      <c r="I512" s="25"/>
      <c r="J512" s="25" t="s">
        <v>1767</v>
      </c>
      <c r="K512" s="25"/>
      <c r="L512" s="26" t="s">
        <v>20</v>
      </c>
      <c r="M512" s="12">
        <v>45033.0</v>
      </c>
      <c r="N512" s="77" t="str">
        <f t="shared" si="1"/>
        <v>abril</v>
      </c>
    </row>
    <row r="513">
      <c r="A513" s="25" t="s">
        <v>1768</v>
      </c>
      <c r="B513" s="59">
        <v>45029.44262606482</v>
      </c>
      <c r="C513" s="25" t="s">
        <v>53</v>
      </c>
      <c r="D513" s="25">
        <v>5302.0</v>
      </c>
      <c r="E513" s="20" t="s">
        <v>288</v>
      </c>
      <c r="F513" s="25" t="s">
        <v>55</v>
      </c>
      <c r="G513" s="25" t="s">
        <v>1769</v>
      </c>
      <c r="H513" s="25" t="s">
        <v>162</v>
      </c>
      <c r="I513" s="25"/>
      <c r="J513" s="25" t="s">
        <v>1770</v>
      </c>
      <c r="K513" s="25"/>
      <c r="L513" s="26" t="s">
        <v>20</v>
      </c>
      <c r="M513" s="12">
        <v>45057.0</v>
      </c>
      <c r="N513" s="77" t="str">
        <f t="shared" si="1"/>
        <v>abril</v>
      </c>
    </row>
    <row r="514">
      <c r="A514" s="25" t="s">
        <v>1771</v>
      </c>
      <c r="B514" s="59">
        <v>45029.48494234953</v>
      </c>
      <c r="C514" s="25" t="s">
        <v>863</v>
      </c>
      <c r="D514" s="25" t="s">
        <v>1772</v>
      </c>
      <c r="E514" s="25" t="s">
        <v>187</v>
      </c>
      <c r="F514" s="25" t="s">
        <v>347</v>
      </c>
      <c r="G514" s="25">
        <v>105.0</v>
      </c>
      <c r="H514" s="25" t="s">
        <v>764</v>
      </c>
      <c r="I514" s="25"/>
      <c r="J514" s="25" t="s">
        <v>1773</v>
      </c>
      <c r="K514" s="25"/>
      <c r="L514" s="26" t="s">
        <v>20</v>
      </c>
      <c r="M514" s="12">
        <v>45030.0</v>
      </c>
      <c r="N514" s="77" t="str">
        <f t="shared" si="1"/>
        <v>abril</v>
      </c>
    </row>
    <row r="515">
      <c r="A515" s="25" t="s">
        <v>1774</v>
      </c>
      <c r="B515" s="59">
        <v>45030.401585486106</v>
      </c>
      <c r="C515" s="25" t="s">
        <v>1728</v>
      </c>
      <c r="D515" s="25">
        <v>5337.0</v>
      </c>
      <c r="E515" s="25" t="s">
        <v>262</v>
      </c>
      <c r="F515" s="25" t="s">
        <v>428</v>
      </c>
      <c r="G515" s="25" t="s">
        <v>1711</v>
      </c>
      <c r="H515" s="25" t="s">
        <v>764</v>
      </c>
      <c r="I515" s="25"/>
      <c r="J515" s="25" t="s">
        <v>1775</v>
      </c>
      <c r="K515" s="25"/>
      <c r="L515" s="26" t="s">
        <v>20</v>
      </c>
      <c r="M515" s="12">
        <v>45168.0</v>
      </c>
      <c r="N515" s="77" t="str">
        <f t="shared" si="1"/>
        <v>abril</v>
      </c>
    </row>
    <row r="516">
      <c r="A516" s="25" t="s">
        <v>1776</v>
      </c>
      <c r="B516" s="59">
        <v>45030.56128892361</v>
      </c>
      <c r="C516" s="25" t="s">
        <v>697</v>
      </c>
      <c r="D516" s="25">
        <v>5347.0</v>
      </c>
      <c r="E516" s="25" t="s">
        <v>160</v>
      </c>
      <c r="F516" s="25" t="s">
        <v>1777</v>
      </c>
      <c r="G516" s="25" t="s">
        <v>1778</v>
      </c>
      <c r="H516" s="25" t="s">
        <v>37</v>
      </c>
      <c r="I516" s="25"/>
      <c r="J516" s="25" t="s">
        <v>1779</v>
      </c>
      <c r="K516" s="25" t="s">
        <v>1780</v>
      </c>
      <c r="L516" s="56" t="s">
        <v>74</v>
      </c>
      <c r="M516" s="62">
        <v>45043.0</v>
      </c>
      <c r="N516" s="77" t="str">
        <f t="shared" si="1"/>
        <v>abril</v>
      </c>
    </row>
    <row r="517">
      <c r="A517" s="25" t="s">
        <v>1781</v>
      </c>
      <c r="B517" s="59">
        <v>45030.651740393514</v>
      </c>
      <c r="C517" s="25" t="s">
        <v>1491</v>
      </c>
      <c r="D517" s="25">
        <v>5333.0</v>
      </c>
      <c r="E517" s="25" t="s">
        <v>42</v>
      </c>
      <c r="F517" s="25" t="s">
        <v>1782</v>
      </c>
      <c r="G517" s="25"/>
      <c r="H517" s="25" t="s">
        <v>37</v>
      </c>
      <c r="I517" s="25"/>
      <c r="J517" s="25" t="s">
        <v>1783</v>
      </c>
      <c r="K517" s="25"/>
      <c r="L517" s="26" t="s">
        <v>20</v>
      </c>
      <c r="M517" s="12">
        <v>45033.0</v>
      </c>
      <c r="N517" s="77" t="str">
        <f t="shared" si="1"/>
        <v>abril</v>
      </c>
    </row>
    <row r="518">
      <c r="A518" s="25" t="s">
        <v>1784</v>
      </c>
      <c r="B518" s="59">
        <v>45031.16730244213</v>
      </c>
      <c r="C518" s="25" t="s">
        <v>165</v>
      </c>
      <c r="D518" s="25">
        <v>5318.0</v>
      </c>
      <c r="E518" s="25" t="s">
        <v>15</v>
      </c>
      <c r="F518" s="25" t="s">
        <v>1785</v>
      </c>
      <c r="G518" s="25"/>
      <c r="H518" s="25" t="s">
        <v>37</v>
      </c>
      <c r="I518" s="25"/>
      <c r="J518" s="25" t="s">
        <v>1786</v>
      </c>
      <c r="K518" s="25" t="s">
        <v>1787</v>
      </c>
      <c r="L518" s="26" t="s">
        <v>20</v>
      </c>
      <c r="M518" s="12">
        <v>45002.0</v>
      </c>
      <c r="N518" s="77" t="str">
        <f t="shared" si="1"/>
        <v>abril</v>
      </c>
    </row>
    <row r="519">
      <c r="A519" s="25" t="s">
        <v>1788</v>
      </c>
      <c r="B519" s="59">
        <v>45033.329030162036</v>
      </c>
      <c r="C519" s="25" t="s">
        <v>486</v>
      </c>
      <c r="D519" s="25">
        <v>5340.0</v>
      </c>
      <c r="E519" s="25" t="s">
        <v>70</v>
      </c>
      <c r="F519" s="25" t="s">
        <v>1789</v>
      </c>
      <c r="G519" s="25" t="s">
        <v>1790</v>
      </c>
      <c r="H519" s="25" t="s">
        <v>764</v>
      </c>
      <c r="I519" s="25"/>
      <c r="J519" s="25" t="s">
        <v>1791</v>
      </c>
      <c r="K519" s="25"/>
      <c r="L519" s="26" t="s">
        <v>20</v>
      </c>
      <c r="M519" s="12">
        <v>45043.0</v>
      </c>
      <c r="N519" s="77" t="str">
        <f t="shared" si="1"/>
        <v>abril</v>
      </c>
    </row>
    <row r="520">
      <c r="A520" s="25" t="s">
        <v>1792</v>
      </c>
      <c r="B520" s="59">
        <v>45033.4098665625</v>
      </c>
      <c r="C520" s="25" t="s">
        <v>1793</v>
      </c>
      <c r="D520" s="25">
        <v>5306.0</v>
      </c>
      <c r="E520" s="25" t="s">
        <v>371</v>
      </c>
      <c r="F520" s="25" t="s">
        <v>49</v>
      </c>
      <c r="G520" s="25" t="s">
        <v>1738</v>
      </c>
      <c r="H520" s="25" t="s">
        <v>37</v>
      </c>
      <c r="I520" s="25"/>
      <c r="J520" s="25" t="s">
        <v>1794</v>
      </c>
      <c r="K520" s="25"/>
      <c r="L520" s="26" t="s">
        <v>20</v>
      </c>
      <c r="M520" s="12">
        <v>45153.0</v>
      </c>
      <c r="N520" s="77" t="str">
        <f t="shared" si="1"/>
        <v>abril</v>
      </c>
    </row>
    <row r="521">
      <c r="A521" s="25" t="s">
        <v>1795</v>
      </c>
      <c r="B521" s="59">
        <v>45033.45777597222</v>
      </c>
      <c r="C521" s="25" t="s">
        <v>1796</v>
      </c>
      <c r="D521" s="25">
        <v>5349.0</v>
      </c>
      <c r="E521" s="25" t="s">
        <v>60</v>
      </c>
      <c r="F521" s="25" t="s">
        <v>61</v>
      </c>
      <c r="G521" s="25" t="s">
        <v>1797</v>
      </c>
      <c r="H521" s="25" t="s">
        <v>37</v>
      </c>
      <c r="I521" s="25"/>
      <c r="J521" s="25" t="s">
        <v>1798</v>
      </c>
      <c r="K521" s="25"/>
      <c r="L521" s="26" t="s">
        <v>20</v>
      </c>
      <c r="M521" s="12">
        <v>45153.0</v>
      </c>
      <c r="N521" s="77" t="str">
        <f t="shared" si="1"/>
        <v>abril</v>
      </c>
    </row>
    <row r="522">
      <c r="A522" s="88" t="s">
        <v>1799</v>
      </c>
      <c r="B522" s="8">
        <v>45033.482049479164</v>
      </c>
      <c r="C522" s="7" t="s">
        <v>26</v>
      </c>
      <c r="D522" s="7">
        <v>5304.0</v>
      </c>
      <c r="E522" s="7" t="s">
        <v>1097</v>
      </c>
      <c r="F522" s="7" t="s">
        <v>16</v>
      </c>
      <c r="G522" s="9" t="s">
        <v>1800</v>
      </c>
      <c r="H522" s="7" t="s">
        <v>162</v>
      </c>
      <c r="I522" s="7"/>
      <c r="J522" s="60" t="s">
        <v>1801</v>
      </c>
      <c r="K522" s="54"/>
      <c r="L522" s="10" t="s">
        <v>20</v>
      </c>
      <c r="M522" s="55">
        <v>45288.0</v>
      </c>
      <c r="N522" s="77" t="str">
        <f t="shared" si="1"/>
        <v>abril</v>
      </c>
    </row>
    <row r="523">
      <c r="A523" s="25" t="s">
        <v>1802</v>
      </c>
      <c r="B523" s="59">
        <v>45033.62268078704</v>
      </c>
      <c r="C523" s="25" t="s">
        <v>422</v>
      </c>
      <c r="D523" s="25">
        <v>5354.0</v>
      </c>
      <c r="E523" s="25" t="s">
        <v>423</v>
      </c>
      <c r="F523" s="25" t="s">
        <v>82</v>
      </c>
      <c r="G523" s="25" t="s">
        <v>1803</v>
      </c>
      <c r="H523" s="25" t="s">
        <v>37</v>
      </c>
      <c r="I523" s="25"/>
      <c r="J523" s="25" t="s">
        <v>1804</v>
      </c>
      <c r="K523" s="25"/>
      <c r="L523" s="26" t="s">
        <v>20</v>
      </c>
      <c r="M523" s="12">
        <v>45033.0</v>
      </c>
      <c r="N523" s="77" t="str">
        <f t="shared" si="1"/>
        <v>abril</v>
      </c>
    </row>
    <row r="524">
      <c r="A524" s="25" t="s">
        <v>1805</v>
      </c>
      <c r="B524" s="59">
        <v>45033.652164444444</v>
      </c>
      <c r="C524" s="25" t="s">
        <v>307</v>
      </c>
      <c r="D524" s="25">
        <v>3.4999071369E10</v>
      </c>
      <c r="E524" s="20" t="s">
        <v>308</v>
      </c>
      <c r="F524" s="25" t="s">
        <v>783</v>
      </c>
      <c r="G524" s="25">
        <v>155.0</v>
      </c>
      <c r="H524" s="25" t="s">
        <v>129</v>
      </c>
      <c r="I524" s="25"/>
      <c r="J524" s="25" t="s">
        <v>1806</v>
      </c>
      <c r="K524" s="25"/>
      <c r="L524" s="26" t="s">
        <v>20</v>
      </c>
      <c r="M524" s="12">
        <v>45055.0</v>
      </c>
      <c r="N524" s="77" t="str">
        <f t="shared" si="1"/>
        <v>abril</v>
      </c>
    </row>
    <row r="525">
      <c r="A525" s="25" t="s">
        <v>1807</v>
      </c>
      <c r="B525" s="59">
        <v>45033.652933136575</v>
      </c>
      <c r="C525" s="25" t="s">
        <v>525</v>
      </c>
      <c r="D525" s="25">
        <v>3.4999071369E10</v>
      </c>
      <c r="E525" s="20" t="s">
        <v>308</v>
      </c>
      <c r="F525" s="25" t="s">
        <v>783</v>
      </c>
      <c r="G525" s="25">
        <v>155.0</v>
      </c>
      <c r="H525" s="25" t="s">
        <v>129</v>
      </c>
      <c r="I525" s="25"/>
      <c r="J525" s="25" t="s">
        <v>1808</v>
      </c>
      <c r="K525" s="25"/>
      <c r="L525" s="26" t="s">
        <v>20</v>
      </c>
      <c r="M525" s="12">
        <v>45055.0</v>
      </c>
      <c r="N525" s="77" t="str">
        <f t="shared" si="1"/>
        <v>abril</v>
      </c>
    </row>
    <row r="526">
      <c r="A526" s="25" t="s">
        <v>1809</v>
      </c>
      <c r="B526" s="59">
        <v>45033.6716659375</v>
      </c>
      <c r="C526" s="25" t="s">
        <v>525</v>
      </c>
      <c r="D526" s="25">
        <v>3.4999071369E10</v>
      </c>
      <c r="E526" s="20" t="s">
        <v>308</v>
      </c>
      <c r="F526" s="25" t="s">
        <v>783</v>
      </c>
      <c r="G526" s="25">
        <v>155.0</v>
      </c>
      <c r="H526" s="25" t="s">
        <v>79</v>
      </c>
      <c r="I526" s="25"/>
      <c r="J526" s="25" t="s">
        <v>1810</v>
      </c>
      <c r="K526" s="25"/>
      <c r="L526" s="26" t="s">
        <v>20</v>
      </c>
      <c r="M526" s="12">
        <v>45153.0</v>
      </c>
      <c r="N526" s="77" t="str">
        <f t="shared" si="1"/>
        <v>abril</v>
      </c>
    </row>
    <row r="527">
      <c r="A527" s="25" t="s">
        <v>1811</v>
      </c>
      <c r="B527" s="59">
        <v>45033.78011796296</v>
      </c>
      <c r="C527" s="25" t="s">
        <v>138</v>
      </c>
      <c r="D527" s="25">
        <v>1834.0</v>
      </c>
      <c r="E527" s="25" t="s">
        <v>15</v>
      </c>
      <c r="F527" s="25" t="s">
        <v>16</v>
      </c>
      <c r="G527" s="25" t="s">
        <v>1812</v>
      </c>
      <c r="H527" s="25" t="s">
        <v>37</v>
      </c>
      <c r="I527" s="25"/>
      <c r="J527" s="25" t="s">
        <v>1813</v>
      </c>
      <c r="K527" s="25"/>
      <c r="L527" s="26" t="s">
        <v>20</v>
      </c>
      <c r="M527" s="12">
        <v>45036.0</v>
      </c>
      <c r="N527" s="77" t="str">
        <f t="shared" si="1"/>
        <v>abril</v>
      </c>
    </row>
    <row r="528">
      <c r="A528" s="25" t="s">
        <v>1814</v>
      </c>
      <c r="B528" s="59">
        <v>45033.96783603009</v>
      </c>
      <c r="C528" s="25" t="s">
        <v>165</v>
      </c>
      <c r="D528" s="25">
        <v>5318.0</v>
      </c>
      <c r="E528" s="25" t="s">
        <v>15</v>
      </c>
      <c r="F528" s="25" t="s">
        <v>1815</v>
      </c>
      <c r="G528" s="25" t="s">
        <v>1816</v>
      </c>
      <c r="H528" s="25" t="s">
        <v>37</v>
      </c>
      <c r="I528" s="25"/>
      <c r="J528" s="25" t="s">
        <v>1817</v>
      </c>
      <c r="K528" s="25"/>
      <c r="L528" s="26" t="s">
        <v>20</v>
      </c>
      <c r="M528" s="12">
        <v>45036.0</v>
      </c>
      <c r="N528" s="77" t="str">
        <f t="shared" si="1"/>
        <v>abril</v>
      </c>
    </row>
    <row r="529">
      <c r="A529" s="25" t="s">
        <v>1818</v>
      </c>
      <c r="B529" s="59">
        <v>45034.30233414352</v>
      </c>
      <c r="C529" s="25" t="s">
        <v>486</v>
      </c>
      <c r="D529" s="25">
        <v>5340.0</v>
      </c>
      <c r="E529" s="25" t="s">
        <v>70</v>
      </c>
      <c r="F529" s="25" t="s">
        <v>1819</v>
      </c>
      <c r="G529" s="25" t="s">
        <v>1820</v>
      </c>
      <c r="H529" s="25" t="s">
        <v>37</v>
      </c>
      <c r="I529" s="25"/>
      <c r="J529" s="25" t="s">
        <v>1821</v>
      </c>
      <c r="K529" s="25"/>
      <c r="L529" s="26" t="s">
        <v>20</v>
      </c>
      <c r="M529" s="12">
        <v>45036.0</v>
      </c>
      <c r="N529" s="77" t="str">
        <f t="shared" si="1"/>
        <v>abril</v>
      </c>
    </row>
    <row r="530">
      <c r="A530" s="25" t="s">
        <v>1822</v>
      </c>
      <c r="B530" s="59">
        <v>45034.308986006945</v>
      </c>
      <c r="C530" s="25" t="s">
        <v>486</v>
      </c>
      <c r="D530" s="25">
        <v>5340.0</v>
      </c>
      <c r="E530" s="25" t="s">
        <v>70</v>
      </c>
      <c r="F530" s="25" t="s">
        <v>393</v>
      </c>
      <c r="G530" s="25" t="s">
        <v>1823</v>
      </c>
      <c r="H530" s="25" t="s">
        <v>162</v>
      </c>
      <c r="I530" s="25"/>
      <c r="J530" s="25" t="s">
        <v>1824</v>
      </c>
      <c r="K530" s="25"/>
      <c r="L530" s="26" t="s">
        <v>20</v>
      </c>
      <c r="M530" s="12">
        <v>45035.0</v>
      </c>
      <c r="N530" s="77" t="str">
        <f t="shared" si="1"/>
        <v>abril</v>
      </c>
    </row>
    <row r="531">
      <c r="A531" s="25" t="s">
        <v>1825</v>
      </c>
      <c r="B531" s="59">
        <v>45034.36439002315</v>
      </c>
      <c r="C531" s="25" t="s">
        <v>346</v>
      </c>
      <c r="D531" s="25" t="s">
        <v>1826</v>
      </c>
      <c r="E531" s="25" t="s">
        <v>34</v>
      </c>
      <c r="F531" s="25" t="s">
        <v>347</v>
      </c>
      <c r="G531" s="25" t="s">
        <v>1827</v>
      </c>
      <c r="H531" s="25" t="s">
        <v>37</v>
      </c>
      <c r="I531" s="25"/>
      <c r="J531" s="25" t="s">
        <v>1828</v>
      </c>
      <c r="K531" s="25"/>
      <c r="L531" s="26" t="s">
        <v>20</v>
      </c>
      <c r="M531" s="12">
        <v>45036.0</v>
      </c>
      <c r="N531" s="77" t="str">
        <f t="shared" si="1"/>
        <v>abril</v>
      </c>
    </row>
    <row r="532">
      <c r="A532" s="25" t="s">
        <v>1829</v>
      </c>
      <c r="B532" s="59">
        <v>45034.36910524305</v>
      </c>
      <c r="C532" s="25" t="s">
        <v>346</v>
      </c>
      <c r="D532" s="25" t="s">
        <v>1826</v>
      </c>
      <c r="E532" s="25" t="s">
        <v>34</v>
      </c>
      <c r="F532" s="25" t="s">
        <v>347</v>
      </c>
      <c r="G532" s="25" t="s">
        <v>595</v>
      </c>
      <c r="H532" s="25" t="s">
        <v>79</v>
      </c>
      <c r="I532" s="25"/>
      <c r="J532" s="25" t="s">
        <v>1830</v>
      </c>
      <c r="K532" s="25"/>
      <c r="L532" s="26" t="s">
        <v>20</v>
      </c>
      <c r="M532" s="12">
        <v>45041.0</v>
      </c>
      <c r="N532" s="77" t="str">
        <f t="shared" si="1"/>
        <v>abril</v>
      </c>
    </row>
    <row r="533">
      <c r="A533" s="25" t="s">
        <v>1831</v>
      </c>
      <c r="B533" s="59">
        <v>45034.393171180556</v>
      </c>
      <c r="C533" s="25" t="s">
        <v>346</v>
      </c>
      <c r="D533" s="25" t="s">
        <v>779</v>
      </c>
      <c r="E533" s="25" t="s">
        <v>34</v>
      </c>
      <c r="F533" s="25" t="s">
        <v>347</v>
      </c>
      <c r="G533" s="25" t="s">
        <v>1832</v>
      </c>
      <c r="H533" s="25" t="s">
        <v>79</v>
      </c>
      <c r="I533" s="25"/>
      <c r="J533" s="25" t="s">
        <v>1833</v>
      </c>
      <c r="K533" s="25"/>
      <c r="L533" s="26" t="s">
        <v>20</v>
      </c>
      <c r="M533" s="12">
        <v>45049.0</v>
      </c>
      <c r="N533" s="77" t="str">
        <f t="shared" si="1"/>
        <v>abril</v>
      </c>
    </row>
    <row r="534">
      <c r="A534" s="25" t="s">
        <v>1834</v>
      </c>
      <c r="B534" s="59">
        <v>45034.46242012731</v>
      </c>
      <c r="C534" s="25" t="s">
        <v>1491</v>
      </c>
      <c r="D534" s="25">
        <v>5333.0</v>
      </c>
      <c r="E534" s="25" t="s">
        <v>41</v>
      </c>
      <c r="F534" s="25" t="s">
        <v>42</v>
      </c>
      <c r="G534" s="25" t="s">
        <v>1051</v>
      </c>
      <c r="H534" s="25" t="s">
        <v>162</v>
      </c>
      <c r="I534" s="25"/>
      <c r="J534" s="25" t="s">
        <v>1835</v>
      </c>
      <c r="K534" s="25"/>
      <c r="L534" s="26" t="s">
        <v>20</v>
      </c>
      <c r="M534" s="12">
        <v>45153.0</v>
      </c>
      <c r="N534" s="77" t="str">
        <f t="shared" si="1"/>
        <v>abril</v>
      </c>
    </row>
    <row r="535">
      <c r="A535" s="25" t="s">
        <v>1836</v>
      </c>
      <c r="B535" s="59">
        <v>45034.47285489584</v>
      </c>
      <c r="C535" s="25" t="s">
        <v>1491</v>
      </c>
      <c r="D535" s="25">
        <v>5333.0</v>
      </c>
      <c r="E535" s="25" t="s">
        <v>41</v>
      </c>
      <c r="F535" s="25" t="s">
        <v>42</v>
      </c>
      <c r="G535" s="25" t="s">
        <v>608</v>
      </c>
      <c r="H535" s="25" t="s">
        <v>79</v>
      </c>
      <c r="I535" s="25"/>
      <c r="J535" s="25" t="s">
        <v>1837</v>
      </c>
      <c r="K535" s="25"/>
      <c r="L535" s="26" t="s">
        <v>20</v>
      </c>
      <c r="M535" s="12">
        <v>45035.0</v>
      </c>
      <c r="N535" s="77" t="str">
        <f t="shared" si="1"/>
        <v>abril</v>
      </c>
    </row>
    <row r="536">
      <c r="A536" s="25" t="s">
        <v>1838</v>
      </c>
      <c r="B536" s="59">
        <v>45034.48998020834</v>
      </c>
      <c r="C536" s="25" t="s">
        <v>1491</v>
      </c>
      <c r="D536" s="25">
        <v>5333.0</v>
      </c>
      <c r="E536" s="25" t="s">
        <v>41</v>
      </c>
      <c r="F536" s="25" t="s">
        <v>42</v>
      </c>
      <c r="G536" s="25" t="s">
        <v>1599</v>
      </c>
      <c r="H536" s="25" t="s">
        <v>79</v>
      </c>
      <c r="I536" s="25"/>
      <c r="J536" s="25" t="s">
        <v>1839</v>
      </c>
      <c r="K536" s="25"/>
      <c r="L536" s="26" t="s">
        <v>20</v>
      </c>
      <c r="M536" s="12">
        <v>45035.0</v>
      </c>
      <c r="N536" s="77" t="str">
        <f t="shared" si="1"/>
        <v>abril</v>
      </c>
    </row>
    <row r="537">
      <c r="A537" s="25" t="s">
        <v>1840</v>
      </c>
      <c r="B537" s="59">
        <v>45034.53883607639</v>
      </c>
      <c r="C537" s="25" t="s">
        <v>531</v>
      </c>
      <c r="D537" s="25">
        <v>5341.0</v>
      </c>
      <c r="E537" s="25" t="s">
        <v>532</v>
      </c>
      <c r="F537" s="25" t="s">
        <v>347</v>
      </c>
      <c r="G537" s="25" t="s">
        <v>1077</v>
      </c>
      <c r="H537" s="25" t="s">
        <v>79</v>
      </c>
      <c r="I537" s="25"/>
      <c r="J537" s="25" t="s">
        <v>1841</v>
      </c>
      <c r="K537" s="25"/>
      <c r="L537" s="26" t="s">
        <v>20</v>
      </c>
      <c r="M537" s="12">
        <v>45035.0</v>
      </c>
      <c r="N537" s="77" t="str">
        <f t="shared" si="1"/>
        <v>abril</v>
      </c>
    </row>
    <row r="538">
      <c r="A538" s="25" t="s">
        <v>1842</v>
      </c>
      <c r="B538" s="59">
        <v>45034.54479762731</v>
      </c>
      <c r="C538" s="25" t="s">
        <v>531</v>
      </c>
      <c r="D538" s="25">
        <v>5341.0</v>
      </c>
      <c r="E538" s="25" t="s">
        <v>532</v>
      </c>
      <c r="F538" s="25" t="s">
        <v>393</v>
      </c>
      <c r="G538" s="25" t="s">
        <v>1180</v>
      </c>
      <c r="H538" s="25" t="s">
        <v>764</v>
      </c>
      <c r="I538" s="25"/>
      <c r="J538" s="25" t="s">
        <v>1843</v>
      </c>
      <c r="K538" s="25"/>
      <c r="L538" s="26" t="s">
        <v>20</v>
      </c>
      <c r="M538" s="12">
        <v>45062.0</v>
      </c>
      <c r="N538" s="77" t="str">
        <f t="shared" si="1"/>
        <v>abril</v>
      </c>
    </row>
    <row r="539">
      <c r="A539" s="25" t="s">
        <v>1844</v>
      </c>
      <c r="B539" s="59">
        <v>45034.549000127314</v>
      </c>
      <c r="C539" s="25" t="s">
        <v>1845</v>
      </c>
      <c r="D539" s="25">
        <v>5320.0</v>
      </c>
      <c r="E539" s="20" t="s">
        <v>206</v>
      </c>
      <c r="F539" s="25" t="s">
        <v>61</v>
      </c>
      <c r="G539" s="25" t="s">
        <v>1846</v>
      </c>
      <c r="H539" s="25" t="s">
        <v>37</v>
      </c>
      <c r="I539" s="25"/>
      <c r="J539" s="25" t="s">
        <v>1847</v>
      </c>
      <c r="K539" s="25"/>
      <c r="L539" s="26" t="s">
        <v>20</v>
      </c>
      <c r="M539" s="12">
        <v>45036.0</v>
      </c>
      <c r="N539" s="77" t="str">
        <f t="shared" si="1"/>
        <v>abril</v>
      </c>
    </row>
    <row r="540">
      <c r="A540" s="25" t="s">
        <v>1848</v>
      </c>
      <c r="B540" s="59">
        <v>45034.60831737268</v>
      </c>
      <c r="C540" s="25" t="s">
        <v>522</v>
      </c>
      <c r="D540" s="25">
        <v>6.198346672E10</v>
      </c>
      <c r="E540" s="25" t="s">
        <v>41</v>
      </c>
      <c r="F540" s="25" t="s">
        <v>42</v>
      </c>
      <c r="G540" s="25" t="s">
        <v>1849</v>
      </c>
      <c r="H540" s="25" t="s">
        <v>79</v>
      </c>
      <c r="I540" s="25"/>
      <c r="J540" s="25" t="s">
        <v>1850</v>
      </c>
      <c r="K540" s="25"/>
      <c r="L540" s="26" t="s">
        <v>20</v>
      </c>
      <c r="M540" s="12">
        <v>45043.0</v>
      </c>
      <c r="N540" s="77" t="str">
        <f t="shared" si="1"/>
        <v>abril</v>
      </c>
    </row>
    <row r="541">
      <c r="A541" s="25" t="s">
        <v>1851</v>
      </c>
      <c r="B541" s="59">
        <v>45034.623608043985</v>
      </c>
      <c r="C541" s="25" t="s">
        <v>486</v>
      </c>
      <c r="D541" s="25">
        <v>5340.0</v>
      </c>
      <c r="E541" s="25" t="s">
        <v>70</v>
      </c>
      <c r="F541" s="25" t="s">
        <v>1144</v>
      </c>
      <c r="G541" s="25" t="s">
        <v>1852</v>
      </c>
      <c r="H541" s="25" t="s">
        <v>1853</v>
      </c>
      <c r="I541" s="25"/>
      <c r="J541" s="25" t="s">
        <v>1854</v>
      </c>
      <c r="K541" s="25"/>
      <c r="L541" s="26" t="s">
        <v>20</v>
      </c>
      <c r="M541" s="12">
        <v>45035.0</v>
      </c>
      <c r="N541" s="77" t="str">
        <f t="shared" si="1"/>
        <v>abril</v>
      </c>
    </row>
    <row r="542">
      <c r="A542" s="25" t="s">
        <v>1855</v>
      </c>
      <c r="B542" s="59">
        <v>45034.6426846875</v>
      </c>
      <c r="C542" s="25" t="s">
        <v>553</v>
      </c>
      <c r="D542" s="25">
        <v>5318.0</v>
      </c>
      <c r="E542" s="25" t="s">
        <v>15</v>
      </c>
      <c r="F542" s="25" t="s">
        <v>347</v>
      </c>
      <c r="G542" s="25" t="s">
        <v>1856</v>
      </c>
      <c r="H542" s="25" t="s">
        <v>18</v>
      </c>
      <c r="I542" s="25"/>
      <c r="J542" s="25" t="s">
        <v>1856</v>
      </c>
      <c r="K542" s="25"/>
      <c r="L542" s="26" t="s">
        <v>20</v>
      </c>
      <c r="M542" s="12">
        <v>45036.0</v>
      </c>
      <c r="N542" s="77" t="str">
        <f t="shared" si="1"/>
        <v>abril</v>
      </c>
    </row>
    <row r="543">
      <c r="A543" s="25" t="s">
        <v>1857</v>
      </c>
      <c r="B543" s="59">
        <v>45034.678102210644</v>
      </c>
      <c r="C543" s="25" t="s">
        <v>53</v>
      </c>
      <c r="D543" s="25">
        <v>5302.0</v>
      </c>
      <c r="E543" s="20" t="s">
        <v>288</v>
      </c>
      <c r="F543" s="25" t="s">
        <v>1858</v>
      </c>
      <c r="G543" s="25" t="s">
        <v>1859</v>
      </c>
      <c r="H543" s="25" t="s">
        <v>79</v>
      </c>
      <c r="I543" s="25"/>
      <c r="J543" s="25" t="s">
        <v>1860</v>
      </c>
      <c r="K543" s="25"/>
      <c r="L543" s="26" t="s">
        <v>20</v>
      </c>
      <c r="M543" s="12">
        <v>45041.0</v>
      </c>
      <c r="N543" s="77" t="str">
        <f t="shared" si="1"/>
        <v>abril</v>
      </c>
    </row>
    <row r="544">
      <c r="A544" s="25" t="s">
        <v>1861</v>
      </c>
      <c r="B544" s="59">
        <v>45035.37720971065</v>
      </c>
      <c r="C544" s="25" t="s">
        <v>1862</v>
      </c>
      <c r="D544" s="25">
        <v>5399.0</v>
      </c>
      <c r="E544" s="25" t="s">
        <v>540</v>
      </c>
      <c r="F544" s="25" t="s">
        <v>82</v>
      </c>
      <c r="G544" s="25" t="s">
        <v>1863</v>
      </c>
      <c r="H544" s="25" t="s">
        <v>18</v>
      </c>
      <c r="I544" s="25"/>
      <c r="J544" s="25" t="s">
        <v>1864</v>
      </c>
      <c r="K544" s="25"/>
      <c r="L544" s="26" t="s">
        <v>20</v>
      </c>
      <c r="M544" s="12">
        <v>45036.0</v>
      </c>
      <c r="N544" s="77" t="str">
        <f t="shared" si="1"/>
        <v>abril</v>
      </c>
    </row>
    <row r="545">
      <c r="A545" s="88" t="s">
        <v>1865</v>
      </c>
      <c r="B545" s="8">
        <v>45035.40466541667</v>
      </c>
      <c r="C545" s="7" t="s">
        <v>987</v>
      </c>
      <c r="D545" s="7">
        <v>5343.0</v>
      </c>
      <c r="E545" s="25" t="s">
        <v>116</v>
      </c>
      <c r="F545" s="25" t="s">
        <v>82</v>
      </c>
      <c r="G545" s="9" t="s">
        <v>1590</v>
      </c>
      <c r="H545" s="7" t="s">
        <v>129</v>
      </c>
      <c r="I545" s="7"/>
      <c r="J545" s="60" t="s">
        <v>1866</v>
      </c>
      <c r="K545" s="54"/>
      <c r="L545" s="10" t="s">
        <v>20</v>
      </c>
      <c r="M545" s="55">
        <v>45301.0</v>
      </c>
      <c r="N545" s="77" t="str">
        <f t="shared" si="1"/>
        <v>abril</v>
      </c>
    </row>
    <row r="546">
      <c r="A546" s="25" t="s">
        <v>1867</v>
      </c>
      <c r="B546" s="59">
        <v>45035.4254506713</v>
      </c>
      <c r="C546" s="25" t="s">
        <v>1868</v>
      </c>
      <c r="D546" s="25">
        <v>5340.0</v>
      </c>
      <c r="E546" s="25" t="s">
        <v>70</v>
      </c>
      <c r="F546" s="20" t="s">
        <v>1621</v>
      </c>
      <c r="G546" s="25">
        <v>106.0</v>
      </c>
      <c r="H546" s="25" t="s">
        <v>37</v>
      </c>
      <c r="I546" s="25"/>
      <c r="J546" s="25" t="s">
        <v>1869</v>
      </c>
      <c r="K546" s="25"/>
      <c r="L546" s="26" t="s">
        <v>20</v>
      </c>
      <c r="M546" s="12">
        <v>45035.0</v>
      </c>
      <c r="N546" s="77" t="str">
        <f t="shared" si="1"/>
        <v>abril</v>
      </c>
    </row>
    <row r="547">
      <c r="A547" s="25" t="s">
        <v>1870</v>
      </c>
      <c r="B547" s="59">
        <v>45035.50601409722</v>
      </c>
      <c r="C547" s="25" t="s">
        <v>1871</v>
      </c>
      <c r="D547" s="25" t="s">
        <v>1872</v>
      </c>
      <c r="E547" s="25" t="s">
        <v>853</v>
      </c>
      <c r="F547" s="25" t="s">
        <v>86</v>
      </c>
      <c r="G547" s="25" t="s">
        <v>1873</v>
      </c>
      <c r="H547" s="25" t="s">
        <v>18</v>
      </c>
      <c r="I547" s="25"/>
      <c r="J547" s="25" t="s">
        <v>1874</v>
      </c>
      <c r="K547" s="25"/>
      <c r="L547" s="26" t="s">
        <v>20</v>
      </c>
      <c r="M547" s="12">
        <v>45031.0</v>
      </c>
      <c r="N547" s="77" t="str">
        <f t="shared" si="1"/>
        <v>abril</v>
      </c>
    </row>
    <row r="548">
      <c r="A548" s="25" t="s">
        <v>1875</v>
      </c>
      <c r="B548" s="59">
        <v>45035.628438125</v>
      </c>
      <c r="C548" s="25" t="s">
        <v>531</v>
      </c>
      <c r="D548" s="25">
        <v>5341.0</v>
      </c>
      <c r="E548" s="25" t="s">
        <v>532</v>
      </c>
      <c r="F548" s="25" t="s">
        <v>393</v>
      </c>
      <c r="G548" s="25" t="s">
        <v>1180</v>
      </c>
      <c r="H548" s="25" t="s">
        <v>764</v>
      </c>
      <c r="I548" s="25"/>
      <c r="J548" s="25" t="s">
        <v>1876</v>
      </c>
      <c r="K548" s="25"/>
      <c r="L548" s="26" t="s">
        <v>20</v>
      </c>
      <c r="M548" s="12">
        <v>45035.0</v>
      </c>
      <c r="N548" s="77" t="str">
        <f t="shared" si="1"/>
        <v>abril</v>
      </c>
    </row>
    <row r="549">
      <c r="A549" s="25" t="s">
        <v>1877</v>
      </c>
      <c r="B549" s="59">
        <v>45035.850278611106</v>
      </c>
      <c r="C549" s="25" t="s">
        <v>215</v>
      </c>
      <c r="D549" s="25">
        <v>5333.0</v>
      </c>
      <c r="E549" s="25" t="s">
        <v>41</v>
      </c>
      <c r="F549" s="25" t="s">
        <v>42</v>
      </c>
      <c r="G549" s="25">
        <v>301.0</v>
      </c>
      <c r="H549" s="25" t="s">
        <v>37</v>
      </c>
      <c r="I549" s="25"/>
      <c r="J549" s="25" t="s">
        <v>1878</v>
      </c>
      <c r="K549" s="25"/>
      <c r="L549" s="26" t="s">
        <v>20</v>
      </c>
      <c r="M549" s="12">
        <v>45048.0</v>
      </c>
      <c r="N549" s="77" t="str">
        <f t="shared" si="1"/>
        <v>abril</v>
      </c>
    </row>
    <row r="550">
      <c r="A550" s="25" t="s">
        <v>1879</v>
      </c>
      <c r="B550" s="59">
        <v>45036.699378703706</v>
      </c>
      <c r="C550" s="25" t="s">
        <v>1880</v>
      </c>
      <c r="D550" s="25">
        <v>5369.0</v>
      </c>
      <c r="E550" s="25" t="s">
        <v>111</v>
      </c>
      <c r="F550" s="25" t="s">
        <v>116</v>
      </c>
      <c r="G550" s="85" t="s">
        <v>1881</v>
      </c>
      <c r="H550" s="25" t="s">
        <v>129</v>
      </c>
      <c r="I550" s="25"/>
      <c r="J550" s="25" t="s">
        <v>1882</v>
      </c>
      <c r="K550" s="25" t="s">
        <v>1883</v>
      </c>
      <c r="L550" s="26" t="s">
        <v>20</v>
      </c>
      <c r="M550" s="12">
        <v>45043.0</v>
      </c>
      <c r="N550" s="77" t="str">
        <f t="shared" si="1"/>
        <v>abril</v>
      </c>
    </row>
    <row r="551">
      <c r="A551" s="25" t="s">
        <v>1884</v>
      </c>
      <c r="B551" s="59">
        <v>45040.349668877316</v>
      </c>
      <c r="C551" s="25" t="s">
        <v>1885</v>
      </c>
      <c r="D551" s="25" t="s">
        <v>1886</v>
      </c>
      <c r="E551" s="25" t="s">
        <v>1127</v>
      </c>
      <c r="F551" s="25" t="s">
        <v>1887</v>
      </c>
      <c r="G551" s="25" t="s">
        <v>1888</v>
      </c>
      <c r="H551" s="25" t="s">
        <v>37</v>
      </c>
      <c r="I551" s="25"/>
      <c r="J551" s="25" t="s">
        <v>1889</v>
      </c>
      <c r="K551" s="25" t="s">
        <v>1890</v>
      </c>
      <c r="L551" s="26" t="s">
        <v>20</v>
      </c>
      <c r="M551" s="12">
        <v>45040.0</v>
      </c>
      <c r="N551" s="77" t="str">
        <f t="shared" si="1"/>
        <v>abril</v>
      </c>
    </row>
    <row r="552">
      <c r="A552" s="25" t="s">
        <v>1891</v>
      </c>
      <c r="B552" s="59">
        <v>45040.36476668982</v>
      </c>
      <c r="C552" s="25" t="s">
        <v>1885</v>
      </c>
      <c r="D552" s="25" t="s">
        <v>1886</v>
      </c>
      <c r="E552" s="25" t="s">
        <v>1127</v>
      </c>
      <c r="F552" s="25" t="s">
        <v>1309</v>
      </c>
      <c r="G552" s="25" t="s">
        <v>1888</v>
      </c>
      <c r="H552" s="25" t="s">
        <v>129</v>
      </c>
      <c r="I552" s="25"/>
      <c r="J552" s="25" t="s">
        <v>1892</v>
      </c>
      <c r="K552" s="25" t="s">
        <v>1893</v>
      </c>
      <c r="L552" s="26" t="s">
        <v>20</v>
      </c>
      <c r="M552" s="12">
        <v>45041.0</v>
      </c>
      <c r="N552" s="77" t="str">
        <f t="shared" si="1"/>
        <v>abril</v>
      </c>
    </row>
    <row r="553">
      <c r="A553" s="25" t="s">
        <v>1894</v>
      </c>
      <c r="B553" s="59">
        <v>45040.38210346065</v>
      </c>
      <c r="C553" s="25" t="s">
        <v>1491</v>
      </c>
      <c r="D553" s="25">
        <v>5333.0</v>
      </c>
      <c r="E553" s="25" t="s">
        <v>41</v>
      </c>
      <c r="F553" s="25" t="s">
        <v>42</v>
      </c>
      <c r="G553" s="25" t="s">
        <v>1895</v>
      </c>
      <c r="H553" s="25" t="s">
        <v>79</v>
      </c>
      <c r="I553" s="25"/>
      <c r="J553" s="25" t="s">
        <v>1896</v>
      </c>
      <c r="K553" s="25" t="s">
        <v>1897</v>
      </c>
      <c r="L553" s="26" t="s">
        <v>20</v>
      </c>
      <c r="M553" s="12">
        <v>45043.0</v>
      </c>
      <c r="N553" s="77" t="str">
        <f t="shared" si="1"/>
        <v>abril</v>
      </c>
    </row>
    <row r="554">
      <c r="A554" s="25" t="s">
        <v>1898</v>
      </c>
      <c r="B554" s="59">
        <v>45040.39750528935</v>
      </c>
      <c r="C554" s="25" t="s">
        <v>486</v>
      </c>
      <c r="D554" s="25">
        <v>5340.0</v>
      </c>
      <c r="E554" s="25" t="s">
        <v>70</v>
      </c>
      <c r="F554" s="25" t="s">
        <v>86</v>
      </c>
      <c r="G554" s="25" t="s">
        <v>1899</v>
      </c>
      <c r="H554" s="25" t="s">
        <v>764</v>
      </c>
      <c r="I554" s="25"/>
      <c r="J554" s="25" t="s">
        <v>1900</v>
      </c>
      <c r="K554" s="25"/>
      <c r="L554" s="26" t="s">
        <v>20</v>
      </c>
      <c r="M554" s="12">
        <v>45044.0</v>
      </c>
      <c r="N554" s="77" t="str">
        <f t="shared" si="1"/>
        <v>abril</v>
      </c>
    </row>
    <row r="555">
      <c r="A555" s="25" t="s">
        <v>1901</v>
      </c>
      <c r="B555" s="59">
        <v>45040.39825023148</v>
      </c>
      <c r="C555" s="25" t="s">
        <v>1041</v>
      </c>
      <c r="D555" s="25" t="s">
        <v>1902</v>
      </c>
      <c r="E555" s="25" t="s">
        <v>34</v>
      </c>
      <c r="F555" s="25" t="s">
        <v>347</v>
      </c>
      <c r="G555" s="25" t="s">
        <v>751</v>
      </c>
      <c r="H555" s="25" t="s">
        <v>764</v>
      </c>
      <c r="I555" s="25"/>
      <c r="J555" s="25" t="s">
        <v>1903</v>
      </c>
      <c r="K555" s="25"/>
      <c r="L555" s="26" t="s">
        <v>20</v>
      </c>
      <c r="M555" s="12">
        <v>45049.0</v>
      </c>
      <c r="N555" s="77" t="str">
        <f t="shared" si="1"/>
        <v>abril</v>
      </c>
    </row>
    <row r="556">
      <c r="A556" s="25" t="s">
        <v>1904</v>
      </c>
      <c r="B556" s="59">
        <v>45040.420782789355</v>
      </c>
      <c r="C556" s="25" t="s">
        <v>1491</v>
      </c>
      <c r="D556" s="25">
        <v>5333.0</v>
      </c>
      <c r="E556" s="25" t="s">
        <v>41</v>
      </c>
      <c r="F556" s="25" t="s">
        <v>42</v>
      </c>
      <c r="G556" s="25" t="s">
        <v>1895</v>
      </c>
      <c r="H556" s="25" t="s">
        <v>764</v>
      </c>
      <c r="I556" s="25"/>
      <c r="J556" s="25" t="s">
        <v>1905</v>
      </c>
      <c r="K556" s="25" t="s">
        <v>1906</v>
      </c>
      <c r="L556" s="26" t="s">
        <v>20</v>
      </c>
      <c r="M556" s="12">
        <v>45043.0</v>
      </c>
      <c r="N556" s="77" t="str">
        <f t="shared" si="1"/>
        <v>abril</v>
      </c>
    </row>
    <row r="557">
      <c r="A557" s="25" t="s">
        <v>1907</v>
      </c>
      <c r="B557" s="59">
        <v>45040.46840305555</v>
      </c>
      <c r="C557" s="25" t="s">
        <v>1491</v>
      </c>
      <c r="D557" s="25">
        <v>5333.0</v>
      </c>
      <c r="E557" s="25" t="s">
        <v>41</v>
      </c>
      <c r="F557" s="25" t="s">
        <v>42</v>
      </c>
      <c r="G557" s="25" t="s">
        <v>608</v>
      </c>
      <c r="H557" s="25" t="s">
        <v>79</v>
      </c>
      <c r="I557" s="25"/>
      <c r="J557" s="25" t="s">
        <v>1908</v>
      </c>
      <c r="K557" s="25" t="s">
        <v>608</v>
      </c>
      <c r="L557" s="26" t="s">
        <v>20</v>
      </c>
      <c r="M557" s="12">
        <v>45043.0</v>
      </c>
      <c r="N557" s="77" t="str">
        <f t="shared" si="1"/>
        <v>abril</v>
      </c>
    </row>
    <row r="558">
      <c r="A558" s="25" t="s">
        <v>1909</v>
      </c>
      <c r="B558" s="59">
        <v>45040.47877128472</v>
      </c>
      <c r="C558" s="25" t="s">
        <v>486</v>
      </c>
      <c r="D558" s="25">
        <v>5340.0</v>
      </c>
      <c r="E558" s="25" t="s">
        <v>70</v>
      </c>
      <c r="F558" s="25" t="s">
        <v>1661</v>
      </c>
      <c r="G558" s="25" t="s">
        <v>1208</v>
      </c>
      <c r="H558" s="25" t="s">
        <v>79</v>
      </c>
      <c r="I558" s="25"/>
      <c r="J558" s="25" t="s">
        <v>1910</v>
      </c>
      <c r="K558" s="25"/>
      <c r="L558" s="26" t="s">
        <v>20</v>
      </c>
      <c r="M558" s="12">
        <v>45056.0</v>
      </c>
      <c r="N558" s="77" t="str">
        <f t="shared" si="1"/>
        <v>abril</v>
      </c>
    </row>
    <row r="559">
      <c r="A559" s="25" t="s">
        <v>1911</v>
      </c>
      <c r="B559" s="59">
        <v>45040.65619314815</v>
      </c>
      <c r="C559" s="25" t="s">
        <v>1912</v>
      </c>
      <c r="D559" s="25">
        <v>5308.0</v>
      </c>
      <c r="E559" s="25" t="s">
        <v>1372</v>
      </c>
      <c r="F559" s="25" t="s">
        <v>1913</v>
      </c>
      <c r="G559" s="25" t="s">
        <v>1914</v>
      </c>
      <c r="H559" s="25" t="s">
        <v>162</v>
      </c>
      <c r="I559" s="25"/>
      <c r="J559" s="25" t="s">
        <v>1915</v>
      </c>
      <c r="K559" s="25"/>
      <c r="L559" s="26" t="s">
        <v>20</v>
      </c>
      <c r="M559" s="12">
        <v>45175.0</v>
      </c>
      <c r="N559" s="77" t="str">
        <f t="shared" si="1"/>
        <v>abril</v>
      </c>
    </row>
    <row r="560">
      <c r="A560" s="25" t="s">
        <v>1916</v>
      </c>
      <c r="B560" s="59">
        <v>45041.32406450232</v>
      </c>
      <c r="C560" s="25" t="s">
        <v>486</v>
      </c>
      <c r="D560" s="25">
        <v>5340.0</v>
      </c>
      <c r="E560" s="25" t="s">
        <v>70</v>
      </c>
      <c r="F560" s="25" t="s">
        <v>393</v>
      </c>
      <c r="G560" s="25" t="s">
        <v>1823</v>
      </c>
      <c r="H560" s="25" t="s">
        <v>37</v>
      </c>
      <c r="I560" s="25"/>
      <c r="J560" s="25" t="s">
        <v>1917</v>
      </c>
      <c r="K560" s="25"/>
      <c r="L560" s="26" t="s">
        <v>20</v>
      </c>
      <c r="M560" s="12">
        <v>45044.0</v>
      </c>
      <c r="N560" s="77" t="str">
        <f t="shared" si="1"/>
        <v>abril</v>
      </c>
    </row>
    <row r="561">
      <c r="A561" s="25" t="s">
        <v>1918</v>
      </c>
      <c r="B561" s="59">
        <v>45041.3609106713</v>
      </c>
      <c r="C561" s="25" t="s">
        <v>138</v>
      </c>
      <c r="D561" s="25">
        <v>5318.0</v>
      </c>
      <c r="E561" s="25" t="s">
        <v>15</v>
      </c>
      <c r="F561" s="25" t="s">
        <v>86</v>
      </c>
      <c r="G561" s="25" t="s">
        <v>1919</v>
      </c>
      <c r="H561" s="25" t="s">
        <v>18</v>
      </c>
      <c r="I561" s="25"/>
      <c r="J561" s="25" t="s">
        <v>1920</v>
      </c>
      <c r="K561" s="25"/>
      <c r="L561" s="26" t="s">
        <v>20</v>
      </c>
      <c r="M561" s="12">
        <v>45041.0</v>
      </c>
      <c r="N561" s="77" t="str">
        <f t="shared" si="1"/>
        <v>abril</v>
      </c>
    </row>
    <row r="562">
      <c r="A562" s="25" t="s">
        <v>1921</v>
      </c>
      <c r="B562" s="59">
        <v>45041.52751071759</v>
      </c>
      <c r="C562" s="25" t="s">
        <v>1491</v>
      </c>
      <c r="D562" s="25">
        <v>5333.0</v>
      </c>
      <c r="E562" s="25" t="s">
        <v>41</v>
      </c>
      <c r="F562" s="25" t="s">
        <v>42</v>
      </c>
      <c r="G562" s="25" t="s">
        <v>1922</v>
      </c>
      <c r="H562" s="25" t="s">
        <v>79</v>
      </c>
      <c r="I562" s="25"/>
      <c r="J562" s="25" t="s">
        <v>1923</v>
      </c>
      <c r="K562" s="25"/>
      <c r="L562" s="26" t="s">
        <v>20</v>
      </c>
      <c r="M562" s="12">
        <v>45043.0</v>
      </c>
      <c r="N562" s="77" t="str">
        <f t="shared" si="1"/>
        <v>abril</v>
      </c>
    </row>
    <row r="563">
      <c r="A563" s="25" t="s">
        <v>1924</v>
      </c>
      <c r="B563" s="59">
        <v>45041.62064190972</v>
      </c>
      <c r="C563" s="25" t="s">
        <v>1925</v>
      </c>
      <c r="D563" s="25">
        <v>2114.0</v>
      </c>
      <c r="E563" s="25" t="s">
        <v>853</v>
      </c>
      <c r="F563" s="25" t="s">
        <v>1926</v>
      </c>
      <c r="G563" s="25" t="s">
        <v>1927</v>
      </c>
      <c r="H563" s="25" t="s">
        <v>764</v>
      </c>
      <c r="I563" s="25"/>
      <c r="J563" s="25" t="s">
        <v>1928</v>
      </c>
      <c r="K563" s="25" t="s">
        <v>1929</v>
      </c>
      <c r="L563" s="26" t="s">
        <v>20</v>
      </c>
      <c r="M563" s="12">
        <v>45044.0</v>
      </c>
      <c r="N563" s="77" t="str">
        <f t="shared" si="1"/>
        <v>abril</v>
      </c>
    </row>
    <row r="564">
      <c r="A564" s="25" t="s">
        <v>1930</v>
      </c>
      <c r="B564" s="59">
        <v>45041.67338732639</v>
      </c>
      <c r="C564" s="25" t="s">
        <v>198</v>
      </c>
      <c r="D564" s="25">
        <v>6.2991579626E10</v>
      </c>
      <c r="E564" s="25" t="s">
        <v>853</v>
      </c>
      <c r="F564" s="25" t="s">
        <v>86</v>
      </c>
      <c r="G564" s="25" t="s">
        <v>1931</v>
      </c>
      <c r="H564" s="25" t="s">
        <v>37</v>
      </c>
      <c r="I564" s="25"/>
      <c r="J564" s="25" t="s">
        <v>1932</v>
      </c>
      <c r="K564" s="25"/>
      <c r="L564" s="26" t="s">
        <v>20</v>
      </c>
      <c r="M564" s="12">
        <v>45147.0</v>
      </c>
      <c r="N564" s="77" t="str">
        <f t="shared" si="1"/>
        <v>abril</v>
      </c>
    </row>
    <row r="565">
      <c r="A565" s="25" t="s">
        <v>1933</v>
      </c>
      <c r="B565" s="59">
        <v>45041.701439965276</v>
      </c>
      <c r="C565" s="25" t="s">
        <v>339</v>
      </c>
      <c r="D565" s="25" t="s">
        <v>723</v>
      </c>
      <c r="E565" s="25" t="s">
        <v>284</v>
      </c>
      <c r="F565" s="25" t="s">
        <v>86</v>
      </c>
      <c r="G565" s="25" t="s">
        <v>1934</v>
      </c>
      <c r="H565" s="25" t="s">
        <v>37</v>
      </c>
      <c r="I565" s="25"/>
      <c r="J565" s="25" t="s">
        <v>1935</v>
      </c>
      <c r="K565" s="25" t="s">
        <v>1936</v>
      </c>
      <c r="L565" s="26" t="s">
        <v>20</v>
      </c>
      <c r="M565" s="12">
        <v>45050.0</v>
      </c>
      <c r="N565" s="77" t="str">
        <f t="shared" si="1"/>
        <v>abril</v>
      </c>
    </row>
    <row r="566">
      <c r="A566" s="25" t="s">
        <v>1937</v>
      </c>
      <c r="B566" s="59">
        <v>45042.37106951389</v>
      </c>
      <c r="C566" s="25" t="s">
        <v>1938</v>
      </c>
      <c r="D566" s="25">
        <v>5308.0</v>
      </c>
      <c r="E566" s="25" t="s">
        <v>1372</v>
      </c>
      <c r="F566" s="25" t="s">
        <v>1939</v>
      </c>
      <c r="G566" s="25" t="s">
        <v>1940</v>
      </c>
      <c r="H566" s="25" t="s">
        <v>79</v>
      </c>
      <c r="I566" s="25"/>
      <c r="J566" s="25" t="s">
        <v>1941</v>
      </c>
      <c r="K566" s="25"/>
      <c r="L566" s="26" t="s">
        <v>20</v>
      </c>
      <c r="M566" s="12">
        <v>45048.0</v>
      </c>
      <c r="N566" s="77" t="str">
        <f t="shared" si="1"/>
        <v>abril</v>
      </c>
    </row>
    <row r="567">
      <c r="A567" s="88" t="s">
        <v>1942</v>
      </c>
      <c r="B567" s="8">
        <v>45042.504715358795</v>
      </c>
      <c r="C567" s="7" t="s">
        <v>1943</v>
      </c>
      <c r="D567" s="7">
        <v>7602.0</v>
      </c>
      <c r="E567" s="25" t="s">
        <v>195</v>
      </c>
      <c r="F567" s="7" t="s">
        <v>35</v>
      </c>
      <c r="G567" s="9" t="s">
        <v>1944</v>
      </c>
      <c r="H567" s="7" t="s">
        <v>162</v>
      </c>
      <c r="I567" s="7"/>
      <c r="J567" s="60" t="s">
        <v>1945</v>
      </c>
      <c r="K567" s="54"/>
      <c r="L567" s="10" t="s">
        <v>20</v>
      </c>
      <c r="M567" s="55">
        <v>45288.0</v>
      </c>
      <c r="N567" s="77" t="str">
        <f t="shared" si="1"/>
        <v>abril</v>
      </c>
    </row>
    <row r="568">
      <c r="A568" s="88" t="s">
        <v>1946</v>
      </c>
      <c r="B568" s="8">
        <v>45042.50603862268</v>
      </c>
      <c r="C568" s="7" t="s">
        <v>1943</v>
      </c>
      <c r="D568" s="7">
        <v>7602.0</v>
      </c>
      <c r="E568" s="25" t="s">
        <v>195</v>
      </c>
      <c r="F568" s="7" t="s">
        <v>35</v>
      </c>
      <c r="G568" s="9" t="s">
        <v>1947</v>
      </c>
      <c r="H568" s="7" t="s">
        <v>37</v>
      </c>
      <c r="I568" s="7"/>
      <c r="J568" s="60" t="s">
        <v>1948</v>
      </c>
      <c r="K568" s="10" t="s">
        <v>1949</v>
      </c>
      <c r="L568" s="10" t="s">
        <v>738</v>
      </c>
      <c r="M568" s="43"/>
      <c r="N568" s="77" t="str">
        <f t="shared" si="1"/>
        <v>abril</v>
      </c>
    </row>
    <row r="569">
      <c r="A569" s="25" t="s">
        <v>1950</v>
      </c>
      <c r="B569" s="59">
        <v>45042.507410590275</v>
      </c>
      <c r="C569" s="25" t="s">
        <v>1943</v>
      </c>
      <c r="D569" s="25">
        <v>7602.0</v>
      </c>
      <c r="E569" s="25" t="s">
        <v>195</v>
      </c>
      <c r="F569" s="25" t="s">
        <v>35</v>
      </c>
      <c r="G569" s="25" t="s">
        <v>1951</v>
      </c>
      <c r="H569" s="25" t="s">
        <v>79</v>
      </c>
      <c r="I569" s="25"/>
      <c r="J569" s="25" t="s">
        <v>1952</v>
      </c>
      <c r="K569" s="25"/>
      <c r="L569" s="26" t="s">
        <v>20</v>
      </c>
      <c r="M569" s="12">
        <v>45030.0</v>
      </c>
      <c r="N569" s="77" t="str">
        <f t="shared" si="1"/>
        <v>abril</v>
      </c>
    </row>
    <row r="570">
      <c r="A570" s="25" t="s">
        <v>1953</v>
      </c>
      <c r="B570" s="59">
        <v>45042.508690648145</v>
      </c>
      <c r="C570" s="25" t="s">
        <v>1943</v>
      </c>
      <c r="D570" s="25">
        <v>7602.0</v>
      </c>
      <c r="E570" s="25" t="s">
        <v>195</v>
      </c>
      <c r="F570" s="25" t="s">
        <v>35</v>
      </c>
      <c r="G570" s="25" t="s">
        <v>1954</v>
      </c>
      <c r="H570" s="25" t="s">
        <v>162</v>
      </c>
      <c r="I570" s="25"/>
      <c r="J570" s="25" t="s">
        <v>1955</v>
      </c>
      <c r="K570" s="25"/>
      <c r="L570" s="26" t="s">
        <v>20</v>
      </c>
      <c r="M570" s="12">
        <v>45132.0</v>
      </c>
      <c r="N570" s="77" t="str">
        <f t="shared" si="1"/>
        <v>abril</v>
      </c>
    </row>
    <row r="571">
      <c r="A571" s="25" t="s">
        <v>1956</v>
      </c>
      <c r="B571" s="59">
        <v>45042.5985253588</v>
      </c>
      <c r="C571" s="25" t="s">
        <v>512</v>
      </c>
      <c r="D571" s="25">
        <v>5390.0</v>
      </c>
      <c r="E571" s="25" t="s">
        <v>70</v>
      </c>
      <c r="F571" s="20" t="s">
        <v>1220</v>
      </c>
      <c r="G571" s="25" t="s">
        <v>1957</v>
      </c>
      <c r="H571" s="25" t="s">
        <v>37</v>
      </c>
      <c r="I571" s="25"/>
      <c r="J571" s="25" t="s">
        <v>1958</v>
      </c>
      <c r="K571" s="25"/>
      <c r="L571" s="26" t="s">
        <v>20</v>
      </c>
      <c r="M571" s="12">
        <v>45153.0</v>
      </c>
      <c r="N571" s="77" t="str">
        <f t="shared" si="1"/>
        <v>abril</v>
      </c>
    </row>
    <row r="572">
      <c r="A572" s="25" t="s">
        <v>1959</v>
      </c>
      <c r="B572" s="59">
        <v>45042.59935826389</v>
      </c>
      <c r="C572" s="25" t="s">
        <v>512</v>
      </c>
      <c r="D572" s="25">
        <v>5340.0</v>
      </c>
      <c r="E572" s="25" t="s">
        <v>70</v>
      </c>
      <c r="F572" s="25" t="s">
        <v>347</v>
      </c>
      <c r="G572" s="25">
        <v>202.0</v>
      </c>
      <c r="H572" s="25" t="s">
        <v>764</v>
      </c>
      <c r="I572" s="25"/>
      <c r="J572" s="25" t="s">
        <v>1960</v>
      </c>
      <c r="K572" s="25"/>
      <c r="L572" s="26" t="s">
        <v>20</v>
      </c>
      <c r="M572" s="12">
        <v>45042.0</v>
      </c>
      <c r="N572" s="77" t="str">
        <f t="shared" si="1"/>
        <v>abril</v>
      </c>
    </row>
    <row r="573">
      <c r="A573" s="25" t="s">
        <v>1961</v>
      </c>
      <c r="B573" s="59">
        <v>45042.766926076394</v>
      </c>
      <c r="C573" s="25" t="s">
        <v>876</v>
      </c>
      <c r="D573" s="25" t="s">
        <v>1962</v>
      </c>
      <c r="E573" s="25" t="s">
        <v>187</v>
      </c>
      <c r="F573" s="25" t="s">
        <v>347</v>
      </c>
      <c r="G573" s="25" t="s">
        <v>1963</v>
      </c>
      <c r="H573" s="25" t="s">
        <v>37</v>
      </c>
      <c r="I573" s="25"/>
      <c r="J573" s="25" t="s">
        <v>1964</v>
      </c>
      <c r="K573" s="25"/>
      <c r="L573" s="26" t="s">
        <v>20</v>
      </c>
      <c r="M573" s="12">
        <v>45063.0</v>
      </c>
      <c r="N573" s="77" t="str">
        <f t="shared" si="1"/>
        <v>abril</v>
      </c>
    </row>
    <row r="574">
      <c r="A574" s="25" t="s">
        <v>1965</v>
      </c>
      <c r="B574" s="59">
        <v>45043.319452592594</v>
      </c>
      <c r="C574" s="25" t="s">
        <v>1966</v>
      </c>
      <c r="D574" s="25">
        <v>5340.0</v>
      </c>
      <c r="E574" s="25" t="s">
        <v>70</v>
      </c>
      <c r="F574" s="25" t="s">
        <v>1967</v>
      </c>
      <c r="G574" s="25" t="s">
        <v>1967</v>
      </c>
      <c r="H574" s="25" t="s">
        <v>37</v>
      </c>
      <c r="I574" s="25"/>
      <c r="J574" s="25" t="s">
        <v>1968</v>
      </c>
      <c r="K574" s="25"/>
      <c r="L574" s="26" t="s">
        <v>20</v>
      </c>
      <c r="M574" s="12">
        <v>45043.0</v>
      </c>
      <c r="N574" s="77" t="str">
        <f t="shared" si="1"/>
        <v>abril</v>
      </c>
    </row>
    <row r="575">
      <c r="A575" s="25" t="s">
        <v>1969</v>
      </c>
      <c r="B575" s="59">
        <v>45043.669033541664</v>
      </c>
      <c r="C575" s="25" t="s">
        <v>1491</v>
      </c>
      <c r="D575" s="25">
        <v>5333.0</v>
      </c>
      <c r="E575" s="25" t="s">
        <v>41</v>
      </c>
      <c r="F575" s="25" t="s">
        <v>42</v>
      </c>
      <c r="G575" s="25" t="s">
        <v>1970</v>
      </c>
      <c r="H575" s="25" t="s">
        <v>37</v>
      </c>
      <c r="I575" s="25"/>
      <c r="J575" s="25" t="s">
        <v>1971</v>
      </c>
      <c r="K575" s="25"/>
      <c r="L575" s="26" t="s">
        <v>20</v>
      </c>
      <c r="M575" s="12">
        <v>45048.0</v>
      </c>
      <c r="N575" s="77" t="str">
        <f t="shared" si="1"/>
        <v>abril</v>
      </c>
    </row>
    <row r="576">
      <c r="A576" s="25" t="s">
        <v>1972</v>
      </c>
      <c r="B576" s="59">
        <v>45043.687882314814</v>
      </c>
      <c r="C576" s="25" t="s">
        <v>215</v>
      </c>
      <c r="D576" s="25">
        <v>5333.0</v>
      </c>
      <c r="E576" s="25" t="s">
        <v>41</v>
      </c>
      <c r="F576" s="25" t="s">
        <v>1973</v>
      </c>
      <c r="G576" s="25" t="s">
        <v>1974</v>
      </c>
      <c r="H576" s="25" t="s">
        <v>162</v>
      </c>
      <c r="I576" s="25"/>
      <c r="J576" s="25" t="s">
        <v>1975</v>
      </c>
      <c r="K576" s="25"/>
      <c r="L576" s="26" t="s">
        <v>20</v>
      </c>
      <c r="M576" s="12">
        <v>45138.0</v>
      </c>
      <c r="N576" s="77" t="str">
        <f t="shared" si="1"/>
        <v>abril</v>
      </c>
    </row>
    <row r="577">
      <c r="A577" s="25" t="s">
        <v>1976</v>
      </c>
      <c r="B577" s="59">
        <v>45044.30106541667</v>
      </c>
      <c r="C577" s="25" t="s">
        <v>486</v>
      </c>
      <c r="D577" s="25">
        <v>5340.0</v>
      </c>
      <c r="E577" s="25" t="s">
        <v>70</v>
      </c>
      <c r="F577" s="25" t="s">
        <v>816</v>
      </c>
      <c r="G577" s="25">
        <v>106.0</v>
      </c>
      <c r="H577" s="25" t="s">
        <v>1853</v>
      </c>
      <c r="I577" s="25"/>
      <c r="J577" s="25" t="s">
        <v>1977</v>
      </c>
      <c r="K577" s="25"/>
      <c r="L577" s="26" t="s">
        <v>20</v>
      </c>
      <c r="M577" s="12">
        <v>45063.0</v>
      </c>
      <c r="N577" s="77" t="str">
        <f t="shared" si="1"/>
        <v>abril</v>
      </c>
    </row>
    <row r="578">
      <c r="A578" s="25" t="s">
        <v>1978</v>
      </c>
      <c r="B578" s="59">
        <v>45044.31609807871</v>
      </c>
      <c r="C578" s="25" t="s">
        <v>659</v>
      </c>
      <c r="D578" s="25">
        <v>5340.0</v>
      </c>
      <c r="E578" s="25" t="s">
        <v>70</v>
      </c>
      <c r="F578" s="25" t="s">
        <v>86</v>
      </c>
      <c r="G578" s="25" t="s">
        <v>1979</v>
      </c>
      <c r="H578" s="25" t="s">
        <v>79</v>
      </c>
      <c r="I578" s="25"/>
      <c r="J578" s="25" t="s">
        <v>1980</v>
      </c>
      <c r="K578" s="25"/>
      <c r="L578" s="26" t="s">
        <v>20</v>
      </c>
      <c r="M578" s="12">
        <v>45044.0</v>
      </c>
      <c r="N578" s="77" t="str">
        <f t="shared" si="1"/>
        <v>abril</v>
      </c>
    </row>
    <row r="579">
      <c r="A579" s="25" t="s">
        <v>1981</v>
      </c>
      <c r="B579" s="59">
        <v>45044.5902646412</v>
      </c>
      <c r="C579" s="25" t="s">
        <v>1982</v>
      </c>
      <c r="D579" s="25">
        <v>6.298454098E10</v>
      </c>
      <c r="E579" s="25" t="s">
        <v>70</v>
      </c>
      <c r="F579" s="25" t="s">
        <v>1983</v>
      </c>
      <c r="G579" s="25">
        <v>101.0</v>
      </c>
      <c r="H579" s="25" t="s">
        <v>79</v>
      </c>
      <c r="I579" s="25"/>
      <c r="J579" s="25" t="s">
        <v>1984</v>
      </c>
      <c r="K579" s="25"/>
      <c r="L579" s="26" t="s">
        <v>20</v>
      </c>
      <c r="M579" s="12">
        <v>45176.0</v>
      </c>
      <c r="N579" s="77" t="str">
        <f t="shared" si="1"/>
        <v>abril</v>
      </c>
    </row>
    <row r="580">
      <c r="A580" s="25" t="s">
        <v>1985</v>
      </c>
      <c r="B580" s="59">
        <v>45044.65501207176</v>
      </c>
      <c r="C580" s="25" t="s">
        <v>266</v>
      </c>
      <c r="D580" s="25" t="s">
        <v>1986</v>
      </c>
      <c r="E580" s="25" t="s">
        <v>987</v>
      </c>
      <c r="F580" s="25" t="s">
        <v>1987</v>
      </c>
      <c r="G580" s="25" t="s">
        <v>1988</v>
      </c>
      <c r="H580" s="25" t="s">
        <v>764</v>
      </c>
      <c r="I580" s="25"/>
      <c r="J580" s="25" t="s">
        <v>1989</v>
      </c>
      <c r="K580" s="25"/>
      <c r="L580" s="26" t="s">
        <v>20</v>
      </c>
      <c r="M580" s="12">
        <v>45177.0</v>
      </c>
      <c r="N580" s="77" t="str">
        <f t="shared" si="1"/>
        <v>abril</v>
      </c>
    </row>
    <row r="581">
      <c r="A581" s="25" t="s">
        <v>1990</v>
      </c>
      <c r="B581" s="59">
        <v>45044.73123939815</v>
      </c>
      <c r="C581" s="25" t="s">
        <v>1991</v>
      </c>
      <c r="D581" s="25">
        <v>3.4999148783E10</v>
      </c>
      <c r="E581" s="25" t="s">
        <v>580</v>
      </c>
      <c r="F581" s="25" t="s">
        <v>1992</v>
      </c>
      <c r="G581" s="25" t="s">
        <v>1993</v>
      </c>
      <c r="H581" s="25" t="s">
        <v>37</v>
      </c>
      <c r="I581" s="25"/>
      <c r="J581" s="25" t="s">
        <v>1994</v>
      </c>
      <c r="K581" s="25"/>
      <c r="L581" s="26" t="s">
        <v>20</v>
      </c>
      <c r="M581" s="12">
        <v>45050.0</v>
      </c>
      <c r="N581" s="77" t="str">
        <f t="shared" si="1"/>
        <v>abril</v>
      </c>
    </row>
    <row r="582">
      <c r="A582" s="25" t="s">
        <v>1995</v>
      </c>
      <c r="B582" s="59">
        <v>45046.57780998843</v>
      </c>
      <c r="C582" s="25" t="s">
        <v>553</v>
      </c>
      <c r="D582" s="25">
        <v>5318.0</v>
      </c>
      <c r="E582" s="25" t="s">
        <v>15</v>
      </c>
      <c r="F582" s="25" t="s">
        <v>86</v>
      </c>
      <c r="G582" s="25" t="s">
        <v>1996</v>
      </c>
      <c r="H582" s="25" t="s">
        <v>18</v>
      </c>
      <c r="I582" s="25"/>
      <c r="J582" s="25" t="s">
        <v>1997</v>
      </c>
      <c r="K582" s="25"/>
      <c r="L582" s="26" t="s">
        <v>20</v>
      </c>
      <c r="M582" s="12">
        <v>45048.0</v>
      </c>
      <c r="N582" s="77" t="str">
        <f t="shared" si="1"/>
        <v>abril</v>
      </c>
    </row>
    <row r="583">
      <c r="A583" s="25" t="s">
        <v>1998</v>
      </c>
      <c r="B583" s="59">
        <v>45048.31215222222</v>
      </c>
      <c r="C583" s="25" t="s">
        <v>486</v>
      </c>
      <c r="D583" s="25">
        <v>5340.0</v>
      </c>
      <c r="E583" s="25" t="s">
        <v>70</v>
      </c>
      <c r="F583" s="25" t="s">
        <v>1076</v>
      </c>
      <c r="G583" s="25" t="s">
        <v>1999</v>
      </c>
      <c r="H583" s="25" t="s">
        <v>129</v>
      </c>
      <c r="I583" s="25"/>
      <c r="J583" s="25" t="s">
        <v>2000</v>
      </c>
      <c r="K583" s="25"/>
      <c r="L583" s="26" t="s">
        <v>20</v>
      </c>
      <c r="M583" s="12">
        <v>45044.0</v>
      </c>
      <c r="N583" s="77" t="str">
        <f t="shared" si="1"/>
        <v>maio</v>
      </c>
    </row>
    <row r="584">
      <c r="A584" s="25" t="s">
        <v>2001</v>
      </c>
      <c r="B584" s="59">
        <v>45048.313758530094</v>
      </c>
      <c r="C584" s="25" t="s">
        <v>486</v>
      </c>
      <c r="D584" s="25">
        <v>5340.0</v>
      </c>
      <c r="E584" s="25" t="s">
        <v>70</v>
      </c>
      <c r="F584" s="25" t="s">
        <v>1363</v>
      </c>
      <c r="G584" s="25" t="s">
        <v>2002</v>
      </c>
      <c r="H584" s="25" t="s">
        <v>1853</v>
      </c>
      <c r="I584" s="25"/>
      <c r="J584" s="25" t="s">
        <v>2003</v>
      </c>
      <c r="K584" s="25"/>
      <c r="L584" s="26" t="s">
        <v>20</v>
      </c>
      <c r="M584" s="12">
        <v>45063.0</v>
      </c>
      <c r="N584" s="77" t="str">
        <f t="shared" si="1"/>
        <v>maio</v>
      </c>
    </row>
    <row r="585">
      <c r="A585" s="25" t="s">
        <v>2004</v>
      </c>
      <c r="B585" s="59">
        <v>45048.37614822917</v>
      </c>
      <c r="C585" s="25" t="s">
        <v>182</v>
      </c>
      <c r="D585" s="25" t="s">
        <v>2005</v>
      </c>
      <c r="E585" s="25" t="s">
        <v>183</v>
      </c>
      <c r="F585" s="65" t="s">
        <v>367</v>
      </c>
      <c r="G585" s="25" t="s">
        <v>2006</v>
      </c>
      <c r="H585" s="25" t="s">
        <v>79</v>
      </c>
      <c r="I585" s="25"/>
      <c r="J585" s="25" t="s">
        <v>2007</v>
      </c>
      <c r="K585" s="25"/>
      <c r="L585" s="26" t="s">
        <v>20</v>
      </c>
      <c r="M585" s="12">
        <v>45049.0</v>
      </c>
      <c r="N585" s="77" t="str">
        <f t="shared" si="1"/>
        <v>maio</v>
      </c>
    </row>
    <row r="586">
      <c r="A586" s="25" t="s">
        <v>2008</v>
      </c>
      <c r="B586" s="59">
        <v>45048.52109032407</v>
      </c>
      <c r="C586" s="25" t="s">
        <v>1491</v>
      </c>
      <c r="D586" s="25">
        <v>5333.0</v>
      </c>
      <c r="E586" s="25" t="s">
        <v>41</v>
      </c>
      <c r="F586" s="25" t="s">
        <v>42</v>
      </c>
      <c r="G586" s="25" t="s">
        <v>212</v>
      </c>
      <c r="H586" s="25" t="s">
        <v>37</v>
      </c>
      <c r="I586" s="25"/>
      <c r="J586" s="25" t="s">
        <v>2009</v>
      </c>
      <c r="K586" s="25"/>
      <c r="L586" s="26" t="s">
        <v>20</v>
      </c>
      <c r="M586" s="12">
        <v>45048.0</v>
      </c>
      <c r="N586" s="77" t="str">
        <f t="shared" si="1"/>
        <v>maio</v>
      </c>
    </row>
    <row r="587">
      <c r="A587" s="25" t="s">
        <v>2010</v>
      </c>
      <c r="B587" s="59">
        <v>45048.616858761576</v>
      </c>
      <c r="C587" s="25" t="s">
        <v>876</v>
      </c>
      <c r="D587" s="25">
        <v>5334.0</v>
      </c>
      <c r="E587" s="25" t="s">
        <v>187</v>
      </c>
      <c r="F587" s="25" t="s">
        <v>347</v>
      </c>
      <c r="G587" s="25" t="s">
        <v>2011</v>
      </c>
      <c r="H587" s="25" t="s">
        <v>37</v>
      </c>
      <c r="I587" s="25"/>
      <c r="J587" s="25" t="s">
        <v>2012</v>
      </c>
      <c r="K587" s="25"/>
      <c r="L587" s="26" t="s">
        <v>20</v>
      </c>
      <c r="M587" s="12">
        <v>45050.0</v>
      </c>
      <c r="N587" s="77" t="str">
        <f t="shared" si="1"/>
        <v>maio</v>
      </c>
    </row>
    <row r="588">
      <c r="A588" s="25" t="s">
        <v>2013</v>
      </c>
      <c r="B588" s="59">
        <v>45048.64144237268</v>
      </c>
      <c r="C588" s="25" t="s">
        <v>1491</v>
      </c>
      <c r="D588" s="25">
        <v>5333.0</v>
      </c>
      <c r="E588" s="25" t="s">
        <v>41</v>
      </c>
      <c r="F588" s="25" t="s">
        <v>42</v>
      </c>
      <c r="G588" s="25" t="s">
        <v>2014</v>
      </c>
      <c r="H588" s="25" t="s">
        <v>44</v>
      </c>
      <c r="I588" s="25" t="s">
        <v>2015</v>
      </c>
      <c r="J588" s="25" t="s">
        <v>2016</v>
      </c>
      <c r="K588" s="25"/>
      <c r="L588" s="26" t="s">
        <v>20</v>
      </c>
      <c r="M588" s="12">
        <v>45178.0</v>
      </c>
      <c r="N588" s="77" t="str">
        <f t="shared" si="1"/>
        <v>maio</v>
      </c>
    </row>
    <row r="589">
      <c r="A589" s="25" t="s">
        <v>2017</v>
      </c>
      <c r="B589" s="59">
        <v>45049.38514903936</v>
      </c>
      <c r="C589" s="25" t="s">
        <v>486</v>
      </c>
      <c r="D589" s="25">
        <v>5340.0</v>
      </c>
      <c r="E589" s="25" t="s">
        <v>70</v>
      </c>
      <c r="F589" s="25" t="s">
        <v>1363</v>
      </c>
      <c r="G589" s="25" t="s">
        <v>2018</v>
      </c>
      <c r="H589" s="25" t="s">
        <v>37</v>
      </c>
      <c r="I589" s="25"/>
      <c r="J589" s="25" t="s">
        <v>2019</v>
      </c>
      <c r="K589" s="25"/>
      <c r="L589" s="26" t="s">
        <v>20</v>
      </c>
      <c r="M589" s="12">
        <v>45050.0</v>
      </c>
      <c r="N589" s="77" t="str">
        <f t="shared" si="1"/>
        <v>maio</v>
      </c>
    </row>
    <row r="590">
      <c r="A590" s="25" t="s">
        <v>2020</v>
      </c>
      <c r="B590" s="59">
        <v>45049.39415393518</v>
      </c>
      <c r="C590" s="25" t="s">
        <v>486</v>
      </c>
      <c r="D590" s="25">
        <v>5340.0</v>
      </c>
      <c r="E590" s="25" t="s">
        <v>70</v>
      </c>
      <c r="F590" s="25" t="s">
        <v>2021</v>
      </c>
      <c r="G590" s="25" t="s">
        <v>2022</v>
      </c>
      <c r="H590" s="25" t="s">
        <v>764</v>
      </c>
      <c r="I590" s="25"/>
      <c r="J590" s="25" t="s">
        <v>2023</v>
      </c>
      <c r="K590" s="25"/>
      <c r="L590" s="26" t="s">
        <v>20</v>
      </c>
      <c r="M590" s="12">
        <v>45056.0</v>
      </c>
      <c r="N590" s="77" t="str">
        <f t="shared" si="1"/>
        <v>maio</v>
      </c>
    </row>
    <row r="591">
      <c r="A591" s="25" t="s">
        <v>2024</v>
      </c>
      <c r="B591" s="59">
        <v>45049.41922335648</v>
      </c>
      <c r="C591" s="25" t="s">
        <v>2025</v>
      </c>
      <c r="D591" s="25">
        <v>3.8999448139E10</v>
      </c>
      <c r="E591" s="25" t="s">
        <v>1127</v>
      </c>
      <c r="F591" s="25" t="s">
        <v>82</v>
      </c>
      <c r="G591" s="25" t="s">
        <v>2026</v>
      </c>
      <c r="H591" s="25" t="s">
        <v>764</v>
      </c>
      <c r="I591" s="25"/>
      <c r="J591" s="25" t="s">
        <v>2027</v>
      </c>
      <c r="K591" s="25"/>
      <c r="L591" s="26" t="s">
        <v>20</v>
      </c>
      <c r="M591" s="12">
        <v>45068.0</v>
      </c>
      <c r="N591" s="77" t="str">
        <f t="shared" si="1"/>
        <v>maio</v>
      </c>
    </row>
    <row r="592">
      <c r="A592" s="25" t="s">
        <v>2028</v>
      </c>
      <c r="B592" s="59">
        <v>45049.62006104167</v>
      </c>
      <c r="C592" s="25" t="s">
        <v>2029</v>
      </c>
      <c r="D592" s="25">
        <v>5340.0</v>
      </c>
      <c r="E592" s="25" t="s">
        <v>70</v>
      </c>
      <c r="F592" s="25" t="s">
        <v>2018</v>
      </c>
      <c r="G592" s="25" t="s">
        <v>2030</v>
      </c>
      <c r="H592" s="25" t="s">
        <v>18</v>
      </c>
      <c r="I592" s="25"/>
      <c r="J592" s="25" t="s">
        <v>2031</v>
      </c>
      <c r="K592" s="25"/>
      <c r="L592" s="26" t="s">
        <v>20</v>
      </c>
      <c r="M592" s="12">
        <v>45049.0</v>
      </c>
      <c r="N592" s="77" t="str">
        <f t="shared" si="1"/>
        <v>maio</v>
      </c>
    </row>
    <row r="593">
      <c r="A593" s="25" t="s">
        <v>2032</v>
      </c>
      <c r="B593" s="59">
        <v>45049.62748697917</v>
      </c>
      <c r="C593" s="25" t="s">
        <v>659</v>
      </c>
      <c r="D593" s="25">
        <v>5340.0</v>
      </c>
      <c r="E593" s="25" t="s">
        <v>70</v>
      </c>
      <c r="F593" s="25" t="s">
        <v>347</v>
      </c>
      <c r="G593" s="25" t="s">
        <v>2033</v>
      </c>
      <c r="H593" s="25" t="s">
        <v>79</v>
      </c>
      <c r="I593" s="25"/>
      <c r="J593" s="25" t="s">
        <v>2034</v>
      </c>
      <c r="K593" s="25"/>
      <c r="L593" s="26" t="s">
        <v>20</v>
      </c>
      <c r="M593" s="12">
        <v>45050.0</v>
      </c>
      <c r="N593" s="77" t="str">
        <f t="shared" si="1"/>
        <v>maio</v>
      </c>
    </row>
    <row r="594">
      <c r="A594" s="25" t="s">
        <v>2035</v>
      </c>
      <c r="B594" s="59">
        <v>45049.664666655095</v>
      </c>
      <c r="C594" s="25" t="s">
        <v>215</v>
      </c>
      <c r="D594" s="25">
        <v>5333.0</v>
      </c>
      <c r="E594" s="25" t="s">
        <v>41</v>
      </c>
      <c r="F594" s="25" t="s">
        <v>42</v>
      </c>
      <c r="G594" s="25" t="s">
        <v>2036</v>
      </c>
      <c r="H594" s="25" t="s">
        <v>79</v>
      </c>
      <c r="I594" s="25"/>
      <c r="J594" s="25" t="s">
        <v>2037</v>
      </c>
      <c r="K594" s="25"/>
      <c r="L594" s="26" t="s">
        <v>20</v>
      </c>
      <c r="M594" s="12">
        <v>45153.0</v>
      </c>
      <c r="N594" s="77" t="str">
        <f t="shared" si="1"/>
        <v>maio</v>
      </c>
    </row>
    <row r="595">
      <c r="A595" s="25" t="s">
        <v>2038</v>
      </c>
      <c r="B595" s="59">
        <v>45049.66580134259</v>
      </c>
      <c r="C595" s="25" t="s">
        <v>215</v>
      </c>
      <c r="D595" s="25">
        <v>5333.0</v>
      </c>
      <c r="E595" s="25" t="s">
        <v>41</v>
      </c>
      <c r="F595" s="25" t="s">
        <v>42</v>
      </c>
      <c r="G595" s="25" t="s">
        <v>2039</v>
      </c>
      <c r="H595" s="25" t="s">
        <v>37</v>
      </c>
      <c r="I595" s="25"/>
      <c r="J595" s="25" t="s">
        <v>2040</v>
      </c>
      <c r="K595" s="25"/>
      <c r="L595" s="26" t="s">
        <v>20</v>
      </c>
      <c r="M595" s="12">
        <v>45058.0</v>
      </c>
      <c r="N595" s="77" t="str">
        <f t="shared" si="1"/>
        <v>maio</v>
      </c>
    </row>
    <row r="596">
      <c r="A596" s="25" t="s">
        <v>2041</v>
      </c>
      <c r="B596" s="59">
        <v>45049.67505115741</v>
      </c>
      <c r="C596" s="25" t="s">
        <v>772</v>
      </c>
      <c r="D596" s="25">
        <v>5300.0</v>
      </c>
      <c r="E596" s="25" t="s">
        <v>540</v>
      </c>
      <c r="F596" s="25" t="s">
        <v>82</v>
      </c>
      <c r="G596" s="25" t="s">
        <v>540</v>
      </c>
      <c r="H596" s="25" t="s">
        <v>764</v>
      </c>
      <c r="I596" s="25"/>
      <c r="J596" s="25" t="s">
        <v>2042</v>
      </c>
      <c r="K596" s="25"/>
      <c r="L596" s="26" t="s">
        <v>20</v>
      </c>
      <c r="M596" s="12">
        <v>45062.0</v>
      </c>
      <c r="N596" s="77" t="str">
        <f t="shared" si="1"/>
        <v>maio</v>
      </c>
    </row>
    <row r="597">
      <c r="A597" s="25" t="s">
        <v>2043</v>
      </c>
      <c r="B597" s="59">
        <v>45050.42010631945</v>
      </c>
      <c r="C597" s="25" t="s">
        <v>564</v>
      </c>
      <c r="D597" s="25">
        <v>6.498456331E10</v>
      </c>
      <c r="E597" s="7" t="s">
        <v>246</v>
      </c>
      <c r="F597" s="25" t="s">
        <v>178</v>
      </c>
      <c r="G597" s="25" t="s">
        <v>179</v>
      </c>
      <c r="H597" s="25" t="s">
        <v>79</v>
      </c>
      <c r="I597" s="25"/>
      <c r="J597" s="25" t="s">
        <v>2044</v>
      </c>
      <c r="K597" s="25"/>
      <c r="L597" s="26" t="s">
        <v>20</v>
      </c>
      <c r="M597" s="12">
        <v>45054.0</v>
      </c>
      <c r="N597" s="77" t="str">
        <f t="shared" si="1"/>
        <v>maio</v>
      </c>
    </row>
    <row r="598">
      <c r="A598" s="25" t="s">
        <v>2045</v>
      </c>
      <c r="B598" s="59">
        <v>45050.5686347338</v>
      </c>
      <c r="C598" s="25" t="s">
        <v>750</v>
      </c>
      <c r="D598" s="25">
        <v>5399.0</v>
      </c>
      <c r="E598" s="25" t="s">
        <v>540</v>
      </c>
      <c r="F598" s="25" t="s">
        <v>2046</v>
      </c>
      <c r="G598" s="25" t="s">
        <v>2047</v>
      </c>
      <c r="H598" s="25" t="s">
        <v>79</v>
      </c>
      <c r="I598" s="25"/>
      <c r="J598" s="25" t="s">
        <v>2048</v>
      </c>
      <c r="K598" s="25"/>
      <c r="L598" s="26" t="s">
        <v>20</v>
      </c>
      <c r="M598" s="12">
        <v>45135.0</v>
      </c>
      <c r="N598" s="77" t="str">
        <f t="shared" si="1"/>
        <v>maio</v>
      </c>
    </row>
    <row r="599">
      <c r="A599" s="25" t="s">
        <v>2049</v>
      </c>
      <c r="B599" s="59">
        <v>45050.66081289352</v>
      </c>
      <c r="C599" s="25" t="s">
        <v>2050</v>
      </c>
      <c r="D599" s="25" t="s">
        <v>779</v>
      </c>
      <c r="E599" s="25" t="s">
        <v>34</v>
      </c>
      <c r="F599" s="25" t="s">
        <v>347</v>
      </c>
      <c r="G599" s="25" t="s">
        <v>2051</v>
      </c>
      <c r="H599" s="25" t="s">
        <v>764</v>
      </c>
      <c r="I599" s="25"/>
      <c r="J599" s="25" t="s">
        <v>2052</v>
      </c>
      <c r="K599" s="25"/>
      <c r="L599" s="26" t="s">
        <v>20</v>
      </c>
      <c r="M599" s="12">
        <v>45065.0</v>
      </c>
      <c r="N599" s="77" t="str">
        <f t="shared" si="1"/>
        <v>maio</v>
      </c>
    </row>
    <row r="600">
      <c r="A600" s="25" t="s">
        <v>2053</v>
      </c>
      <c r="B600" s="59">
        <v>45051.34665278935</v>
      </c>
      <c r="C600" s="25" t="s">
        <v>486</v>
      </c>
      <c r="D600" s="25">
        <v>5340.0</v>
      </c>
      <c r="E600" s="25" t="s">
        <v>70</v>
      </c>
      <c r="F600" s="25" t="s">
        <v>1144</v>
      </c>
      <c r="G600" s="25" t="s">
        <v>2054</v>
      </c>
      <c r="H600" s="25" t="s">
        <v>162</v>
      </c>
      <c r="I600" s="25"/>
      <c r="J600" s="25" t="s">
        <v>2055</v>
      </c>
      <c r="K600" s="25"/>
      <c r="L600" s="26" t="s">
        <v>20</v>
      </c>
      <c r="M600" s="12">
        <v>45068.0</v>
      </c>
      <c r="N600" s="77" t="str">
        <f t="shared" si="1"/>
        <v>maio</v>
      </c>
    </row>
    <row r="601">
      <c r="A601" s="25" t="s">
        <v>2056</v>
      </c>
      <c r="B601" s="59">
        <v>45051.34941836806</v>
      </c>
      <c r="C601" s="25" t="s">
        <v>69</v>
      </c>
      <c r="D601" s="25">
        <v>5340.0</v>
      </c>
      <c r="E601" s="25" t="s">
        <v>70</v>
      </c>
      <c r="F601" s="25" t="s">
        <v>1144</v>
      </c>
      <c r="G601" s="25" t="s">
        <v>2057</v>
      </c>
      <c r="H601" s="25" t="s">
        <v>764</v>
      </c>
      <c r="I601" s="25"/>
      <c r="J601" s="25" t="s">
        <v>2058</v>
      </c>
      <c r="K601" s="25"/>
      <c r="L601" s="26" t="s">
        <v>20</v>
      </c>
      <c r="M601" s="12">
        <v>45064.0</v>
      </c>
      <c r="N601" s="77" t="str">
        <f t="shared" si="1"/>
        <v>maio</v>
      </c>
    </row>
    <row r="602">
      <c r="A602" s="25" t="s">
        <v>2059</v>
      </c>
      <c r="B602" s="59">
        <v>45051.394079618054</v>
      </c>
      <c r="C602" s="25" t="s">
        <v>1068</v>
      </c>
      <c r="D602" s="25">
        <v>5311.0</v>
      </c>
      <c r="E602" s="25" t="s">
        <v>251</v>
      </c>
      <c r="F602" s="25" t="s">
        <v>100</v>
      </c>
      <c r="G602" s="25" t="s">
        <v>332</v>
      </c>
      <c r="H602" s="25" t="s">
        <v>37</v>
      </c>
      <c r="I602" s="25"/>
      <c r="J602" s="25" t="s">
        <v>2060</v>
      </c>
      <c r="K602" s="25"/>
      <c r="L602" s="26" t="s">
        <v>20</v>
      </c>
      <c r="M602" s="12">
        <v>45061.0</v>
      </c>
      <c r="N602" s="77" t="str">
        <f t="shared" si="1"/>
        <v>maio</v>
      </c>
    </row>
    <row r="603">
      <c r="A603" s="25" t="s">
        <v>2061</v>
      </c>
      <c r="B603" s="59">
        <v>45051.54360503472</v>
      </c>
      <c r="C603" s="25" t="s">
        <v>2062</v>
      </c>
      <c r="D603" s="25">
        <v>5397.0</v>
      </c>
      <c r="E603" s="25" t="s">
        <v>1333</v>
      </c>
      <c r="F603" s="25" t="s">
        <v>49</v>
      </c>
      <c r="G603" s="25" t="s">
        <v>2063</v>
      </c>
      <c r="H603" s="25" t="s">
        <v>764</v>
      </c>
      <c r="I603" s="25"/>
      <c r="J603" s="25" t="s">
        <v>2064</v>
      </c>
      <c r="K603" s="25"/>
      <c r="L603" s="26" t="s">
        <v>20</v>
      </c>
      <c r="M603" s="12">
        <v>45061.0</v>
      </c>
      <c r="N603" s="77" t="str">
        <f t="shared" si="1"/>
        <v>maio</v>
      </c>
    </row>
    <row r="604">
      <c r="A604" s="25" t="s">
        <v>2065</v>
      </c>
      <c r="B604" s="59">
        <v>45051.573890381944</v>
      </c>
      <c r="C604" s="25" t="s">
        <v>2066</v>
      </c>
      <c r="D604" s="85" t="s">
        <v>959</v>
      </c>
      <c r="E604" s="25" t="s">
        <v>195</v>
      </c>
      <c r="F604" s="25" t="s">
        <v>35</v>
      </c>
      <c r="G604" s="25" t="s">
        <v>2067</v>
      </c>
      <c r="H604" s="25" t="s">
        <v>37</v>
      </c>
      <c r="I604" s="25"/>
      <c r="J604" s="25" t="s">
        <v>2068</v>
      </c>
      <c r="K604" s="25"/>
      <c r="L604" s="26" t="s">
        <v>20</v>
      </c>
      <c r="M604" s="12">
        <v>45058.0</v>
      </c>
      <c r="N604" s="77" t="str">
        <f t="shared" si="1"/>
        <v>maio</v>
      </c>
    </row>
    <row r="605">
      <c r="A605" s="25" t="s">
        <v>2069</v>
      </c>
      <c r="B605" s="59">
        <v>45051.692569861116</v>
      </c>
      <c r="C605" s="25" t="s">
        <v>2070</v>
      </c>
      <c r="D605" s="25">
        <v>3.4992480667E10</v>
      </c>
      <c r="E605" s="20" t="s">
        <v>206</v>
      </c>
      <c r="F605" s="25" t="s">
        <v>178</v>
      </c>
      <c r="G605" s="25" t="s">
        <v>2071</v>
      </c>
      <c r="H605" s="25" t="s">
        <v>37</v>
      </c>
      <c r="I605" s="25"/>
      <c r="J605" s="25" t="s">
        <v>2072</v>
      </c>
      <c r="K605" s="25" t="s">
        <v>2073</v>
      </c>
      <c r="L605" s="26" t="s">
        <v>20</v>
      </c>
      <c r="M605" s="12">
        <v>45055.0</v>
      </c>
      <c r="N605" s="77" t="str">
        <f t="shared" si="1"/>
        <v>maio</v>
      </c>
    </row>
    <row r="606">
      <c r="A606" s="25" t="s">
        <v>2074</v>
      </c>
      <c r="B606" s="59">
        <v>45054.32338431713</v>
      </c>
      <c r="C606" s="25" t="s">
        <v>2075</v>
      </c>
      <c r="D606" s="25">
        <v>5340.0</v>
      </c>
      <c r="E606" s="25" t="s">
        <v>70</v>
      </c>
      <c r="F606" s="25" t="s">
        <v>2076</v>
      </c>
      <c r="G606" s="25" t="s">
        <v>2077</v>
      </c>
      <c r="H606" s="25" t="s">
        <v>37</v>
      </c>
      <c r="I606" s="25"/>
      <c r="J606" s="25" t="s">
        <v>2078</v>
      </c>
      <c r="K606" s="25"/>
      <c r="L606" s="26" t="s">
        <v>20</v>
      </c>
      <c r="M606" s="12">
        <v>45054.0</v>
      </c>
      <c r="N606" s="77" t="str">
        <f t="shared" si="1"/>
        <v>maio</v>
      </c>
    </row>
    <row r="607">
      <c r="A607" s="25" t="s">
        <v>2079</v>
      </c>
      <c r="B607" s="59">
        <v>45054.32496229166</v>
      </c>
      <c r="C607" s="25" t="s">
        <v>659</v>
      </c>
      <c r="D607" s="25">
        <v>5340.0</v>
      </c>
      <c r="E607" s="25" t="s">
        <v>70</v>
      </c>
      <c r="F607" s="25" t="s">
        <v>2080</v>
      </c>
      <c r="G607" s="25" t="s">
        <v>2081</v>
      </c>
      <c r="H607" s="25" t="s">
        <v>37</v>
      </c>
      <c r="I607" s="25"/>
      <c r="J607" s="25" t="s">
        <v>2082</v>
      </c>
      <c r="K607" s="25"/>
      <c r="L607" s="26" t="s">
        <v>20</v>
      </c>
      <c r="M607" s="12">
        <v>45054.0</v>
      </c>
      <c r="N607" s="77" t="str">
        <f t="shared" si="1"/>
        <v>maio</v>
      </c>
    </row>
    <row r="608">
      <c r="A608" s="88" t="s">
        <v>2083</v>
      </c>
      <c r="B608" s="8">
        <v>45054.32699976852</v>
      </c>
      <c r="C608" s="7" t="s">
        <v>512</v>
      </c>
      <c r="D608" s="7">
        <v>5340.0</v>
      </c>
      <c r="E608" s="25" t="s">
        <v>70</v>
      </c>
      <c r="F608" s="7" t="s">
        <v>2084</v>
      </c>
      <c r="G608" s="9" t="s">
        <v>2085</v>
      </c>
      <c r="H608" s="7" t="s">
        <v>162</v>
      </c>
      <c r="I608" s="7"/>
      <c r="J608" s="60" t="s">
        <v>2086</v>
      </c>
      <c r="K608" s="60"/>
      <c r="L608" s="10" t="s">
        <v>74</v>
      </c>
      <c r="M608" s="43"/>
      <c r="N608" s="77" t="str">
        <f t="shared" si="1"/>
        <v>maio</v>
      </c>
    </row>
    <row r="609">
      <c r="A609" s="25" t="s">
        <v>2087</v>
      </c>
      <c r="B609" s="59">
        <v>45054.377970416666</v>
      </c>
      <c r="C609" s="25" t="s">
        <v>1491</v>
      </c>
      <c r="D609" s="25">
        <v>5333.0</v>
      </c>
      <c r="E609" s="25" t="s">
        <v>41</v>
      </c>
      <c r="F609" s="25" t="s">
        <v>42</v>
      </c>
      <c r="G609" s="25" t="s">
        <v>608</v>
      </c>
      <c r="H609" s="25" t="s">
        <v>79</v>
      </c>
      <c r="I609" s="25"/>
      <c r="J609" s="25" t="s">
        <v>2088</v>
      </c>
      <c r="K609" s="25"/>
      <c r="L609" s="26" t="s">
        <v>20</v>
      </c>
      <c r="M609" s="12">
        <v>45062.0</v>
      </c>
      <c r="N609" s="77" t="str">
        <f t="shared" si="1"/>
        <v>maio</v>
      </c>
    </row>
    <row r="610">
      <c r="A610" s="25" t="s">
        <v>2089</v>
      </c>
      <c r="B610" s="59">
        <v>45054.42194886574</v>
      </c>
      <c r="C610" s="25" t="s">
        <v>531</v>
      </c>
      <c r="D610" s="25">
        <v>5341.0</v>
      </c>
      <c r="E610" s="25" t="s">
        <v>532</v>
      </c>
      <c r="F610" s="25" t="s">
        <v>103</v>
      </c>
      <c r="G610" s="25" t="s">
        <v>2090</v>
      </c>
      <c r="H610" s="25" t="s">
        <v>79</v>
      </c>
      <c r="I610" s="25"/>
      <c r="J610" s="25" t="s">
        <v>2091</v>
      </c>
      <c r="K610" s="25"/>
      <c r="L610" s="26" t="s">
        <v>20</v>
      </c>
      <c r="M610" s="12">
        <v>45092.0</v>
      </c>
      <c r="N610" s="77" t="str">
        <f t="shared" si="1"/>
        <v>maio</v>
      </c>
    </row>
    <row r="611">
      <c r="A611" s="88" t="s">
        <v>2092</v>
      </c>
      <c r="B611" s="8">
        <v>45054.429331481486</v>
      </c>
      <c r="C611" s="7" t="s">
        <v>1068</v>
      </c>
      <c r="D611" s="7">
        <v>5311.0</v>
      </c>
      <c r="E611" s="25" t="s">
        <v>251</v>
      </c>
      <c r="F611" s="25" t="s">
        <v>100</v>
      </c>
      <c r="G611" s="9" t="s">
        <v>2093</v>
      </c>
      <c r="H611" s="7" t="s">
        <v>37</v>
      </c>
      <c r="I611" s="7"/>
      <c r="J611" s="60" t="s">
        <v>2094</v>
      </c>
      <c r="K611" s="60"/>
      <c r="L611" s="10" t="s">
        <v>20</v>
      </c>
      <c r="M611" s="55">
        <v>45054.0</v>
      </c>
      <c r="N611" s="77" t="str">
        <f t="shared" si="1"/>
        <v>maio</v>
      </c>
    </row>
    <row r="612">
      <c r="A612" s="25" t="s">
        <v>2095</v>
      </c>
      <c r="B612" s="59">
        <v>45054.55281275463</v>
      </c>
      <c r="C612" s="25" t="s">
        <v>2096</v>
      </c>
      <c r="D612" s="25">
        <v>5323.0</v>
      </c>
      <c r="E612" s="25" t="s">
        <v>34</v>
      </c>
      <c r="F612" s="25" t="s">
        <v>755</v>
      </c>
      <c r="G612" s="25" t="s">
        <v>2097</v>
      </c>
      <c r="H612" s="25" t="s">
        <v>764</v>
      </c>
      <c r="I612" s="25"/>
      <c r="J612" s="25" t="s">
        <v>2098</v>
      </c>
      <c r="K612" s="25"/>
      <c r="L612" s="26" t="s">
        <v>20</v>
      </c>
      <c r="M612" s="12">
        <v>45058.0</v>
      </c>
      <c r="N612" s="77" t="str">
        <f t="shared" si="1"/>
        <v>maio</v>
      </c>
    </row>
    <row r="613">
      <c r="A613" s="25" t="s">
        <v>2099</v>
      </c>
      <c r="B613" s="59">
        <v>45054.57619013889</v>
      </c>
      <c r="C613" s="25" t="s">
        <v>2100</v>
      </c>
      <c r="D613" s="25" t="s">
        <v>2101</v>
      </c>
      <c r="E613" s="25" t="s">
        <v>1097</v>
      </c>
      <c r="F613" s="25" t="s">
        <v>55</v>
      </c>
      <c r="G613" s="25">
        <v>202.0</v>
      </c>
      <c r="H613" s="25" t="s">
        <v>764</v>
      </c>
      <c r="I613" s="25"/>
      <c r="J613" s="25" t="s">
        <v>2102</v>
      </c>
      <c r="K613" s="25" t="s">
        <v>2103</v>
      </c>
      <c r="L613" s="26" t="s">
        <v>74</v>
      </c>
      <c r="M613" s="12">
        <v>45216.0</v>
      </c>
      <c r="N613" s="77" t="str">
        <f t="shared" si="1"/>
        <v>maio</v>
      </c>
    </row>
    <row r="614">
      <c r="A614" s="25" t="s">
        <v>2104</v>
      </c>
      <c r="B614" s="59">
        <v>45054.605915532404</v>
      </c>
      <c r="C614" s="25" t="s">
        <v>194</v>
      </c>
      <c r="D614" s="25">
        <v>7601.0</v>
      </c>
      <c r="E614" s="25" t="s">
        <v>195</v>
      </c>
      <c r="F614" s="25" t="s">
        <v>82</v>
      </c>
      <c r="G614" s="25" t="s">
        <v>2105</v>
      </c>
      <c r="H614" s="25" t="s">
        <v>764</v>
      </c>
      <c r="I614" s="25"/>
      <c r="J614" s="25" t="s">
        <v>2106</v>
      </c>
      <c r="K614" s="25"/>
      <c r="L614" s="26" t="s">
        <v>20</v>
      </c>
      <c r="M614" s="12">
        <v>45065.0</v>
      </c>
      <c r="N614" s="77" t="str">
        <f t="shared" si="1"/>
        <v>maio</v>
      </c>
    </row>
    <row r="615">
      <c r="A615" s="25" t="s">
        <v>2107</v>
      </c>
      <c r="B615" s="59">
        <v>45054.630370706014</v>
      </c>
      <c r="C615" s="25" t="s">
        <v>1068</v>
      </c>
      <c r="D615" s="25">
        <v>5311.0</v>
      </c>
      <c r="E615" s="25" t="s">
        <v>251</v>
      </c>
      <c r="F615" s="25" t="s">
        <v>100</v>
      </c>
      <c r="G615" s="25" t="s">
        <v>2108</v>
      </c>
      <c r="H615" s="25" t="s">
        <v>37</v>
      </c>
      <c r="I615" s="25"/>
      <c r="J615" s="25" t="s">
        <v>2109</v>
      </c>
      <c r="K615" s="25"/>
      <c r="L615" s="26" t="s">
        <v>20</v>
      </c>
      <c r="M615" s="12">
        <v>45054.0</v>
      </c>
      <c r="N615" s="77" t="str">
        <f t="shared" si="1"/>
        <v>maio</v>
      </c>
    </row>
    <row r="616">
      <c r="A616" s="25" t="s">
        <v>2110</v>
      </c>
      <c r="B616" s="59">
        <v>45054.659055173615</v>
      </c>
      <c r="C616" s="25" t="s">
        <v>307</v>
      </c>
      <c r="D616" s="25">
        <v>3.4999071369E10</v>
      </c>
      <c r="E616" s="20" t="s">
        <v>308</v>
      </c>
      <c r="F616" s="25" t="s">
        <v>783</v>
      </c>
      <c r="G616" s="25">
        <v>151.0</v>
      </c>
      <c r="H616" s="25" t="s">
        <v>764</v>
      </c>
      <c r="I616" s="25"/>
      <c r="J616" s="25" t="s">
        <v>2111</v>
      </c>
      <c r="K616" s="25"/>
      <c r="L616" s="26" t="s">
        <v>74</v>
      </c>
      <c r="M616" s="12">
        <v>45153.0</v>
      </c>
      <c r="N616" s="77" t="str">
        <f t="shared" si="1"/>
        <v>maio</v>
      </c>
    </row>
    <row r="617">
      <c r="A617" s="25" t="s">
        <v>2112</v>
      </c>
      <c r="B617" s="59">
        <v>45054.6728756713</v>
      </c>
      <c r="C617" s="25" t="s">
        <v>2113</v>
      </c>
      <c r="D617" s="25">
        <v>5371.0</v>
      </c>
      <c r="E617" s="20" t="s">
        <v>1215</v>
      </c>
      <c r="F617" s="25" t="s">
        <v>82</v>
      </c>
      <c r="G617" s="25" t="s">
        <v>1180</v>
      </c>
      <c r="H617" s="25" t="s">
        <v>79</v>
      </c>
      <c r="I617" s="25"/>
      <c r="J617" s="25" t="s">
        <v>2114</v>
      </c>
      <c r="K617" s="25"/>
      <c r="L617" s="26" t="s">
        <v>20</v>
      </c>
      <c r="M617" s="12">
        <v>45135.0</v>
      </c>
      <c r="N617" s="77" t="str">
        <f t="shared" si="1"/>
        <v>maio</v>
      </c>
    </row>
    <row r="618">
      <c r="A618" s="25" t="s">
        <v>2115</v>
      </c>
      <c r="B618" s="59">
        <v>45054.6795875463</v>
      </c>
      <c r="C618" s="25" t="s">
        <v>1068</v>
      </c>
      <c r="D618" s="25">
        <v>5311.0</v>
      </c>
      <c r="E618" s="25" t="s">
        <v>251</v>
      </c>
      <c r="F618" s="25" t="s">
        <v>100</v>
      </c>
      <c r="G618" s="25" t="s">
        <v>1073</v>
      </c>
      <c r="H618" s="25" t="s">
        <v>162</v>
      </c>
      <c r="I618" s="25"/>
      <c r="J618" s="25" t="s">
        <v>2116</v>
      </c>
      <c r="K618" s="25"/>
      <c r="L618" s="26" t="s">
        <v>20</v>
      </c>
      <c r="M618" s="12">
        <v>45057.0</v>
      </c>
      <c r="N618" s="77" t="str">
        <f t="shared" si="1"/>
        <v>maio</v>
      </c>
    </row>
    <row r="619">
      <c r="A619" s="88" t="s">
        <v>2117</v>
      </c>
      <c r="B619" s="8">
        <v>45054.884606782405</v>
      </c>
      <c r="C619" s="7" t="s">
        <v>215</v>
      </c>
      <c r="D619" s="7">
        <v>5333.0</v>
      </c>
      <c r="E619" s="7" t="s">
        <v>41</v>
      </c>
      <c r="F619" s="25" t="s">
        <v>42</v>
      </c>
      <c r="G619" s="9" t="s">
        <v>2118</v>
      </c>
      <c r="H619" s="25" t="s">
        <v>30</v>
      </c>
      <c r="I619" s="7" t="s">
        <v>2119</v>
      </c>
      <c r="J619" s="60" t="s">
        <v>2120</v>
      </c>
      <c r="K619" s="60"/>
      <c r="L619" s="10" t="s">
        <v>20</v>
      </c>
      <c r="M619" s="55">
        <v>45229.0</v>
      </c>
      <c r="N619" s="77" t="str">
        <f t="shared" si="1"/>
        <v>maio</v>
      </c>
    </row>
    <row r="620">
      <c r="A620" s="25" t="s">
        <v>2121</v>
      </c>
      <c r="B620" s="59">
        <v>45054.88571023148</v>
      </c>
      <c r="C620" s="25" t="s">
        <v>215</v>
      </c>
      <c r="D620" s="25">
        <v>5333.0</v>
      </c>
      <c r="E620" s="25" t="s">
        <v>41</v>
      </c>
      <c r="F620" s="25" t="s">
        <v>42</v>
      </c>
      <c r="G620" s="25" t="s">
        <v>2122</v>
      </c>
      <c r="H620" s="25" t="s">
        <v>37</v>
      </c>
      <c r="I620" s="25"/>
      <c r="J620" s="25" t="s">
        <v>2123</v>
      </c>
      <c r="K620" s="25"/>
      <c r="L620" s="26" t="s">
        <v>20</v>
      </c>
      <c r="M620" s="12">
        <v>45069.0</v>
      </c>
      <c r="N620" s="77" t="str">
        <f t="shared" si="1"/>
        <v>maio</v>
      </c>
    </row>
    <row r="621">
      <c r="A621" s="25" t="s">
        <v>2124</v>
      </c>
      <c r="B621" s="59">
        <v>45054.886545</v>
      </c>
      <c r="C621" s="25" t="s">
        <v>215</v>
      </c>
      <c r="D621" s="25">
        <v>5333.0</v>
      </c>
      <c r="E621" s="25" t="s">
        <v>41</v>
      </c>
      <c r="F621" s="25" t="s">
        <v>42</v>
      </c>
      <c r="G621" s="25" t="s">
        <v>670</v>
      </c>
      <c r="H621" s="25" t="s">
        <v>162</v>
      </c>
      <c r="I621" s="25"/>
      <c r="J621" s="25" t="s">
        <v>2125</v>
      </c>
      <c r="K621" s="25"/>
      <c r="L621" s="26" t="s">
        <v>20</v>
      </c>
      <c r="M621" s="12">
        <v>45138.0</v>
      </c>
      <c r="N621" s="77" t="str">
        <f t="shared" si="1"/>
        <v>maio</v>
      </c>
    </row>
    <row r="622">
      <c r="A622" s="25" t="s">
        <v>2126</v>
      </c>
      <c r="B622" s="59">
        <v>45054.90267372685</v>
      </c>
      <c r="C622" s="25" t="s">
        <v>215</v>
      </c>
      <c r="D622" s="25">
        <v>5333.0</v>
      </c>
      <c r="E622" s="25" t="s">
        <v>41</v>
      </c>
      <c r="F622" s="25" t="s">
        <v>42</v>
      </c>
      <c r="G622" s="25" t="s">
        <v>2127</v>
      </c>
      <c r="H622" s="25" t="s">
        <v>79</v>
      </c>
      <c r="I622" s="25"/>
      <c r="J622" s="25" t="s">
        <v>2128</v>
      </c>
      <c r="K622" s="25"/>
      <c r="L622" s="26" t="s">
        <v>20</v>
      </c>
      <c r="M622" s="12">
        <v>45058.0</v>
      </c>
      <c r="N622" s="77" t="str">
        <f t="shared" si="1"/>
        <v>maio</v>
      </c>
    </row>
    <row r="623">
      <c r="A623" s="25" t="s">
        <v>2129</v>
      </c>
      <c r="B623" s="59">
        <v>45055.30034240741</v>
      </c>
      <c r="C623" s="25" t="s">
        <v>2130</v>
      </c>
      <c r="D623" s="25">
        <v>5340.0</v>
      </c>
      <c r="E623" s="25" t="s">
        <v>70</v>
      </c>
      <c r="F623" s="25" t="s">
        <v>1155</v>
      </c>
      <c r="G623" s="25" t="s">
        <v>2131</v>
      </c>
      <c r="H623" s="25" t="s">
        <v>79</v>
      </c>
      <c r="I623" s="25"/>
      <c r="J623" s="25" t="s">
        <v>2132</v>
      </c>
      <c r="K623" s="25"/>
      <c r="L623" s="26" t="s">
        <v>20</v>
      </c>
      <c r="M623" s="12">
        <v>45054.0</v>
      </c>
      <c r="N623" s="77" t="str">
        <f t="shared" si="1"/>
        <v>maio</v>
      </c>
    </row>
    <row r="624">
      <c r="A624" s="88" t="s">
        <v>2133</v>
      </c>
      <c r="B624" s="8">
        <v>45055.31109938657</v>
      </c>
      <c r="C624" s="7" t="s">
        <v>486</v>
      </c>
      <c r="D624" s="7">
        <v>5340.0</v>
      </c>
      <c r="E624" s="25" t="s">
        <v>70</v>
      </c>
      <c r="F624" s="20" t="s">
        <v>1220</v>
      </c>
      <c r="G624" s="9">
        <v>311.0</v>
      </c>
      <c r="H624" s="7" t="s">
        <v>37</v>
      </c>
      <c r="I624" s="7"/>
      <c r="J624" s="60" t="s">
        <v>2134</v>
      </c>
      <c r="K624" s="60"/>
      <c r="L624" s="10" t="s">
        <v>74</v>
      </c>
      <c r="M624" s="55">
        <v>45153.0</v>
      </c>
      <c r="N624" s="77" t="str">
        <f t="shared" si="1"/>
        <v>maio</v>
      </c>
    </row>
    <row r="625">
      <c r="A625" s="25" t="s">
        <v>2135</v>
      </c>
      <c r="B625" s="59">
        <v>45055.33405677084</v>
      </c>
      <c r="C625" s="25" t="s">
        <v>2136</v>
      </c>
      <c r="D625" s="25">
        <v>3.4415337E7</v>
      </c>
      <c r="E625" s="25" t="s">
        <v>262</v>
      </c>
      <c r="F625" s="25" t="s">
        <v>2137</v>
      </c>
      <c r="G625" s="25" t="s">
        <v>1208</v>
      </c>
      <c r="H625" s="25" t="s">
        <v>37</v>
      </c>
      <c r="I625" s="25"/>
      <c r="J625" s="25" t="s">
        <v>2138</v>
      </c>
      <c r="K625" s="25"/>
      <c r="L625" s="26" t="s">
        <v>20</v>
      </c>
      <c r="M625" s="12">
        <v>45148.0</v>
      </c>
      <c r="N625" s="77" t="str">
        <f t="shared" si="1"/>
        <v>maio</v>
      </c>
    </row>
    <row r="626">
      <c r="A626" s="25" t="s">
        <v>2139</v>
      </c>
      <c r="B626" s="59">
        <v>45055.37286737269</v>
      </c>
      <c r="C626" s="25" t="s">
        <v>1682</v>
      </c>
      <c r="D626" s="25">
        <v>6.2991579626E10</v>
      </c>
      <c r="E626" s="7" t="s">
        <v>199</v>
      </c>
      <c r="F626" s="25" t="s">
        <v>2140</v>
      </c>
      <c r="G626" s="25" t="s">
        <v>2141</v>
      </c>
      <c r="H626" s="25" t="s">
        <v>37</v>
      </c>
      <c r="I626" s="25"/>
      <c r="J626" s="25" t="s">
        <v>2142</v>
      </c>
      <c r="K626" s="25"/>
      <c r="L626" s="26" t="s">
        <v>20</v>
      </c>
      <c r="M626" s="12">
        <v>45055.0</v>
      </c>
      <c r="N626" s="77" t="str">
        <f t="shared" si="1"/>
        <v>maio</v>
      </c>
    </row>
    <row r="627">
      <c r="A627" s="25" t="s">
        <v>2143</v>
      </c>
      <c r="B627" s="59">
        <v>45055.48791732639</v>
      </c>
      <c r="C627" s="25" t="s">
        <v>486</v>
      </c>
      <c r="D627" s="25">
        <v>5340.0</v>
      </c>
      <c r="E627" s="25" t="s">
        <v>70</v>
      </c>
      <c r="F627" s="25" t="s">
        <v>1155</v>
      </c>
      <c r="G627" s="25">
        <v>108.0</v>
      </c>
      <c r="H627" s="25" t="s">
        <v>37</v>
      </c>
      <c r="I627" s="25"/>
      <c r="J627" s="25" t="s">
        <v>2144</v>
      </c>
      <c r="K627" s="25"/>
      <c r="L627" s="26" t="s">
        <v>20</v>
      </c>
      <c r="M627" s="12">
        <v>45062.0</v>
      </c>
      <c r="N627" s="77" t="str">
        <f t="shared" si="1"/>
        <v>maio</v>
      </c>
    </row>
    <row r="628">
      <c r="A628" s="25" t="s">
        <v>2145</v>
      </c>
      <c r="B628" s="59">
        <v>45055.50026105324</v>
      </c>
      <c r="C628" s="25" t="s">
        <v>645</v>
      </c>
      <c r="D628" s="25">
        <v>5305.0</v>
      </c>
      <c r="E628" s="25" t="s">
        <v>183</v>
      </c>
      <c r="F628" s="25" t="s">
        <v>142</v>
      </c>
      <c r="G628" s="25" t="s">
        <v>2146</v>
      </c>
      <c r="H628" s="25" t="s">
        <v>30</v>
      </c>
      <c r="I628" s="25"/>
      <c r="J628" s="25" t="s">
        <v>2147</v>
      </c>
      <c r="K628" s="25"/>
      <c r="L628" s="26" t="s">
        <v>20</v>
      </c>
      <c r="M628" s="12">
        <v>45055.0</v>
      </c>
      <c r="N628" s="77" t="str">
        <f t="shared" si="1"/>
        <v>maio</v>
      </c>
    </row>
    <row r="629">
      <c r="A629" s="25" t="s">
        <v>2148</v>
      </c>
      <c r="B629" s="59">
        <v>45055.502855983796</v>
      </c>
      <c r="C629" s="25" t="s">
        <v>645</v>
      </c>
      <c r="D629" s="25">
        <v>5305.0</v>
      </c>
      <c r="E629" s="25" t="s">
        <v>183</v>
      </c>
      <c r="F629" s="25" t="s">
        <v>142</v>
      </c>
      <c r="G629" s="25" t="s">
        <v>1063</v>
      </c>
      <c r="H629" s="25" t="s">
        <v>1853</v>
      </c>
      <c r="I629" s="25"/>
      <c r="J629" s="25" t="s">
        <v>2149</v>
      </c>
      <c r="K629" s="25"/>
      <c r="L629" s="26" t="s">
        <v>20</v>
      </c>
      <c r="M629" s="12">
        <v>45055.0</v>
      </c>
      <c r="N629" s="77" t="str">
        <f t="shared" si="1"/>
        <v>maio</v>
      </c>
    </row>
    <row r="630">
      <c r="A630" s="25" t="s">
        <v>2150</v>
      </c>
      <c r="B630" s="59">
        <v>45055.634147766206</v>
      </c>
      <c r="C630" s="25" t="s">
        <v>659</v>
      </c>
      <c r="D630" s="25">
        <v>5340.0</v>
      </c>
      <c r="E630" s="25" t="s">
        <v>70</v>
      </c>
      <c r="F630" s="25" t="s">
        <v>2030</v>
      </c>
      <c r="G630" s="25" t="s">
        <v>2018</v>
      </c>
      <c r="H630" s="25" t="s">
        <v>764</v>
      </c>
      <c r="I630" s="25"/>
      <c r="J630" s="25" t="s">
        <v>2151</v>
      </c>
      <c r="K630" s="25"/>
      <c r="L630" s="26" t="s">
        <v>20</v>
      </c>
      <c r="M630" s="12">
        <v>45179.0</v>
      </c>
      <c r="N630" s="77" t="str">
        <f t="shared" si="1"/>
        <v>maio</v>
      </c>
    </row>
    <row r="631">
      <c r="A631" s="25" t="s">
        <v>2152</v>
      </c>
      <c r="B631" s="59">
        <v>45055.63586326389</v>
      </c>
      <c r="C631" s="25" t="s">
        <v>659</v>
      </c>
      <c r="D631" s="25">
        <v>5340.0</v>
      </c>
      <c r="E631" s="25" t="s">
        <v>70</v>
      </c>
      <c r="F631" s="25" t="s">
        <v>61</v>
      </c>
      <c r="G631" s="25" t="s">
        <v>2077</v>
      </c>
      <c r="H631" s="25" t="s">
        <v>162</v>
      </c>
      <c r="I631" s="25"/>
      <c r="J631" s="25" t="s">
        <v>2153</v>
      </c>
      <c r="K631" s="25"/>
      <c r="L631" s="26" t="s">
        <v>20</v>
      </c>
      <c r="M631" s="12">
        <v>45055.0</v>
      </c>
      <c r="N631" s="77" t="str">
        <f t="shared" si="1"/>
        <v>maio</v>
      </c>
    </row>
    <row r="632">
      <c r="A632" s="25" t="s">
        <v>2154</v>
      </c>
      <c r="B632" s="59">
        <v>45055.68663471065</v>
      </c>
      <c r="C632" s="25" t="s">
        <v>645</v>
      </c>
      <c r="D632" s="25">
        <v>5405.0</v>
      </c>
      <c r="E632" s="25" t="s">
        <v>183</v>
      </c>
      <c r="F632" s="25" t="s">
        <v>142</v>
      </c>
      <c r="G632" s="25" t="s">
        <v>1063</v>
      </c>
      <c r="H632" s="25" t="s">
        <v>18</v>
      </c>
      <c r="I632" s="25"/>
      <c r="J632" s="25" t="s">
        <v>2155</v>
      </c>
      <c r="K632" s="25"/>
      <c r="L632" s="26" t="s">
        <v>20</v>
      </c>
      <c r="M632" s="12">
        <v>45061.0</v>
      </c>
      <c r="N632" s="77" t="str">
        <f t="shared" si="1"/>
        <v>maio</v>
      </c>
    </row>
    <row r="633">
      <c r="A633" s="25" t="s">
        <v>2156</v>
      </c>
      <c r="B633" s="59">
        <v>45055.69103767361</v>
      </c>
      <c r="C633" s="25" t="s">
        <v>645</v>
      </c>
      <c r="D633" s="25">
        <v>5301.0</v>
      </c>
      <c r="E633" s="25" t="s">
        <v>183</v>
      </c>
      <c r="F633" s="25" t="s">
        <v>142</v>
      </c>
      <c r="G633" s="25" t="s">
        <v>2157</v>
      </c>
      <c r="H633" s="25" t="s">
        <v>18</v>
      </c>
      <c r="I633" s="25"/>
      <c r="J633" s="25" t="s">
        <v>2158</v>
      </c>
      <c r="K633" s="25"/>
      <c r="L633" s="26" t="s">
        <v>20</v>
      </c>
      <c r="M633" s="12">
        <v>45061.0</v>
      </c>
      <c r="N633" s="77" t="str">
        <f t="shared" si="1"/>
        <v>maio</v>
      </c>
    </row>
    <row r="634">
      <c r="A634" s="25" t="s">
        <v>2159</v>
      </c>
      <c r="B634" s="59">
        <v>45055.71011685186</v>
      </c>
      <c r="C634" s="25" t="s">
        <v>138</v>
      </c>
      <c r="D634" s="25">
        <v>5318.0</v>
      </c>
      <c r="E634" s="25" t="s">
        <v>15</v>
      </c>
      <c r="F634" s="25" t="s">
        <v>393</v>
      </c>
      <c r="G634" s="25" t="s">
        <v>14</v>
      </c>
      <c r="H634" s="25" t="s">
        <v>18</v>
      </c>
      <c r="I634" s="25"/>
      <c r="J634" s="25" t="s">
        <v>2160</v>
      </c>
      <c r="K634" s="25"/>
      <c r="L634" s="26" t="s">
        <v>20</v>
      </c>
      <c r="M634" s="12">
        <v>45061.0</v>
      </c>
      <c r="N634" s="77" t="str">
        <f t="shared" si="1"/>
        <v>maio</v>
      </c>
    </row>
    <row r="635">
      <c r="A635" s="25" t="s">
        <v>2161</v>
      </c>
      <c r="B635" s="59">
        <v>45055.773917094906</v>
      </c>
      <c r="C635" s="25" t="s">
        <v>138</v>
      </c>
      <c r="D635" s="25">
        <v>5318.0</v>
      </c>
      <c r="E635" s="25" t="s">
        <v>15</v>
      </c>
      <c r="F635" s="25" t="s">
        <v>393</v>
      </c>
      <c r="G635" s="25" t="s">
        <v>14</v>
      </c>
      <c r="H635" s="25" t="s">
        <v>37</v>
      </c>
      <c r="I635" s="25"/>
      <c r="J635" s="25" t="s">
        <v>2162</v>
      </c>
      <c r="K635" s="25"/>
      <c r="L635" s="26" t="s">
        <v>20</v>
      </c>
      <c r="M635" s="12">
        <v>45061.0</v>
      </c>
      <c r="N635" s="77" t="str">
        <f t="shared" si="1"/>
        <v>maio</v>
      </c>
    </row>
    <row r="636">
      <c r="A636" s="25" t="s">
        <v>2163</v>
      </c>
      <c r="B636" s="59">
        <v>45055.82111553241</v>
      </c>
      <c r="C636" s="25" t="s">
        <v>598</v>
      </c>
      <c r="D636" s="25">
        <v>5349.0</v>
      </c>
      <c r="E636" s="25" t="s">
        <v>60</v>
      </c>
      <c r="F636" s="25" t="s">
        <v>61</v>
      </c>
      <c r="G636" s="25" t="s">
        <v>598</v>
      </c>
      <c r="H636" s="25" t="s">
        <v>37</v>
      </c>
      <c r="I636" s="25"/>
      <c r="J636" s="25" t="s">
        <v>2164</v>
      </c>
      <c r="K636" s="25"/>
      <c r="L636" s="26" t="s">
        <v>20</v>
      </c>
      <c r="M636" s="12">
        <v>45061.0</v>
      </c>
      <c r="N636" s="77" t="str">
        <f t="shared" si="1"/>
        <v>maio</v>
      </c>
    </row>
    <row r="637">
      <c r="A637" s="25" t="s">
        <v>2165</v>
      </c>
      <c r="B637" s="59">
        <v>45056.325591388886</v>
      </c>
      <c r="C637" s="25" t="s">
        <v>486</v>
      </c>
      <c r="D637" s="25">
        <v>5340.0</v>
      </c>
      <c r="E637" s="25" t="s">
        <v>70</v>
      </c>
      <c r="F637" s="25" t="s">
        <v>61</v>
      </c>
      <c r="G637" s="25" t="s">
        <v>2166</v>
      </c>
      <c r="H637" s="25" t="s">
        <v>37</v>
      </c>
      <c r="I637" s="25"/>
      <c r="J637" s="25" t="s">
        <v>2167</v>
      </c>
      <c r="K637" s="25"/>
      <c r="L637" s="26" t="s">
        <v>20</v>
      </c>
      <c r="M637" s="12">
        <v>45061.0</v>
      </c>
      <c r="N637" s="77" t="str">
        <f t="shared" si="1"/>
        <v>maio</v>
      </c>
    </row>
    <row r="638">
      <c r="A638" s="25" t="s">
        <v>2168</v>
      </c>
      <c r="B638" s="59">
        <v>45056.34716462963</v>
      </c>
      <c r="C638" s="25" t="s">
        <v>486</v>
      </c>
      <c r="D638" s="25">
        <v>5340.0</v>
      </c>
      <c r="E638" s="25" t="s">
        <v>70</v>
      </c>
      <c r="F638" s="25" t="s">
        <v>816</v>
      </c>
      <c r="G638" s="25" t="s">
        <v>2169</v>
      </c>
      <c r="H638" s="25" t="s">
        <v>37</v>
      </c>
      <c r="I638" s="25"/>
      <c r="J638" s="25" t="s">
        <v>2170</v>
      </c>
      <c r="K638" s="25"/>
      <c r="L638" s="26" t="s">
        <v>20</v>
      </c>
      <c r="M638" s="12">
        <v>45147.0</v>
      </c>
      <c r="N638" s="77" t="str">
        <f t="shared" si="1"/>
        <v>maio</v>
      </c>
    </row>
    <row r="639">
      <c r="A639" s="25" t="s">
        <v>2171</v>
      </c>
      <c r="B639" s="59">
        <v>45056.35983395833</v>
      </c>
      <c r="C639" s="25" t="s">
        <v>486</v>
      </c>
      <c r="D639" s="25">
        <v>5340.0</v>
      </c>
      <c r="E639" s="25" t="s">
        <v>70</v>
      </c>
      <c r="F639" s="25" t="s">
        <v>1076</v>
      </c>
      <c r="G639" s="25" t="s">
        <v>2172</v>
      </c>
      <c r="H639" s="25" t="s">
        <v>79</v>
      </c>
      <c r="I639" s="25"/>
      <c r="J639" s="25" t="s">
        <v>2173</v>
      </c>
      <c r="K639" s="25"/>
      <c r="L639" s="26" t="s">
        <v>20</v>
      </c>
      <c r="M639" s="12">
        <v>45061.0</v>
      </c>
      <c r="N639" s="77" t="str">
        <f t="shared" si="1"/>
        <v>maio</v>
      </c>
    </row>
    <row r="640">
      <c r="A640" s="25" t="s">
        <v>2174</v>
      </c>
      <c r="B640" s="59">
        <v>45056.36614788194</v>
      </c>
      <c r="C640" s="25" t="s">
        <v>486</v>
      </c>
      <c r="D640" s="25">
        <v>5340.0</v>
      </c>
      <c r="E640" s="25" t="s">
        <v>70</v>
      </c>
      <c r="F640" s="25" t="s">
        <v>1144</v>
      </c>
      <c r="G640" s="25" t="s">
        <v>2169</v>
      </c>
      <c r="H640" s="25" t="s">
        <v>37</v>
      </c>
      <c r="I640" s="25"/>
      <c r="J640" s="25" t="s">
        <v>2175</v>
      </c>
      <c r="K640" s="25"/>
      <c r="L640" s="26" t="s">
        <v>20</v>
      </c>
      <c r="M640" s="12">
        <v>45147.0</v>
      </c>
      <c r="N640" s="77" t="str">
        <f t="shared" si="1"/>
        <v>maio</v>
      </c>
    </row>
    <row r="641">
      <c r="A641" s="25" t="s">
        <v>2176</v>
      </c>
      <c r="B641" s="59">
        <v>45056.38161924768</v>
      </c>
      <c r="C641" s="25" t="s">
        <v>2177</v>
      </c>
      <c r="D641" s="25">
        <v>3.4415308E7</v>
      </c>
      <c r="E641" s="25" t="s">
        <v>1372</v>
      </c>
      <c r="F641" s="25" t="s">
        <v>2178</v>
      </c>
      <c r="G641" s="25" t="s">
        <v>2178</v>
      </c>
      <c r="H641" s="25" t="s">
        <v>764</v>
      </c>
      <c r="I641" s="25"/>
      <c r="J641" s="25" t="s">
        <v>2179</v>
      </c>
      <c r="K641" s="25"/>
      <c r="L641" s="26" t="s">
        <v>20</v>
      </c>
      <c r="M641" s="12">
        <v>45061.0</v>
      </c>
      <c r="N641" s="77" t="str">
        <f t="shared" si="1"/>
        <v>maio</v>
      </c>
    </row>
    <row r="642">
      <c r="A642" s="88" t="s">
        <v>2180</v>
      </c>
      <c r="B642" s="8">
        <v>45056.382898807875</v>
      </c>
      <c r="C642" s="7" t="s">
        <v>2177</v>
      </c>
      <c r="D642" s="7">
        <v>3.4415308E7</v>
      </c>
      <c r="E642" s="7" t="s">
        <v>1372</v>
      </c>
      <c r="F642" s="7" t="s">
        <v>1487</v>
      </c>
      <c r="G642" s="9" t="s">
        <v>2181</v>
      </c>
      <c r="H642" s="7" t="s">
        <v>129</v>
      </c>
      <c r="I642" s="7"/>
      <c r="J642" s="60" t="s">
        <v>2182</v>
      </c>
      <c r="K642" s="54"/>
      <c r="L642" s="10" t="s">
        <v>20</v>
      </c>
      <c r="M642" s="55">
        <v>45288.0</v>
      </c>
      <c r="N642" s="77" t="str">
        <f t="shared" si="1"/>
        <v>maio</v>
      </c>
    </row>
    <row r="643">
      <c r="A643" s="25" t="s">
        <v>2183</v>
      </c>
      <c r="B643" s="59">
        <v>45056.38360980324</v>
      </c>
      <c r="C643" s="25" t="s">
        <v>2177</v>
      </c>
      <c r="D643" s="25">
        <v>3.4415308E7</v>
      </c>
      <c r="E643" s="25" t="s">
        <v>1372</v>
      </c>
      <c r="F643" s="25" t="s">
        <v>2184</v>
      </c>
      <c r="G643" s="25" t="s">
        <v>2185</v>
      </c>
      <c r="H643" s="25" t="s">
        <v>298</v>
      </c>
      <c r="I643" s="25"/>
      <c r="J643" s="25" t="s">
        <v>2186</v>
      </c>
      <c r="K643" s="25"/>
      <c r="L643" s="26" t="s">
        <v>20</v>
      </c>
      <c r="M643" s="12">
        <v>45149.0</v>
      </c>
      <c r="N643" s="77" t="str">
        <f t="shared" si="1"/>
        <v>maio</v>
      </c>
    </row>
    <row r="644">
      <c r="A644" s="25" t="s">
        <v>2187</v>
      </c>
      <c r="B644" s="59">
        <v>45056.38444739583</v>
      </c>
      <c r="C644" s="25" t="s">
        <v>2188</v>
      </c>
      <c r="D644" s="25">
        <v>3.4415308E7</v>
      </c>
      <c r="E644" s="25" t="s">
        <v>1372</v>
      </c>
      <c r="F644" s="25" t="s">
        <v>2184</v>
      </c>
      <c r="G644" s="25" t="s">
        <v>2185</v>
      </c>
      <c r="H644" s="25" t="s">
        <v>298</v>
      </c>
      <c r="I644" s="25"/>
      <c r="J644" s="25" t="s">
        <v>2189</v>
      </c>
      <c r="K644" s="25"/>
      <c r="L644" s="26" t="s">
        <v>20</v>
      </c>
      <c r="M644" s="12">
        <v>45149.0</v>
      </c>
      <c r="N644" s="77" t="str">
        <f t="shared" si="1"/>
        <v>maio</v>
      </c>
    </row>
    <row r="645">
      <c r="A645" s="25" t="s">
        <v>2190</v>
      </c>
      <c r="B645" s="59">
        <v>45056.41625253472</v>
      </c>
      <c r="C645" s="25" t="s">
        <v>486</v>
      </c>
      <c r="D645" s="25">
        <v>5340.0</v>
      </c>
      <c r="E645" s="25" t="s">
        <v>70</v>
      </c>
      <c r="F645" s="25" t="s">
        <v>82</v>
      </c>
      <c r="G645" s="25" t="s">
        <v>2191</v>
      </c>
      <c r="H645" s="25" t="s">
        <v>764</v>
      </c>
      <c r="I645" s="25"/>
      <c r="J645" s="25" t="s">
        <v>2192</v>
      </c>
      <c r="K645" s="25"/>
      <c r="L645" s="26" t="s">
        <v>20</v>
      </c>
      <c r="M645" s="12">
        <v>45056.0</v>
      </c>
      <c r="N645" s="77" t="str">
        <f t="shared" si="1"/>
        <v>maio</v>
      </c>
    </row>
    <row r="646">
      <c r="A646" s="25" t="s">
        <v>2193</v>
      </c>
      <c r="B646" s="59">
        <v>45056.51139302083</v>
      </c>
      <c r="C646" s="25" t="s">
        <v>1491</v>
      </c>
      <c r="D646" s="25">
        <v>5333.0</v>
      </c>
      <c r="E646" s="25" t="s">
        <v>41</v>
      </c>
      <c r="F646" s="25" t="s">
        <v>42</v>
      </c>
      <c r="G646" s="25" t="s">
        <v>1599</v>
      </c>
      <c r="H646" s="25" t="s">
        <v>37</v>
      </c>
      <c r="I646" s="25"/>
      <c r="J646" s="25" t="s">
        <v>2194</v>
      </c>
      <c r="K646" s="25"/>
      <c r="L646" s="26" t="s">
        <v>20</v>
      </c>
      <c r="M646" s="12">
        <v>45058.0</v>
      </c>
      <c r="N646" s="77" t="str">
        <f t="shared" si="1"/>
        <v>maio</v>
      </c>
    </row>
    <row r="647">
      <c r="A647" s="25" t="s">
        <v>2195</v>
      </c>
      <c r="B647" s="59">
        <v>45056.513270358795</v>
      </c>
      <c r="C647" s="25" t="s">
        <v>1491</v>
      </c>
      <c r="D647" s="25">
        <v>5333.0</v>
      </c>
      <c r="E647" s="25" t="s">
        <v>41</v>
      </c>
      <c r="F647" s="25" t="s">
        <v>42</v>
      </c>
      <c r="G647" s="25" t="s">
        <v>2196</v>
      </c>
      <c r="H647" s="25" t="s">
        <v>79</v>
      </c>
      <c r="I647" s="25"/>
      <c r="J647" s="25" t="s">
        <v>2197</v>
      </c>
      <c r="K647" s="25"/>
      <c r="L647" s="26" t="s">
        <v>20</v>
      </c>
      <c r="M647" s="12">
        <v>45062.0</v>
      </c>
      <c r="N647" s="77" t="str">
        <f t="shared" si="1"/>
        <v>maio</v>
      </c>
    </row>
    <row r="648">
      <c r="A648" s="25" t="s">
        <v>2198</v>
      </c>
      <c r="B648" s="59">
        <v>45056.51470561343</v>
      </c>
      <c r="C648" s="25" t="s">
        <v>1491</v>
      </c>
      <c r="D648" s="25">
        <v>5333.0</v>
      </c>
      <c r="E648" s="25" t="s">
        <v>41</v>
      </c>
      <c r="F648" s="25" t="s">
        <v>42</v>
      </c>
      <c r="G648" s="25" t="s">
        <v>2196</v>
      </c>
      <c r="H648" s="25" t="s">
        <v>162</v>
      </c>
      <c r="I648" s="25"/>
      <c r="J648" s="25" t="s">
        <v>2199</v>
      </c>
      <c r="K648" s="25"/>
      <c r="L648" s="26" t="s">
        <v>20</v>
      </c>
      <c r="M648" s="12">
        <v>45058.0</v>
      </c>
      <c r="N648" s="77" t="str">
        <f t="shared" si="1"/>
        <v>maio</v>
      </c>
    </row>
    <row r="649">
      <c r="A649" s="25" t="s">
        <v>2200</v>
      </c>
      <c r="B649" s="59">
        <v>45056.571197384255</v>
      </c>
      <c r="C649" s="25" t="s">
        <v>1068</v>
      </c>
      <c r="D649" s="25">
        <v>5311.0</v>
      </c>
      <c r="E649" s="25" t="s">
        <v>251</v>
      </c>
      <c r="F649" s="25" t="s">
        <v>100</v>
      </c>
      <c r="G649" s="25" t="s">
        <v>2201</v>
      </c>
      <c r="H649" s="25" t="s">
        <v>44</v>
      </c>
      <c r="I649" s="25" t="s">
        <v>2202</v>
      </c>
      <c r="J649" s="25" t="s">
        <v>2203</v>
      </c>
      <c r="K649" s="25"/>
      <c r="L649" s="26" t="s">
        <v>20</v>
      </c>
      <c r="M649" s="12">
        <v>45180.0</v>
      </c>
      <c r="N649" s="77" t="str">
        <f t="shared" si="1"/>
        <v>maio</v>
      </c>
    </row>
    <row r="650">
      <c r="A650" s="25" t="s">
        <v>2204</v>
      </c>
      <c r="B650" s="59">
        <v>45056.58735011574</v>
      </c>
      <c r="C650" s="25" t="s">
        <v>1068</v>
      </c>
      <c r="D650" s="25">
        <v>5311.0</v>
      </c>
      <c r="E650" s="25" t="s">
        <v>251</v>
      </c>
      <c r="F650" s="25" t="s">
        <v>100</v>
      </c>
      <c r="G650" s="25" t="s">
        <v>2201</v>
      </c>
      <c r="H650" s="25" t="s">
        <v>44</v>
      </c>
      <c r="I650" s="25" t="s">
        <v>2119</v>
      </c>
      <c r="J650" s="25" t="s">
        <v>2205</v>
      </c>
      <c r="K650" s="25"/>
      <c r="L650" s="26" t="s">
        <v>20</v>
      </c>
      <c r="M650" s="12">
        <v>45181.0</v>
      </c>
      <c r="N650" s="77" t="str">
        <f t="shared" si="1"/>
        <v>maio</v>
      </c>
    </row>
    <row r="651">
      <c r="A651" s="25" t="s">
        <v>2206</v>
      </c>
      <c r="B651" s="59">
        <v>45056.589462372685</v>
      </c>
      <c r="C651" s="25" t="s">
        <v>553</v>
      </c>
      <c r="D651" s="25">
        <v>5318.0</v>
      </c>
      <c r="E651" s="25" t="s">
        <v>15</v>
      </c>
      <c r="F651" s="25" t="s">
        <v>86</v>
      </c>
      <c r="G651" s="25" t="s">
        <v>2207</v>
      </c>
      <c r="H651" s="25" t="s">
        <v>18</v>
      </c>
      <c r="I651" s="25"/>
      <c r="J651" s="25" t="s">
        <v>2208</v>
      </c>
      <c r="K651" s="25"/>
      <c r="L651" s="26" t="s">
        <v>20</v>
      </c>
      <c r="M651" s="12">
        <v>45061.0</v>
      </c>
      <c r="N651" s="77" t="str">
        <f t="shared" si="1"/>
        <v>maio</v>
      </c>
    </row>
    <row r="652">
      <c r="A652" s="25" t="s">
        <v>2209</v>
      </c>
      <c r="B652" s="59">
        <v>45056.950762569446</v>
      </c>
      <c r="C652" s="25" t="s">
        <v>2210</v>
      </c>
      <c r="D652" s="25">
        <v>5333.0</v>
      </c>
      <c r="E652" s="25" t="s">
        <v>41</v>
      </c>
      <c r="F652" s="25" t="s">
        <v>42</v>
      </c>
      <c r="G652" s="25" t="s">
        <v>1849</v>
      </c>
      <c r="H652" s="25" t="s">
        <v>79</v>
      </c>
      <c r="I652" s="25"/>
      <c r="J652" s="25" t="s">
        <v>585</v>
      </c>
      <c r="K652" s="25"/>
      <c r="L652" s="26" t="s">
        <v>20</v>
      </c>
      <c r="M652" s="12">
        <v>45062.0</v>
      </c>
      <c r="N652" s="77" t="str">
        <f t="shared" si="1"/>
        <v>maio</v>
      </c>
    </row>
    <row r="653">
      <c r="A653" s="25" t="s">
        <v>2211</v>
      </c>
      <c r="B653" s="59">
        <v>45056.951982893515</v>
      </c>
      <c r="C653" s="25" t="s">
        <v>2212</v>
      </c>
      <c r="D653" s="25">
        <v>5333.0</v>
      </c>
      <c r="E653" s="25" t="s">
        <v>41</v>
      </c>
      <c r="F653" s="25" t="s">
        <v>42</v>
      </c>
      <c r="G653" s="25" t="s">
        <v>2213</v>
      </c>
      <c r="H653" s="25" t="s">
        <v>79</v>
      </c>
      <c r="I653" s="25"/>
      <c r="J653" s="25" t="s">
        <v>2214</v>
      </c>
      <c r="K653" s="25"/>
      <c r="L653" s="26" t="s">
        <v>20</v>
      </c>
      <c r="M653" s="12">
        <v>45062.0</v>
      </c>
      <c r="N653" s="77" t="str">
        <f t="shared" si="1"/>
        <v>maio</v>
      </c>
    </row>
    <row r="654">
      <c r="A654" s="25" t="s">
        <v>2215</v>
      </c>
      <c r="B654" s="59">
        <v>45056.95307611111</v>
      </c>
      <c r="C654" s="25" t="s">
        <v>215</v>
      </c>
      <c r="D654" s="25">
        <v>5333.0</v>
      </c>
      <c r="E654" s="25" t="s">
        <v>41</v>
      </c>
      <c r="F654" s="25" t="s">
        <v>42</v>
      </c>
      <c r="G654" s="25" t="s">
        <v>2216</v>
      </c>
      <c r="H654" s="25" t="s">
        <v>37</v>
      </c>
      <c r="I654" s="25"/>
      <c r="J654" s="25" t="s">
        <v>2217</v>
      </c>
      <c r="K654" s="25"/>
      <c r="L654" s="26" t="s">
        <v>20</v>
      </c>
      <c r="M654" s="12">
        <v>45064.0</v>
      </c>
      <c r="N654" s="77" t="str">
        <f t="shared" si="1"/>
        <v>maio</v>
      </c>
    </row>
    <row r="655">
      <c r="A655" s="25" t="s">
        <v>2218</v>
      </c>
      <c r="B655" s="59">
        <v>45057.2782399537</v>
      </c>
      <c r="C655" s="25" t="s">
        <v>65</v>
      </c>
      <c r="D655" s="25">
        <v>5318.0</v>
      </c>
      <c r="E655" s="25" t="s">
        <v>15</v>
      </c>
      <c r="F655" s="25" t="s">
        <v>86</v>
      </c>
      <c r="G655" s="25" t="s">
        <v>2219</v>
      </c>
      <c r="H655" s="25" t="s">
        <v>18</v>
      </c>
      <c r="I655" s="25"/>
      <c r="J655" s="25" t="s">
        <v>2220</v>
      </c>
      <c r="K655" s="25"/>
      <c r="L655" s="26" t="s">
        <v>20</v>
      </c>
      <c r="M655" s="12">
        <v>45061.0</v>
      </c>
      <c r="N655" s="77" t="str">
        <f t="shared" si="1"/>
        <v>maio</v>
      </c>
    </row>
    <row r="656">
      <c r="A656" s="25" t="s">
        <v>2221</v>
      </c>
      <c r="B656" s="59">
        <v>45057.279512291665</v>
      </c>
      <c r="C656" s="25" t="s">
        <v>65</v>
      </c>
      <c r="D656" s="25">
        <v>5318.0</v>
      </c>
      <c r="E656" s="25" t="s">
        <v>15</v>
      </c>
      <c r="F656" s="25" t="s">
        <v>2222</v>
      </c>
      <c r="G656" s="25" t="s">
        <v>2222</v>
      </c>
      <c r="H656" s="25" t="s">
        <v>18</v>
      </c>
      <c r="I656" s="25"/>
      <c r="J656" s="25" t="s">
        <v>2223</v>
      </c>
      <c r="K656" s="25"/>
      <c r="L656" s="26" t="s">
        <v>20</v>
      </c>
      <c r="M656" s="12">
        <v>45061.0</v>
      </c>
      <c r="N656" s="77" t="str">
        <f t="shared" si="1"/>
        <v>maio</v>
      </c>
    </row>
    <row r="657">
      <c r="A657" s="25" t="s">
        <v>2224</v>
      </c>
      <c r="B657" s="59">
        <v>45057.313819710645</v>
      </c>
      <c r="C657" s="25" t="s">
        <v>486</v>
      </c>
      <c r="D657" s="25">
        <v>5340.0</v>
      </c>
      <c r="E657" s="25" t="s">
        <v>70</v>
      </c>
      <c r="F657" s="25" t="s">
        <v>2225</v>
      </c>
      <c r="G657" s="25" t="s">
        <v>2226</v>
      </c>
      <c r="H657" s="25" t="s">
        <v>79</v>
      </c>
      <c r="I657" s="25"/>
      <c r="J657" s="25" t="s">
        <v>2227</v>
      </c>
      <c r="K657" s="25"/>
      <c r="L657" s="26" t="s">
        <v>20</v>
      </c>
      <c r="M657" s="12">
        <v>45061.0</v>
      </c>
      <c r="N657" s="77" t="str">
        <f t="shared" si="1"/>
        <v>maio</v>
      </c>
    </row>
    <row r="658">
      <c r="A658" s="25" t="s">
        <v>2228</v>
      </c>
      <c r="B658" s="59">
        <v>45057.31973336806</v>
      </c>
      <c r="C658" s="25" t="s">
        <v>486</v>
      </c>
      <c r="D658" s="25">
        <v>5340.0</v>
      </c>
      <c r="E658" s="25" t="s">
        <v>70</v>
      </c>
      <c r="F658" s="25" t="s">
        <v>1144</v>
      </c>
      <c r="G658" s="25" t="s">
        <v>2229</v>
      </c>
      <c r="H658" s="25" t="s">
        <v>129</v>
      </c>
      <c r="I658" s="25"/>
      <c r="J658" s="25" t="s">
        <v>2230</v>
      </c>
      <c r="K658" s="25"/>
      <c r="L658" s="26" t="s">
        <v>20</v>
      </c>
      <c r="M658" s="12">
        <v>45077.0</v>
      </c>
      <c r="N658" s="77" t="str">
        <f t="shared" si="1"/>
        <v>maio</v>
      </c>
    </row>
    <row r="659">
      <c r="A659" s="25" t="s">
        <v>2231</v>
      </c>
      <c r="B659" s="59">
        <v>45057.33792060185</v>
      </c>
      <c r="C659" s="25" t="s">
        <v>486</v>
      </c>
      <c r="D659" s="25">
        <v>5340.0</v>
      </c>
      <c r="E659" s="25" t="s">
        <v>70</v>
      </c>
      <c r="F659" s="25" t="s">
        <v>1363</v>
      </c>
      <c r="G659" s="25" t="s">
        <v>2018</v>
      </c>
      <c r="H659" s="25" t="s">
        <v>764</v>
      </c>
      <c r="I659" s="25"/>
      <c r="J659" s="25" t="s">
        <v>2232</v>
      </c>
      <c r="K659" s="25"/>
      <c r="L659" s="26" t="s">
        <v>20</v>
      </c>
      <c r="M659" s="12">
        <v>45182.0</v>
      </c>
      <c r="N659" s="77" t="str">
        <f t="shared" si="1"/>
        <v>maio</v>
      </c>
    </row>
    <row r="660">
      <c r="A660" s="25" t="s">
        <v>2233</v>
      </c>
      <c r="B660" s="59">
        <v>45057.40360409722</v>
      </c>
      <c r="C660" s="25" t="s">
        <v>2234</v>
      </c>
      <c r="D660" s="25">
        <v>6.498407889E10</v>
      </c>
      <c r="E660" s="25" t="s">
        <v>187</v>
      </c>
      <c r="F660" s="25" t="s">
        <v>188</v>
      </c>
      <c r="G660" s="25" t="s">
        <v>2235</v>
      </c>
      <c r="H660" s="25" t="s">
        <v>764</v>
      </c>
      <c r="I660" s="25"/>
      <c r="J660" s="25" t="s">
        <v>2236</v>
      </c>
      <c r="K660" s="25"/>
      <c r="L660" s="26" t="s">
        <v>20</v>
      </c>
      <c r="M660" s="12">
        <v>45058.0</v>
      </c>
      <c r="N660" s="77" t="str">
        <f t="shared" si="1"/>
        <v>maio</v>
      </c>
    </row>
    <row r="661">
      <c r="A661" s="88" t="s">
        <v>2237</v>
      </c>
      <c r="B661" s="8">
        <v>45057.424346631946</v>
      </c>
      <c r="C661" s="7" t="s">
        <v>339</v>
      </c>
      <c r="D661" s="7">
        <v>7.7999477415E10</v>
      </c>
      <c r="E661" s="25" t="s">
        <v>621</v>
      </c>
      <c r="F661" s="25" t="s">
        <v>86</v>
      </c>
      <c r="G661" s="9" t="s">
        <v>2238</v>
      </c>
      <c r="H661" s="7" t="s">
        <v>162</v>
      </c>
      <c r="I661" s="7"/>
      <c r="J661" s="60" t="s">
        <v>2239</v>
      </c>
      <c r="K661" s="54"/>
      <c r="L661" s="10" t="s">
        <v>2240</v>
      </c>
      <c r="M661" s="43"/>
      <c r="N661" s="77" t="str">
        <f t="shared" si="1"/>
        <v>maio</v>
      </c>
    </row>
    <row r="662">
      <c r="A662" s="25" t="s">
        <v>2241</v>
      </c>
      <c r="B662" s="59">
        <v>45057.45057869213</v>
      </c>
      <c r="C662" s="25" t="s">
        <v>1068</v>
      </c>
      <c r="D662" s="25">
        <v>5311.0</v>
      </c>
      <c r="E662" s="25" t="s">
        <v>251</v>
      </c>
      <c r="F662" s="25" t="s">
        <v>100</v>
      </c>
      <c r="G662" s="25" t="s">
        <v>1073</v>
      </c>
      <c r="H662" s="25" t="s">
        <v>162</v>
      </c>
      <c r="I662" s="25"/>
      <c r="J662" s="25" t="s">
        <v>2242</v>
      </c>
      <c r="K662" s="25"/>
      <c r="L662" s="26" t="s">
        <v>20</v>
      </c>
      <c r="M662" s="12">
        <v>45058.0</v>
      </c>
      <c r="N662" s="77" t="str">
        <f t="shared" si="1"/>
        <v>maio</v>
      </c>
    </row>
    <row r="663">
      <c r="A663" s="25" t="s">
        <v>2243</v>
      </c>
      <c r="B663" s="59">
        <v>45057.566160104165</v>
      </c>
      <c r="C663" s="25" t="s">
        <v>2244</v>
      </c>
      <c r="D663" s="25">
        <v>7602.0</v>
      </c>
      <c r="E663" s="25" t="s">
        <v>195</v>
      </c>
      <c r="F663" s="25" t="s">
        <v>2245</v>
      </c>
      <c r="G663" s="25" t="s">
        <v>2246</v>
      </c>
      <c r="H663" s="25" t="s">
        <v>764</v>
      </c>
      <c r="I663" s="25"/>
      <c r="J663" s="25" t="s">
        <v>2247</v>
      </c>
      <c r="K663" s="25"/>
      <c r="L663" s="26" t="s">
        <v>20</v>
      </c>
      <c r="M663" s="12">
        <v>45058.0</v>
      </c>
      <c r="N663" s="77" t="str">
        <f t="shared" si="1"/>
        <v>maio</v>
      </c>
    </row>
    <row r="664">
      <c r="A664" s="25" t="s">
        <v>2248</v>
      </c>
      <c r="B664" s="59">
        <v>45057.575408171295</v>
      </c>
      <c r="C664" s="25" t="s">
        <v>486</v>
      </c>
      <c r="D664" s="25">
        <v>5340.0</v>
      </c>
      <c r="E664" s="25" t="s">
        <v>70</v>
      </c>
      <c r="F664" s="25" t="s">
        <v>35</v>
      </c>
      <c r="G664" s="25" t="s">
        <v>2169</v>
      </c>
      <c r="H664" s="25" t="s">
        <v>37</v>
      </c>
      <c r="I664" s="25"/>
      <c r="J664" s="25" t="s">
        <v>2249</v>
      </c>
      <c r="K664" s="25"/>
      <c r="L664" s="26" t="s">
        <v>20</v>
      </c>
      <c r="M664" s="12">
        <v>45056.0</v>
      </c>
      <c r="N664" s="77" t="str">
        <f t="shared" si="1"/>
        <v>maio</v>
      </c>
    </row>
    <row r="665">
      <c r="A665" s="25" t="s">
        <v>2250</v>
      </c>
      <c r="B665" s="59">
        <v>45057.5867859375</v>
      </c>
      <c r="C665" s="25" t="s">
        <v>486</v>
      </c>
      <c r="D665" s="25">
        <v>5340.0</v>
      </c>
      <c r="E665" s="25" t="s">
        <v>70</v>
      </c>
      <c r="F665" s="25" t="s">
        <v>82</v>
      </c>
      <c r="G665" s="25" t="s">
        <v>2251</v>
      </c>
      <c r="H665" s="25" t="s">
        <v>37</v>
      </c>
      <c r="I665" s="25"/>
      <c r="J665" s="25" t="s">
        <v>2252</v>
      </c>
      <c r="K665" s="25"/>
      <c r="L665" s="26" t="s">
        <v>20</v>
      </c>
      <c r="M665" s="12">
        <v>45148.0</v>
      </c>
      <c r="N665" s="77" t="str">
        <f t="shared" si="1"/>
        <v>maio</v>
      </c>
    </row>
    <row r="666">
      <c r="A666" s="25" t="s">
        <v>2253</v>
      </c>
      <c r="B666" s="59">
        <v>45057.60667783565</v>
      </c>
      <c r="C666" s="25" t="s">
        <v>486</v>
      </c>
      <c r="D666" s="25">
        <v>5340.0</v>
      </c>
      <c r="E666" s="25" t="s">
        <v>70</v>
      </c>
      <c r="F666" s="25" t="s">
        <v>86</v>
      </c>
      <c r="G666" s="25" t="s">
        <v>2251</v>
      </c>
      <c r="H666" s="25" t="s">
        <v>37</v>
      </c>
      <c r="I666" s="25"/>
      <c r="J666" s="25" t="s">
        <v>2254</v>
      </c>
      <c r="K666" s="25"/>
      <c r="L666" s="26" t="s">
        <v>20</v>
      </c>
      <c r="M666" s="12">
        <v>45147.0</v>
      </c>
      <c r="N666" s="77" t="str">
        <f t="shared" si="1"/>
        <v>maio</v>
      </c>
    </row>
    <row r="667">
      <c r="A667" s="25" t="s">
        <v>2255</v>
      </c>
      <c r="B667" s="59">
        <v>45057.62543060185</v>
      </c>
      <c r="C667" s="25" t="s">
        <v>486</v>
      </c>
      <c r="D667" s="25">
        <v>5340.0</v>
      </c>
      <c r="E667" s="25" t="s">
        <v>70</v>
      </c>
      <c r="F667" s="25" t="s">
        <v>2256</v>
      </c>
      <c r="G667" s="25" t="s">
        <v>2257</v>
      </c>
      <c r="H667" s="25" t="s">
        <v>37</v>
      </c>
      <c r="I667" s="25"/>
      <c r="J667" s="25" t="s">
        <v>2258</v>
      </c>
      <c r="K667" s="25"/>
      <c r="L667" s="26" t="s">
        <v>20</v>
      </c>
      <c r="M667" s="12">
        <v>45153.0</v>
      </c>
      <c r="N667" s="77" t="str">
        <f t="shared" si="1"/>
        <v>maio</v>
      </c>
    </row>
    <row r="668">
      <c r="A668" s="25" t="s">
        <v>2259</v>
      </c>
      <c r="B668" s="59">
        <v>45057.71580928241</v>
      </c>
      <c r="C668" s="25" t="s">
        <v>876</v>
      </c>
      <c r="D668" s="25" t="s">
        <v>2260</v>
      </c>
      <c r="E668" s="25" t="s">
        <v>187</v>
      </c>
      <c r="F668" s="25" t="s">
        <v>877</v>
      </c>
      <c r="G668" s="25" t="s">
        <v>1205</v>
      </c>
      <c r="H668" s="25" t="s">
        <v>37</v>
      </c>
      <c r="I668" s="25"/>
      <c r="J668" s="25" t="s">
        <v>2261</v>
      </c>
      <c r="K668" s="25"/>
      <c r="L668" s="26" t="s">
        <v>20</v>
      </c>
      <c r="M668" s="12">
        <v>45149.0</v>
      </c>
      <c r="N668" s="77" t="str">
        <f t="shared" si="1"/>
        <v>maio</v>
      </c>
    </row>
    <row r="669">
      <c r="A669" s="25" t="s">
        <v>2262</v>
      </c>
      <c r="B669" s="59">
        <v>45057.725023356485</v>
      </c>
      <c r="C669" s="25" t="s">
        <v>194</v>
      </c>
      <c r="D669" s="25">
        <v>7601.0</v>
      </c>
      <c r="E669" s="25" t="s">
        <v>195</v>
      </c>
      <c r="F669" s="25" t="s">
        <v>2263</v>
      </c>
      <c r="G669" s="25" t="s">
        <v>2264</v>
      </c>
      <c r="H669" s="25" t="s">
        <v>37</v>
      </c>
      <c r="I669" s="25"/>
      <c r="J669" s="25" t="s">
        <v>2265</v>
      </c>
      <c r="K669" s="25"/>
      <c r="L669" s="26" t="s">
        <v>20</v>
      </c>
      <c r="M669" s="12">
        <v>45065.0</v>
      </c>
      <c r="N669" s="77" t="str">
        <f t="shared" si="1"/>
        <v>maio</v>
      </c>
    </row>
    <row r="670">
      <c r="A670" s="25" t="s">
        <v>2266</v>
      </c>
      <c r="B670" s="59">
        <v>45058.299487337965</v>
      </c>
      <c r="C670" s="25" t="s">
        <v>486</v>
      </c>
      <c r="D670" s="25">
        <v>5340.0</v>
      </c>
      <c r="E670" s="25" t="s">
        <v>70</v>
      </c>
      <c r="F670" s="25" t="s">
        <v>61</v>
      </c>
      <c r="G670" s="25" t="s">
        <v>2267</v>
      </c>
      <c r="H670" s="25" t="s">
        <v>764</v>
      </c>
      <c r="I670" s="25"/>
      <c r="J670" s="25" t="s">
        <v>2268</v>
      </c>
      <c r="K670" s="25"/>
      <c r="L670" s="26" t="s">
        <v>20</v>
      </c>
      <c r="M670" s="12">
        <v>45058.0</v>
      </c>
      <c r="N670" s="77" t="str">
        <f t="shared" si="1"/>
        <v>maio</v>
      </c>
    </row>
    <row r="671">
      <c r="A671" s="25" t="s">
        <v>2269</v>
      </c>
      <c r="B671" s="59">
        <v>45058.38637042824</v>
      </c>
      <c r="C671" s="25" t="s">
        <v>194</v>
      </c>
      <c r="D671" s="25">
        <v>7601.0</v>
      </c>
      <c r="E671" s="25" t="s">
        <v>195</v>
      </c>
      <c r="F671" s="25" t="s">
        <v>755</v>
      </c>
      <c r="G671" s="25" t="s">
        <v>2270</v>
      </c>
      <c r="H671" s="25" t="s">
        <v>79</v>
      </c>
      <c r="I671" s="25"/>
      <c r="J671" s="25" t="s">
        <v>2271</v>
      </c>
      <c r="K671" s="25"/>
      <c r="L671" s="26" t="s">
        <v>20</v>
      </c>
      <c r="M671" s="12">
        <v>45148.0</v>
      </c>
      <c r="N671" s="77" t="str">
        <f t="shared" si="1"/>
        <v>maio</v>
      </c>
    </row>
    <row r="672">
      <c r="A672" s="25" t="s">
        <v>2272</v>
      </c>
      <c r="B672" s="59">
        <v>45058.43997640046</v>
      </c>
      <c r="C672" s="25" t="s">
        <v>370</v>
      </c>
      <c r="D672" s="25">
        <v>5306.0</v>
      </c>
      <c r="E672" s="25" t="s">
        <v>371</v>
      </c>
      <c r="F672" s="25" t="s">
        <v>49</v>
      </c>
      <c r="G672" s="25" t="s">
        <v>2273</v>
      </c>
      <c r="H672" s="25" t="s">
        <v>37</v>
      </c>
      <c r="I672" s="25"/>
      <c r="J672" s="25" t="s">
        <v>2274</v>
      </c>
      <c r="K672" s="25"/>
      <c r="L672" s="26" t="s">
        <v>20</v>
      </c>
      <c r="M672" s="12">
        <v>45183.0</v>
      </c>
      <c r="N672" s="77" t="str">
        <f t="shared" si="1"/>
        <v>maio</v>
      </c>
    </row>
    <row r="673">
      <c r="A673" s="25" t="s">
        <v>2275</v>
      </c>
      <c r="B673" s="59">
        <v>45058.46633909723</v>
      </c>
      <c r="C673" s="25" t="s">
        <v>772</v>
      </c>
      <c r="D673" s="25">
        <v>5300.0</v>
      </c>
      <c r="E673" s="25" t="s">
        <v>540</v>
      </c>
      <c r="F673" s="25" t="s">
        <v>82</v>
      </c>
      <c r="G673" s="25" t="s">
        <v>2276</v>
      </c>
      <c r="H673" s="25" t="s">
        <v>18</v>
      </c>
      <c r="I673" s="25"/>
      <c r="J673" s="25" t="s">
        <v>2277</v>
      </c>
      <c r="K673" s="25"/>
      <c r="L673" s="26" t="s">
        <v>20</v>
      </c>
      <c r="M673" s="12">
        <v>45062.0</v>
      </c>
      <c r="N673" s="77" t="str">
        <f t="shared" si="1"/>
        <v>maio</v>
      </c>
    </row>
    <row r="674">
      <c r="A674" s="25" t="s">
        <v>2278</v>
      </c>
      <c r="B674" s="59">
        <v>45058.47047572916</v>
      </c>
      <c r="C674" s="25" t="s">
        <v>772</v>
      </c>
      <c r="D674" s="25">
        <v>5300.0</v>
      </c>
      <c r="E674" s="25" t="s">
        <v>540</v>
      </c>
      <c r="F674" s="25" t="s">
        <v>82</v>
      </c>
      <c r="G674" s="25" t="s">
        <v>2279</v>
      </c>
      <c r="H674" s="25" t="s">
        <v>1853</v>
      </c>
      <c r="I674" s="25"/>
      <c r="J674" s="25" t="s">
        <v>2280</v>
      </c>
      <c r="K674" s="25"/>
      <c r="L674" s="26" t="s">
        <v>20</v>
      </c>
      <c r="M674" s="12">
        <v>45062.0</v>
      </c>
      <c r="N674" s="77" t="str">
        <f t="shared" si="1"/>
        <v>maio</v>
      </c>
    </row>
    <row r="675">
      <c r="A675" s="25" t="s">
        <v>2281</v>
      </c>
      <c r="B675" s="59">
        <v>45058.472110902774</v>
      </c>
      <c r="C675" s="25" t="s">
        <v>772</v>
      </c>
      <c r="D675" s="25">
        <v>5300.0</v>
      </c>
      <c r="E675" s="25" t="s">
        <v>540</v>
      </c>
      <c r="F675" s="25" t="s">
        <v>82</v>
      </c>
      <c r="G675" s="25" t="s">
        <v>2276</v>
      </c>
      <c r="H675" s="25" t="s">
        <v>764</v>
      </c>
      <c r="I675" s="25"/>
      <c r="J675" s="25" t="s">
        <v>2282</v>
      </c>
      <c r="K675" s="25"/>
      <c r="L675" s="26" t="s">
        <v>20</v>
      </c>
      <c r="M675" s="12">
        <v>45064.0</v>
      </c>
      <c r="N675" s="77" t="str">
        <f t="shared" si="1"/>
        <v>maio</v>
      </c>
    </row>
    <row r="676">
      <c r="A676" s="25" t="s">
        <v>2283</v>
      </c>
      <c r="B676" s="59">
        <v>45058.54625625</v>
      </c>
      <c r="C676" s="25" t="s">
        <v>69</v>
      </c>
      <c r="D676" s="25">
        <v>5340.0</v>
      </c>
      <c r="E676" s="25" t="s">
        <v>70</v>
      </c>
      <c r="F676" s="25" t="s">
        <v>1144</v>
      </c>
      <c r="G676" s="25" t="s">
        <v>2284</v>
      </c>
      <c r="H676" s="25" t="s">
        <v>79</v>
      </c>
      <c r="I676" s="25"/>
      <c r="J676" s="25" t="s">
        <v>2285</v>
      </c>
      <c r="K676" s="25"/>
      <c r="L676" s="26" t="s">
        <v>20</v>
      </c>
      <c r="M676" s="12">
        <v>45092.0</v>
      </c>
      <c r="N676" s="77" t="str">
        <f t="shared" si="1"/>
        <v>maio</v>
      </c>
    </row>
    <row r="677">
      <c r="A677" s="25" t="s">
        <v>2286</v>
      </c>
      <c r="B677" s="59">
        <v>45058.54800793981</v>
      </c>
      <c r="C677" s="25" t="s">
        <v>486</v>
      </c>
      <c r="D677" s="25">
        <v>5340.0</v>
      </c>
      <c r="E677" s="25" t="s">
        <v>70</v>
      </c>
      <c r="F677" s="25" t="s">
        <v>86</v>
      </c>
      <c r="G677" s="25" t="s">
        <v>2169</v>
      </c>
      <c r="H677" s="25" t="s">
        <v>37</v>
      </c>
      <c r="I677" s="25"/>
      <c r="J677" s="25" t="s">
        <v>2287</v>
      </c>
      <c r="K677" s="25"/>
      <c r="L677" s="26" t="s">
        <v>20</v>
      </c>
      <c r="M677" s="12">
        <v>45135.0</v>
      </c>
      <c r="N677" s="77" t="str">
        <f t="shared" si="1"/>
        <v>maio</v>
      </c>
    </row>
    <row r="678">
      <c r="A678" s="25" t="s">
        <v>2288</v>
      </c>
      <c r="B678" s="59">
        <v>45058.5586119213</v>
      </c>
      <c r="C678" s="25" t="s">
        <v>486</v>
      </c>
      <c r="D678" s="25">
        <v>5340.0</v>
      </c>
      <c r="E678" s="25" t="s">
        <v>70</v>
      </c>
      <c r="F678" s="25" t="s">
        <v>2289</v>
      </c>
      <c r="G678" s="25" t="s">
        <v>2169</v>
      </c>
      <c r="H678" s="25" t="s">
        <v>37</v>
      </c>
      <c r="I678" s="25"/>
      <c r="J678" s="25" t="s">
        <v>2290</v>
      </c>
      <c r="K678" s="25"/>
      <c r="L678" s="26" t="s">
        <v>20</v>
      </c>
      <c r="M678" s="12">
        <v>45153.0</v>
      </c>
      <c r="N678" s="77" t="str">
        <f t="shared" si="1"/>
        <v>maio</v>
      </c>
    </row>
    <row r="679">
      <c r="A679" s="25" t="s">
        <v>2291</v>
      </c>
      <c r="B679" s="59">
        <v>45058.57982849537</v>
      </c>
      <c r="C679" s="25" t="s">
        <v>2292</v>
      </c>
      <c r="D679" s="25">
        <v>3.4999071369E10</v>
      </c>
      <c r="E679" s="20" t="s">
        <v>308</v>
      </c>
      <c r="F679" s="25" t="s">
        <v>783</v>
      </c>
      <c r="G679" s="25">
        <v>153.0</v>
      </c>
      <c r="H679" s="25" t="s">
        <v>37</v>
      </c>
      <c r="I679" s="25"/>
      <c r="J679" s="25" t="s">
        <v>2293</v>
      </c>
      <c r="K679" s="25"/>
      <c r="L679" s="26" t="s">
        <v>20</v>
      </c>
      <c r="M679" s="12">
        <v>45061.0</v>
      </c>
      <c r="N679" s="77" t="str">
        <f t="shared" si="1"/>
        <v>maio</v>
      </c>
    </row>
    <row r="680">
      <c r="A680" s="25" t="s">
        <v>2294</v>
      </c>
      <c r="B680" s="59">
        <v>45058.59965822917</v>
      </c>
      <c r="C680" s="25" t="s">
        <v>2295</v>
      </c>
      <c r="D680" s="25">
        <v>7602.0</v>
      </c>
      <c r="E680" s="25" t="s">
        <v>195</v>
      </c>
      <c r="F680" s="25" t="s">
        <v>2296</v>
      </c>
      <c r="G680" s="25" t="s">
        <v>2297</v>
      </c>
      <c r="H680" s="25" t="s">
        <v>298</v>
      </c>
      <c r="I680" s="25"/>
      <c r="J680" s="25" t="s">
        <v>2298</v>
      </c>
      <c r="K680" s="25"/>
      <c r="L680" s="26" t="s">
        <v>20</v>
      </c>
      <c r="M680" s="12">
        <v>45061.0</v>
      </c>
      <c r="N680" s="77" t="str">
        <f t="shared" si="1"/>
        <v>maio</v>
      </c>
    </row>
    <row r="681">
      <c r="A681" s="25" t="s">
        <v>2299</v>
      </c>
      <c r="B681" s="59">
        <v>45058.64238888889</v>
      </c>
      <c r="C681" s="25" t="s">
        <v>486</v>
      </c>
      <c r="D681" s="25">
        <v>5340.0</v>
      </c>
      <c r="E681" s="25" t="s">
        <v>70</v>
      </c>
      <c r="F681" s="25" t="s">
        <v>347</v>
      </c>
      <c r="G681" s="25" t="s">
        <v>2251</v>
      </c>
      <c r="H681" s="25" t="s">
        <v>37</v>
      </c>
      <c r="I681" s="25"/>
      <c r="J681" s="25" t="s">
        <v>2300</v>
      </c>
      <c r="K681" s="25"/>
      <c r="L681" s="26" t="s">
        <v>20</v>
      </c>
      <c r="M681" s="12">
        <v>45153.0</v>
      </c>
      <c r="N681" s="77" t="str">
        <f t="shared" si="1"/>
        <v>maio</v>
      </c>
    </row>
    <row r="682">
      <c r="A682" s="25" t="s">
        <v>2301</v>
      </c>
      <c r="B682" s="59">
        <v>45058.669367442126</v>
      </c>
      <c r="C682" s="25" t="s">
        <v>215</v>
      </c>
      <c r="D682" s="25">
        <v>5333.0</v>
      </c>
      <c r="E682" s="25" t="s">
        <v>41</v>
      </c>
      <c r="F682" s="25" t="s">
        <v>42</v>
      </c>
      <c r="G682" s="25" t="s">
        <v>550</v>
      </c>
      <c r="H682" s="25" t="s">
        <v>37</v>
      </c>
      <c r="I682" s="25"/>
      <c r="J682" s="25" t="s">
        <v>2302</v>
      </c>
      <c r="K682" s="25"/>
      <c r="L682" s="26" t="s">
        <v>20</v>
      </c>
      <c r="M682" s="12">
        <v>45061.0</v>
      </c>
      <c r="N682" s="77" t="str">
        <f t="shared" si="1"/>
        <v>maio</v>
      </c>
    </row>
    <row r="683">
      <c r="A683" s="25" t="s">
        <v>2303</v>
      </c>
      <c r="B683" s="59">
        <v>45061.328097210644</v>
      </c>
      <c r="C683" s="25" t="s">
        <v>2304</v>
      </c>
      <c r="D683" s="25">
        <v>6.4981321757E10</v>
      </c>
      <c r="E683" s="25" t="s">
        <v>187</v>
      </c>
      <c r="F683" s="25" t="s">
        <v>347</v>
      </c>
      <c r="G683" s="25" t="s">
        <v>433</v>
      </c>
      <c r="H683" s="25" t="s">
        <v>37</v>
      </c>
      <c r="I683" s="25"/>
      <c r="J683" s="25" t="s">
        <v>2305</v>
      </c>
      <c r="K683" s="25"/>
      <c r="L683" s="26" t="s">
        <v>20</v>
      </c>
      <c r="M683" s="12">
        <v>45061.0</v>
      </c>
      <c r="N683" s="77" t="str">
        <f t="shared" si="1"/>
        <v>maio</v>
      </c>
    </row>
    <row r="684">
      <c r="A684" s="25" t="s">
        <v>2306</v>
      </c>
      <c r="B684" s="59">
        <v>45061.39138271991</v>
      </c>
      <c r="C684" s="25" t="s">
        <v>1491</v>
      </c>
      <c r="D684" s="25">
        <v>5333.0</v>
      </c>
      <c r="E684" s="25" t="s">
        <v>41</v>
      </c>
      <c r="F684" s="25" t="s">
        <v>42</v>
      </c>
      <c r="G684" s="25" t="s">
        <v>2307</v>
      </c>
      <c r="H684" s="25" t="s">
        <v>764</v>
      </c>
      <c r="I684" s="25"/>
      <c r="J684" s="25" t="s">
        <v>2308</v>
      </c>
      <c r="K684" s="25"/>
      <c r="L684" s="26" t="s">
        <v>20</v>
      </c>
      <c r="M684" s="12">
        <v>45062.0</v>
      </c>
      <c r="N684" s="77" t="str">
        <f t="shared" si="1"/>
        <v>maio</v>
      </c>
    </row>
    <row r="685">
      <c r="A685" s="88" t="s">
        <v>2309</v>
      </c>
      <c r="B685" s="8">
        <v>45061.39576366898</v>
      </c>
      <c r="C685" s="7" t="s">
        <v>2310</v>
      </c>
      <c r="D685" s="7">
        <v>7609.0</v>
      </c>
      <c r="E685" s="7" t="s">
        <v>2311</v>
      </c>
      <c r="F685" s="7" t="s">
        <v>313</v>
      </c>
      <c r="G685" s="9" t="s">
        <v>2312</v>
      </c>
      <c r="H685" s="7" t="s">
        <v>79</v>
      </c>
      <c r="I685" s="7"/>
      <c r="J685" s="60" t="s">
        <v>2313</v>
      </c>
      <c r="K685" s="7" t="s">
        <v>2314</v>
      </c>
      <c r="L685" s="10" t="s">
        <v>74</v>
      </c>
      <c r="M685" s="55">
        <v>45267.0</v>
      </c>
      <c r="N685" s="77" t="str">
        <f t="shared" si="1"/>
        <v>maio</v>
      </c>
    </row>
    <row r="686">
      <c r="A686" s="25" t="s">
        <v>2315</v>
      </c>
      <c r="B686" s="59">
        <v>45061.4089890162</v>
      </c>
      <c r="C686" s="25" t="s">
        <v>1068</v>
      </c>
      <c r="D686" s="25">
        <v>5311.0</v>
      </c>
      <c r="E686" s="25" t="s">
        <v>251</v>
      </c>
      <c r="F686" s="25" t="s">
        <v>100</v>
      </c>
      <c r="G686" s="25" t="s">
        <v>2316</v>
      </c>
      <c r="H686" s="25" t="s">
        <v>44</v>
      </c>
      <c r="I686" s="25" t="s">
        <v>2119</v>
      </c>
      <c r="J686" s="25" t="s">
        <v>2317</v>
      </c>
      <c r="K686" s="25"/>
      <c r="L686" s="26" t="s">
        <v>20</v>
      </c>
      <c r="M686" s="12">
        <v>45064.0</v>
      </c>
      <c r="N686" s="77" t="str">
        <f t="shared" si="1"/>
        <v>maio</v>
      </c>
    </row>
    <row r="687">
      <c r="A687" s="25" t="s">
        <v>2318</v>
      </c>
      <c r="B687" s="59">
        <v>45061.43247048611</v>
      </c>
      <c r="C687" s="25" t="s">
        <v>2319</v>
      </c>
      <c r="D687" s="25">
        <v>5340.0</v>
      </c>
      <c r="E687" s="25" t="s">
        <v>70</v>
      </c>
      <c r="F687" s="25" t="s">
        <v>28</v>
      </c>
      <c r="G687" s="25" t="s">
        <v>1711</v>
      </c>
      <c r="H687" s="25" t="s">
        <v>79</v>
      </c>
      <c r="I687" s="25"/>
      <c r="J687" s="25" t="s">
        <v>2319</v>
      </c>
      <c r="K687" s="25"/>
      <c r="L687" s="26" t="s">
        <v>20</v>
      </c>
      <c r="M687" s="12">
        <v>45061.0</v>
      </c>
      <c r="N687" s="77" t="str">
        <f t="shared" si="1"/>
        <v>maio</v>
      </c>
    </row>
    <row r="688">
      <c r="A688" s="88" t="s">
        <v>2320</v>
      </c>
      <c r="B688" s="8">
        <v>45061.547644861115</v>
      </c>
      <c r="C688" s="7" t="s">
        <v>486</v>
      </c>
      <c r="D688" s="7">
        <v>5340.0</v>
      </c>
      <c r="E688" s="25" t="s">
        <v>70</v>
      </c>
      <c r="F688" s="7" t="s">
        <v>1144</v>
      </c>
      <c r="G688" s="9" t="s">
        <v>2321</v>
      </c>
      <c r="H688" s="7" t="s">
        <v>162</v>
      </c>
      <c r="I688" s="7"/>
      <c r="J688" s="60" t="s">
        <v>2322</v>
      </c>
      <c r="K688" s="7" t="s">
        <v>2323</v>
      </c>
      <c r="L688" s="10" t="s">
        <v>74</v>
      </c>
      <c r="M688" s="43"/>
      <c r="N688" s="77" t="str">
        <f t="shared" si="1"/>
        <v>maio</v>
      </c>
    </row>
    <row r="689">
      <c r="A689" s="25" t="s">
        <v>2324</v>
      </c>
      <c r="B689" s="59">
        <v>45061.550353865736</v>
      </c>
      <c r="C689" s="25" t="s">
        <v>486</v>
      </c>
      <c r="D689" s="25">
        <v>5340.0</v>
      </c>
      <c r="E689" s="25" t="s">
        <v>70</v>
      </c>
      <c r="F689" s="25" t="s">
        <v>1144</v>
      </c>
      <c r="G689" s="25" t="s">
        <v>1568</v>
      </c>
      <c r="H689" s="25" t="s">
        <v>764</v>
      </c>
      <c r="I689" s="25"/>
      <c r="J689" s="25" t="s">
        <v>2325</v>
      </c>
      <c r="K689" s="25"/>
      <c r="L689" s="26" t="s">
        <v>20</v>
      </c>
      <c r="M689" s="12">
        <v>45064.0</v>
      </c>
      <c r="N689" s="77" t="str">
        <f t="shared" si="1"/>
        <v>maio</v>
      </c>
    </row>
    <row r="690">
      <c r="A690" s="25" t="s">
        <v>2326</v>
      </c>
      <c r="B690" s="59">
        <v>45061.553706446764</v>
      </c>
      <c r="C690" s="25" t="s">
        <v>486</v>
      </c>
      <c r="D690" s="25">
        <v>5340.0</v>
      </c>
      <c r="E690" s="25" t="s">
        <v>70</v>
      </c>
      <c r="F690" s="25" t="s">
        <v>1144</v>
      </c>
      <c r="G690" s="25" t="s">
        <v>942</v>
      </c>
      <c r="H690" s="25" t="s">
        <v>1853</v>
      </c>
      <c r="I690" s="25"/>
      <c r="J690" s="25" t="s">
        <v>2327</v>
      </c>
      <c r="K690" s="25"/>
      <c r="L690" s="26" t="s">
        <v>20</v>
      </c>
      <c r="M690" s="12">
        <v>45097.0</v>
      </c>
      <c r="N690" s="77" t="str">
        <f t="shared" si="1"/>
        <v>maio</v>
      </c>
    </row>
    <row r="691">
      <c r="A691" s="25" t="s">
        <v>2328</v>
      </c>
      <c r="B691" s="59">
        <v>45062.63227240741</v>
      </c>
      <c r="C691" s="25" t="s">
        <v>2329</v>
      </c>
      <c r="D691" s="25">
        <v>5363.0</v>
      </c>
      <c r="E691" s="25" t="s">
        <v>261</v>
      </c>
      <c r="F691" s="25" t="s">
        <v>42</v>
      </c>
      <c r="G691" s="25" t="s">
        <v>2330</v>
      </c>
      <c r="H691" s="25" t="s">
        <v>37</v>
      </c>
      <c r="I691" s="25"/>
      <c r="J691" s="25" t="s">
        <v>2331</v>
      </c>
      <c r="K691" s="25"/>
      <c r="L691" s="26" t="s">
        <v>20</v>
      </c>
      <c r="M691" s="12">
        <v>45065.0</v>
      </c>
      <c r="N691" s="77" t="str">
        <f t="shared" si="1"/>
        <v>maio</v>
      </c>
    </row>
    <row r="692">
      <c r="A692" s="25" t="s">
        <v>2332</v>
      </c>
      <c r="B692" s="59">
        <v>45063.44879375</v>
      </c>
      <c r="C692" s="25" t="s">
        <v>321</v>
      </c>
      <c r="D692" s="25">
        <v>5305.0</v>
      </c>
      <c r="E692" s="25" t="s">
        <v>183</v>
      </c>
      <c r="F692" s="25" t="s">
        <v>840</v>
      </c>
      <c r="G692" s="25" t="s">
        <v>915</v>
      </c>
      <c r="H692" s="25" t="s">
        <v>18</v>
      </c>
      <c r="I692" s="25"/>
      <c r="J692" s="25" t="s">
        <v>2333</v>
      </c>
      <c r="K692" s="25"/>
      <c r="L692" s="26" t="s">
        <v>20</v>
      </c>
      <c r="M692" s="12">
        <v>45063.0</v>
      </c>
      <c r="N692" s="77" t="str">
        <f t="shared" si="1"/>
        <v>maio</v>
      </c>
    </row>
    <row r="693">
      <c r="A693" s="25" t="s">
        <v>2334</v>
      </c>
      <c r="B693" s="59">
        <v>45063.560031574074</v>
      </c>
      <c r="C693" s="25" t="s">
        <v>598</v>
      </c>
      <c r="D693" s="25">
        <v>5349.0</v>
      </c>
      <c r="E693" s="25" t="s">
        <v>60</v>
      </c>
      <c r="F693" s="25" t="s">
        <v>61</v>
      </c>
      <c r="G693" s="25" t="s">
        <v>2335</v>
      </c>
      <c r="H693" s="25" t="s">
        <v>79</v>
      </c>
      <c r="I693" s="25"/>
      <c r="J693" s="25" t="s">
        <v>2336</v>
      </c>
      <c r="K693" s="25"/>
      <c r="L693" s="26" t="s">
        <v>20</v>
      </c>
      <c r="M693" s="12">
        <v>45105.0</v>
      </c>
      <c r="N693" s="77" t="str">
        <f t="shared" si="1"/>
        <v>maio</v>
      </c>
    </row>
    <row r="694">
      <c r="A694" s="25" t="s">
        <v>2337</v>
      </c>
      <c r="B694" s="59">
        <v>45063.56938763889</v>
      </c>
      <c r="C694" s="25" t="s">
        <v>486</v>
      </c>
      <c r="D694" s="25">
        <v>5340.0</v>
      </c>
      <c r="E694" s="25" t="s">
        <v>70</v>
      </c>
      <c r="F694" s="25" t="s">
        <v>1090</v>
      </c>
      <c r="G694" s="25" t="s">
        <v>2338</v>
      </c>
      <c r="H694" s="25" t="s">
        <v>37</v>
      </c>
      <c r="I694" s="25"/>
      <c r="J694" s="25" t="s">
        <v>2339</v>
      </c>
      <c r="K694" s="25"/>
      <c r="L694" s="26" t="s">
        <v>20</v>
      </c>
      <c r="M694" s="12">
        <v>45149.0</v>
      </c>
      <c r="N694" s="77" t="str">
        <f t="shared" si="1"/>
        <v>maio</v>
      </c>
    </row>
    <row r="695">
      <c r="A695" s="25" t="s">
        <v>2340</v>
      </c>
      <c r="B695" s="59">
        <v>45063.613535868055</v>
      </c>
      <c r="C695" s="25" t="s">
        <v>659</v>
      </c>
      <c r="D695" s="25">
        <v>5340.0</v>
      </c>
      <c r="E695" s="25" t="s">
        <v>70</v>
      </c>
      <c r="F695" s="25" t="s">
        <v>90</v>
      </c>
      <c r="G695" s="25" t="s">
        <v>2341</v>
      </c>
      <c r="H695" s="25" t="s">
        <v>37</v>
      </c>
      <c r="I695" s="25"/>
      <c r="J695" s="25" t="s">
        <v>2342</v>
      </c>
      <c r="K695" s="25"/>
      <c r="L695" s="26" t="s">
        <v>20</v>
      </c>
      <c r="M695" s="12">
        <v>45064.0</v>
      </c>
      <c r="N695" s="77" t="str">
        <f t="shared" si="1"/>
        <v>maio</v>
      </c>
    </row>
    <row r="696">
      <c r="A696" s="25" t="s">
        <v>2343</v>
      </c>
      <c r="B696" s="59">
        <v>45064.39440798611</v>
      </c>
      <c r="C696" s="25" t="s">
        <v>1704</v>
      </c>
      <c r="D696" s="25">
        <v>5305.0</v>
      </c>
      <c r="E696" s="25" t="s">
        <v>183</v>
      </c>
      <c r="F696" s="25" t="s">
        <v>142</v>
      </c>
      <c r="G696" s="25" t="s">
        <v>891</v>
      </c>
      <c r="H696" s="25" t="s">
        <v>37</v>
      </c>
      <c r="I696" s="25"/>
      <c r="J696" s="25" t="s">
        <v>2344</v>
      </c>
      <c r="K696" s="25"/>
      <c r="L696" s="26" t="s">
        <v>20</v>
      </c>
      <c r="M696" s="12">
        <v>45064.0</v>
      </c>
      <c r="N696" s="77" t="str">
        <f t="shared" si="1"/>
        <v>maio</v>
      </c>
    </row>
    <row r="697">
      <c r="A697" s="25" t="s">
        <v>2345</v>
      </c>
      <c r="B697" s="59">
        <v>45064.39566689815</v>
      </c>
      <c r="C697" s="25" t="s">
        <v>1704</v>
      </c>
      <c r="D697" s="25">
        <v>5305.0</v>
      </c>
      <c r="E697" s="25" t="s">
        <v>183</v>
      </c>
      <c r="F697" s="25" t="s">
        <v>142</v>
      </c>
      <c r="G697" s="25" t="s">
        <v>891</v>
      </c>
      <c r="H697" s="25" t="s">
        <v>18</v>
      </c>
      <c r="I697" s="25"/>
      <c r="J697" s="25" t="s">
        <v>2346</v>
      </c>
      <c r="K697" s="25"/>
      <c r="L697" s="26" t="s">
        <v>20</v>
      </c>
      <c r="M697" s="12">
        <v>45064.0</v>
      </c>
      <c r="N697" s="77" t="str">
        <f t="shared" si="1"/>
        <v>maio</v>
      </c>
    </row>
    <row r="698">
      <c r="A698" s="25" t="s">
        <v>2347</v>
      </c>
      <c r="B698" s="59">
        <v>45064.41140414352</v>
      </c>
      <c r="C698" s="25" t="s">
        <v>245</v>
      </c>
      <c r="D698" s="25">
        <v>6.498456331E10</v>
      </c>
      <c r="E698" s="7" t="s">
        <v>246</v>
      </c>
      <c r="F698" s="25" t="s">
        <v>178</v>
      </c>
      <c r="G698" s="25" t="s">
        <v>1644</v>
      </c>
      <c r="H698" s="25" t="s">
        <v>18</v>
      </c>
      <c r="I698" s="25"/>
      <c r="J698" s="25" t="s">
        <v>2348</v>
      </c>
      <c r="K698" s="25"/>
      <c r="L698" s="26" t="s">
        <v>20</v>
      </c>
      <c r="M698" s="12">
        <v>45072.0</v>
      </c>
      <c r="N698" s="77" t="str">
        <f t="shared" si="1"/>
        <v>maio</v>
      </c>
    </row>
    <row r="699">
      <c r="A699" s="25" t="s">
        <v>2349</v>
      </c>
      <c r="B699" s="59">
        <v>45064.428283773144</v>
      </c>
      <c r="C699" s="25" t="s">
        <v>307</v>
      </c>
      <c r="D699" s="25">
        <v>3.4999071369E10</v>
      </c>
      <c r="E699" s="20" t="s">
        <v>308</v>
      </c>
      <c r="F699" s="25" t="s">
        <v>783</v>
      </c>
      <c r="G699" s="25">
        <v>153.0</v>
      </c>
      <c r="H699" s="25" t="s">
        <v>37</v>
      </c>
      <c r="I699" s="25"/>
      <c r="J699" s="25" t="s">
        <v>415</v>
      </c>
      <c r="K699" s="25"/>
      <c r="L699" s="26" t="s">
        <v>20</v>
      </c>
      <c r="M699" s="12">
        <v>45068.0</v>
      </c>
      <c r="N699" s="77" t="str">
        <f t="shared" si="1"/>
        <v>maio</v>
      </c>
    </row>
    <row r="700">
      <c r="A700" s="25" t="s">
        <v>2350</v>
      </c>
      <c r="B700" s="59">
        <v>45064.47359797454</v>
      </c>
      <c r="C700" s="25" t="s">
        <v>307</v>
      </c>
      <c r="D700" s="25">
        <v>3.4999071369E10</v>
      </c>
      <c r="E700" s="20" t="s">
        <v>308</v>
      </c>
      <c r="F700" s="25" t="s">
        <v>2351</v>
      </c>
      <c r="G700" s="25">
        <v>155.0</v>
      </c>
      <c r="H700" s="25" t="s">
        <v>764</v>
      </c>
      <c r="I700" s="25"/>
      <c r="J700" s="25" t="s">
        <v>2352</v>
      </c>
      <c r="K700" s="25"/>
      <c r="L700" s="26" t="s">
        <v>20</v>
      </c>
      <c r="M700" s="12">
        <v>45076.0</v>
      </c>
      <c r="N700" s="77" t="str">
        <f t="shared" si="1"/>
        <v>maio</v>
      </c>
    </row>
    <row r="701">
      <c r="A701" s="25" t="s">
        <v>2353</v>
      </c>
      <c r="B701" s="59">
        <v>45064.474259780094</v>
      </c>
      <c r="C701" s="25" t="s">
        <v>307</v>
      </c>
      <c r="D701" s="25">
        <v>3.4999071369E10</v>
      </c>
      <c r="E701" s="20" t="s">
        <v>308</v>
      </c>
      <c r="F701" s="25" t="s">
        <v>783</v>
      </c>
      <c r="G701" s="25">
        <v>165.0</v>
      </c>
      <c r="H701" s="25" t="s">
        <v>764</v>
      </c>
      <c r="I701" s="25"/>
      <c r="J701" s="25" t="s">
        <v>2354</v>
      </c>
      <c r="K701" s="25"/>
      <c r="L701" s="26" t="s">
        <v>20</v>
      </c>
      <c r="M701" s="12">
        <v>45076.0</v>
      </c>
      <c r="N701" s="77" t="str">
        <f t="shared" si="1"/>
        <v>maio</v>
      </c>
    </row>
    <row r="702">
      <c r="A702" s="25" t="s">
        <v>2355</v>
      </c>
      <c r="B702" s="59">
        <v>45064.47518596065</v>
      </c>
      <c r="C702" s="25" t="s">
        <v>307</v>
      </c>
      <c r="D702" s="25">
        <v>3.4999071369E10</v>
      </c>
      <c r="E702" s="20" t="s">
        <v>308</v>
      </c>
      <c r="F702" s="25" t="s">
        <v>783</v>
      </c>
      <c r="G702" s="25">
        <v>155.0</v>
      </c>
      <c r="H702" s="25" t="s">
        <v>37</v>
      </c>
      <c r="I702" s="25"/>
      <c r="J702" s="25" t="s">
        <v>2356</v>
      </c>
      <c r="K702" s="25"/>
      <c r="L702" s="26" t="s">
        <v>20</v>
      </c>
      <c r="M702" s="12">
        <v>45076.0</v>
      </c>
      <c r="N702" s="77" t="str">
        <f t="shared" si="1"/>
        <v>maio</v>
      </c>
    </row>
    <row r="703">
      <c r="A703" s="25" t="s">
        <v>2357</v>
      </c>
      <c r="B703" s="59">
        <v>45064.49119649305</v>
      </c>
      <c r="C703" s="25" t="s">
        <v>307</v>
      </c>
      <c r="D703" s="25">
        <v>3.4999071369E10</v>
      </c>
      <c r="E703" s="20" t="s">
        <v>308</v>
      </c>
      <c r="F703" s="25" t="s">
        <v>783</v>
      </c>
      <c r="G703" s="25">
        <v>160.0</v>
      </c>
      <c r="H703" s="25" t="s">
        <v>764</v>
      </c>
      <c r="I703" s="25"/>
      <c r="J703" s="25" t="s">
        <v>2358</v>
      </c>
      <c r="K703" s="25"/>
      <c r="L703" s="26" t="s">
        <v>20</v>
      </c>
      <c r="M703" s="12">
        <v>45090.0</v>
      </c>
      <c r="N703" s="77" t="str">
        <f t="shared" si="1"/>
        <v>maio</v>
      </c>
    </row>
    <row r="704">
      <c r="A704" s="25" t="s">
        <v>2359</v>
      </c>
      <c r="B704" s="59">
        <v>45064.49202196759</v>
      </c>
      <c r="C704" s="25" t="s">
        <v>307</v>
      </c>
      <c r="D704" s="25">
        <v>3.4999071369E10</v>
      </c>
      <c r="E704" s="20" t="s">
        <v>308</v>
      </c>
      <c r="F704" s="25" t="s">
        <v>783</v>
      </c>
      <c r="G704" s="25">
        <v>155.0</v>
      </c>
      <c r="H704" s="25" t="s">
        <v>764</v>
      </c>
      <c r="I704" s="25"/>
      <c r="J704" s="25" t="s">
        <v>2360</v>
      </c>
      <c r="K704" s="25"/>
      <c r="L704" s="26" t="s">
        <v>20</v>
      </c>
      <c r="M704" s="12">
        <v>45077.0</v>
      </c>
      <c r="N704" s="77" t="str">
        <f t="shared" si="1"/>
        <v>maio</v>
      </c>
    </row>
    <row r="705">
      <c r="A705" s="25" t="s">
        <v>2361</v>
      </c>
      <c r="B705" s="59">
        <v>45064.54261042824</v>
      </c>
      <c r="C705" s="25" t="s">
        <v>673</v>
      </c>
      <c r="D705" s="25">
        <v>5332.0</v>
      </c>
      <c r="E705" s="25" t="s">
        <v>728</v>
      </c>
      <c r="F705" s="25" t="s">
        <v>103</v>
      </c>
      <c r="G705" s="25" t="s">
        <v>452</v>
      </c>
      <c r="H705" s="25" t="s">
        <v>79</v>
      </c>
      <c r="I705" s="25"/>
      <c r="J705" s="25" t="s">
        <v>2362</v>
      </c>
      <c r="K705" s="25"/>
      <c r="L705" s="26" t="s">
        <v>20</v>
      </c>
      <c r="M705" s="12">
        <v>45070.0</v>
      </c>
      <c r="N705" s="77" t="str">
        <f t="shared" si="1"/>
        <v>maio</v>
      </c>
    </row>
    <row r="706">
      <c r="A706" s="25" t="s">
        <v>2363</v>
      </c>
      <c r="B706" s="59">
        <v>45064.572339039354</v>
      </c>
      <c r="C706" s="25" t="s">
        <v>53</v>
      </c>
      <c r="D706" s="25">
        <v>5302.0</v>
      </c>
      <c r="E706" s="20" t="s">
        <v>288</v>
      </c>
      <c r="F706" s="25" t="s">
        <v>55</v>
      </c>
      <c r="G706" s="25" t="s">
        <v>56</v>
      </c>
      <c r="H706" s="25" t="s">
        <v>37</v>
      </c>
      <c r="I706" s="25"/>
      <c r="J706" s="25" t="s">
        <v>2364</v>
      </c>
      <c r="K706" s="25"/>
      <c r="L706" s="26" t="s">
        <v>20</v>
      </c>
      <c r="M706" s="12">
        <v>45126.0</v>
      </c>
      <c r="N706" s="77" t="str">
        <f t="shared" si="1"/>
        <v>maio</v>
      </c>
    </row>
    <row r="707">
      <c r="A707" s="25" t="s">
        <v>2365</v>
      </c>
      <c r="B707" s="59">
        <v>45064.574818333334</v>
      </c>
      <c r="C707" s="25" t="s">
        <v>225</v>
      </c>
      <c r="D707" s="25">
        <v>5365.0</v>
      </c>
      <c r="E707" s="20" t="s">
        <v>226</v>
      </c>
      <c r="F707" s="25" t="s">
        <v>61</v>
      </c>
      <c r="G707" s="25" t="s">
        <v>2366</v>
      </c>
      <c r="H707" s="25" t="s">
        <v>37</v>
      </c>
      <c r="I707" s="25"/>
      <c r="J707" s="25" t="s">
        <v>2367</v>
      </c>
      <c r="K707" s="25"/>
      <c r="L707" s="26" t="s">
        <v>20</v>
      </c>
      <c r="M707" s="12">
        <v>45070.0</v>
      </c>
      <c r="N707" s="77" t="str">
        <f t="shared" si="1"/>
        <v>maio</v>
      </c>
    </row>
    <row r="708">
      <c r="A708" s="25" t="s">
        <v>2368</v>
      </c>
      <c r="B708" s="59">
        <v>45065.35863527778</v>
      </c>
      <c r="C708" s="25" t="s">
        <v>2369</v>
      </c>
      <c r="D708" s="25">
        <v>5335.0</v>
      </c>
      <c r="E708" s="25" t="s">
        <v>674</v>
      </c>
      <c r="F708" s="25" t="s">
        <v>82</v>
      </c>
      <c r="G708" s="25" t="s">
        <v>956</v>
      </c>
      <c r="H708" s="25" t="s">
        <v>764</v>
      </c>
      <c r="I708" s="25"/>
      <c r="J708" s="25" t="s">
        <v>2370</v>
      </c>
      <c r="K708" s="25"/>
      <c r="L708" s="26" t="s">
        <v>20</v>
      </c>
      <c r="M708" s="12">
        <v>45078.0</v>
      </c>
      <c r="N708" s="77" t="str">
        <f t="shared" si="1"/>
        <v>maio</v>
      </c>
    </row>
    <row r="709">
      <c r="A709" s="25" t="s">
        <v>2371</v>
      </c>
      <c r="B709" s="59">
        <v>45065.36794865741</v>
      </c>
      <c r="C709" s="25" t="s">
        <v>2369</v>
      </c>
      <c r="D709" s="25">
        <v>5335.0</v>
      </c>
      <c r="E709" s="25" t="s">
        <v>674</v>
      </c>
      <c r="F709" s="25" t="s">
        <v>82</v>
      </c>
      <c r="G709" s="25" t="s">
        <v>1228</v>
      </c>
      <c r="H709" s="25" t="s">
        <v>162</v>
      </c>
      <c r="I709" s="25"/>
      <c r="J709" s="25" t="s">
        <v>2372</v>
      </c>
      <c r="K709" s="25"/>
      <c r="L709" s="26" t="s">
        <v>20</v>
      </c>
      <c r="M709" s="12"/>
      <c r="N709" s="77" t="str">
        <f t="shared" si="1"/>
        <v>maio</v>
      </c>
    </row>
    <row r="710">
      <c r="A710" s="25" t="s">
        <v>2373</v>
      </c>
      <c r="B710" s="59">
        <v>45065.40940780092</v>
      </c>
      <c r="C710" s="25" t="s">
        <v>673</v>
      </c>
      <c r="D710" s="25">
        <v>5332.0</v>
      </c>
      <c r="E710" s="25" t="s">
        <v>728</v>
      </c>
      <c r="F710" s="25" t="s">
        <v>103</v>
      </c>
      <c r="G710" s="25" t="s">
        <v>452</v>
      </c>
      <c r="H710" s="25" t="s">
        <v>37</v>
      </c>
      <c r="I710" s="25"/>
      <c r="J710" s="25" t="s">
        <v>2374</v>
      </c>
      <c r="K710" s="25"/>
      <c r="L710" s="26" t="s">
        <v>20</v>
      </c>
      <c r="M710" s="12">
        <v>45070.0</v>
      </c>
      <c r="N710" s="77" t="str">
        <f t="shared" si="1"/>
        <v>maio</v>
      </c>
    </row>
    <row r="711">
      <c r="A711" s="25" t="s">
        <v>2375</v>
      </c>
      <c r="B711" s="59">
        <v>45065.47203466435</v>
      </c>
      <c r="C711" s="25" t="s">
        <v>2295</v>
      </c>
      <c r="D711" s="25">
        <v>7602.0</v>
      </c>
      <c r="E711" s="25" t="s">
        <v>195</v>
      </c>
      <c r="F711" s="25" t="s">
        <v>35</v>
      </c>
      <c r="G711" s="25" t="s">
        <v>2376</v>
      </c>
      <c r="H711" s="25" t="s">
        <v>37</v>
      </c>
      <c r="I711" s="25"/>
      <c r="J711" s="25" t="s">
        <v>2377</v>
      </c>
      <c r="K711" s="25"/>
      <c r="L711" s="26" t="s">
        <v>20</v>
      </c>
      <c r="M711" s="12">
        <v>45148.0</v>
      </c>
      <c r="N711" s="77" t="str">
        <f t="shared" si="1"/>
        <v>maio</v>
      </c>
    </row>
    <row r="712">
      <c r="A712" s="25" t="s">
        <v>2378</v>
      </c>
      <c r="B712" s="59">
        <v>45065.621227592594</v>
      </c>
      <c r="C712" s="25" t="s">
        <v>321</v>
      </c>
      <c r="D712" s="25">
        <v>5305.0</v>
      </c>
      <c r="E712" s="25" t="s">
        <v>183</v>
      </c>
      <c r="F712" s="25" t="s">
        <v>840</v>
      </c>
      <c r="G712" s="85" t="s">
        <v>2379</v>
      </c>
      <c r="H712" s="25" t="s">
        <v>37</v>
      </c>
      <c r="I712" s="25"/>
      <c r="J712" s="25" t="s">
        <v>2380</v>
      </c>
      <c r="K712" s="25"/>
      <c r="L712" s="26" t="s">
        <v>20</v>
      </c>
      <c r="M712" s="12">
        <v>45184.0</v>
      </c>
      <c r="N712" s="77" t="str">
        <f t="shared" si="1"/>
        <v>maio</v>
      </c>
    </row>
    <row r="713">
      <c r="A713" s="25" t="s">
        <v>2381</v>
      </c>
      <c r="B713" s="59">
        <v>45065.62807548611</v>
      </c>
      <c r="C713" s="25" t="s">
        <v>321</v>
      </c>
      <c r="D713" s="25">
        <v>5305.0</v>
      </c>
      <c r="E713" s="25" t="s">
        <v>183</v>
      </c>
      <c r="F713" s="25" t="s">
        <v>840</v>
      </c>
      <c r="G713" s="25" t="s">
        <v>2382</v>
      </c>
      <c r="H713" s="25" t="s">
        <v>129</v>
      </c>
      <c r="I713" s="25"/>
      <c r="J713" s="25" t="s">
        <v>2383</v>
      </c>
      <c r="K713" s="25"/>
      <c r="L713" s="26" t="s">
        <v>20</v>
      </c>
      <c r="M713" s="12">
        <v>45084.0</v>
      </c>
      <c r="N713" s="77" t="str">
        <f t="shared" si="1"/>
        <v>maio</v>
      </c>
    </row>
    <row r="714">
      <c r="A714" s="25" t="s">
        <v>2384</v>
      </c>
      <c r="B714" s="59">
        <v>45065.62863383102</v>
      </c>
      <c r="C714" s="25" t="s">
        <v>659</v>
      </c>
      <c r="D714" s="25">
        <v>5340.0</v>
      </c>
      <c r="E714" s="25" t="s">
        <v>1127</v>
      </c>
      <c r="F714" s="25" t="s">
        <v>82</v>
      </c>
      <c r="G714" s="25" t="s">
        <v>751</v>
      </c>
      <c r="H714" s="25" t="s">
        <v>37</v>
      </c>
      <c r="I714" s="25"/>
      <c r="J714" s="25" t="s">
        <v>2385</v>
      </c>
      <c r="K714" s="25"/>
      <c r="L714" s="26" t="s">
        <v>20</v>
      </c>
      <c r="M714" s="12">
        <v>45065.0</v>
      </c>
      <c r="N714" s="77" t="str">
        <f t="shared" si="1"/>
        <v>maio</v>
      </c>
    </row>
    <row r="715">
      <c r="A715" s="25" t="s">
        <v>2386</v>
      </c>
      <c r="B715" s="59">
        <v>45068.32734883102</v>
      </c>
      <c r="C715" s="25" t="s">
        <v>486</v>
      </c>
      <c r="D715" s="25">
        <v>5340.0</v>
      </c>
      <c r="E715" s="25" t="s">
        <v>70</v>
      </c>
      <c r="F715" s="25" t="s">
        <v>1155</v>
      </c>
      <c r="G715" s="25" t="s">
        <v>2387</v>
      </c>
      <c r="H715" s="25" t="s">
        <v>764</v>
      </c>
      <c r="I715" s="25"/>
      <c r="J715" s="25" t="s">
        <v>2388</v>
      </c>
      <c r="K715" s="25"/>
      <c r="L715" s="26" t="s">
        <v>20</v>
      </c>
      <c r="M715" s="12">
        <v>45072.0</v>
      </c>
      <c r="N715" s="77" t="str">
        <f t="shared" si="1"/>
        <v>maio</v>
      </c>
    </row>
    <row r="716">
      <c r="A716" s="25" t="s">
        <v>2389</v>
      </c>
      <c r="B716" s="59">
        <v>45068.33039689815</v>
      </c>
      <c r="C716" s="25" t="s">
        <v>486</v>
      </c>
      <c r="D716" s="25">
        <v>5340.0</v>
      </c>
      <c r="E716" s="25" t="s">
        <v>70</v>
      </c>
      <c r="F716" s="25" t="s">
        <v>2225</v>
      </c>
      <c r="G716" s="25" t="s">
        <v>2390</v>
      </c>
      <c r="H716" s="25" t="s">
        <v>764</v>
      </c>
      <c r="I716" s="25"/>
      <c r="J716" s="25" t="s">
        <v>2391</v>
      </c>
      <c r="K716" s="25"/>
      <c r="L716" s="26" t="s">
        <v>20</v>
      </c>
      <c r="M716" s="12">
        <v>45072.0</v>
      </c>
      <c r="N716" s="77" t="str">
        <f t="shared" si="1"/>
        <v>maio</v>
      </c>
    </row>
    <row r="717">
      <c r="A717" s="25" t="s">
        <v>2392</v>
      </c>
      <c r="B717" s="59">
        <v>45068.37624429398</v>
      </c>
      <c r="C717" s="25" t="s">
        <v>486</v>
      </c>
      <c r="D717" s="25">
        <v>5340.0</v>
      </c>
      <c r="E717" s="25" t="s">
        <v>70</v>
      </c>
      <c r="F717" s="25" t="s">
        <v>1363</v>
      </c>
      <c r="G717" s="25" t="s">
        <v>332</v>
      </c>
      <c r="H717" s="25" t="s">
        <v>129</v>
      </c>
      <c r="I717" s="25"/>
      <c r="J717" s="25" t="s">
        <v>2393</v>
      </c>
      <c r="K717" s="25"/>
      <c r="L717" s="26" t="s">
        <v>20</v>
      </c>
      <c r="M717" s="12">
        <v>45185.0</v>
      </c>
      <c r="N717" s="77" t="str">
        <f t="shared" si="1"/>
        <v>maio</v>
      </c>
    </row>
    <row r="718">
      <c r="A718" s="25" t="s">
        <v>2394</v>
      </c>
      <c r="B718" s="59">
        <v>45068.3843047338</v>
      </c>
      <c r="C718" s="25" t="s">
        <v>1491</v>
      </c>
      <c r="D718" s="25">
        <v>5333.0</v>
      </c>
      <c r="E718" s="25" t="s">
        <v>41</v>
      </c>
      <c r="F718" s="25" t="s">
        <v>42</v>
      </c>
      <c r="G718" s="25" t="s">
        <v>1269</v>
      </c>
      <c r="H718" s="25" t="s">
        <v>37</v>
      </c>
      <c r="I718" s="25"/>
      <c r="J718" s="25" t="s">
        <v>2395</v>
      </c>
      <c r="K718" s="25"/>
      <c r="L718" s="26" t="s">
        <v>20</v>
      </c>
      <c r="M718" s="12">
        <v>45070.0</v>
      </c>
      <c r="N718" s="77" t="str">
        <f t="shared" si="1"/>
        <v>maio</v>
      </c>
    </row>
    <row r="719">
      <c r="A719" s="25" t="s">
        <v>2396</v>
      </c>
      <c r="B719" s="59">
        <v>45068.41995355324</v>
      </c>
      <c r="C719" s="25" t="s">
        <v>2397</v>
      </c>
      <c r="D719" s="25" t="s">
        <v>2398</v>
      </c>
      <c r="E719" s="25" t="s">
        <v>116</v>
      </c>
      <c r="F719" s="25" t="s">
        <v>2399</v>
      </c>
      <c r="G719" s="25" t="s">
        <v>2400</v>
      </c>
      <c r="H719" s="25" t="s">
        <v>298</v>
      </c>
      <c r="I719" s="25"/>
      <c r="J719" s="25" t="s">
        <v>2401</v>
      </c>
      <c r="K719" s="25"/>
      <c r="L719" s="26" t="s">
        <v>20</v>
      </c>
      <c r="M719" s="12">
        <v>45068.0</v>
      </c>
      <c r="N719" s="77" t="str">
        <f t="shared" si="1"/>
        <v>maio</v>
      </c>
    </row>
    <row r="720">
      <c r="A720" s="25" t="s">
        <v>2402</v>
      </c>
      <c r="B720" s="59">
        <v>45068.423669930555</v>
      </c>
      <c r="C720" s="25" t="s">
        <v>1302</v>
      </c>
      <c r="D720" s="25">
        <v>5376.0</v>
      </c>
      <c r="E720" s="25" t="s">
        <v>284</v>
      </c>
      <c r="F720" s="25" t="s">
        <v>2403</v>
      </c>
      <c r="G720" s="25" t="s">
        <v>2404</v>
      </c>
      <c r="H720" s="25" t="s">
        <v>79</v>
      </c>
      <c r="I720" s="25"/>
      <c r="J720" s="25" t="s">
        <v>2405</v>
      </c>
      <c r="K720" s="25"/>
      <c r="L720" s="26" t="s">
        <v>20</v>
      </c>
      <c r="M720" s="12">
        <v>45084.0</v>
      </c>
      <c r="N720" s="77" t="str">
        <f t="shared" si="1"/>
        <v>maio</v>
      </c>
    </row>
    <row r="721">
      <c r="A721" s="25" t="s">
        <v>2406</v>
      </c>
      <c r="B721" s="59">
        <v>45068.55862804398</v>
      </c>
      <c r="C721" s="25" t="s">
        <v>339</v>
      </c>
      <c r="D721" s="25">
        <v>7.7999477415E10</v>
      </c>
      <c r="E721" s="7" t="s">
        <v>199</v>
      </c>
      <c r="F721" s="25" t="s">
        <v>86</v>
      </c>
      <c r="G721" s="25" t="s">
        <v>2407</v>
      </c>
      <c r="H721" s="25" t="s">
        <v>79</v>
      </c>
      <c r="I721" s="25"/>
      <c r="J721" s="25" t="s">
        <v>2408</v>
      </c>
      <c r="K721" s="25"/>
      <c r="L721" s="26" t="s">
        <v>20</v>
      </c>
      <c r="M721" s="12">
        <v>45083.0</v>
      </c>
      <c r="N721" s="77" t="str">
        <f t="shared" si="1"/>
        <v>maio</v>
      </c>
    </row>
    <row r="722">
      <c r="A722" s="25" t="s">
        <v>2409</v>
      </c>
      <c r="B722" s="59">
        <v>45068.623930312504</v>
      </c>
      <c r="C722" s="25" t="s">
        <v>1371</v>
      </c>
      <c r="D722" s="25">
        <v>5308.0</v>
      </c>
      <c r="E722" s="25" t="s">
        <v>1372</v>
      </c>
      <c r="F722" s="25" t="s">
        <v>2410</v>
      </c>
      <c r="G722" s="25" t="s">
        <v>2411</v>
      </c>
      <c r="H722" s="25" t="s">
        <v>764</v>
      </c>
      <c r="I722" s="25"/>
      <c r="J722" s="25" t="s">
        <v>2412</v>
      </c>
      <c r="K722" s="25"/>
      <c r="L722" s="26" t="s">
        <v>20</v>
      </c>
      <c r="M722" s="12">
        <v>45072.0</v>
      </c>
      <c r="N722" s="77" t="str">
        <f t="shared" si="1"/>
        <v>maio</v>
      </c>
    </row>
    <row r="723">
      <c r="A723" s="25" t="s">
        <v>2413</v>
      </c>
      <c r="B723" s="59">
        <v>45068.723115138884</v>
      </c>
      <c r="C723" s="25" t="s">
        <v>292</v>
      </c>
      <c r="D723" s="25">
        <v>5356.0</v>
      </c>
      <c r="E723" s="25" t="s">
        <v>1097</v>
      </c>
      <c r="F723" s="25" t="s">
        <v>2414</v>
      </c>
      <c r="G723" s="25" t="s">
        <v>2415</v>
      </c>
      <c r="H723" s="25" t="s">
        <v>37</v>
      </c>
      <c r="I723" s="25"/>
      <c r="J723" s="25" t="s">
        <v>2416</v>
      </c>
      <c r="K723" s="25"/>
      <c r="L723" s="56" t="s">
        <v>74</v>
      </c>
      <c r="M723" s="62"/>
      <c r="N723" s="77" t="str">
        <f t="shared" si="1"/>
        <v>maio</v>
      </c>
    </row>
    <row r="724">
      <c r="A724" s="25" t="s">
        <v>2417</v>
      </c>
      <c r="B724" s="59">
        <v>45068.80045387732</v>
      </c>
      <c r="C724" s="25" t="s">
        <v>522</v>
      </c>
      <c r="D724" s="25">
        <v>5333.0</v>
      </c>
      <c r="E724" s="25" t="s">
        <v>41</v>
      </c>
      <c r="F724" s="25" t="s">
        <v>2418</v>
      </c>
      <c r="G724" s="25" t="s">
        <v>2419</v>
      </c>
      <c r="H724" s="25" t="s">
        <v>37</v>
      </c>
      <c r="I724" s="25"/>
      <c r="J724" s="25" t="s">
        <v>2420</v>
      </c>
      <c r="K724" s="25"/>
      <c r="L724" s="26" t="s">
        <v>20</v>
      </c>
      <c r="M724" s="12">
        <v>45071.0</v>
      </c>
      <c r="N724" s="77" t="str">
        <f t="shared" si="1"/>
        <v>maio</v>
      </c>
    </row>
    <row r="725">
      <c r="A725" s="25" t="s">
        <v>2421</v>
      </c>
      <c r="B725" s="59">
        <v>45068.801391967594</v>
      </c>
      <c r="C725" s="25" t="s">
        <v>215</v>
      </c>
      <c r="D725" s="25">
        <v>5333.0</v>
      </c>
      <c r="E725" s="25" t="s">
        <v>41</v>
      </c>
      <c r="F725" s="25" t="s">
        <v>42</v>
      </c>
      <c r="G725" s="25" t="s">
        <v>691</v>
      </c>
      <c r="H725" s="25" t="s">
        <v>37</v>
      </c>
      <c r="I725" s="25"/>
      <c r="J725" s="25" t="s">
        <v>2422</v>
      </c>
      <c r="K725" s="25"/>
      <c r="L725" s="26" t="s">
        <v>20</v>
      </c>
      <c r="M725" s="12">
        <v>45071.0</v>
      </c>
      <c r="N725" s="77" t="str">
        <f t="shared" si="1"/>
        <v>maio</v>
      </c>
    </row>
    <row r="726">
      <c r="A726" s="25" t="s">
        <v>2423</v>
      </c>
      <c r="B726" s="59">
        <v>45068.8022216088</v>
      </c>
      <c r="C726" s="25" t="s">
        <v>215</v>
      </c>
      <c r="D726" s="25">
        <v>5333.0</v>
      </c>
      <c r="E726" s="25" t="s">
        <v>41</v>
      </c>
      <c r="F726" s="25" t="s">
        <v>42</v>
      </c>
      <c r="G726" s="25" t="s">
        <v>2424</v>
      </c>
      <c r="H726" s="25" t="s">
        <v>764</v>
      </c>
      <c r="I726" s="25"/>
      <c r="J726" s="25" t="s">
        <v>2425</v>
      </c>
      <c r="K726" s="25"/>
      <c r="L726" s="26" t="s">
        <v>20</v>
      </c>
      <c r="M726" s="12">
        <v>45090.0</v>
      </c>
      <c r="N726" s="77" t="str">
        <f t="shared" si="1"/>
        <v>maio</v>
      </c>
    </row>
    <row r="727">
      <c r="A727" s="25" t="s">
        <v>2426</v>
      </c>
      <c r="B727" s="59">
        <v>45068.84267707176</v>
      </c>
      <c r="C727" s="25" t="s">
        <v>451</v>
      </c>
      <c r="D727" s="25">
        <v>5304.0</v>
      </c>
      <c r="E727" s="25" t="s">
        <v>1097</v>
      </c>
      <c r="F727" s="25" t="s">
        <v>1199</v>
      </c>
      <c r="G727" s="25">
        <v>3.0</v>
      </c>
      <c r="H727" s="25" t="s">
        <v>37</v>
      </c>
      <c r="I727" s="25"/>
      <c r="J727" s="25" t="s">
        <v>2427</v>
      </c>
      <c r="K727" s="25"/>
      <c r="L727" s="26" t="s">
        <v>20</v>
      </c>
      <c r="M727" s="12">
        <v>45145.0</v>
      </c>
      <c r="N727" s="77" t="str">
        <f t="shared" si="1"/>
        <v>maio</v>
      </c>
    </row>
    <row r="728">
      <c r="A728" s="25" t="s">
        <v>2428</v>
      </c>
      <c r="B728" s="59">
        <v>45068.84699269676</v>
      </c>
      <c r="C728" s="25" t="s">
        <v>451</v>
      </c>
      <c r="D728" s="25">
        <v>5304.0</v>
      </c>
      <c r="E728" s="25" t="s">
        <v>1097</v>
      </c>
      <c r="F728" s="25" t="s">
        <v>1199</v>
      </c>
      <c r="G728" s="25">
        <v>3.0</v>
      </c>
      <c r="H728" s="25" t="s">
        <v>764</v>
      </c>
      <c r="I728" s="25"/>
      <c r="J728" s="25" t="s">
        <v>2429</v>
      </c>
      <c r="K728" s="25"/>
      <c r="L728" s="26" t="s">
        <v>20</v>
      </c>
      <c r="M728" s="12">
        <v>45072.0</v>
      </c>
      <c r="N728" s="77" t="str">
        <f t="shared" si="1"/>
        <v>maio</v>
      </c>
    </row>
    <row r="729">
      <c r="A729" s="25" t="s">
        <v>2430</v>
      </c>
      <c r="B729" s="59">
        <v>45069.332125138884</v>
      </c>
      <c r="C729" s="25" t="s">
        <v>2431</v>
      </c>
      <c r="D729" s="25">
        <v>5306.0</v>
      </c>
      <c r="E729" s="25" t="s">
        <v>371</v>
      </c>
      <c r="F729" s="25" t="s">
        <v>2432</v>
      </c>
      <c r="G729" s="25" t="s">
        <v>2433</v>
      </c>
      <c r="H729" s="25" t="s">
        <v>764</v>
      </c>
      <c r="I729" s="25"/>
      <c r="J729" s="25" t="s">
        <v>2434</v>
      </c>
      <c r="K729" s="25"/>
      <c r="L729" s="26" t="s">
        <v>20</v>
      </c>
      <c r="M729" s="12">
        <v>45068.0</v>
      </c>
      <c r="N729" s="77" t="str">
        <f t="shared" si="1"/>
        <v>maio</v>
      </c>
    </row>
    <row r="730">
      <c r="A730" s="25" t="s">
        <v>2435</v>
      </c>
      <c r="B730" s="59">
        <v>45069.341366990746</v>
      </c>
      <c r="C730" s="25" t="s">
        <v>772</v>
      </c>
      <c r="D730" s="25">
        <v>5300.0</v>
      </c>
      <c r="E730" s="25" t="s">
        <v>540</v>
      </c>
      <c r="F730" s="25" t="s">
        <v>82</v>
      </c>
      <c r="G730" s="25" t="s">
        <v>1987</v>
      </c>
      <c r="H730" s="25" t="s">
        <v>79</v>
      </c>
      <c r="I730" s="25"/>
      <c r="J730" s="25" t="s">
        <v>2436</v>
      </c>
      <c r="K730" s="25"/>
      <c r="L730" s="26" t="s">
        <v>20</v>
      </c>
      <c r="M730" s="12">
        <v>45135.0</v>
      </c>
      <c r="N730" s="77" t="str">
        <f t="shared" si="1"/>
        <v>maio</v>
      </c>
    </row>
    <row r="731">
      <c r="A731" s="25" t="s">
        <v>2437</v>
      </c>
      <c r="B731" s="59">
        <v>45069.45750907407</v>
      </c>
      <c r="C731" s="25" t="s">
        <v>2438</v>
      </c>
      <c r="D731" s="25">
        <v>5305.0</v>
      </c>
      <c r="E731" s="25" t="s">
        <v>183</v>
      </c>
      <c r="F731" s="25" t="s">
        <v>840</v>
      </c>
      <c r="G731" s="85" t="s">
        <v>1705</v>
      </c>
      <c r="H731" s="25" t="s">
        <v>129</v>
      </c>
      <c r="I731" s="25"/>
      <c r="J731" s="25" t="s">
        <v>2439</v>
      </c>
      <c r="K731" s="25"/>
      <c r="L731" s="26" t="s">
        <v>20</v>
      </c>
      <c r="M731" s="12">
        <v>45076.0</v>
      </c>
      <c r="N731" s="77" t="str">
        <f t="shared" si="1"/>
        <v>maio</v>
      </c>
    </row>
    <row r="732">
      <c r="A732" s="25" t="s">
        <v>2440</v>
      </c>
      <c r="B732" s="59">
        <v>45069.46252509259</v>
      </c>
      <c r="C732" s="25" t="s">
        <v>2441</v>
      </c>
      <c r="D732" s="25">
        <v>6.2982410124E10</v>
      </c>
      <c r="E732" s="25" t="s">
        <v>621</v>
      </c>
      <c r="F732" s="25" t="s">
        <v>2442</v>
      </c>
      <c r="G732" s="25" t="s">
        <v>2443</v>
      </c>
      <c r="H732" s="25" t="s">
        <v>129</v>
      </c>
      <c r="I732" s="25"/>
      <c r="J732" s="25" t="s">
        <v>2444</v>
      </c>
      <c r="K732" s="25"/>
      <c r="L732" s="26" t="s">
        <v>20</v>
      </c>
      <c r="M732" s="12">
        <v>45105.0</v>
      </c>
      <c r="N732" s="77" t="str">
        <f t="shared" si="1"/>
        <v>maio</v>
      </c>
    </row>
    <row r="733">
      <c r="A733" s="25" t="s">
        <v>2445</v>
      </c>
      <c r="B733" s="59">
        <v>45069.48143636574</v>
      </c>
      <c r="C733" s="25" t="s">
        <v>486</v>
      </c>
      <c r="D733" s="25">
        <v>5340.0</v>
      </c>
      <c r="E733" s="25" t="s">
        <v>70</v>
      </c>
      <c r="F733" s="25" t="s">
        <v>1617</v>
      </c>
      <c r="G733" s="25" t="s">
        <v>2446</v>
      </c>
      <c r="H733" s="25" t="s">
        <v>764</v>
      </c>
      <c r="I733" s="25"/>
      <c r="J733" s="25" t="s">
        <v>2447</v>
      </c>
      <c r="K733" s="25"/>
      <c r="L733" s="26" t="s">
        <v>20</v>
      </c>
      <c r="M733" s="12">
        <v>45078.0</v>
      </c>
      <c r="N733" s="77" t="str">
        <f t="shared" si="1"/>
        <v>maio</v>
      </c>
    </row>
    <row r="734">
      <c r="A734" s="25" t="s">
        <v>2448</v>
      </c>
      <c r="B734" s="59">
        <v>45069.50371795139</v>
      </c>
      <c r="C734" s="25" t="s">
        <v>138</v>
      </c>
      <c r="D734" s="25">
        <v>5318.0</v>
      </c>
      <c r="E734" s="25" t="s">
        <v>15</v>
      </c>
      <c r="F734" s="25" t="s">
        <v>61</v>
      </c>
      <c r="G734" s="25" t="s">
        <v>2449</v>
      </c>
      <c r="H734" s="25" t="s">
        <v>18</v>
      </c>
      <c r="I734" s="25"/>
      <c r="J734" s="25" t="s">
        <v>2450</v>
      </c>
      <c r="K734" s="25"/>
      <c r="L734" s="26" t="s">
        <v>20</v>
      </c>
      <c r="M734" s="12">
        <v>45075.0</v>
      </c>
      <c r="N734" s="77" t="str">
        <f t="shared" si="1"/>
        <v>maio</v>
      </c>
    </row>
    <row r="735">
      <c r="A735" s="25" t="s">
        <v>2451</v>
      </c>
      <c r="B735" s="59">
        <v>45069.505603530095</v>
      </c>
      <c r="C735" s="25" t="s">
        <v>138</v>
      </c>
      <c r="D735" s="25">
        <v>5318.0</v>
      </c>
      <c r="E735" s="25" t="s">
        <v>15</v>
      </c>
      <c r="F735" s="25" t="s">
        <v>347</v>
      </c>
      <c r="G735" s="25" t="s">
        <v>2452</v>
      </c>
      <c r="H735" s="25" t="s">
        <v>18</v>
      </c>
      <c r="I735" s="25"/>
      <c r="J735" s="25" t="s">
        <v>2453</v>
      </c>
      <c r="K735" s="25"/>
      <c r="L735" s="26" t="s">
        <v>20</v>
      </c>
      <c r="M735" s="12">
        <v>45072.0</v>
      </c>
      <c r="N735" s="77" t="str">
        <f t="shared" si="1"/>
        <v>maio</v>
      </c>
    </row>
    <row r="736">
      <c r="A736" s="25" t="s">
        <v>2454</v>
      </c>
      <c r="B736" s="59">
        <v>45069.507108935184</v>
      </c>
      <c r="C736" s="25" t="s">
        <v>2455</v>
      </c>
      <c r="D736" s="25">
        <v>5318.0</v>
      </c>
      <c r="E736" s="25" t="s">
        <v>15</v>
      </c>
      <c r="F736" s="25" t="s">
        <v>393</v>
      </c>
      <c r="G736" s="25" t="s">
        <v>2456</v>
      </c>
      <c r="H736" s="25" t="s">
        <v>18</v>
      </c>
      <c r="I736" s="25"/>
      <c r="J736" s="25" t="s">
        <v>2453</v>
      </c>
      <c r="K736" s="25"/>
      <c r="L736" s="26" t="s">
        <v>20</v>
      </c>
      <c r="M736" s="12">
        <v>45070.0</v>
      </c>
      <c r="N736" s="77" t="str">
        <f t="shared" si="1"/>
        <v>maio</v>
      </c>
    </row>
    <row r="737">
      <c r="A737" s="25" t="s">
        <v>2457</v>
      </c>
      <c r="B737" s="59">
        <v>45069.50815717592</v>
      </c>
      <c r="C737" s="25" t="s">
        <v>2455</v>
      </c>
      <c r="D737" s="25">
        <v>5318.0</v>
      </c>
      <c r="E737" s="25" t="s">
        <v>15</v>
      </c>
      <c r="F737" s="25" t="s">
        <v>2458</v>
      </c>
      <c r="G737" s="25" t="s">
        <v>2459</v>
      </c>
      <c r="H737" s="25" t="s">
        <v>18</v>
      </c>
      <c r="I737" s="25"/>
      <c r="J737" s="25" t="s">
        <v>2460</v>
      </c>
      <c r="K737" s="25"/>
      <c r="L737" s="26" t="s">
        <v>20</v>
      </c>
      <c r="M737" s="12">
        <v>45070.0</v>
      </c>
      <c r="N737" s="77" t="str">
        <f t="shared" si="1"/>
        <v>maio</v>
      </c>
    </row>
    <row r="738">
      <c r="A738" s="25" t="s">
        <v>2461</v>
      </c>
      <c r="B738" s="59">
        <v>45069.51171983796</v>
      </c>
      <c r="C738" s="25" t="s">
        <v>138</v>
      </c>
      <c r="D738" s="25">
        <v>5318.0</v>
      </c>
      <c r="E738" s="25" t="s">
        <v>15</v>
      </c>
      <c r="F738" s="25" t="s">
        <v>2458</v>
      </c>
      <c r="G738" s="25" t="s">
        <v>2462</v>
      </c>
      <c r="H738" s="25" t="s">
        <v>18</v>
      </c>
      <c r="I738" s="25"/>
      <c r="J738" s="25" t="s">
        <v>2463</v>
      </c>
      <c r="K738" s="25"/>
      <c r="L738" s="26" t="s">
        <v>20</v>
      </c>
      <c r="M738" s="12">
        <v>45070.0</v>
      </c>
      <c r="N738" s="77" t="str">
        <f t="shared" si="1"/>
        <v>maio</v>
      </c>
    </row>
    <row r="739">
      <c r="A739" s="25" t="s">
        <v>2464</v>
      </c>
      <c r="B739" s="59">
        <v>45069.514370219906</v>
      </c>
      <c r="C739" s="25" t="s">
        <v>138</v>
      </c>
      <c r="D739" s="25">
        <v>5318.0</v>
      </c>
      <c r="E739" s="25" t="s">
        <v>15</v>
      </c>
      <c r="F739" s="25" t="s">
        <v>2465</v>
      </c>
      <c r="G739" s="25" t="s">
        <v>2466</v>
      </c>
      <c r="H739" s="25" t="s">
        <v>18</v>
      </c>
      <c r="I739" s="25"/>
      <c r="J739" s="25" t="s">
        <v>2463</v>
      </c>
      <c r="K739" s="25"/>
      <c r="L739" s="26" t="s">
        <v>20</v>
      </c>
      <c r="M739" s="12">
        <v>45070.0</v>
      </c>
      <c r="N739" s="77" t="str">
        <f t="shared" si="1"/>
        <v>maio</v>
      </c>
    </row>
    <row r="740">
      <c r="A740" s="25" t="s">
        <v>2467</v>
      </c>
      <c r="B740" s="59">
        <v>45069.51535219907</v>
      </c>
      <c r="C740" s="25" t="s">
        <v>138</v>
      </c>
      <c r="D740" s="25">
        <v>5318.0</v>
      </c>
      <c r="E740" s="25" t="s">
        <v>15</v>
      </c>
      <c r="F740" s="25" t="s">
        <v>2468</v>
      </c>
      <c r="G740" s="25" t="s">
        <v>1988</v>
      </c>
      <c r="H740" s="25" t="s">
        <v>18</v>
      </c>
      <c r="I740" s="25"/>
      <c r="J740" s="25" t="s">
        <v>2463</v>
      </c>
      <c r="K740" s="25"/>
      <c r="L740" s="26" t="s">
        <v>20</v>
      </c>
      <c r="M740" s="12">
        <v>45070.0</v>
      </c>
      <c r="N740" s="77" t="str">
        <f t="shared" si="1"/>
        <v>maio</v>
      </c>
    </row>
    <row r="741">
      <c r="A741" s="25" t="s">
        <v>2469</v>
      </c>
      <c r="B741" s="59">
        <v>45069.516194282405</v>
      </c>
      <c r="C741" s="25" t="s">
        <v>138</v>
      </c>
      <c r="D741" s="25">
        <v>5318.0</v>
      </c>
      <c r="E741" s="25" t="s">
        <v>15</v>
      </c>
      <c r="F741" s="25" t="s">
        <v>77</v>
      </c>
      <c r="G741" s="25" t="s">
        <v>2470</v>
      </c>
      <c r="H741" s="25" t="s">
        <v>18</v>
      </c>
      <c r="I741" s="25"/>
      <c r="J741" s="25" t="s">
        <v>2463</v>
      </c>
      <c r="K741" s="25"/>
      <c r="L741" s="26" t="s">
        <v>20</v>
      </c>
      <c r="M741" s="12">
        <v>45076.0</v>
      </c>
      <c r="N741" s="77" t="str">
        <f t="shared" si="1"/>
        <v>maio</v>
      </c>
    </row>
    <row r="742">
      <c r="A742" s="25" t="s">
        <v>2471</v>
      </c>
      <c r="B742" s="59">
        <v>45069.51728115741</v>
      </c>
      <c r="C742" s="25" t="s">
        <v>138</v>
      </c>
      <c r="D742" s="25">
        <v>5318.0</v>
      </c>
      <c r="E742" s="25" t="s">
        <v>15</v>
      </c>
      <c r="F742" s="25" t="s">
        <v>347</v>
      </c>
      <c r="G742" s="25" t="s">
        <v>2472</v>
      </c>
      <c r="H742" s="25" t="s">
        <v>18</v>
      </c>
      <c r="I742" s="25"/>
      <c r="J742" s="25" t="s">
        <v>2463</v>
      </c>
      <c r="K742" s="25"/>
      <c r="L742" s="26" t="s">
        <v>20</v>
      </c>
      <c r="M742" s="12">
        <v>45070.0</v>
      </c>
      <c r="N742" s="77" t="str">
        <f t="shared" si="1"/>
        <v>maio</v>
      </c>
    </row>
    <row r="743">
      <c r="A743" s="25" t="s">
        <v>2473</v>
      </c>
      <c r="B743" s="59">
        <v>45069.59334922454</v>
      </c>
      <c r="C743" s="25" t="s">
        <v>486</v>
      </c>
      <c r="D743" s="25">
        <v>5340.0</v>
      </c>
      <c r="E743" s="25" t="s">
        <v>70</v>
      </c>
      <c r="F743" s="25" t="s">
        <v>1144</v>
      </c>
      <c r="G743" s="25" t="s">
        <v>2474</v>
      </c>
      <c r="H743" s="25" t="s">
        <v>764</v>
      </c>
      <c r="I743" s="25"/>
      <c r="J743" s="25" t="s">
        <v>2475</v>
      </c>
      <c r="K743" s="25"/>
      <c r="L743" s="26" t="s">
        <v>20</v>
      </c>
      <c r="M743" s="12">
        <v>45072.0</v>
      </c>
      <c r="N743" s="77" t="str">
        <f t="shared" si="1"/>
        <v>maio</v>
      </c>
    </row>
    <row r="744">
      <c r="A744" s="25" t="s">
        <v>2476</v>
      </c>
      <c r="B744" s="59">
        <v>45069.59427512731</v>
      </c>
      <c r="C744" s="25" t="s">
        <v>486</v>
      </c>
      <c r="D744" s="25">
        <v>5340.0</v>
      </c>
      <c r="E744" s="25" t="s">
        <v>70</v>
      </c>
      <c r="F744" s="25" t="s">
        <v>1144</v>
      </c>
      <c r="G744" s="25" t="s">
        <v>2477</v>
      </c>
      <c r="H744" s="25" t="s">
        <v>764</v>
      </c>
      <c r="I744" s="25"/>
      <c r="J744" s="25" t="s">
        <v>2478</v>
      </c>
      <c r="K744" s="25"/>
      <c r="L744" s="26" t="s">
        <v>20</v>
      </c>
      <c r="M744" s="12">
        <v>45072.0</v>
      </c>
      <c r="N744" s="77" t="str">
        <f t="shared" si="1"/>
        <v>maio</v>
      </c>
    </row>
    <row r="745">
      <c r="A745" s="25" t="s">
        <v>2479</v>
      </c>
      <c r="B745" s="59">
        <v>45070.43660331018</v>
      </c>
      <c r="C745" s="25" t="s">
        <v>2441</v>
      </c>
      <c r="D745" s="25">
        <v>6.2982410124E10</v>
      </c>
      <c r="E745" s="25" t="s">
        <v>621</v>
      </c>
      <c r="F745" s="25" t="s">
        <v>2480</v>
      </c>
      <c r="G745" s="25" t="s">
        <v>2481</v>
      </c>
      <c r="H745" s="25" t="s">
        <v>79</v>
      </c>
      <c r="I745" s="25"/>
      <c r="J745" s="25" t="s">
        <v>2482</v>
      </c>
      <c r="K745" s="25"/>
      <c r="L745" s="26" t="s">
        <v>20</v>
      </c>
      <c r="M745" s="12">
        <v>45090.0</v>
      </c>
      <c r="N745" s="77" t="str">
        <f t="shared" si="1"/>
        <v>maio</v>
      </c>
    </row>
    <row r="746">
      <c r="A746" s="25" t="s">
        <v>2483</v>
      </c>
      <c r="B746" s="59">
        <v>45070.43801459491</v>
      </c>
      <c r="C746" s="25" t="s">
        <v>2484</v>
      </c>
      <c r="D746" s="25">
        <v>6.2991579626E10</v>
      </c>
      <c r="E746" s="7" t="s">
        <v>199</v>
      </c>
      <c r="F746" s="20" t="s">
        <v>2485</v>
      </c>
      <c r="G746" s="25" t="s">
        <v>2486</v>
      </c>
      <c r="H746" s="25" t="s">
        <v>298</v>
      </c>
      <c r="I746" s="25"/>
      <c r="J746" s="25" t="s">
        <v>2487</v>
      </c>
      <c r="K746" s="25"/>
      <c r="L746" s="26" t="s">
        <v>20</v>
      </c>
      <c r="M746" s="12">
        <v>45070.0</v>
      </c>
      <c r="N746" s="77" t="str">
        <f t="shared" si="1"/>
        <v>maio</v>
      </c>
    </row>
    <row r="747">
      <c r="A747" s="88" t="s">
        <v>2488</v>
      </c>
      <c r="B747" s="8">
        <v>45070.56110421296</v>
      </c>
      <c r="C747" s="7" t="s">
        <v>2441</v>
      </c>
      <c r="D747" s="7">
        <v>6.2982410124E10</v>
      </c>
      <c r="E747" s="25" t="s">
        <v>621</v>
      </c>
      <c r="F747" s="7" t="s">
        <v>2489</v>
      </c>
      <c r="G747" s="9" t="s">
        <v>2490</v>
      </c>
      <c r="H747" s="7" t="s">
        <v>298</v>
      </c>
      <c r="I747" s="7"/>
      <c r="J747" s="60" t="s">
        <v>2491</v>
      </c>
      <c r="K747" s="54"/>
      <c r="L747" s="10" t="s">
        <v>20</v>
      </c>
      <c r="M747" s="55">
        <v>45288.0</v>
      </c>
      <c r="N747" s="77" t="str">
        <f t="shared" si="1"/>
        <v>maio</v>
      </c>
    </row>
    <row r="748">
      <c r="A748" s="25" t="s">
        <v>2492</v>
      </c>
      <c r="B748" s="59">
        <v>45070.68797025463</v>
      </c>
      <c r="C748" s="25" t="s">
        <v>2493</v>
      </c>
      <c r="D748" s="25" t="s">
        <v>2494</v>
      </c>
      <c r="E748" s="25" t="s">
        <v>34</v>
      </c>
      <c r="F748" s="25" t="s">
        <v>188</v>
      </c>
      <c r="G748" s="25" t="s">
        <v>2495</v>
      </c>
      <c r="H748" s="25" t="s">
        <v>37</v>
      </c>
      <c r="I748" s="25"/>
      <c r="J748" s="25" t="s">
        <v>2496</v>
      </c>
      <c r="K748" s="25"/>
      <c r="L748" s="56" t="s">
        <v>74</v>
      </c>
      <c r="M748" s="62">
        <v>45078.0</v>
      </c>
      <c r="N748" s="77" t="str">
        <f t="shared" si="1"/>
        <v>maio</v>
      </c>
    </row>
    <row r="749">
      <c r="A749" s="25" t="s">
        <v>2497</v>
      </c>
      <c r="B749" s="59">
        <v>45071.67988630787</v>
      </c>
      <c r="C749" s="25" t="s">
        <v>1868</v>
      </c>
      <c r="D749" s="25">
        <v>5340.0</v>
      </c>
      <c r="E749" s="25" t="s">
        <v>70</v>
      </c>
      <c r="F749" s="25" t="s">
        <v>2498</v>
      </c>
      <c r="G749" s="25" t="s">
        <v>2499</v>
      </c>
      <c r="H749" s="25" t="s">
        <v>37</v>
      </c>
      <c r="I749" s="25"/>
      <c r="J749" s="25" t="s">
        <v>2500</v>
      </c>
      <c r="K749" s="25"/>
      <c r="L749" s="26" t="s">
        <v>20</v>
      </c>
      <c r="M749" s="12">
        <v>45078.0</v>
      </c>
      <c r="N749" s="77" t="str">
        <f t="shared" si="1"/>
        <v>maio</v>
      </c>
    </row>
    <row r="750">
      <c r="A750" s="25" t="s">
        <v>2501</v>
      </c>
      <c r="B750" s="59">
        <v>45071.86515077546</v>
      </c>
      <c r="C750" s="25" t="s">
        <v>165</v>
      </c>
      <c r="D750" s="25">
        <v>5318.0</v>
      </c>
      <c r="E750" s="25" t="s">
        <v>15</v>
      </c>
      <c r="F750" s="25" t="s">
        <v>393</v>
      </c>
      <c r="G750" s="25" t="s">
        <v>14</v>
      </c>
      <c r="H750" s="25" t="s">
        <v>37</v>
      </c>
      <c r="I750" s="25"/>
      <c r="J750" s="25" t="s">
        <v>2502</v>
      </c>
      <c r="K750" s="25"/>
      <c r="L750" s="26" t="s">
        <v>20</v>
      </c>
      <c r="M750" s="12">
        <v>45076.0</v>
      </c>
      <c r="N750" s="77" t="str">
        <f t="shared" si="1"/>
        <v>maio</v>
      </c>
    </row>
    <row r="751">
      <c r="A751" s="25" t="s">
        <v>2503</v>
      </c>
      <c r="B751" s="59">
        <v>45072.384670150466</v>
      </c>
      <c r="C751" s="25" t="s">
        <v>2431</v>
      </c>
      <c r="D751" s="25">
        <v>5306.0</v>
      </c>
      <c r="E751" s="25" t="s">
        <v>371</v>
      </c>
      <c r="F751" s="25" t="s">
        <v>2504</v>
      </c>
      <c r="G751" s="25" t="s">
        <v>2505</v>
      </c>
      <c r="H751" s="25" t="s">
        <v>129</v>
      </c>
      <c r="I751" s="25" t="s">
        <v>2119</v>
      </c>
      <c r="J751" s="25" t="s">
        <v>2506</v>
      </c>
      <c r="K751" s="25"/>
      <c r="L751" s="26" t="s">
        <v>20</v>
      </c>
      <c r="M751" s="12">
        <v>45145.0</v>
      </c>
      <c r="N751" s="77" t="str">
        <f t="shared" si="1"/>
        <v>maio</v>
      </c>
    </row>
    <row r="752">
      <c r="A752" s="25" t="s">
        <v>2507</v>
      </c>
      <c r="B752" s="59">
        <v>45072.44071185185</v>
      </c>
      <c r="C752" s="25" t="s">
        <v>2508</v>
      </c>
      <c r="D752" s="25">
        <v>5305.0</v>
      </c>
      <c r="E752" s="25" t="s">
        <v>183</v>
      </c>
      <c r="F752" s="25" t="s">
        <v>142</v>
      </c>
      <c r="G752" s="25" t="s">
        <v>2509</v>
      </c>
      <c r="H752" s="25" t="s">
        <v>764</v>
      </c>
      <c r="I752" s="25"/>
      <c r="J752" s="25" t="s">
        <v>2510</v>
      </c>
      <c r="K752" s="25"/>
      <c r="L752" s="26" t="s">
        <v>20</v>
      </c>
      <c r="M752" s="12">
        <v>45076.0</v>
      </c>
      <c r="N752" s="77" t="str">
        <f t="shared" si="1"/>
        <v>maio</v>
      </c>
    </row>
    <row r="753">
      <c r="A753" s="25" t="s">
        <v>2511</v>
      </c>
      <c r="B753" s="59">
        <v>45072.560363055556</v>
      </c>
      <c r="C753" s="25" t="s">
        <v>2512</v>
      </c>
      <c r="D753" s="25">
        <v>5335.0</v>
      </c>
      <c r="E753" s="25" t="s">
        <v>674</v>
      </c>
      <c r="F753" s="25" t="s">
        <v>2513</v>
      </c>
      <c r="G753" s="25" t="s">
        <v>2514</v>
      </c>
      <c r="H753" s="25" t="s">
        <v>1853</v>
      </c>
      <c r="I753" s="25"/>
      <c r="J753" s="25" t="s">
        <v>2515</v>
      </c>
      <c r="K753" s="25"/>
      <c r="L753" s="26" t="s">
        <v>20</v>
      </c>
      <c r="M753" s="12">
        <v>45111.0</v>
      </c>
      <c r="N753" s="77" t="str">
        <f t="shared" si="1"/>
        <v>maio</v>
      </c>
    </row>
    <row r="754">
      <c r="A754" s="25" t="s">
        <v>2516</v>
      </c>
      <c r="B754" s="59">
        <v>45072.98133390046</v>
      </c>
      <c r="C754" s="25" t="s">
        <v>2517</v>
      </c>
      <c r="D754" s="25">
        <v>5318.0</v>
      </c>
      <c r="E754" s="25" t="s">
        <v>15</v>
      </c>
      <c r="F754" s="25" t="s">
        <v>61</v>
      </c>
      <c r="G754" s="25" t="s">
        <v>2518</v>
      </c>
      <c r="H754" s="25" t="s">
        <v>18</v>
      </c>
      <c r="I754" s="25"/>
      <c r="J754" s="25" t="s">
        <v>2519</v>
      </c>
      <c r="K754" s="25"/>
      <c r="L754" s="26" t="s">
        <v>20</v>
      </c>
      <c r="M754" s="12">
        <v>45075.0</v>
      </c>
      <c r="N754" s="77" t="str">
        <f t="shared" si="1"/>
        <v>maio</v>
      </c>
    </row>
    <row r="755">
      <c r="A755" s="25" t="s">
        <v>2520</v>
      </c>
      <c r="B755" s="59">
        <v>45072.98488189815</v>
      </c>
      <c r="C755" s="25" t="s">
        <v>2517</v>
      </c>
      <c r="D755" s="25">
        <v>5318.0</v>
      </c>
      <c r="E755" s="25" t="s">
        <v>15</v>
      </c>
      <c r="F755" s="25" t="s">
        <v>2521</v>
      </c>
      <c r="G755" s="25" t="s">
        <v>2521</v>
      </c>
      <c r="H755" s="25" t="s">
        <v>18</v>
      </c>
      <c r="I755" s="25"/>
      <c r="J755" s="25" t="s">
        <v>2522</v>
      </c>
      <c r="K755" s="25"/>
      <c r="L755" s="26" t="s">
        <v>20</v>
      </c>
      <c r="M755" s="12">
        <v>45082.0</v>
      </c>
      <c r="N755" s="77" t="str">
        <f t="shared" si="1"/>
        <v>maio</v>
      </c>
    </row>
    <row r="756">
      <c r="A756" s="25" t="s">
        <v>2523</v>
      </c>
      <c r="B756" s="59">
        <v>45073.45882082176</v>
      </c>
      <c r="C756" s="25" t="s">
        <v>876</v>
      </c>
      <c r="D756" s="25">
        <v>5334.0</v>
      </c>
      <c r="E756" s="25" t="s">
        <v>187</v>
      </c>
      <c r="F756" s="25" t="s">
        <v>763</v>
      </c>
      <c r="G756" s="25" t="s">
        <v>1205</v>
      </c>
      <c r="H756" s="25" t="s">
        <v>129</v>
      </c>
      <c r="I756" s="25"/>
      <c r="J756" s="25" t="s">
        <v>2524</v>
      </c>
      <c r="K756" s="25"/>
      <c r="L756" s="26" t="s">
        <v>20</v>
      </c>
      <c r="M756" s="12">
        <v>45075.0</v>
      </c>
      <c r="N756" s="77" t="str">
        <f t="shared" si="1"/>
        <v>maio</v>
      </c>
    </row>
    <row r="757">
      <c r="A757" s="88" t="s">
        <v>2525</v>
      </c>
      <c r="B757" s="8">
        <v>45073.570436828704</v>
      </c>
      <c r="C757" s="7" t="s">
        <v>522</v>
      </c>
      <c r="D757" s="7">
        <v>5333.0</v>
      </c>
      <c r="E757" s="7" t="s">
        <v>41</v>
      </c>
      <c r="F757" s="25" t="s">
        <v>42</v>
      </c>
      <c r="G757" s="9" t="s">
        <v>2526</v>
      </c>
      <c r="H757" s="7" t="s">
        <v>162</v>
      </c>
      <c r="I757" s="7"/>
      <c r="J757" s="60" t="s">
        <v>2527</v>
      </c>
      <c r="K757" s="60"/>
      <c r="L757" s="10" t="s">
        <v>20</v>
      </c>
      <c r="M757" s="55">
        <v>45236.0</v>
      </c>
      <c r="N757" s="77" t="str">
        <f t="shared" si="1"/>
        <v>maio</v>
      </c>
    </row>
    <row r="758">
      <c r="A758" s="25" t="s">
        <v>2528</v>
      </c>
      <c r="B758" s="59">
        <v>45075.32209792824</v>
      </c>
      <c r="C758" s="25" t="s">
        <v>486</v>
      </c>
      <c r="D758" s="25">
        <v>5340.0</v>
      </c>
      <c r="E758" s="25" t="s">
        <v>70</v>
      </c>
      <c r="F758" s="25" t="s">
        <v>1363</v>
      </c>
      <c r="G758" s="25" t="s">
        <v>2529</v>
      </c>
      <c r="H758" s="25" t="s">
        <v>37</v>
      </c>
      <c r="I758" s="25"/>
      <c r="J758" s="25" t="s">
        <v>2530</v>
      </c>
      <c r="K758" s="25"/>
      <c r="L758" s="56" t="s">
        <v>20</v>
      </c>
      <c r="M758" s="62"/>
      <c r="N758" s="77" t="str">
        <f t="shared" si="1"/>
        <v>maio</v>
      </c>
    </row>
    <row r="759">
      <c r="A759" s="25" t="s">
        <v>2531</v>
      </c>
      <c r="B759" s="59">
        <v>45075.382947997685</v>
      </c>
      <c r="C759" s="25" t="s">
        <v>531</v>
      </c>
      <c r="D759" s="25">
        <v>5341.0</v>
      </c>
      <c r="E759" s="25" t="s">
        <v>532</v>
      </c>
      <c r="F759" s="25" t="s">
        <v>188</v>
      </c>
      <c r="G759" s="25" t="s">
        <v>1711</v>
      </c>
      <c r="H759" s="25" t="s">
        <v>79</v>
      </c>
      <c r="I759" s="25"/>
      <c r="J759" s="25" t="s">
        <v>2532</v>
      </c>
      <c r="K759" s="25"/>
      <c r="L759" s="26" t="s">
        <v>20</v>
      </c>
      <c r="M759" s="12">
        <v>45082.0</v>
      </c>
      <c r="N759" s="77" t="str">
        <f t="shared" si="1"/>
        <v>maio</v>
      </c>
    </row>
    <row r="760">
      <c r="A760" s="25" t="s">
        <v>2533</v>
      </c>
      <c r="B760" s="59">
        <v>45075.38574565972</v>
      </c>
      <c r="C760" s="25" t="s">
        <v>531</v>
      </c>
      <c r="D760" s="25">
        <v>5341.0</v>
      </c>
      <c r="E760" s="25" t="s">
        <v>532</v>
      </c>
      <c r="F760" s="25" t="s">
        <v>188</v>
      </c>
      <c r="G760" s="25" t="s">
        <v>1711</v>
      </c>
      <c r="H760" s="25" t="s">
        <v>79</v>
      </c>
      <c r="I760" s="25"/>
      <c r="J760" s="25" t="s">
        <v>2534</v>
      </c>
      <c r="K760" s="25"/>
      <c r="L760" s="26" t="s">
        <v>20</v>
      </c>
      <c r="M760" s="12">
        <v>45092.0</v>
      </c>
      <c r="N760" s="77" t="str">
        <f t="shared" si="1"/>
        <v>maio</v>
      </c>
    </row>
    <row r="761">
      <c r="A761" s="25" t="s">
        <v>2535</v>
      </c>
      <c r="B761" s="59">
        <v>45075.38821744213</v>
      </c>
      <c r="C761" s="25" t="s">
        <v>531</v>
      </c>
      <c r="D761" s="25">
        <v>5341.0</v>
      </c>
      <c r="E761" s="25" t="s">
        <v>532</v>
      </c>
      <c r="F761" s="25" t="s">
        <v>347</v>
      </c>
      <c r="G761" s="25" t="s">
        <v>2536</v>
      </c>
      <c r="H761" s="25" t="s">
        <v>79</v>
      </c>
      <c r="I761" s="25"/>
      <c r="J761" s="25" t="s">
        <v>2537</v>
      </c>
      <c r="K761" s="25"/>
      <c r="L761" s="26" t="s">
        <v>20</v>
      </c>
      <c r="M761" s="12">
        <v>45090.0</v>
      </c>
      <c r="N761" s="77" t="str">
        <f t="shared" si="1"/>
        <v>maio</v>
      </c>
    </row>
    <row r="762">
      <c r="A762" s="25" t="s">
        <v>2538</v>
      </c>
      <c r="B762" s="59">
        <v>45075.39263371528</v>
      </c>
      <c r="C762" s="25" t="s">
        <v>531</v>
      </c>
      <c r="D762" s="25">
        <v>5341.0</v>
      </c>
      <c r="E762" s="25" t="s">
        <v>532</v>
      </c>
      <c r="F762" s="25" t="s">
        <v>393</v>
      </c>
      <c r="G762" s="25" t="s">
        <v>1180</v>
      </c>
      <c r="H762" s="25" t="s">
        <v>129</v>
      </c>
      <c r="I762" s="25"/>
      <c r="J762" s="25" t="s">
        <v>2539</v>
      </c>
      <c r="K762" s="25"/>
      <c r="L762" s="26" t="s">
        <v>20</v>
      </c>
      <c r="M762" s="12">
        <v>45106.0</v>
      </c>
      <c r="N762" s="77" t="str">
        <f t="shared" si="1"/>
        <v>maio</v>
      </c>
    </row>
    <row r="763">
      <c r="A763" s="25" t="s">
        <v>2540</v>
      </c>
      <c r="B763" s="59">
        <v>45075.44191091435</v>
      </c>
      <c r="C763" s="25" t="s">
        <v>2541</v>
      </c>
      <c r="D763" s="25">
        <v>5343.0</v>
      </c>
      <c r="E763" s="25" t="s">
        <v>116</v>
      </c>
      <c r="F763" s="20" t="s">
        <v>1220</v>
      </c>
      <c r="G763" s="25" t="s">
        <v>2542</v>
      </c>
      <c r="H763" s="25" t="s">
        <v>37</v>
      </c>
      <c r="I763" s="25"/>
      <c r="J763" s="25" t="s">
        <v>2543</v>
      </c>
      <c r="K763" s="25"/>
      <c r="L763" s="26" t="s">
        <v>20</v>
      </c>
      <c r="M763" s="12">
        <v>45075.0</v>
      </c>
      <c r="N763" s="77" t="str">
        <f t="shared" si="1"/>
        <v>maio</v>
      </c>
    </row>
    <row r="764">
      <c r="A764" s="25" t="s">
        <v>2544</v>
      </c>
      <c r="B764" s="59">
        <v>45075.47175005787</v>
      </c>
      <c r="C764" s="25" t="s">
        <v>138</v>
      </c>
      <c r="D764" s="25">
        <v>5318.0</v>
      </c>
      <c r="E764" s="25" t="s">
        <v>15</v>
      </c>
      <c r="F764" s="25" t="s">
        <v>2545</v>
      </c>
      <c r="G764" s="25" t="s">
        <v>2546</v>
      </c>
      <c r="H764" s="25" t="s">
        <v>18</v>
      </c>
      <c r="I764" s="25"/>
      <c r="J764" s="25" t="s">
        <v>2547</v>
      </c>
      <c r="K764" s="25"/>
      <c r="L764" s="26" t="s">
        <v>20</v>
      </c>
      <c r="M764" s="12">
        <v>45082.0</v>
      </c>
      <c r="N764" s="77" t="str">
        <f t="shared" si="1"/>
        <v>maio</v>
      </c>
    </row>
    <row r="765">
      <c r="A765" s="25" t="s">
        <v>2548</v>
      </c>
      <c r="B765" s="59">
        <v>45075.548277326394</v>
      </c>
      <c r="C765" s="25" t="s">
        <v>486</v>
      </c>
      <c r="D765" s="25">
        <v>5340.0</v>
      </c>
      <c r="E765" s="25" t="s">
        <v>70</v>
      </c>
      <c r="F765" s="25" t="s">
        <v>1144</v>
      </c>
      <c r="G765" s="25" t="s">
        <v>684</v>
      </c>
      <c r="H765" s="25" t="s">
        <v>764</v>
      </c>
      <c r="I765" s="25"/>
      <c r="J765" s="25" t="s">
        <v>2549</v>
      </c>
      <c r="K765" s="25"/>
      <c r="L765" s="26" t="s">
        <v>20</v>
      </c>
      <c r="M765" s="12">
        <v>45076.0</v>
      </c>
      <c r="N765" s="77" t="str">
        <f t="shared" si="1"/>
        <v>maio</v>
      </c>
    </row>
    <row r="766">
      <c r="A766" s="25" t="s">
        <v>2550</v>
      </c>
      <c r="B766" s="59">
        <v>45075.6332640162</v>
      </c>
      <c r="C766" s="25" t="s">
        <v>2551</v>
      </c>
      <c r="D766" s="25">
        <v>5313.0</v>
      </c>
      <c r="E766" s="25" t="s">
        <v>160</v>
      </c>
      <c r="F766" s="25" t="s">
        <v>2552</v>
      </c>
      <c r="G766" s="25" t="s">
        <v>2553</v>
      </c>
      <c r="H766" s="25" t="s">
        <v>129</v>
      </c>
      <c r="I766" s="25"/>
      <c r="J766" s="25" t="s">
        <v>2554</v>
      </c>
      <c r="K766" s="25"/>
      <c r="L766" s="26" t="s">
        <v>20</v>
      </c>
      <c r="M766" s="12">
        <v>45078.0</v>
      </c>
      <c r="N766" s="77" t="str">
        <f t="shared" si="1"/>
        <v>maio</v>
      </c>
    </row>
    <row r="767">
      <c r="A767" s="25" t="s">
        <v>2555</v>
      </c>
      <c r="B767" s="59">
        <v>45075.7261346875</v>
      </c>
      <c r="C767" s="25" t="s">
        <v>2210</v>
      </c>
      <c r="D767" s="25">
        <v>5333.0</v>
      </c>
      <c r="E767" s="25" t="s">
        <v>41</v>
      </c>
      <c r="F767" s="25" t="s">
        <v>42</v>
      </c>
      <c r="G767" s="25" t="s">
        <v>767</v>
      </c>
      <c r="H767" s="25" t="s">
        <v>37</v>
      </c>
      <c r="I767" s="25"/>
      <c r="J767" s="25" t="s">
        <v>2556</v>
      </c>
      <c r="K767" s="25"/>
      <c r="L767" s="26" t="s">
        <v>20</v>
      </c>
      <c r="M767" s="12">
        <v>45186.0</v>
      </c>
      <c r="N767" s="77" t="str">
        <f t="shared" si="1"/>
        <v>maio</v>
      </c>
    </row>
    <row r="768">
      <c r="A768" s="25" t="s">
        <v>2557</v>
      </c>
      <c r="B768" s="59">
        <v>45075.768002083336</v>
      </c>
      <c r="C768" s="25" t="s">
        <v>2558</v>
      </c>
      <c r="D768" s="25" t="s">
        <v>2559</v>
      </c>
      <c r="E768" s="25" t="s">
        <v>2560</v>
      </c>
      <c r="F768" s="25" t="s">
        <v>763</v>
      </c>
      <c r="G768" s="25" t="s">
        <v>2561</v>
      </c>
      <c r="H768" s="25" t="s">
        <v>764</v>
      </c>
      <c r="I768" s="25"/>
      <c r="J768" s="25" t="s">
        <v>2562</v>
      </c>
      <c r="K768" s="25"/>
      <c r="L768" s="26" t="s">
        <v>20</v>
      </c>
      <c r="M768" s="12">
        <v>45117.0</v>
      </c>
      <c r="N768" s="77" t="str">
        <f t="shared" si="1"/>
        <v>maio</v>
      </c>
    </row>
    <row r="769">
      <c r="A769" s="25" t="s">
        <v>2563</v>
      </c>
      <c r="B769" s="59">
        <v>45076.31851657407</v>
      </c>
      <c r="C769" s="25" t="s">
        <v>553</v>
      </c>
      <c r="D769" s="25">
        <v>5318.0</v>
      </c>
      <c r="E769" s="25" t="s">
        <v>15</v>
      </c>
      <c r="F769" s="25" t="s">
        <v>49</v>
      </c>
      <c r="G769" s="25" t="s">
        <v>2564</v>
      </c>
      <c r="H769" s="25" t="s">
        <v>18</v>
      </c>
      <c r="I769" s="25"/>
      <c r="J769" s="25" t="s">
        <v>2565</v>
      </c>
      <c r="K769" s="25"/>
      <c r="L769" s="26" t="s">
        <v>20</v>
      </c>
      <c r="M769" s="12">
        <v>45071.0</v>
      </c>
      <c r="N769" s="77" t="str">
        <f t="shared" si="1"/>
        <v>maio</v>
      </c>
    </row>
    <row r="770">
      <c r="A770" s="7" t="s">
        <v>2566</v>
      </c>
      <c r="B770" s="8">
        <v>45076.52902173611</v>
      </c>
      <c r="C770" s="7" t="s">
        <v>2567</v>
      </c>
      <c r="D770" s="7" t="s">
        <v>2568</v>
      </c>
      <c r="E770" s="25" t="s">
        <v>34</v>
      </c>
      <c r="F770" s="7" t="s">
        <v>755</v>
      </c>
      <c r="G770" s="9" t="s">
        <v>1644</v>
      </c>
      <c r="H770" s="7" t="s">
        <v>298</v>
      </c>
      <c r="I770" s="7"/>
      <c r="J770" s="60" t="s">
        <v>2569</v>
      </c>
      <c r="K770" s="54"/>
      <c r="L770" s="10" t="s">
        <v>738</v>
      </c>
      <c r="M770" s="43"/>
      <c r="N770" s="77" t="str">
        <f t="shared" si="1"/>
        <v>maio</v>
      </c>
    </row>
    <row r="771">
      <c r="A771" s="25" t="s">
        <v>2570</v>
      </c>
      <c r="B771" s="59">
        <v>45077.221730000005</v>
      </c>
      <c r="C771" s="25" t="s">
        <v>65</v>
      </c>
      <c r="D771" s="25">
        <v>5318.0</v>
      </c>
      <c r="E771" s="25" t="s">
        <v>15</v>
      </c>
      <c r="F771" s="25" t="s">
        <v>86</v>
      </c>
      <c r="G771" s="25" t="s">
        <v>2571</v>
      </c>
      <c r="H771" s="25" t="s">
        <v>79</v>
      </c>
      <c r="I771" s="25"/>
      <c r="J771" s="25" t="s">
        <v>2572</v>
      </c>
      <c r="K771" s="25"/>
      <c r="L771" s="26" t="s">
        <v>20</v>
      </c>
      <c r="M771" s="12">
        <v>45093.0</v>
      </c>
      <c r="N771" s="77" t="str">
        <f t="shared" si="1"/>
        <v>maio</v>
      </c>
    </row>
    <row r="772">
      <c r="A772" s="25" t="s">
        <v>2573</v>
      </c>
      <c r="B772" s="59">
        <v>45077.34759903935</v>
      </c>
      <c r="C772" s="25" t="s">
        <v>1845</v>
      </c>
      <c r="D772" s="25">
        <v>5320.0</v>
      </c>
      <c r="E772" s="20" t="s">
        <v>206</v>
      </c>
      <c r="F772" s="25" t="s">
        <v>178</v>
      </c>
      <c r="G772" s="25" t="s">
        <v>2574</v>
      </c>
      <c r="H772" s="25" t="s">
        <v>37</v>
      </c>
      <c r="I772" s="25"/>
      <c r="J772" s="25" t="s">
        <v>2575</v>
      </c>
      <c r="K772" s="20" t="s">
        <v>2576</v>
      </c>
      <c r="L772" s="26" t="s">
        <v>74</v>
      </c>
      <c r="M772" s="12">
        <v>45216.0</v>
      </c>
      <c r="N772" s="77" t="str">
        <f t="shared" si="1"/>
        <v>maio</v>
      </c>
    </row>
    <row r="773">
      <c r="A773" s="25" t="s">
        <v>2577</v>
      </c>
      <c r="B773" s="59">
        <v>45077.39504340278</v>
      </c>
      <c r="C773" s="25" t="s">
        <v>26</v>
      </c>
      <c r="D773" s="25">
        <v>5304.0</v>
      </c>
      <c r="E773" s="25" t="s">
        <v>1097</v>
      </c>
      <c r="F773" s="25" t="s">
        <v>28</v>
      </c>
      <c r="G773" s="25" t="s">
        <v>179</v>
      </c>
      <c r="H773" s="25" t="s">
        <v>79</v>
      </c>
      <c r="I773" s="25"/>
      <c r="J773" s="25" t="s">
        <v>2578</v>
      </c>
      <c r="K773" s="25"/>
      <c r="L773" s="26" t="s">
        <v>20</v>
      </c>
      <c r="M773" s="12">
        <v>45078.0</v>
      </c>
      <c r="N773" s="77" t="str">
        <f t="shared" si="1"/>
        <v>maio</v>
      </c>
    </row>
    <row r="774">
      <c r="A774" s="25" t="s">
        <v>2579</v>
      </c>
      <c r="B774" s="59">
        <v>45077.45279914352</v>
      </c>
      <c r="C774" s="25" t="s">
        <v>2580</v>
      </c>
      <c r="D774" s="25">
        <v>6.4981211543E10</v>
      </c>
      <c r="E774" s="25" t="s">
        <v>262</v>
      </c>
      <c r="F774" s="25" t="s">
        <v>61</v>
      </c>
      <c r="G774" s="25" t="s">
        <v>924</v>
      </c>
      <c r="H774" s="25" t="s">
        <v>18</v>
      </c>
      <c r="I774" s="25"/>
      <c r="J774" s="25" t="s">
        <v>2581</v>
      </c>
      <c r="K774" s="25"/>
      <c r="L774" s="26" t="s">
        <v>20</v>
      </c>
      <c r="M774" s="12">
        <v>45084.0</v>
      </c>
      <c r="N774" s="77" t="str">
        <f t="shared" si="1"/>
        <v>maio</v>
      </c>
    </row>
    <row r="775">
      <c r="A775" s="25" t="s">
        <v>2582</v>
      </c>
      <c r="B775" s="59">
        <v>45077.61487269676</v>
      </c>
      <c r="C775" s="25" t="s">
        <v>697</v>
      </c>
      <c r="D775" s="25">
        <v>5347.0</v>
      </c>
      <c r="E775" s="25" t="s">
        <v>160</v>
      </c>
      <c r="F775" s="25" t="s">
        <v>82</v>
      </c>
      <c r="G775" s="25" t="s">
        <v>2583</v>
      </c>
      <c r="H775" s="25" t="s">
        <v>37</v>
      </c>
      <c r="I775" s="25"/>
      <c r="J775" s="25" t="s">
        <v>2584</v>
      </c>
      <c r="K775" s="25"/>
      <c r="L775" s="26" t="s">
        <v>20</v>
      </c>
      <c r="M775" s="12">
        <v>45147.0</v>
      </c>
      <c r="N775" s="77" t="str">
        <f t="shared" si="1"/>
        <v>maio</v>
      </c>
    </row>
    <row r="776">
      <c r="A776" s="25" t="s">
        <v>2585</v>
      </c>
      <c r="B776" s="59">
        <v>45077.65768591435</v>
      </c>
      <c r="C776" s="25" t="s">
        <v>354</v>
      </c>
      <c r="D776" s="25">
        <v>5323.0</v>
      </c>
      <c r="E776" s="7" t="s">
        <v>246</v>
      </c>
      <c r="F776" s="25" t="s">
        <v>61</v>
      </c>
      <c r="G776" s="25" t="s">
        <v>2586</v>
      </c>
      <c r="H776" s="25" t="s">
        <v>37</v>
      </c>
      <c r="I776" s="25"/>
      <c r="J776" s="25" t="s">
        <v>2587</v>
      </c>
      <c r="K776" s="25"/>
      <c r="L776" s="26" t="s">
        <v>20</v>
      </c>
      <c r="M776" s="12">
        <v>45149.0</v>
      </c>
      <c r="N776" s="77" t="str">
        <f t="shared" si="1"/>
        <v>maio</v>
      </c>
    </row>
    <row r="777">
      <c r="A777" s="25" t="s">
        <v>2588</v>
      </c>
      <c r="B777" s="59">
        <v>45077.69919510417</v>
      </c>
      <c r="C777" s="25" t="s">
        <v>215</v>
      </c>
      <c r="D777" s="25">
        <v>5333.0</v>
      </c>
      <c r="E777" s="25" t="s">
        <v>41</v>
      </c>
      <c r="F777" s="25" t="s">
        <v>42</v>
      </c>
      <c r="G777" s="25" t="s">
        <v>2589</v>
      </c>
      <c r="H777" s="25" t="s">
        <v>37</v>
      </c>
      <c r="I777" s="25"/>
      <c r="J777" s="25" t="s">
        <v>2590</v>
      </c>
      <c r="K777" s="25"/>
      <c r="L777" s="26" t="s">
        <v>20</v>
      </c>
      <c r="M777" s="12">
        <v>45078.0</v>
      </c>
      <c r="N777" s="77" t="str">
        <f t="shared" si="1"/>
        <v>maio</v>
      </c>
    </row>
    <row r="778">
      <c r="A778" s="25" t="s">
        <v>2591</v>
      </c>
      <c r="B778" s="59">
        <v>45078.426385046296</v>
      </c>
      <c r="C778" s="25" t="s">
        <v>2580</v>
      </c>
      <c r="D778" s="25">
        <v>6.4981211543E10</v>
      </c>
      <c r="E778" s="25" t="s">
        <v>262</v>
      </c>
      <c r="F778" s="25" t="s">
        <v>2592</v>
      </c>
      <c r="G778" s="25" t="s">
        <v>2593</v>
      </c>
      <c r="H778" s="25" t="s">
        <v>18</v>
      </c>
      <c r="I778" s="25"/>
      <c r="J778" s="25" t="s">
        <v>2594</v>
      </c>
      <c r="K778" s="25"/>
      <c r="L778" s="26" t="s">
        <v>20</v>
      </c>
      <c r="M778" s="12">
        <v>45083.0</v>
      </c>
      <c r="N778" s="77" t="str">
        <f t="shared" si="1"/>
        <v>junho</v>
      </c>
    </row>
    <row r="779">
      <c r="A779" s="25" t="s">
        <v>2595</v>
      </c>
      <c r="B779" s="59">
        <v>45079.04853508102</v>
      </c>
      <c r="C779" s="25" t="s">
        <v>65</v>
      </c>
      <c r="D779" s="25">
        <v>5318.0</v>
      </c>
      <c r="E779" s="25" t="s">
        <v>15</v>
      </c>
      <c r="F779" s="25" t="s">
        <v>49</v>
      </c>
      <c r="G779" s="25" t="s">
        <v>2596</v>
      </c>
      <c r="H779" s="25" t="s">
        <v>18</v>
      </c>
      <c r="I779" s="25"/>
      <c r="J779" s="25" t="s">
        <v>2597</v>
      </c>
      <c r="K779" s="25"/>
      <c r="L779" s="26" t="s">
        <v>20</v>
      </c>
      <c r="M779" s="12">
        <v>45084.0</v>
      </c>
      <c r="N779" s="77" t="str">
        <f t="shared" si="1"/>
        <v>junho</v>
      </c>
    </row>
    <row r="780">
      <c r="A780" s="25" t="s">
        <v>2598</v>
      </c>
      <c r="B780" s="59">
        <v>45079.05319847222</v>
      </c>
      <c r="C780" s="25" t="s">
        <v>65</v>
      </c>
      <c r="D780" s="25">
        <v>5318.0</v>
      </c>
      <c r="E780" s="25" t="s">
        <v>15</v>
      </c>
      <c r="F780" s="25" t="s">
        <v>2599</v>
      </c>
      <c r="G780" s="25" t="s">
        <v>2600</v>
      </c>
      <c r="H780" s="25" t="s">
        <v>18</v>
      </c>
      <c r="I780" s="25"/>
      <c r="J780" s="25" t="s">
        <v>2601</v>
      </c>
      <c r="K780" s="25"/>
      <c r="L780" s="26" t="s">
        <v>20</v>
      </c>
      <c r="M780" s="12">
        <v>45082.0</v>
      </c>
      <c r="N780" s="77" t="str">
        <f t="shared" si="1"/>
        <v>junho</v>
      </c>
    </row>
    <row r="781">
      <c r="A781" s="25" t="s">
        <v>2602</v>
      </c>
      <c r="B781" s="59">
        <v>45079.24537047454</v>
      </c>
      <c r="C781" s="25" t="s">
        <v>65</v>
      </c>
      <c r="D781" s="25">
        <v>5318.0</v>
      </c>
      <c r="E781" s="25" t="s">
        <v>15</v>
      </c>
      <c r="F781" s="25" t="s">
        <v>2603</v>
      </c>
      <c r="G781" s="25" t="s">
        <v>2603</v>
      </c>
      <c r="H781" s="25" t="s">
        <v>18</v>
      </c>
      <c r="I781" s="25"/>
      <c r="J781" s="25" t="s">
        <v>2604</v>
      </c>
      <c r="K781" s="25"/>
      <c r="L781" s="26" t="s">
        <v>20</v>
      </c>
      <c r="M781" s="12">
        <v>45082.0</v>
      </c>
      <c r="N781" s="77" t="str">
        <f t="shared" si="1"/>
        <v>junho</v>
      </c>
    </row>
    <row r="782">
      <c r="A782" s="25" t="s">
        <v>2605</v>
      </c>
      <c r="B782" s="59">
        <v>45079.316703530094</v>
      </c>
      <c r="C782" s="25" t="s">
        <v>486</v>
      </c>
      <c r="D782" s="25">
        <v>5340.0</v>
      </c>
      <c r="E782" s="25" t="s">
        <v>70</v>
      </c>
      <c r="F782" s="25" t="s">
        <v>82</v>
      </c>
      <c r="G782" s="25" t="s">
        <v>2606</v>
      </c>
      <c r="H782" s="25" t="s">
        <v>79</v>
      </c>
      <c r="I782" s="25"/>
      <c r="J782" s="25" t="s">
        <v>2607</v>
      </c>
      <c r="K782" s="25"/>
      <c r="L782" s="26" t="s">
        <v>20</v>
      </c>
      <c r="M782" s="12">
        <v>45092.0</v>
      </c>
      <c r="N782" s="77" t="str">
        <f t="shared" si="1"/>
        <v>junho</v>
      </c>
    </row>
    <row r="783">
      <c r="A783" s="25" t="s">
        <v>2608</v>
      </c>
      <c r="B783" s="59">
        <v>45079.31843122686</v>
      </c>
      <c r="C783" s="25" t="s">
        <v>486</v>
      </c>
      <c r="D783" s="25">
        <v>5340.0</v>
      </c>
      <c r="E783" s="25" t="s">
        <v>70</v>
      </c>
      <c r="F783" s="25" t="s">
        <v>1005</v>
      </c>
      <c r="G783" s="25" t="s">
        <v>2609</v>
      </c>
      <c r="H783" s="25" t="s">
        <v>79</v>
      </c>
      <c r="I783" s="25"/>
      <c r="J783" s="25" t="s">
        <v>2610</v>
      </c>
      <c r="K783" s="25"/>
      <c r="L783" s="26" t="s">
        <v>20</v>
      </c>
      <c r="M783" s="12">
        <v>45092.0</v>
      </c>
      <c r="N783" s="77" t="str">
        <f t="shared" si="1"/>
        <v>junho</v>
      </c>
    </row>
    <row r="784">
      <c r="A784" s="25" t="s">
        <v>2611</v>
      </c>
      <c r="B784" s="59">
        <v>45079.46374368056</v>
      </c>
      <c r="C784" s="25" t="s">
        <v>2612</v>
      </c>
      <c r="D784" s="25" t="s">
        <v>2613</v>
      </c>
      <c r="E784" s="25" t="s">
        <v>1097</v>
      </c>
      <c r="F784" s="25" t="s">
        <v>2614</v>
      </c>
      <c r="G784" s="25" t="s">
        <v>2614</v>
      </c>
      <c r="H784" s="25" t="s">
        <v>18</v>
      </c>
      <c r="I784" s="25"/>
      <c r="J784" s="25" t="s">
        <v>2615</v>
      </c>
      <c r="K784" s="25"/>
      <c r="L784" s="26" t="s">
        <v>20</v>
      </c>
      <c r="M784" s="12">
        <v>45084.0</v>
      </c>
      <c r="N784" s="77" t="str">
        <f t="shared" si="1"/>
        <v>junho</v>
      </c>
    </row>
    <row r="785">
      <c r="A785" s="25" t="s">
        <v>2616</v>
      </c>
      <c r="B785" s="59">
        <v>45082.30604355324</v>
      </c>
      <c r="C785" s="25" t="s">
        <v>486</v>
      </c>
      <c r="D785" s="25">
        <v>5340.0</v>
      </c>
      <c r="E785" s="25" t="s">
        <v>70</v>
      </c>
      <c r="F785" s="25" t="s">
        <v>1789</v>
      </c>
      <c r="G785" s="25" t="s">
        <v>1077</v>
      </c>
      <c r="H785" s="25" t="s">
        <v>764</v>
      </c>
      <c r="I785" s="25"/>
      <c r="J785" s="25" t="s">
        <v>2617</v>
      </c>
      <c r="K785" s="25"/>
      <c r="L785" s="26" t="s">
        <v>20</v>
      </c>
      <c r="M785" s="12">
        <v>45084.0</v>
      </c>
      <c r="N785" s="77" t="str">
        <f t="shared" si="1"/>
        <v>junho</v>
      </c>
    </row>
    <row r="786">
      <c r="A786" s="25" t="s">
        <v>2618</v>
      </c>
      <c r="B786" s="59">
        <v>45082.347039976856</v>
      </c>
      <c r="C786" s="25" t="s">
        <v>2619</v>
      </c>
      <c r="D786" s="25">
        <v>5360.0</v>
      </c>
      <c r="E786" s="25" t="s">
        <v>371</v>
      </c>
      <c r="F786" s="25" t="s">
        <v>49</v>
      </c>
      <c r="G786" s="25" t="s">
        <v>2620</v>
      </c>
      <c r="H786" s="25" t="s">
        <v>764</v>
      </c>
      <c r="I786" s="25"/>
      <c r="J786" s="25" t="s">
        <v>2621</v>
      </c>
      <c r="K786" s="25"/>
      <c r="L786" s="26" t="s">
        <v>20</v>
      </c>
      <c r="M786" s="12">
        <v>45082.0</v>
      </c>
      <c r="N786" s="77" t="str">
        <f t="shared" si="1"/>
        <v>junho</v>
      </c>
    </row>
    <row r="787">
      <c r="A787" s="25" t="s">
        <v>2622</v>
      </c>
      <c r="B787" s="59">
        <v>45082.4723670949</v>
      </c>
      <c r="C787" s="25" t="s">
        <v>2484</v>
      </c>
      <c r="D787" s="25">
        <v>6.2991579626E10</v>
      </c>
      <c r="E787" s="7" t="s">
        <v>199</v>
      </c>
      <c r="F787" s="25" t="s">
        <v>2623</v>
      </c>
      <c r="G787" s="25" t="s">
        <v>2624</v>
      </c>
      <c r="H787" s="25" t="s">
        <v>37</v>
      </c>
      <c r="I787" s="25"/>
      <c r="J787" s="25" t="s">
        <v>2625</v>
      </c>
      <c r="K787" s="25"/>
      <c r="L787" s="26" t="s">
        <v>20</v>
      </c>
      <c r="M787" s="12">
        <v>45082.0</v>
      </c>
      <c r="N787" s="77" t="str">
        <f t="shared" si="1"/>
        <v>junho</v>
      </c>
    </row>
    <row r="788">
      <c r="A788" s="25" t="s">
        <v>2626</v>
      </c>
      <c r="B788" s="59">
        <v>45082.77644912037</v>
      </c>
      <c r="C788" s="25" t="s">
        <v>553</v>
      </c>
      <c r="D788" s="25">
        <v>5318.0</v>
      </c>
      <c r="E788" s="25" t="s">
        <v>15</v>
      </c>
      <c r="F788" s="25" t="s">
        <v>49</v>
      </c>
      <c r="G788" s="25" t="s">
        <v>2627</v>
      </c>
      <c r="H788" s="25" t="s">
        <v>18</v>
      </c>
      <c r="I788" s="25"/>
      <c r="J788" s="25" t="s">
        <v>2628</v>
      </c>
      <c r="K788" s="25"/>
      <c r="L788" s="26" t="s">
        <v>20</v>
      </c>
      <c r="M788" s="12">
        <v>45187.0</v>
      </c>
      <c r="N788" s="77" t="str">
        <f t="shared" si="1"/>
        <v>junho</v>
      </c>
    </row>
    <row r="789">
      <c r="A789" s="25" t="s">
        <v>2629</v>
      </c>
      <c r="B789" s="59">
        <v>45082.78522873843</v>
      </c>
      <c r="C789" s="25" t="s">
        <v>215</v>
      </c>
      <c r="D789" s="25">
        <v>5333.0</v>
      </c>
      <c r="E789" s="25" t="s">
        <v>41</v>
      </c>
      <c r="F789" s="25" t="s">
        <v>42</v>
      </c>
      <c r="G789" s="25" t="s">
        <v>2630</v>
      </c>
      <c r="H789" s="25" t="s">
        <v>79</v>
      </c>
      <c r="I789" s="25"/>
      <c r="J789" s="25" t="s">
        <v>2631</v>
      </c>
      <c r="K789" s="25"/>
      <c r="L789" s="26" t="s">
        <v>20</v>
      </c>
      <c r="M789" s="12">
        <v>45188.0</v>
      </c>
      <c r="N789" s="77" t="str">
        <f t="shared" si="1"/>
        <v>junho</v>
      </c>
    </row>
    <row r="790">
      <c r="A790" s="25" t="s">
        <v>2632</v>
      </c>
      <c r="B790" s="59">
        <v>45083.39209998843</v>
      </c>
      <c r="C790" s="25" t="s">
        <v>266</v>
      </c>
      <c r="D790" s="25">
        <v>5343.0</v>
      </c>
      <c r="E790" s="25" t="s">
        <v>987</v>
      </c>
      <c r="F790" s="25" t="s">
        <v>82</v>
      </c>
      <c r="G790" s="25" t="s">
        <v>2633</v>
      </c>
      <c r="H790" s="25" t="s">
        <v>764</v>
      </c>
      <c r="I790" s="25"/>
      <c r="J790" s="25" t="s">
        <v>2634</v>
      </c>
      <c r="K790" s="25"/>
      <c r="L790" s="26" t="s">
        <v>20</v>
      </c>
      <c r="M790" s="12">
        <v>45084.0</v>
      </c>
      <c r="N790" s="77" t="str">
        <f t="shared" si="1"/>
        <v>junho</v>
      </c>
    </row>
    <row r="791">
      <c r="A791" s="25" t="s">
        <v>2635</v>
      </c>
      <c r="B791" s="59">
        <v>45083.571727256945</v>
      </c>
      <c r="C791" s="25" t="s">
        <v>2636</v>
      </c>
      <c r="D791" s="25" t="s">
        <v>2637</v>
      </c>
      <c r="E791" s="20" t="s">
        <v>206</v>
      </c>
      <c r="F791" s="25" t="s">
        <v>61</v>
      </c>
      <c r="G791" s="25" t="s">
        <v>179</v>
      </c>
      <c r="H791" s="25" t="s">
        <v>18</v>
      </c>
      <c r="I791" s="25"/>
      <c r="J791" s="25" t="s">
        <v>2638</v>
      </c>
      <c r="K791" s="25"/>
      <c r="L791" s="26" t="s">
        <v>20</v>
      </c>
      <c r="M791" s="12">
        <v>45153.0</v>
      </c>
      <c r="N791" s="77" t="str">
        <f t="shared" si="1"/>
        <v>junho</v>
      </c>
    </row>
    <row r="792">
      <c r="A792" s="25" t="s">
        <v>2639</v>
      </c>
      <c r="B792" s="59">
        <v>45083.6554066088</v>
      </c>
      <c r="C792" s="25" t="s">
        <v>215</v>
      </c>
      <c r="D792" s="25">
        <v>5333.0</v>
      </c>
      <c r="E792" s="25" t="s">
        <v>41</v>
      </c>
      <c r="F792" s="25" t="s">
        <v>42</v>
      </c>
      <c r="G792" s="25" t="s">
        <v>2640</v>
      </c>
      <c r="H792" s="25" t="s">
        <v>764</v>
      </c>
      <c r="I792" s="25"/>
      <c r="J792" s="25" t="s">
        <v>2641</v>
      </c>
      <c r="K792" s="25"/>
      <c r="L792" s="26" t="s">
        <v>20</v>
      </c>
      <c r="M792" s="12">
        <v>45090.0</v>
      </c>
      <c r="N792" s="77" t="str">
        <f t="shared" si="1"/>
        <v>junho</v>
      </c>
    </row>
    <row r="793">
      <c r="A793" s="25" t="s">
        <v>2642</v>
      </c>
      <c r="B793" s="59">
        <v>45083.69072586806</v>
      </c>
      <c r="C793" s="25" t="s">
        <v>876</v>
      </c>
      <c r="D793" s="25" t="s">
        <v>2643</v>
      </c>
      <c r="E793" s="25" t="s">
        <v>187</v>
      </c>
      <c r="F793" s="25" t="s">
        <v>877</v>
      </c>
      <c r="G793" s="25" t="s">
        <v>2644</v>
      </c>
      <c r="H793" s="25" t="s">
        <v>79</v>
      </c>
      <c r="I793" s="25"/>
      <c r="J793" s="25" t="s">
        <v>2645</v>
      </c>
      <c r="K793" s="25"/>
      <c r="L793" s="26" t="s">
        <v>20</v>
      </c>
      <c r="M793" s="12">
        <v>45085.0</v>
      </c>
      <c r="N793" s="77" t="str">
        <f t="shared" si="1"/>
        <v>junho</v>
      </c>
    </row>
    <row r="794">
      <c r="A794" s="25" t="s">
        <v>2646</v>
      </c>
      <c r="B794" s="59">
        <v>45084.32191452546</v>
      </c>
      <c r="C794" s="25" t="s">
        <v>2647</v>
      </c>
      <c r="D794" s="25">
        <v>7602.0</v>
      </c>
      <c r="E794" s="25" t="s">
        <v>195</v>
      </c>
      <c r="F794" s="25" t="s">
        <v>755</v>
      </c>
      <c r="G794" s="25" t="s">
        <v>179</v>
      </c>
      <c r="H794" s="25" t="s">
        <v>79</v>
      </c>
      <c r="I794" s="25"/>
      <c r="J794" s="25" t="s">
        <v>2648</v>
      </c>
      <c r="K794" s="25"/>
      <c r="L794" s="26" t="s">
        <v>20</v>
      </c>
      <c r="M794" s="12">
        <v>45189.0</v>
      </c>
      <c r="N794" s="77" t="str">
        <f t="shared" si="1"/>
        <v>junho</v>
      </c>
    </row>
    <row r="795">
      <c r="A795" s="25" t="s">
        <v>2649</v>
      </c>
      <c r="B795" s="59">
        <v>45084.32314165509</v>
      </c>
      <c r="C795" s="25" t="s">
        <v>2647</v>
      </c>
      <c r="D795" s="25">
        <v>7602.0</v>
      </c>
      <c r="E795" s="25" t="s">
        <v>195</v>
      </c>
      <c r="F795" s="25" t="s">
        <v>755</v>
      </c>
      <c r="G795" s="25" t="s">
        <v>2650</v>
      </c>
      <c r="H795" s="25" t="s">
        <v>37</v>
      </c>
      <c r="I795" s="25"/>
      <c r="J795" s="25" t="s">
        <v>2651</v>
      </c>
      <c r="K795" s="25"/>
      <c r="L795" s="26" t="s">
        <v>20</v>
      </c>
      <c r="M795" s="12">
        <v>45148.0</v>
      </c>
      <c r="N795" s="77" t="str">
        <f t="shared" si="1"/>
        <v>junho</v>
      </c>
    </row>
    <row r="796">
      <c r="A796" s="25" t="s">
        <v>2652</v>
      </c>
      <c r="B796" s="59">
        <v>45084.42394793982</v>
      </c>
      <c r="C796" s="25" t="s">
        <v>321</v>
      </c>
      <c r="D796" s="25">
        <v>5305.0</v>
      </c>
      <c r="E796" s="25" t="s">
        <v>183</v>
      </c>
      <c r="F796" s="25" t="s">
        <v>840</v>
      </c>
      <c r="G796" s="25" t="s">
        <v>2653</v>
      </c>
      <c r="H796" s="25" t="s">
        <v>129</v>
      </c>
      <c r="I796" s="25"/>
      <c r="J796" s="25" t="s">
        <v>2654</v>
      </c>
      <c r="K796" s="25"/>
      <c r="L796" s="26" t="s">
        <v>20</v>
      </c>
      <c r="M796" s="12">
        <v>45084.0</v>
      </c>
      <c r="N796" s="77" t="str">
        <f t="shared" si="1"/>
        <v>junho</v>
      </c>
    </row>
    <row r="797">
      <c r="A797" s="25" t="s">
        <v>2655</v>
      </c>
      <c r="B797" s="59">
        <v>45084.47562736111</v>
      </c>
      <c r="C797" s="25" t="s">
        <v>486</v>
      </c>
      <c r="D797" s="25">
        <v>5340.0</v>
      </c>
      <c r="E797" s="25" t="s">
        <v>70</v>
      </c>
      <c r="F797" s="25" t="s">
        <v>554</v>
      </c>
      <c r="G797" s="25" t="s">
        <v>1208</v>
      </c>
      <c r="H797" s="25" t="s">
        <v>79</v>
      </c>
      <c r="I797" s="25"/>
      <c r="J797" s="25" t="s">
        <v>2656</v>
      </c>
      <c r="K797" s="25"/>
      <c r="L797" s="26" t="s">
        <v>20</v>
      </c>
      <c r="M797" s="12">
        <v>45092.0</v>
      </c>
      <c r="N797" s="77" t="str">
        <f t="shared" si="1"/>
        <v>junho</v>
      </c>
    </row>
    <row r="798">
      <c r="A798" s="25" t="s">
        <v>2657</v>
      </c>
      <c r="B798" s="59">
        <v>45084.48191371528</v>
      </c>
      <c r="C798" s="25" t="s">
        <v>486</v>
      </c>
      <c r="D798" s="25">
        <v>5340.0</v>
      </c>
      <c r="E798" s="25" t="s">
        <v>70</v>
      </c>
      <c r="F798" s="25" t="s">
        <v>1076</v>
      </c>
      <c r="G798" s="25" t="s">
        <v>2658</v>
      </c>
      <c r="H798" s="25" t="s">
        <v>79</v>
      </c>
      <c r="I798" s="25"/>
      <c r="J798" s="25" t="s">
        <v>2659</v>
      </c>
      <c r="K798" s="25"/>
      <c r="L798" s="26" t="s">
        <v>20</v>
      </c>
      <c r="M798" s="12">
        <v>45092.0</v>
      </c>
      <c r="N798" s="77" t="str">
        <f t="shared" si="1"/>
        <v>junho</v>
      </c>
    </row>
    <row r="799">
      <c r="A799" s="25" t="s">
        <v>2660</v>
      </c>
      <c r="B799" s="59">
        <v>45084.48629072917</v>
      </c>
      <c r="C799" s="25" t="s">
        <v>486</v>
      </c>
      <c r="D799" s="25">
        <v>5340.0</v>
      </c>
      <c r="E799" s="25" t="s">
        <v>70</v>
      </c>
      <c r="F799" s="25" t="s">
        <v>1186</v>
      </c>
      <c r="G799" s="25" t="s">
        <v>1208</v>
      </c>
      <c r="H799" s="25" t="s">
        <v>79</v>
      </c>
      <c r="I799" s="25"/>
      <c r="J799" s="25" t="s">
        <v>2661</v>
      </c>
      <c r="K799" s="25"/>
      <c r="L799" s="26" t="s">
        <v>20</v>
      </c>
      <c r="M799" s="12">
        <v>45190.0</v>
      </c>
      <c r="N799" s="77" t="str">
        <f t="shared" si="1"/>
        <v>junho</v>
      </c>
    </row>
    <row r="800">
      <c r="A800" s="25" t="s">
        <v>2662</v>
      </c>
      <c r="B800" s="59">
        <v>45084.489093321754</v>
      </c>
      <c r="C800" s="25" t="s">
        <v>2484</v>
      </c>
      <c r="D800" s="25">
        <v>6.2991579626E10</v>
      </c>
      <c r="E800" s="7" t="s">
        <v>199</v>
      </c>
      <c r="F800" s="25" t="s">
        <v>2663</v>
      </c>
      <c r="G800" s="25" t="s">
        <v>2664</v>
      </c>
      <c r="H800" s="25" t="s">
        <v>129</v>
      </c>
      <c r="I800" s="25"/>
      <c r="J800" s="25" t="s">
        <v>2665</v>
      </c>
      <c r="K800" s="25"/>
      <c r="L800" s="26" t="s">
        <v>20</v>
      </c>
      <c r="M800" s="12">
        <v>45084.0</v>
      </c>
      <c r="N800" s="77" t="str">
        <f t="shared" si="1"/>
        <v>junho</v>
      </c>
    </row>
    <row r="801">
      <c r="A801" s="25" t="s">
        <v>2666</v>
      </c>
      <c r="B801" s="59">
        <v>45084.554766747686</v>
      </c>
      <c r="C801" s="25" t="s">
        <v>2441</v>
      </c>
      <c r="D801" s="25" t="s">
        <v>2667</v>
      </c>
      <c r="E801" s="25" t="s">
        <v>621</v>
      </c>
      <c r="F801" s="25" t="s">
        <v>2668</v>
      </c>
      <c r="G801" s="25" t="s">
        <v>2669</v>
      </c>
      <c r="H801" s="25" t="s">
        <v>1853</v>
      </c>
      <c r="I801" s="25"/>
      <c r="J801" s="25" t="s">
        <v>2670</v>
      </c>
      <c r="K801" s="25"/>
      <c r="L801" s="26" t="s">
        <v>20</v>
      </c>
      <c r="M801" s="12">
        <v>45191.0</v>
      </c>
      <c r="N801" s="77" t="str">
        <f t="shared" si="1"/>
        <v>junho</v>
      </c>
    </row>
    <row r="802">
      <c r="A802" s="25" t="s">
        <v>2671</v>
      </c>
      <c r="B802" s="59">
        <v>45084.56221907407</v>
      </c>
      <c r="C802" s="25" t="s">
        <v>2672</v>
      </c>
      <c r="D802" s="25">
        <v>9.84223018E8</v>
      </c>
      <c r="E802" s="25" t="s">
        <v>2560</v>
      </c>
      <c r="F802" s="25" t="s">
        <v>61</v>
      </c>
      <c r="G802" s="25" t="s">
        <v>2673</v>
      </c>
      <c r="H802" s="25" t="s">
        <v>18</v>
      </c>
      <c r="I802" s="25"/>
      <c r="J802" s="25" t="s">
        <v>2674</v>
      </c>
      <c r="K802" s="25"/>
      <c r="L802" s="26" t="s">
        <v>20</v>
      </c>
      <c r="M802" s="12">
        <v>45192.0</v>
      </c>
      <c r="N802" s="77" t="str">
        <f t="shared" si="1"/>
        <v>junho</v>
      </c>
    </row>
    <row r="803">
      <c r="A803" s="25" t="s">
        <v>2675</v>
      </c>
      <c r="B803" s="59">
        <v>45084.56691836806</v>
      </c>
      <c r="C803" s="25" t="s">
        <v>522</v>
      </c>
      <c r="D803" s="25">
        <v>5333.0</v>
      </c>
      <c r="E803" s="25" t="s">
        <v>41</v>
      </c>
      <c r="F803" s="25" t="s">
        <v>42</v>
      </c>
      <c r="G803" s="25" t="s">
        <v>412</v>
      </c>
      <c r="H803" s="25" t="s">
        <v>764</v>
      </c>
      <c r="I803" s="25"/>
      <c r="J803" s="25" t="s">
        <v>2676</v>
      </c>
      <c r="K803" s="25"/>
      <c r="L803" s="26" t="s">
        <v>20</v>
      </c>
      <c r="M803" s="12">
        <v>45090.0</v>
      </c>
      <c r="N803" s="77" t="str">
        <f t="shared" si="1"/>
        <v>junho</v>
      </c>
    </row>
    <row r="804">
      <c r="A804" s="25" t="s">
        <v>2677</v>
      </c>
      <c r="B804" s="59">
        <v>45084.58226517361</v>
      </c>
      <c r="C804" s="25" t="s">
        <v>2441</v>
      </c>
      <c r="D804" s="25">
        <v>6.2982410124E10</v>
      </c>
      <c r="E804" s="25" t="s">
        <v>621</v>
      </c>
      <c r="F804" s="25" t="s">
        <v>2678</v>
      </c>
      <c r="G804" s="25" t="s">
        <v>2679</v>
      </c>
      <c r="H804" s="25" t="s">
        <v>298</v>
      </c>
      <c r="I804" s="25"/>
      <c r="J804" s="25" t="s">
        <v>2680</v>
      </c>
      <c r="K804" s="25"/>
      <c r="L804" s="26" t="s">
        <v>20</v>
      </c>
      <c r="M804" s="12">
        <v>45153.0</v>
      </c>
      <c r="N804" s="77" t="str">
        <f t="shared" si="1"/>
        <v>junho</v>
      </c>
    </row>
    <row r="805">
      <c r="A805" s="25" t="s">
        <v>2681</v>
      </c>
      <c r="B805" s="59">
        <v>45085.112417083335</v>
      </c>
      <c r="C805" s="25" t="s">
        <v>65</v>
      </c>
      <c r="D805" s="25">
        <v>5318.0</v>
      </c>
      <c r="E805" s="25" t="s">
        <v>15</v>
      </c>
      <c r="F805" s="25" t="s">
        <v>2682</v>
      </c>
      <c r="G805" s="25" t="s">
        <v>61</v>
      </c>
      <c r="H805" s="25" t="s">
        <v>18</v>
      </c>
      <c r="I805" s="25"/>
      <c r="J805" s="25" t="s">
        <v>2683</v>
      </c>
      <c r="K805" s="25"/>
      <c r="L805" s="26" t="s">
        <v>20</v>
      </c>
      <c r="M805" s="12">
        <v>45082.0</v>
      </c>
      <c r="N805" s="77" t="str">
        <f t="shared" si="1"/>
        <v>junho</v>
      </c>
    </row>
    <row r="806">
      <c r="A806" s="25" t="s">
        <v>2684</v>
      </c>
      <c r="B806" s="59">
        <v>45089.3089971875</v>
      </c>
      <c r="C806" s="25" t="s">
        <v>486</v>
      </c>
      <c r="D806" s="25">
        <v>5340.0</v>
      </c>
      <c r="E806" s="25" t="s">
        <v>70</v>
      </c>
      <c r="F806" s="25" t="s">
        <v>2685</v>
      </c>
      <c r="G806" s="25" t="s">
        <v>1823</v>
      </c>
      <c r="H806" s="25" t="s">
        <v>162</v>
      </c>
      <c r="I806" s="25"/>
      <c r="J806" s="25" t="s">
        <v>2686</v>
      </c>
      <c r="K806" s="25"/>
      <c r="L806" s="26" t="s">
        <v>20</v>
      </c>
      <c r="M806" s="12">
        <v>45091.0</v>
      </c>
      <c r="N806" s="77" t="str">
        <f t="shared" si="1"/>
        <v>junho</v>
      </c>
    </row>
    <row r="807">
      <c r="A807" s="25" t="s">
        <v>2687</v>
      </c>
      <c r="B807" s="59">
        <v>45089.31319552084</v>
      </c>
      <c r="C807" s="25" t="s">
        <v>486</v>
      </c>
      <c r="D807" s="25">
        <v>5340.0</v>
      </c>
      <c r="E807" s="25" t="s">
        <v>70</v>
      </c>
      <c r="F807" s="25" t="s">
        <v>2688</v>
      </c>
      <c r="G807" s="25" t="s">
        <v>2689</v>
      </c>
      <c r="H807" s="25" t="s">
        <v>79</v>
      </c>
      <c r="I807" s="25"/>
      <c r="J807" s="25" t="s">
        <v>2690</v>
      </c>
      <c r="K807" s="25"/>
      <c r="L807" s="26" t="s">
        <v>20</v>
      </c>
      <c r="M807" s="12">
        <v>45091.0</v>
      </c>
      <c r="N807" s="77" t="str">
        <f t="shared" si="1"/>
        <v>junho</v>
      </c>
    </row>
    <row r="808">
      <c r="A808" s="25" t="s">
        <v>2691</v>
      </c>
      <c r="B808" s="59">
        <v>45089.354166944446</v>
      </c>
      <c r="C808" s="25" t="s">
        <v>659</v>
      </c>
      <c r="D808" s="25">
        <v>5340.0</v>
      </c>
      <c r="E808" s="25" t="s">
        <v>70</v>
      </c>
      <c r="F808" s="25" t="s">
        <v>86</v>
      </c>
      <c r="G808" s="25" t="s">
        <v>2692</v>
      </c>
      <c r="H808" s="25" t="s">
        <v>79</v>
      </c>
      <c r="I808" s="25"/>
      <c r="J808" s="25" t="s">
        <v>2693</v>
      </c>
      <c r="K808" s="25"/>
      <c r="L808" s="26" t="s">
        <v>20</v>
      </c>
      <c r="M808" s="12">
        <v>45082.0</v>
      </c>
      <c r="N808" s="77" t="str">
        <f t="shared" si="1"/>
        <v>junho</v>
      </c>
    </row>
    <row r="809">
      <c r="A809" s="25" t="s">
        <v>2694</v>
      </c>
      <c r="B809" s="59">
        <v>45089.35608005787</v>
      </c>
      <c r="C809" s="25" t="s">
        <v>659</v>
      </c>
      <c r="D809" s="25">
        <v>5340.0</v>
      </c>
      <c r="E809" s="25" t="s">
        <v>70</v>
      </c>
      <c r="F809" s="25" t="s">
        <v>2695</v>
      </c>
      <c r="G809" s="25" t="s">
        <v>2696</v>
      </c>
      <c r="H809" s="25" t="s">
        <v>37</v>
      </c>
      <c r="I809" s="25"/>
      <c r="J809" s="25" t="s">
        <v>2697</v>
      </c>
      <c r="K809" s="25"/>
      <c r="L809" s="26" t="s">
        <v>20</v>
      </c>
      <c r="M809" s="12">
        <v>45089.0</v>
      </c>
      <c r="N809" s="77" t="str">
        <f t="shared" si="1"/>
        <v>junho</v>
      </c>
    </row>
    <row r="810">
      <c r="A810" s="25" t="s">
        <v>2698</v>
      </c>
      <c r="B810" s="59">
        <v>45089.41472537037</v>
      </c>
      <c r="C810" s="25" t="s">
        <v>40</v>
      </c>
      <c r="D810" s="25">
        <v>3.4987004342E10</v>
      </c>
      <c r="E810" s="25" t="s">
        <v>41</v>
      </c>
      <c r="F810" s="25" t="s">
        <v>42</v>
      </c>
      <c r="G810" s="25" t="s">
        <v>2036</v>
      </c>
      <c r="H810" s="25" t="s">
        <v>37</v>
      </c>
      <c r="I810" s="25"/>
      <c r="J810" s="25" t="s">
        <v>2699</v>
      </c>
      <c r="K810" s="25"/>
      <c r="L810" s="26" t="s">
        <v>20</v>
      </c>
      <c r="M810" s="12">
        <v>45089.0</v>
      </c>
      <c r="N810" s="77" t="str">
        <f t="shared" si="1"/>
        <v>junho</v>
      </c>
    </row>
    <row r="811">
      <c r="A811" s="7" t="s">
        <v>2700</v>
      </c>
      <c r="B811" s="8">
        <v>45089.45389300926</v>
      </c>
      <c r="C811" s="7" t="s">
        <v>370</v>
      </c>
      <c r="D811" s="7">
        <v>5306.0</v>
      </c>
      <c r="E811" s="7" t="s">
        <v>371</v>
      </c>
      <c r="F811" s="25" t="s">
        <v>49</v>
      </c>
      <c r="G811" s="9" t="s">
        <v>2701</v>
      </c>
      <c r="H811" s="7" t="s">
        <v>37</v>
      </c>
      <c r="I811" s="7"/>
      <c r="J811" s="60" t="s">
        <v>2702</v>
      </c>
      <c r="K811" s="60"/>
      <c r="L811" s="10" t="s">
        <v>20</v>
      </c>
      <c r="M811" s="55">
        <v>45272.0</v>
      </c>
      <c r="N811" s="77" t="str">
        <f t="shared" si="1"/>
        <v>junho</v>
      </c>
    </row>
    <row r="812">
      <c r="A812" s="25" t="s">
        <v>2703</v>
      </c>
      <c r="B812" s="59">
        <v>45089.578374363424</v>
      </c>
      <c r="C812" s="25" t="s">
        <v>346</v>
      </c>
      <c r="D812" s="25" t="s">
        <v>2704</v>
      </c>
      <c r="E812" s="25" t="s">
        <v>34</v>
      </c>
      <c r="F812" s="25" t="s">
        <v>347</v>
      </c>
      <c r="G812" s="25" t="s">
        <v>595</v>
      </c>
      <c r="H812" s="25" t="s">
        <v>79</v>
      </c>
      <c r="I812" s="25"/>
      <c r="J812" s="25" t="s">
        <v>2705</v>
      </c>
      <c r="K812" s="25"/>
      <c r="L812" s="26" t="s">
        <v>20</v>
      </c>
      <c r="M812" s="12">
        <v>45089.0</v>
      </c>
      <c r="N812" s="77" t="str">
        <f t="shared" si="1"/>
        <v>junho</v>
      </c>
    </row>
    <row r="813">
      <c r="A813" s="25" t="s">
        <v>2706</v>
      </c>
      <c r="B813" s="59">
        <v>45089.62897431713</v>
      </c>
      <c r="C813" s="25" t="s">
        <v>383</v>
      </c>
      <c r="D813" s="85" t="s">
        <v>959</v>
      </c>
      <c r="E813" s="25" t="s">
        <v>195</v>
      </c>
      <c r="F813" s="25" t="s">
        <v>35</v>
      </c>
      <c r="G813" s="25" t="s">
        <v>2707</v>
      </c>
      <c r="H813" s="25" t="s">
        <v>79</v>
      </c>
      <c r="I813" s="25"/>
      <c r="J813" s="25" t="s">
        <v>2708</v>
      </c>
      <c r="K813" s="25"/>
      <c r="L813" s="26" t="s">
        <v>20</v>
      </c>
      <c r="M813" s="12">
        <v>45153.0</v>
      </c>
      <c r="N813" s="77" t="str">
        <f t="shared" si="1"/>
        <v>junho</v>
      </c>
    </row>
    <row r="814">
      <c r="A814" s="25" t="s">
        <v>2709</v>
      </c>
      <c r="B814" s="59">
        <v>45090.35709767361</v>
      </c>
      <c r="C814" s="25" t="s">
        <v>1438</v>
      </c>
      <c r="D814" s="25">
        <v>5311.0</v>
      </c>
      <c r="E814" s="25" t="s">
        <v>251</v>
      </c>
      <c r="F814" s="25" t="s">
        <v>100</v>
      </c>
      <c r="G814" s="25" t="s">
        <v>2710</v>
      </c>
      <c r="H814" s="25" t="s">
        <v>30</v>
      </c>
      <c r="I814" s="25"/>
      <c r="J814" s="25" t="s">
        <v>2711</v>
      </c>
      <c r="K814" s="25"/>
      <c r="L814" s="26" t="s">
        <v>20</v>
      </c>
      <c r="M814" s="12">
        <v>45091.0</v>
      </c>
      <c r="N814" s="77" t="str">
        <f t="shared" si="1"/>
        <v>junho</v>
      </c>
    </row>
    <row r="815">
      <c r="A815" s="25" t="s">
        <v>2712</v>
      </c>
      <c r="B815" s="59">
        <v>45090.35940673611</v>
      </c>
      <c r="C815" s="25" t="s">
        <v>1438</v>
      </c>
      <c r="D815" s="25">
        <v>5311.0</v>
      </c>
      <c r="E815" s="25" t="s">
        <v>251</v>
      </c>
      <c r="F815" s="25" t="s">
        <v>100</v>
      </c>
      <c r="G815" s="25" t="s">
        <v>247</v>
      </c>
      <c r="H815" s="25" t="s">
        <v>764</v>
      </c>
      <c r="I815" s="25"/>
      <c r="J815" s="25" t="s">
        <v>2713</v>
      </c>
      <c r="K815" s="25"/>
      <c r="L815" s="26" t="s">
        <v>20</v>
      </c>
      <c r="M815" s="12">
        <v>45091.0</v>
      </c>
      <c r="N815" s="77" t="str">
        <f t="shared" si="1"/>
        <v>junho</v>
      </c>
    </row>
    <row r="816">
      <c r="A816" s="25" t="s">
        <v>2714</v>
      </c>
      <c r="B816" s="59">
        <v>45090.38562763889</v>
      </c>
      <c r="C816" s="25" t="s">
        <v>422</v>
      </c>
      <c r="D816" s="25">
        <v>5346.0</v>
      </c>
      <c r="E816" s="25" t="s">
        <v>423</v>
      </c>
      <c r="F816" s="25" t="s">
        <v>82</v>
      </c>
      <c r="G816" s="25" t="s">
        <v>2715</v>
      </c>
      <c r="H816" s="25" t="s">
        <v>79</v>
      </c>
      <c r="I816" s="25"/>
      <c r="J816" s="25" t="s">
        <v>2716</v>
      </c>
      <c r="K816" s="25"/>
      <c r="L816" s="26" t="s">
        <v>20</v>
      </c>
      <c r="M816" s="12">
        <v>45091.0</v>
      </c>
      <c r="N816" s="77" t="str">
        <f t="shared" si="1"/>
        <v>junho</v>
      </c>
    </row>
    <row r="817">
      <c r="A817" s="25" t="s">
        <v>2717</v>
      </c>
      <c r="B817" s="59">
        <v>45090.40722954861</v>
      </c>
      <c r="C817" s="25" t="s">
        <v>307</v>
      </c>
      <c r="D817" s="25">
        <v>3.4999071369E10</v>
      </c>
      <c r="E817" s="20" t="s">
        <v>308</v>
      </c>
      <c r="F817" s="25" t="s">
        <v>783</v>
      </c>
      <c r="G817" s="25" t="s">
        <v>2718</v>
      </c>
      <c r="H817" s="25" t="s">
        <v>18</v>
      </c>
      <c r="I817" s="25"/>
      <c r="J817" s="25" t="s">
        <v>2719</v>
      </c>
      <c r="K817" s="25"/>
      <c r="L817" s="26" t="s">
        <v>20</v>
      </c>
      <c r="M817" s="12">
        <v>45193.0</v>
      </c>
      <c r="N817" s="77" t="str">
        <f t="shared" si="1"/>
        <v>junho</v>
      </c>
    </row>
    <row r="818">
      <c r="A818" s="25" t="s">
        <v>2720</v>
      </c>
      <c r="B818" s="59">
        <v>45090.42766854167</v>
      </c>
      <c r="C818" s="25" t="s">
        <v>531</v>
      </c>
      <c r="D818" s="25">
        <v>5341.0</v>
      </c>
      <c r="E818" s="25" t="s">
        <v>532</v>
      </c>
      <c r="F818" s="25" t="s">
        <v>347</v>
      </c>
      <c r="G818" s="25" t="s">
        <v>571</v>
      </c>
      <c r="H818" s="25" t="s">
        <v>79</v>
      </c>
      <c r="I818" s="25"/>
      <c r="J818" s="25" t="s">
        <v>2721</v>
      </c>
      <c r="K818" s="25"/>
      <c r="L818" s="26" t="s">
        <v>20</v>
      </c>
      <c r="M818" s="12">
        <v>45090.0</v>
      </c>
      <c r="N818" s="77" t="str">
        <f t="shared" si="1"/>
        <v>junho</v>
      </c>
    </row>
    <row r="819">
      <c r="A819" s="25" t="s">
        <v>2722</v>
      </c>
      <c r="B819" s="59">
        <v>45090.42899296296</v>
      </c>
      <c r="C819" s="25" t="s">
        <v>531</v>
      </c>
      <c r="D819" s="25">
        <v>5341.0</v>
      </c>
      <c r="E819" s="25" t="s">
        <v>532</v>
      </c>
      <c r="F819" s="25" t="s">
        <v>188</v>
      </c>
      <c r="G819" s="25" t="s">
        <v>1711</v>
      </c>
      <c r="H819" s="25" t="s">
        <v>79</v>
      </c>
      <c r="I819" s="25"/>
      <c r="J819" s="25" t="s">
        <v>2721</v>
      </c>
      <c r="K819" s="25"/>
      <c r="L819" s="26" t="s">
        <v>20</v>
      </c>
      <c r="M819" s="12">
        <v>45092.0</v>
      </c>
      <c r="N819" s="77" t="str">
        <f t="shared" si="1"/>
        <v>junho</v>
      </c>
    </row>
    <row r="820">
      <c r="A820" s="25" t="s">
        <v>2723</v>
      </c>
      <c r="B820" s="59">
        <v>45090.431538634264</v>
      </c>
      <c r="C820" s="25" t="s">
        <v>531</v>
      </c>
      <c r="D820" s="25">
        <v>5341.0</v>
      </c>
      <c r="E820" s="25" t="s">
        <v>532</v>
      </c>
      <c r="F820" s="65" t="s">
        <v>367</v>
      </c>
      <c r="G820" s="25" t="s">
        <v>132</v>
      </c>
      <c r="H820" s="25" t="s">
        <v>79</v>
      </c>
      <c r="I820" s="25"/>
      <c r="J820" s="25" t="s">
        <v>2724</v>
      </c>
      <c r="K820" s="25"/>
      <c r="L820" s="26" t="s">
        <v>20</v>
      </c>
      <c r="M820" s="12">
        <v>45093.0</v>
      </c>
      <c r="N820" s="77" t="str">
        <f t="shared" si="1"/>
        <v>junho</v>
      </c>
    </row>
    <row r="821">
      <c r="A821" s="7" t="s">
        <v>2725</v>
      </c>
      <c r="B821" s="8">
        <v>45090.463554375005</v>
      </c>
      <c r="C821" s="7" t="s">
        <v>432</v>
      </c>
      <c r="D821" s="7">
        <v>6.4981321757E10</v>
      </c>
      <c r="E821" s="25" t="s">
        <v>187</v>
      </c>
      <c r="F821" s="25" t="s">
        <v>347</v>
      </c>
      <c r="G821" s="9" t="s">
        <v>1463</v>
      </c>
      <c r="H821" s="7" t="s">
        <v>764</v>
      </c>
      <c r="I821" s="7"/>
      <c r="J821" s="60" t="s">
        <v>2726</v>
      </c>
      <c r="K821" s="7" t="s">
        <v>2727</v>
      </c>
      <c r="L821" s="10" t="s">
        <v>74</v>
      </c>
      <c r="M821" s="55">
        <v>45254.0</v>
      </c>
      <c r="N821" s="77" t="str">
        <f t="shared" si="1"/>
        <v>junho</v>
      </c>
    </row>
    <row r="822">
      <c r="A822" s="25" t="s">
        <v>2728</v>
      </c>
      <c r="B822" s="59">
        <v>45090.56067825231</v>
      </c>
      <c r="C822" s="25" t="s">
        <v>486</v>
      </c>
      <c r="D822" s="25">
        <v>5340.0</v>
      </c>
      <c r="E822" s="25" t="s">
        <v>70</v>
      </c>
      <c r="F822" s="25" t="s">
        <v>90</v>
      </c>
      <c r="G822" s="25" t="s">
        <v>2729</v>
      </c>
      <c r="H822" s="25" t="s">
        <v>79</v>
      </c>
      <c r="I822" s="25"/>
      <c r="J822" s="25" t="s">
        <v>2730</v>
      </c>
      <c r="K822" s="25"/>
      <c r="L822" s="26" t="s">
        <v>20</v>
      </c>
      <c r="M822" s="12">
        <v>45093.0</v>
      </c>
      <c r="N822" s="77" t="str">
        <f t="shared" si="1"/>
        <v>junho</v>
      </c>
    </row>
    <row r="823">
      <c r="A823" s="25" t="s">
        <v>2731</v>
      </c>
      <c r="B823" s="59">
        <v>45090.56807662037</v>
      </c>
      <c r="C823" s="25" t="s">
        <v>383</v>
      </c>
      <c r="D823" s="85" t="s">
        <v>959</v>
      </c>
      <c r="E823" s="25" t="s">
        <v>195</v>
      </c>
      <c r="F823" s="25" t="s">
        <v>35</v>
      </c>
      <c r="G823" s="25" t="s">
        <v>2732</v>
      </c>
      <c r="H823" s="25" t="s">
        <v>79</v>
      </c>
      <c r="I823" s="25"/>
      <c r="J823" s="25" t="s">
        <v>2733</v>
      </c>
      <c r="K823" s="25"/>
      <c r="L823" s="26" t="s">
        <v>20</v>
      </c>
      <c r="M823" s="12">
        <v>45148.0</v>
      </c>
      <c r="N823" s="77" t="str">
        <f t="shared" si="1"/>
        <v>junho</v>
      </c>
    </row>
    <row r="824">
      <c r="A824" s="25" t="s">
        <v>2734</v>
      </c>
      <c r="B824" s="59">
        <v>45090.57027615741</v>
      </c>
      <c r="C824" s="25" t="s">
        <v>383</v>
      </c>
      <c r="D824" s="85" t="s">
        <v>959</v>
      </c>
      <c r="E824" s="25" t="s">
        <v>195</v>
      </c>
      <c r="F824" s="25" t="s">
        <v>35</v>
      </c>
      <c r="G824" s="25" t="s">
        <v>2735</v>
      </c>
      <c r="H824" s="25" t="s">
        <v>79</v>
      </c>
      <c r="I824" s="25"/>
      <c r="J824" s="25" t="s">
        <v>2736</v>
      </c>
      <c r="K824" s="25"/>
      <c r="L824" s="26" t="s">
        <v>20</v>
      </c>
      <c r="M824" s="12">
        <v>45093.0</v>
      </c>
      <c r="N824" s="77" t="str">
        <f t="shared" si="1"/>
        <v>junho</v>
      </c>
    </row>
    <row r="825">
      <c r="A825" s="25" t="s">
        <v>2737</v>
      </c>
      <c r="B825" s="59">
        <v>45090.67147777778</v>
      </c>
      <c r="C825" s="25" t="s">
        <v>553</v>
      </c>
      <c r="D825" s="25">
        <v>5318.0</v>
      </c>
      <c r="E825" s="25" t="s">
        <v>15</v>
      </c>
      <c r="F825" s="25" t="s">
        <v>61</v>
      </c>
      <c r="G825" s="25" t="s">
        <v>2738</v>
      </c>
      <c r="H825" s="25" t="s">
        <v>18</v>
      </c>
      <c r="I825" s="25"/>
      <c r="J825" s="25" t="s">
        <v>2739</v>
      </c>
      <c r="K825" s="25"/>
      <c r="L825" s="26" t="s">
        <v>20</v>
      </c>
      <c r="M825" s="12">
        <v>45091.0</v>
      </c>
      <c r="N825" s="77" t="str">
        <f t="shared" si="1"/>
        <v>junho</v>
      </c>
    </row>
    <row r="826">
      <c r="A826" s="25" t="s">
        <v>2740</v>
      </c>
      <c r="B826" s="59">
        <v>45090.88671824074</v>
      </c>
      <c r="C826" s="25" t="s">
        <v>215</v>
      </c>
      <c r="D826" s="25">
        <v>5333.0</v>
      </c>
      <c r="E826" s="25" t="s">
        <v>41</v>
      </c>
      <c r="F826" s="25" t="s">
        <v>42</v>
      </c>
      <c r="G826" s="25" t="s">
        <v>2741</v>
      </c>
      <c r="H826" s="25" t="s">
        <v>764</v>
      </c>
      <c r="I826" s="25"/>
      <c r="J826" s="25" t="s">
        <v>2742</v>
      </c>
      <c r="K826" s="25"/>
      <c r="L826" s="26" t="s">
        <v>20</v>
      </c>
      <c r="M826" s="12">
        <v>45153.0</v>
      </c>
      <c r="N826" s="77" t="str">
        <f t="shared" si="1"/>
        <v>junho</v>
      </c>
    </row>
    <row r="827">
      <c r="A827" s="25" t="s">
        <v>2743</v>
      </c>
      <c r="B827" s="59">
        <v>45091.33456849537</v>
      </c>
      <c r="C827" s="25" t="s">
        <v>2744</v>
      </c>
      <c r="D827" s="25">
        <v>5346.0</v>
      </c>
      <c r="E827" s="25" t="s">
        <v>423</v>
      </c>
      <c r="F827" s="25" t="s">
        <v>82</v>
      </c>
      <c r="G827" s="25" t="s">
        <v>2745</v>
      </c>
      <c r="H827" s="25" t="s">
        <v>18</v>
      </c>
      <c r="I827" s="25"/>
      <c r="J827" s="25" t="s">
        <v>2746</v>
      </c>
      <c r="K827" s="25"/>
      <c r="L827" s="26" t="s">
        <v>20</v>
      </c>
      <c r="M827" s="12">
        <v>45091.0</v>
      </c>
      <c r="N827" s="77" t="str">
        <f t="shared" si="1"/>
        <v>junho</v>
      </c>
    </row>
    <row r="828">
      <c r="A828" s="25" t="s">
        <v>2747</v>
      </c>
      <c r="B828" s="59">
        <v>45091.43317564815</v>
      </c>
      <c r="C828" s="25" t="s">
        <v>2177</v>
      </c>
      <c r="D828" s="25">
        <v>3.4415308E7</v>
      </c>
      <c r="E828" s="25" t="s">
        <v>1372</v>
      </c>
      <c r="F828" s="25" t="s">
        <v>2748</v>
      </c>
      <c r="G828" s="25" t="s">
        <v>2749</v>
      </c>
      <c r="H828" s="25" t="s">
        <v>764</v>
      </c>
      <c r="I828" s="25"/>
      <c r="J828" s="25" t="s">
        <v>2750</v>
      </c>
      <c r="K828" s="25"/>
      <c r="L828" s="26" t="s">
        <v>20</v>
      </c>
      <c r="M828" s="12">
        <v>45091.0</v>
      </c>
      <c r="N828" s="77" t="str">
        <f t="shared" si="1"/>
        <v>junho</v>
      </c>
    </row>
    <row r="829">
      <c r="A829" s="25" t="s">
        <v>2751</v>
      </c>
      <c r="B829" s="59">
        <v>45091.45550494213</v>
      </c>
      <c r="C829" s="25" t="s">
        <v>370</v>
      </c>
      <c r="D829" s="25">
        <v>5306.0</v>
      </c>
      <c r="E829" s="25" t="s">
        <v>371</v>
      </c>
      <c r="F829" s="25" t="s">
        <v>49</v>
      </c>
      <c r="G829" s="25" t="s">
        <v>1988</v>
      </c>
      <c r="H829" s="25" t="s">
        <v>764</v>
      </c>
      <c r="I829" s="25"/>
      <c r="J829" s="25" t="s">
        <v>2752</v>
      </c>
      <c r="K829" s="25"/>
      <c r="L829" s="26" t="s">
        <v>20</v>
      </c>
      <c r="M829" s="12">
        <v>45092.0</v>
      </c>
      <c r="N829" s="77" t="str">
        <f t="shared" si="1"/>
        <v>junho</v>
      </c>
    </row>
    <row r="830">
      <c r="A830" s="25" t="s">
        <v>2753</v>
      </c>
      <c r="B830" s="59">
        <v>45091.52973196759</v>
      </c>
      <c r="C830" s="25" t="s">
        <v>527</v>
      </c>
      <c r="D830" s="25">
        <v>5331.0</v>
      </c>
      <c r="E830" s="25" t="s">
        <v>183</v>
      </c>
      <c r="F830" s="25" t="s">
        <v>840</v>
      </c>
      <c r="G830" s="25" t="s">
        <v>2754</v>
      </c>
      <c r="H830" s="25" t="s">
        <v>37</v>
      </c>
      <c r="I830" s="25"/>
      <c r="J830" s="25" t="s">
        <v>2755</v>
      </c>
      <c r="K830" s="25"/>
      <c r="L830" s="26" t="s">
        <v>20</v>
      </c>
      <c r="M830" s="12">
        <v>45194.0</v>
      </c>
      <c r="N830" s="77" t="str">
        <f t="shared" si="1"/>
        <v>junho</v>
      </c>
    </row>
    <row r="831">
      <c r="A831" s="25" t="s">
        <v>2756</v>
      </c>
      <c r="B831" s="59">
        <v>45091.57561747685</v>
      </c>
      <c r="C831" s="25" t="s">
        <v>26</v>
      </c>
      <c r="D831" s="25">
        <v>5304.0</v>
      </c>
      <c r="E831" s="25" t="s">
        <v>1097</v>
      </c>
      <c r="F831" s="25" t="s">
        <v>28</v>
      </c>
      <c r="G831" s="25" t="s">
        <v>2757</v>
      </c>
      <c r="H831" s="25" t="s">
        <v>129</v>
      </c>
      <c r="I831" s="25"/>
      <c r="J831" s="25" t="s">
        <v>2758</v>
      </c>
      <c r="K831" s="25"/>
      <c r="L831" s="26" t="s">
        <v>20</v>
      </c>
      <c r="M831" s="12">
        <v>45195.0</v>
      </c>
      <c r="N831" s="77" t="str">
        <f t="shared" si="1"/>
        <v>junho</v>
      </c>
    </row>
    <row r="832">
      <c r="A832" s="25" t="s">
        <v>2759</v>
      </c>
      <c r="B832" s="59">
        <v>45091.61957913195</v>
      </c>
      <c r="C832" s="25" t="s">
        <v>659</v>
      </c>
      <c r="D832" s="25">
        <v>5340.0</v>
      </c>
      <c r="E832" s="25" t="s">
        <v>70</v>
      </c>
      <c r="F832" s="25" t="s">
        <v>82</v>
      </c>
      <c r="G832" s="25" t="s">
        <v>2760</v>
      </c>
      <c r="H832" s="25" t="s">
        <v>79</v>
      </c>
      <c r="I832" s="25"/>
      <c r="J832" s="25" t="s">
        <v>2761</v>
      </c>
      <c r="K832" s="25"/>
      <c r="L832" s="26" t="s">
        <v>20</v>
      </c>
      <c r="M832" s="12">
        <v>45090.0</v>
      </c>
      <c r="N832" s="77" t="str">
        <f t="shared" si="1"/>
        <v>junho</v>
      </c>
    </row>
    <row r="833">
      <c r="A833" s="7" t="s">
        <v>2762</v>
      </c>
      <c r="B833" s="8">
        <v>45092.36937579861</v>
      </c>
      <c r="C833" s="7" t="s">
        <v>486</v>
      </c>
      <c r="D833" s="7">
        <v>5340.0</v>
      </c>
      <c r="E833" s="25" t="s">
        <v>70</v>
      </c>
      <c r="F833" s="7" t="s">
        <v>1186</v>
      </c>
      <c r="G833" s="9" t="s">
        <v>1587</v>
      </c>
      <c r="H833" s="25" t="s">
        <v>30</v>
      </c>
      <c r="I833" s="7" t="s">
        <v>2119</v>
      </c>
      <c r="J833" s="60" t="s">
        <v>2763</v>
      </c>
      <c r="K833" s="10" t="s">
        <v>2764</v>
      </c>
      <c r="L833" s="10" t="s">
        <v>74</v>
      </c>
      <c r="M833" s="55">
        <v>45366.0</v>
      </c>
      <c r="N833" s="77" t="str">
        <f t="shared" si="1"/>
        <v>junho</v>
      </c>
    </row>
    <row r="834">
      <c r="A834" s="25" t="s">
        <v>2765</v>
      </c>
      <c r="B834" s="59">
        <v>45092.37727864583</v>
      </c>
      <c r="C834" s="25" t="s">
        <v>2766</v>
      </c>
      <c r="D834" s="25" t="s">
        <v>2767</v>
      </c>
      <c r="E834" s="7" t="s">
        <v>199</v>
      </c>
      <c r="F834" s="25" t="s">
        <v>86</v>
      </c>
      <c r="G834" s="25" t="s">
        <v>2446</v>
      </c>
      <c r="H834" s="25" t="s">
        <v>37</v>
      </c>
      <c r="I834" s="25"/>
      <c r="J834" s="25" t="s">
        <v>2768</v>
      </c>
      <c r="K834" s="25"/>
      <c r="L834" s="26" t="s">
        <v>20</v>
      </c>
      <c r="M834" s="12">
        <v>45147.0</v>
      </c>
      <c r="N834" s="77" t="str">
        <f t="shared" si="1"/>
        <v>junho</v>
      </c>
    </row>
    <row r="835">
      <c r="A835" s="25" t="s">
        <v>2769</v>
      </c>
      <c r="B835" s="59">
        <v>45092.39750342593</v>
      </c>
      <c r="C835" s="25" t="s">
        <v>876</v>
      </c>
      <c r="D835" s="25" t="s">
        <v>2770</v>
      </c>
      <c r="E835" s="25" t="s">
        <v>187</v>
      </c>
      <c r="F835" s="25" t="s">
        <v>347</v>
      </c>
      <c r="G835" s="25">
        <v>115.0</v>
      </c>
      <c r="H835" s="25" t="s">
        <v>79</v>
      </c>
      <c r="I835" s="25"/>
      <c r="J835" s="25" t="s">
        <v>2771</v>
      </c>
      <c r="K835" s="25"/>
      <c r="L835" s="26" t="s">
        <v>20</v>
      </c>
      <c r="M835" s="12">
        <v>45096.0</v>
      </c>
      <c r="N835" s="77" t="str">
        <f t="shared" si="1"/>
        <v>junho</v>
      </c>
    </row>
    <row r="836">
      <c r="A836" s="25" t="s">
        <v>2772</v>
      </c>
      <c r="B836" s="59">
        <v>45092.44378375</v>
      </c>
      <c r="C836" s="25" t="s">
        <v>876</v>
      </c>
      <c r="D836" s="25" t="s">
        <v>2770</v>
      </c>
      <c r="E836" s="25" t="s">
        <v>187</v>
      </c>
      <c r="F836" s="25" t="s">
        <v>763</v>
      </c>
      <c r="G836" s="25" t="s">
        <v>2773</v>
      </c>
      <c r="H836" s="25" t="s">
        <v>79</v>
      </c>
      <c r="I836" s="25"/>
      <c r="J836" s="25" t="s">
        <v>2774</v>
      </c>
      <c r="K836" s="25"/>
      <c r="L836" s="26" t="s">
        <v>20</v>
      </c>
      <c r="M836" s="12">
        <v>45092.0</v>
      </c>
      <c r="N836" s="77" t="str">
        <f t="shared" si="1"/>
        <v>junho</v>
      </c>
    </row>
    <row r="837">
      <c r="A837" s="25" t="s">
        <v>2775</v>
      </c>
      <c r="B837" s="59">
        <v>45092.46516028936</v>
      </c>
      <c r="C837" s="25" t="s">
        <v>2776</v>
      </c>
      <c r="D837" s="25">
        <v>3.4415369E7</v>
      </c>
      <c r="E837" s="25" t="s">
        <v>111</v>
      </c>
      <c r="F837" s="25" t="s">
        <v>49</v>
      </c>
      <c r="G837" s="25" t="s">
        <v>2777</v>
      </c>
      <c r="H837" s="25" t="s">
        <v>298</v>
      </c>
      <c r="I837" s="25"/>
      <c r="J837" s="25" t="s">
        <v>2778</v>
      </c>
      <c r="K837" s="25"/>
      <c r="L837" s="26" t="s">
        <v>20</v>
      </c>
      <c r="M837" s="12">
        <v>45093.0</v>
      </c>
      <c r="N837" s="77" t="str">
        <f t="shared" si="1"/>
        <v>junho</v>
      </c>
    </row>
    <row r="838">
      <c r="A838" s="25" t="s">
        <v>2779</v>
      </c>
      <c r="B838" s="59">
        <v>45092.56495431713</v>
      </c>
      <c r="C838" s="25" t="s">
        <v>2780</v>
      </c>
      <c r="D838" s="25">
        <v>5335.0</v>
      </c>
      <c r="E838" s="25" t="s">
        <v>674</v>
      </c>
      <c r="F838" s="25" t="s">
        <v>82</v>
      </c>
      <c r="G838" s="25" t="s">
        <v>891</v>
      </c>
      <c r="H838" s="25" t="s">
        <v>764</v>
      </c>
      <c r="I838" s="25"/>
      <c r="J838" s="25" t="s">
        <v>2781</v>
      </c>
      <c r="K838" s="25"/>
      <c r="L838" s="26" t="s">
        <v>20</v>
      </c>
      <c r="M838" s="12">
        <v>45093.0</v>
      </c>
      <c r="N838" s="77" t="str">
        <f t="shared" si="1"/>
        <v>junho</v>
      </c>
    </row>
    <row r="839">
      <c r="A839" s="25" t="s">
        <v>2782</v>
      </c>
      <c r="B839" s="59">
        <v>45092.597408587964</v>
      </c>
      <c r="C839" s="25" t="s">
        <v>26</v>
      </c>
      <c r="D839" s="25">
        <v>5304.0</v>
      </c>
      <c r="E839" s="25" t="s">
        <v>1097</v>
      </c>
      <c r="F839" s="25" t="s">
        <v>28</v>
      </c>
      <c r="G839" s="25" t="s">
        <v>132</v>
      </c>
      <c r="H839" s="25" t="s">
        <v>79</v>
      </c>
      <c r="I839" s="25"/>
      <c r="J839" s="25" t="s">
        <v>2783</v>
      </c>
      <c r="K839" s="25"/>
      <c r="L839" s="26" t="s">
        <v>20</v>
      </c>
      <c r="M839" s="12">
        <v>45093.0</v>
      </c>
      <c r="N839" s="77" t="str">
        <f t="shared" si="1"/>
        <v>junho</v>
      </c>
    </row>
    <row r="840">
      <c r="A840" s="25" t="s">
        <v>2784</v>
      </c>
      <c r="B840" s="59">
        <v>45092.61286016204</v>
      </c>
      <c r="C840" s="25" t="s">
        <v>659</v>
      </c>
      <c r="D840" s="25">
        <v>5340.0</v>
      </c>
      <c r="E840" s="25" t="s">
        <v>70</v>
      </c>
      <c r="F840" s="25" t="s">
        <v>1529</v>
      </c>
      <c r="G840" s="25" t="s">
        <v>2785</v>
      </c>
      <c r="H840" s="25" t="s">
        <v>37</v>
      </c>
      <c r="I840" s="25"/>
      <c r="J840" s="25" t="s">
        <v>2786</v>
      </c>
      <c r="K840" s="25"/>
      <c r="L840" s="26" t="s">
        <v>20</v>
      </c>
      <c r="M840" s="12">
        <v>45092.0</v>
      </c>
      <c r="N840" s="77" t="str">
        <f t="shared" si="1"/>
        <v>junho</v>
      </c>
    </row>
    <row r="841">
      <c r="A841" s="25" t="s">
        <v>2787</v>
      </c>
      <c r="B841" s="59">
        <v>45092.662747685186</v>
      </c>
      <c r="C841" s="25" t="s">
        <v>26</v>
      </c>
      <c r="D841" s="25">
        <v>5304.0</v>
      </c>
      <c r="E841" s="25" t="s">
        <v>1097</v>
      </c>
      <c r="F841" s="25" t="s">
        <v>16</v>
      </c>
      <c r="G841" s="25" t="s">
        <v>2788</v>
      </c>
      <c r="H841" s="25" t="s">
        <v>37</v>
      </c>
      <c r="I841" s="25"/>
      <c r="J841" s="25" t="s">
        <v>2789</v>
      </c>
      <c r="K841" s="25"/>
      <c r="L841" s="26" t="s">
        <v>20</v>
      </c>
      <c r="M841" s="12">
        <v>45093.0</v>
      </c>
      <c r="N841" s="77" t="str">
        <f t="shared" si="1"/>
        <v>junho</v>
      </c>
    </row>
    <row r="842">
      <c r="A842" s="25" t="s">
        <v>2790</v>
      </c>
      <c r="B842" s="59">
        <v>45092.66576128472</v>
      </c>
      <c r="C842" s="25" t="s">
        <v>26</v>
      </c>
      <c r="D842" s="25">
        <v>5304.0</v>
      </c>
      <c r="E842" s="25" t="s">
        <v>1097</v>
      </c>
      <c r="F842" s="25" t="s">
        <v>16</v>
      </c>
      <c r="G842" s="25" t="s">
        <v>2791</v>
      </c>
      <c r="H842" s="25" t="s">
        <v>37</v>
      </c>
      <c r="I842" s="25"/>
      <c r="J842" s="25" t="s">
        <v>2792</v>
      </c>
      <c r="K842" s="25"/>
      <c r="L842" s="26" t="s">
        <v>20</v>
      </c>
      <c r="M842" s="12">
        <v>45197.0</v>
      </c>
      <c r="N842" s="77" t="str">
        <f t="shared" si="1"/>
        <v>junho</v>
      </c>
    </row>
    <row r="843">
      <c r="A843" s="25" t="s">
        <v>2793</v>
      </c>
      <c r="B843" s="59">
        <v>45092.90706496528</v>
      </c>
      <c r="C843" s="25" t="s">
        <v>845</v>
      </c>
      <c r="D843" s="25">
        <v>5313.0</v>
      </c>
      <c r="E843" s="25" t="s">
        <v>160</v>
      </c>
      <c r="F843" s="25" t="s">
        <v>77</v>
      </c>
      <c r="G843" s="25" t="s">
        <v>2794</v>
      </c>
      <c r="H843" s="25" t="s">
        <v>764</v>
      </c>
      <c r="I843" s="25"/>
      <c r="J843" s="25" t="s">
        <v>2795</v>
      </c>
      <c r="K843" s="25"/>
      <c r="L843" s="26" t="s">
        <v>20</v>
      </c>
      <c r="M843" s="12">
        <v>45096.0</v>
      </c>
      <c r="N843" s="77" t="str">
        <f t="shared" si="1"/>
        <v>junho</v>
      </c>
    </row>
    <row r="844">
      <c r="A844" s="25" t="s">
        <v>2796</v>
      </c>
      <c r="B844" s="59">
        <v>45093.33615915509</v>
      </c>
      <c r="C844" s="25" t="s">
        <v>1272</v>
      </c>
      <c r="D844" s="25">
        <v>5360.0</v>
      </c>
      <c r="E844" s="25" t="s">
        <v>371</v>
      </c>
      <c r="F844" s="25" t="s">
        <v>49</v>
      </c>
      <c r="G844" s="25" t="s">
        <v>2797</v>
      </c>
      <c r="H844" s="25" t="s">
        <v>37</v>
      </c>
      <c r="I844" s="25"/>
      <c r="J844" s="25" t="s">
        <v>2798</v>
      </c>
      <c r="K844" s="25"/>
      <c r="L844" s="26" t="s">
        <v>20</v>
      </c>
      <c r="M844" s="12">
        <v>45093.0</v>
      </c>
      <c r="N844" s="77" t="str">
        <f t="shared" si="1"/>
        <v>junho</v>
      </c>
    </row>
    <row r="845">
      <c r="A845" s="25" t="s">
        <v>2799</v>
      </c>
      <c r="B845" s="59">
        <v>45093.366964699075</v>
      </c>
      <c r="C845" s="25" t="s">
        <v>2177</v>
      </c>
      <c r="D845" s="25" t="s">
        <v>2800</v>
      </c>
      <c r="E845" s="25" t="s">
        <v>1372</v>
      </c>
      <c r="F845" s="25" t="s">
        <v>2801</v>
      </c>
      <c r="G845" s="25" t="s">
        <v>2802</v>
      </c>
      <c r="H845" s="25" t="s">
        <v>37</v>
      </c>
      <c r="I845" s="25"/>
      <c r="J845" s="25" t="s">
        <v>2803</v>
      </c>
      <c r="K845" s="25"/>
      <c r="L845" s="26" t="s">
        <v>20</v>
      </c>
      <c r="M845" s="12">
        <v>45093.0</v>
      </c>
      <c r="N845" s="77" t="str">
        <f t="shared" si="1"/>
        <v>junho</v>
      </c>
    </row>
    <row r="846">
      <c r="A846" s="25" t="s">
        <v>2804</v>
      </c>
      <c r="B846" s="59">
        <v>45093.383329178236</v>
      </c>
      <c r="C846" s="25" t="s">
        <v>2805</v>
      </c>
      <c r="D846" s="25">
        <v>5398.0</v>
      </c>
      <c r="E846" s="25" t="s">
        <v>540</v>
      </c>
      <c r="F846" s="25" t="s">
        <v>82</v>
      </c>
      <c r="G846" s="25" t="s">
        <v>2806</v>
      </c>
      <c r="H846" s="25" t="s">
        <v>37</v>
      </c>
      <c r="I846" s="25"/>
      <c r="J846" s="25" t="s">
        <v>2807</v>
      </c>
      <c r="K846" s="25"/>
      <c r="L846" s="26" t="s">
        <v>20</v>
      </c>
      <c r="M846" s="12">
        <v>45096.0</v>
      </c>
      <c r="N846" s="77" t="str">
        <f t="shared" si="1"/>
        <v>junho</v>
      </c>
    </row>
    <row r="847">
      <c r="A847" s="25" t="s">
        <v>2808</v>
      </c>
      <c r="B847" s="59">
        <v>45093.394898831015</v>
      </c>
      <c r="C847" s="25" t="s">
        <v>1227</v>
      </c>
      <c r="D847" s="25">
        <v>5335.0</v>
      </c>
      <c r="E847" s="25" t="s">
        <v>674</v>
      </c>
      <c r="F847" s="25" t="s">
        <v>2809</v>
      </c>
      <c r="G847" s="25" t="s">
        <v>956</v>
      </c>
      <c r="H847" s="25" t="s">
        <v>129</v>
      </c>
      <c r="I847" s="25"/>
      <c r="J847" s="25" t="s">
        <v>2810</v>
      </c>
      <c r="K847" s="25"/>
      <c r="L847" s="26" t="s">
        <v>20</v>
      </c>
      <c r="M847" s="12">
        <v>45107.0</v>
      </c>
      <c r="N847" s="77" t="str">
        <f t="shared" si="1"/>
        <v>junho</v>
      </c>
    </row>
    <row r="848">
      <c r="A848" s="25" t="s">
        <v>2811</v>
      </c>
      <c r="B848" s="59">
        <v>45093.413331724536</v>
      </c>
      <c r="C848" s="25" t="s">
        <v>486</v>
      </c>
      <c r="D848" s="25">
        <v>5340.0</v>
      </c>
      <c r="E848" s="25" t="s">
        <v>70</v>
      </c>
      <c r="F848" s="25" t="s">
        <v>100</v>
      </c>
      <c r="G848" s="25" t="s">
        <v>1077</v>
      </c>
      <c r="H848" s="25" t="s">
        <v>79</v>
      </c>
      <c r="I848" s="25"/>
      <c r="J848" s="25" t="s">
        <v>2812</v>
      </c>
      <c r="K848" s="25"/>
      <c r="L848" s="26" t="s">
        <v>20</v>
      </c>
      <c r="M848" s="12">
        <v>45096.0</v>
      </c>
      <c r="N848" s="77" t="str">
        <f t="shared" si="1"/>
        <v>junho</v>
      </c>
    </row>
    <row r="849">
      <c r="A849" s="25" t="s">
        <v>2813</v>
      </c>
      <c r="B849" s="59">
        <v>45093.41479123842</v>
      </c>
      <c r="C849" s="25" t="s">
        <v>486</v>
      </c>
      <c r="D849" s="25">
        <v>5340.0</v>
      </c>
      <c r="E849" s="25" t="s">
        <v>70</v>
      </c>
      <c r="F849" s="25" t="s">
        <v>2814</v>
      </c>
      <c r="G849" s="25" t="s">
        <v>2229</v>
      </c>
      <c r="H849" s="25" t="s">
        <v>79</v>
      </c>
      <c r="I849" s="25"/>
      <c r="J849" s="25" t="s">
        <v>2815</v>
      </c>
      <c r="K849" s="25"/>
      <c r="L849" s="26" t="s">
        <v>20</v>
      </c>
      <c r="M849" s="12">
        <v>45096.0</v>
      </c>
      <c r="N849" s="77" t="str">
        <f t="shared" si="1"/>
        <v>junho</v>
      </c>
    </row>
    <row r="850">
      <c r="A850" s="25" t="s">
        <v>2816</v>
      </c>
      <c r="B850" s="59">
        <v>45093.43922195602</v>
      </c>
      <c r="C850" s="25" t="s">
        <v>2817</v>
      </c>
      <c r="D850" s="25" t="s">
        <v>2818</v>
      </c>
      <c r="E850" s="25" t="s">
        <v>34</v>
      </c>
      <c r="F850" s="25" t="s">
        <v>61</v>
      </c>
      <c r="G850" s="25" t="s">
        <v>2819</v>
      </c>
      <c r="H850" s="25" t="s">
        <v>764</v>
      </c>
      <c r="I850" s="25"/>
      <c r="J850" s="25" t="s">
        <v>2820</v>
      </c>
      <c r="K850" s="25"/>
      <c r="L850" s="26" t="s">
        <v>20</v>
      </c>
      <c r="M850" s="12">
        <v>45096.0</v>
      </c>
      <c r="N850" s="77" t="str">
        <f t="shared" si="1"/>
        <v>junho</v>
      </c>
    </row>
    <row r="851">
      <c r="A851" s="25" t="s">
        <v>2821</v>
      </c>
      <c r="B851" s="59">
        <v>45094.500230000005</v>
      </c>
      <c r="C851" s="25" t="s">
        <v>40</v>
      </c>
      <c r="D851" s="25">
        <v>5333.0</v>
      </c>
      <c r="E851" s="25" t="s">
        <v>41</v>
      </c>
      <c r="F851" s="25" t="s">
        <v>42</v>
      </c>
      <c r="G851" s="25" t="s">
        <v>304</v>
      </c>
      <c r="H851" s="25" t="s">
        <v>764</v>
      </c>
      <c r="I851" s="25"/>
      <c r="J851" s="25" t="s">
        <v>2822</v>
      </c>
      <c r="K851" s="25"/>
      <c r="L851" s="26" t="s">
        <v>20</v>
      </c>
      <c r="M851" s="12">
        <v>45106.0</v>
      </c>
      <c r="N851" s="77" t="str">
        <f t="shared" si="1"/>
        <v>junho</v>
      </c>
    </row>
    <row r="852">
      <c r="A852" s="25" t="s">
        <v>2823</v>
      </c>
      <c r="B852" s="59">
        <v>45094.520949363425</v>
      </c>
      <c r="C852" s="25" t="s">
        <v>40</v>
      </c>
      <c r="D852" s="25">
        <v>5333.0</v>
      </c>
      <c r="E852" s="25" t="s">
        <v>41</v>
      </c>
      <c r="F852" s="25" t="s">
        <v>42</v>
      </c>
      <c r="G852" s="25" t="s">
        <v>304</v>
      </c>
      <c r="H852" s="25" t="s">
        <v>79</v>
      </c>
      <c r="I852" s="25"/>
      <c r="J852" s="25" t="s">
        <v>2824</v>
      </c>
      <c r="K852" s="25"/>
      <c r="L852" s="26" t="s">
        <v>20</v>
      </c>
      <c r="M852" s="12">
        <v>45153.0</v>
      </c>
      <c r="N852" s="77" t="str">
        <f t="shared" si="1"/>
        <v>junho</v>
      </c>
    </row>
    <row r="853">
      <c r="A853" s="25" t="s">
        <v>2825</v>
      </c>
      <c r="B853" s="59">
        <v>45096.32128041667</v>
      </c>
      <c r="C853" s="25" t="s">
        <v>486</v>
      </c>
      <c r="D853" s="25">
        <v>5340.0</v>
      </c>
      <c r="E853" s="25" t="s">
        <v>70</v>
      </c>
      <c r="F853" s="25" t="s">
        <v>86</v>
      </c>
      <c r="G853" s="25" t="s">
        <v>1322</v>
      </c>
      <c r="H853" s="25" t="s">
        <v>79</v>
      </c>
      <c r="I853" s="25"/>
      <c r="J853" s="25" t="s">
        <v>2826</v>
      </c>
      <c r="K853" s="25"/>
      <c r="L853" s="26" t="s">
        <v>20</v>
      </c>
      <c r="M853" s="12">
        <v>45098.0</v>
      </c>
      <c r="N853" s="77" t="str">
        <f t="shared" si="1"/>
        <v>junho</v>
      </c>
    </row>
    <row r="854">
      <c r="A854" s="25" t="s">
        <v>2827</v>
      </c>
      <c r="B854" s="59">
        <v>45096.33049096065</v>
      </c>
      <c r="C854" s="25" t="s">
        <v>486</v>
      </c>
      <c r="D854" s="25">
        <v>5340.0</v>
      </c>
      <c r="E854" s="25" t="s">
        <v>70</v>
      </c>
      <c r="F854" s="25" t="s">
        <v>1155</v>
      </c>
      <c r="G854" s="25" t="s">
        <v>1823</v>
      </c>
      <c r="H854" s="25" t="s">
        <v>37</v>
      </c>
      <c r="I854" s="25"/>
      <c r="J854" s="25" t="s">
        <v>2828</v>
      </c>
      <c r="K854" s="25"/>
      <c r="L854" s="26" t="s">
        <v>20</v>
      </c>
      <c r="M854" s="12">
        <v>45096.0</v>
      </c>
      <c r="N854" s="77" t="str">
        <f t="shared" si="1"/>
        <v>junho</v>
      </c>
    </row>
    <row r="855">
      <c r="A855" s="25" t="s">
        <v>2829</v>
      </c>
      <c r="B855" s="59">
        <v>45096.409732500004</v>
      </c>
      <c r="C855" s="25" t="s">
        <v>40</v>
      </c>
      <c r="D855" s="25">
        <v>3.4987004342E10</v>
      </c>
      <c r="E855" s="25" t="s">
        <v>41</v>
      </c>
      <c r="F855" s="25" t="s">
        <v>42</v>
      </c>
      <c r="G855" s="25" t="s">
        <v>2830</v>
      </c>
      <c r="H855" s="25" t="s">
        <v>764</v>
      </c>
      <c r="I855" s="25"/>
      <c r="J855" s="25" t="s">
        <v>2831</v>
      </c>
      <c r="K855" s="25"/>
      <c r="L855" s="26" t="s">
        <v>20</v>
      </c>
      <c r="M855" s="12">
        <v>45106.0</v>
      </c>
      <c r="N855" s="77" t="str">
        <f t="shared" si="1"/>
        <v>junho</v>
      </c>
    </row>
    <row r="856">
      <c r="A856" s="25" t="s">
        <v>2832</v>
      </c>
      <c r="B856" s="59">
        <v>45096.41205197916</v>
      </c>
      <c r="C856" s="25" t="s">
        <v>788</v>
      </c>
      <c r="D856" s="25">
        <v>3.4999071369E10</v>
      </c>
      <c r="E856" s="20" t="s">
        <v>308</v>
      </c>
      <c r="F856" s="25" t="s">
        <v>783</v>
      </c>
      <c r="G856" s="25">
        <v>158.0</v>
      </c>
      <c r="H856" s="25" t="s">
        <v>764</v>
      </c>
      <c r="I856" s="25"/>
      <c r="J856" s="25" t="s">
        <v>2833</v>
      </c>
      <c r="K856" s="25"/>
      <c r="L856" s="26" t="s">
        <v>20</v>
      </c>
      <c r="M856" s="12">
        <v>45218.0</v>
      </c>
      <c r="N856" s="77" t="str">
        <f t="shared" si="1"/>
        <v>junho</v>
      </c>
    </row>
    <row r="857">
      <c r="A857" s="25" t="s">
        <v>2834</v>
      </c>
      <c r="B857" s="59">
        <v>45096.41363271991</v>
      </c>
      <c r="C857" s="25" t="s">
        <v>307</v>
      </c>
      <c r="D857" s="25">
        <v>3.4999071369E10</v>
      </c>
      <c r="E857" s="20" t="s">
        <v>308</v>
      </c>
      <c r="F857" s="25" t="s">
        <v>763</v>
      </c>
      <c r="G857" s="25">
        <v>5.0</v>
      </c>
      <c r="H857" s="25" t="s">
        <v>129</v>
      </c>
      <c r="I857" s="25"/>
      <c r="J857" s="25" t="s">
        <v>2835</v>
      </c>
      <c r="K857" s="25"/>
      <c r="L857" s="26" t="s">
        <v>20</v>
      </c>
      <c r="M857" s="12">
        <v>45098.0</v>
      </c>
      <c r="N857" s="77" t="str">
        <f t="shared" si="1"/>
        <v>junho</v>
      </c>
    </row>
    <row r="858">
      <c r="A858" s="25" t="s">
        <v>2836</v>
      </c>
      <c r="B858" s="59">
        <v>45096.593402708335</v>
      </c>
      <c r="C858" s="25" t="s">
        <v>659</v>
      </c>
      <c r="D858" s="25">
        <v>5340.0</v>
      </c>
      <c r="E858" s="25" t="s">
        <v>70</v>
      </c>
      <c r="F858" s="25" t="s">
        <v>2837</v>
      </c>
      <c r="G858" s="25" t="s">
        <v>2838</v>
      </c>
      <c r="H858" s="25" t="s">
        <v>37</v>
      </c>
      <c r="I858" s="25"/>
      <c r="J858" s="25" t="s">
        <v>2839</v>
      </c>
      <c r="K858" s="25"/>
      <c r="L858" s="26" t="s">
        <v>20</v>
      </c>
      <c r="M858" s="12">
        <v>45096.0</v>
      </c>
      <c r="N858" s="77" t="str">
        <f t="shared" si="1"/>
        <v>junho</v>
      </c>
    </row>
    <row r="859">
      <c r="A859" s="25" t="s">
        <v>2840</v>
      </c>
      <c r="B859" s="59">
        <v>45096.61533061342</v>
      </c>
      <c r="C859" s="25" t="s">
        <v>383</v>
      </c>
      <c r="D859" s="85" t="s">
        <v>959</v>
      </c>
      <c r="E859" s="25" t="s">
        <v>195</v>
      </c>
      <c r="F859" s="25" t="s">
        <v>35</v>
      </c>
      <c r="G859" s="25" t="s">
        <v>1766</v>
      </c>
      <c r="H859" s="25" t="s">
        <v>129</v>
      </c>
      <c r="I859" s="25"/>
      <c r="J859" s="25" t="s">
        <v>2841</v>
      </c>
      <c r="K859" s="25"/>
      <c r="L859" s="26" t="s">
        <v>20</v>
      </c>
      <c r="M859" s="12">
        <v>45099.0</v>
      </c>
      <c r="N859" s="77" t="str">
        <f t="shared" si="1"/>
        <v>junho</v>
      </c>
    </row>
    <row r="860">
      <c r="A860" s="25" t="s">
        <v>2842</v>
      </c>
      <c r="B860" s="59">
        <v>45096.62264743056</v>
      </c>
      <c r="C860" s="25" t="s">
        <v>1491</v>
      </c>
      <c r="D860" s="25">
        <v>5333.0</v>
      </c>
      <c r="E860" s="25" t="s">
        <v>41</v>
      </c>
      <c r="F860" s="25" t="s">
        <v>42</v>
      </c>
      <c r="G860" s="25" t="s">
        <v>2843</v>
      </c>
      <c r="H860" s="25" t="s">
        <v>162</v>
      </c>
      <c r="I860" s="25"/>
      <c r="J860" s="25" t="s">
        <v>2844</v>
      </c>
      <c r="K860" s="20" t="s">
        <v>2845</v>
      </c>
      <c r="L860" s="56" t="s">
        <v>74</v>
      </c>
      <c r="M860" s="62"/>
      <c r="N860" s="77" t="str">
        <f t="shared" si="1"/>
        <v>junho</v>
      </c>
    </row>
    <row r="861">
      <c r="A861" s="25" t="s">
        <v>2846</v>
      </c>
      <c r="B861" s="59">
        <v>45096.6345459838</v>
      </c>
      <c r="C861" s="25" t="s">
        <v>659</v>
      </c>
      <c r="D861" s="25">
        <v>5340.0</v>
      </c>
      <c r="E861" s="25" t="s">
        <v>70</v>
      </c>
      <c r="F861" s="25" t="s">
        <v>2847</v>
      </c>
      <c r="G861" s="25" t="s">
        <v>2848</v>
      </c>
      <c r="H861" s="25" t="s">
        <v>37</v>
      </c>
      <c r="I861" s="25"/>
      <c r="J861" s="25" t="s">
        <v>2849</v>
      </c>
      <c r="K861" s="25"/>
      <c r="L861" s="26" t="s">
        <v>20</v>
      </c>
      <c r="M861" s="12">
        <v>45096.0</v>
      </c>
      <c r="N861" s="77" t="str">
        <f t="shared" si="1"/>
        <v>junho</v>
      </c>
    </row>
    <row r="862">
      <c r="A862" s="7" t="s">
        <v>2850</v>
      </c>
      <c r="B862" s="8">
        <v>45097.38604195602</v>
      </c>
      <c r="C862" s="7" t="s">
        <v>1068</v>
      </c>
      <c r="D862" s="7">
        <v>5311.0</v>
      </c>
      <c r="E862" s="25" t="s">
        <v>251</v>
      </c>
      <c r="F862" s="7" t="s">
        <v>2851</v>
      </c>
      <c r="G862" s="9">
        <v>12.0</v>
      </c>
      <c r="H862" s="7" t="s">
        <v>18</v>
      </c>
      <c r="I862" s="7"/>
      <c r="J862" s="60" t="s">
        <v>2852</v>
      </c>
      <c r="K862" s="7" t="s">
        <v>2853</v>
      </c>
      <c r="L862" s="10" t="s">
        <v>74</v>
      </c>
      <c r="M862" s="55">
        <v>45153.0</v>
      </c>
      <c r="N862" s="77" t="str">
        <f t="shared" si="1"/>
        <v>junho</v>
      </c>
    </row>
    <row r="863">
      <c r="A863" s="25" t="s">
        <v>2854</v>
      </c>
      <c r="B863" s="59">
        <v>45097.386072106485</v>
      </c>
      <c r="C863" s="25" t="s">
        <v>772</v>
      </c>
      <c r="D863" s="25">
        <v>5300.0</v>
      </c>
      <c r="E863" s="25" t="s">
        <v>540</v>
      </c>
      <c r="F863" s="25" t="s">
        <v>82</v>
      </c>
      <c r="G863" s="25" t="s">
        <v>2276</v>
      </c>
      <c r="H863" s="25" t="s">
        <v>764</v>
      </c>
      <c r="I863" s="25"/>
      <c r="J863" s="25" t="s">
        <v>2855</v>
      </c>
      <c r="K863" s="25"/>
      <c r="L863" s="26" t="s">
        <v>20</v>
      </c>
      <c r="M863" s="12">
        <v>45097.0</v>
      </c>
      <c r="N863" s="77" t="str">
        <f t="shared" si="1"/>
        <v>junho</v>
      </c>
    </row>
    <row r="864">
      <c r="A864" s="25" t="s">
        <v>2856</v>
      </c>
      <c r="B864" s="59">
        <v>45097.38792291666</v>
      </c>
      <c r="C864" s="25" t="s">
        <v>772</v>
      </c>
      <c r="D864" s="25">
        <v>5300.0</v>
      </c>
      <c r="E864" s="25" t="s">
        <v>540</v>
      </c>
      <c r="F864" s="25" t="s">
        <v>82</v>
      </c>
      <c r="G864" s="25">
        <v>122.0</v>
      </c>
      <c r="H864" s="25" t="s">
        <v>764</v>
      </c>
      <c r="I864" s="25"/>
      <c r="J864" s="25" t="s">
        <v>2857</v>
      </c>
      <c r="K864" s="25"/>
      <c r="L864" s="26" t="s">
        <v>20</v>
      </c>
      <c r="M864" s="12">
        <v>45097.0</v>
      </c>
      <c r="N864" s="77" t="str">
        <f t="shared" si="1"/>
        <v>junho</v>
      </c>
    </row>
    <row r="865">
      <c r="A865" s="25" t="s">
        <v>2858</v>
      </c>
      <c r="B865" s="59">
        <v>45097.41727297453</v>
      </c>
      <c r="C865" s="25" t="s">
        <v>683</v>
      </c>
      <c r="D865" s="25">
        <v>5340.0</v>
      </c>
      <c r="E865" s="25" t="s">
        <v>70</v>
      </c>
      <c r="F865" s="20" t="s">
        <v>1220</v>
      </c>
      <c r="G865" s="25" t="s">
        <v>684</v>
      </c>
      <c r="H865" s="25" t="s">
        <v>79</v>
      </c>
      <c r="I865" s="25"/>
      <c r="J865" s="25" t="s">
        <v>2859</v>
      </c>
      <c r="K865" s="25"/>
      <c r="L865" s="26" t="s">
        <v>20</v>
      </c>
      <c r="M865" s="12">
        <v>45098.0</v>
      </c>
      <c r="N865" s="77" t="str">
        <f t="shared" si="1"/>
        <v>junho</v>
      </c>
    </row>
    <row r="866">
      <c r="A866" s="7" t="s">
        <v>2860</v>
      </c>
      <c r="B866" s="8">
        <v>45097.438249432875</v>
      </c>
      <c r="C866" s="7" t="s">
        <v>2861</v>
      </c>
      <c r="D866" s="7">
        <v>3.4415308E7</v>
      </c>
      <c r="E866" s="7" t="s">
        <v>1372</v>
      </c>
      <c r="F866" s="7" t="s">
        <v>859</v>
      </c>
      <c r="G866" s="9" t="s">
        <v>2862</v>
      </c>
      <c r="H866" s="7" t="s">
        <v>37</v>
      </c>
      <c r="I866" s="7"/>
      <c r="J866" s="60" t="s">
        <v>2863</v>
      </c>
      <c r="K866" s="54"/>
      <c r="L866" s="10" t="s">
        <v>20</v>
      </c>
      <c r="M866" s="55">
        <v>45301.0</v>
      </c>
      <c r="N866" s="77" t="str">
        <f t="shared" si="1"/>
        <v>junho</v>
      </c>
    </row>
    <row r="867">
      <c r="A867" s="25" t="s">
        <v>2864</v>
      </c>
      <c r="B867" s="59">
        <v>45097.44584667824</v>
      </c>
      <c r="C867" s="25" t="s">
        <v>205</v>
      </c>
      <c r="D867" s="25" t="s">
        <v>2865</v>
      </c>
      <c r="E867" s="20" t="s">
        <v>206</v>
      </c>
      <c r="F867" s="25" t="s">
        <v>783</v>
      </c>
      <c r="G867" s="25">
        <v>356.0</v>
      </c>
      <c r="H867" s="25" t="s">
        <v>764</v>
      </c>
      <c r="I867" s="25"/>
      <c r="J867" s="25" t="s">
        <v>2866</v>
      </c>
      <c r="K867" s="25"/>
      <c r="L867" s="26" t="s">
        <v>20</v>
      </c>
      <c r="M867" s="12">
        <v>45098.0</v>
      </c>
      <c r="N867" s="77" t="str">
        <f t="shared" si="1"/>
        <v>junho</v>
      </c>
    </row>
    <row r="868">
      <c r="A868" s="25" t="s">
        <v>2867</v>
      </c>
      <c r="B868" s="59">
        <v>45097.44852978009</v>
      </c>
      <c r="C868" s="25" t="s">
        <v>1491</v>
      </c>
      <c r="D868" s="25">
        <v>5333.0</v>
      </c>
      <c r="E868" s="25" t="s">
        <v>41</v>
      </c>
      <c r="F868" s="25" t="s">
        <v>42</v>
      </c>
      <c r="G868" s="25" t="s">
        <v>2196</v>
      </c>
      <c r="H868" s="25" t="s">
        <v>764</v>
      </c>
      <c r="I868" s="25"/>
      <c r="J868" s="25" t="s">
        <v>2868</v>
      </c>
      <c r="K868" s="25"/>
      <c r="L868" s="26" t="s">
        <v>20</v>
      </c>
      <c r="M868" s="12">
        <v>45138.0</v>
      </c>
      <c r="N868" s="77" t="str">
        <f t="shared" si="1"/>
        <v>junho</v>
      </c>
    </row>
    <row r="869">
      <c r="A869" s="25" t="s">
        <v>2869</v>
      </c>
      <c r="B869" s="59">
        <v>45097.55995028935</v>
      </c>
      <c r="C869" s="25" t="s">
        <v>2870</v>
      </c>
      <c r="D869" s="25">
        <v>5370.0</v>
      </c>
      <c r="E869" s="20" t="s">
        <v>1215</v>
      </c>
      <c r="F869" s="25" t="s">
        <v>82</v>
      </c>
      <c r="G869" s="25" t="s">
        <v>2871</v>
      </c>
      <c r="H869" s="25" t="s">
        <v>37</v>
      </c>
      <c r="I869" s="25"/>
      <c r="J869" s="25" t="s">
        <v>2872</v>
      </c>
      <c r="K869" s="25"/>
      <c r="L869" s="26" t="s">
        <v>20</v>
      </c>
      <c r="M869" s="12">
        <v>45147.0</v>
      </c>
      <c r="N869" s="77" t="str">
        <f t="shared" si="1"/>
        <v>junho</v>
      </c>
    </row>
    <row r="870">
      <c r="A870" s="25" t="s">
        <v>2873</v>
      </c>
      <c r="B870" s="59">
        <v>45097.733375138894</v>
      </c>
      <c r="C870" s="25" t="s">
        <v>26</v>
      </c>
      <c r="D870" s="25">
        <v>5304.0</v>
      </c>
      <c r="E870" s="25" t="s">
        <v>1097</v>
      </c>
      <c r="F870" s="25" t="s">
        <v>28</v>
      </c>
      <c r="G870" s="25" t="s">
        <v>2874</v>
      </c>
      <c r="H870" s="25" t="s">
        <v>37</v>
      </c>
      <c r="I870" s="25"/>
      <c r="J870" s="25" t="s">
        <v>2875</v>
      </c>
      <c r="K870" s="25"/>
      <c r="L870" s="26" t="s">
        <v>20</v>
      </c>
      <c r="M870" s="12">
        <v>45198.0</v>
      </c>
      <c r="N870" s="77" t="str">
        <f t="shared" si="1"/>
        <v>junho</v>
      </c>
    </row>
    <row r="871">
      <c r="A871" s="25" t="s">
        <v>2876</v>
      </c>
      <c r="B871" s="59">
        <v>45098.37750418982</v>
      </c>
      <c r="C871" s="25" t="s">
        <v>2310</v>
      </c>
      <c r="D871" s="25" t="s">
        <v>2877</v>
      </c>
      <c r="E871" s="25" t="s">
        <v>2311</v>
      </c>
      <c r="F871" s="25" t="s">
        <v>2878</v>
      </c>
      <c r="G871" s="25" t="s">
        <v>2879</v>
      </c>
      <c r="H871" s="25" t="s">
        <v>764</v>
      </c>
      <c r="I871" s="25"/>
      <c r="J871" s="25" t="s">
        <v>2880</v>
      </c>
      <c r="K871" s="25"/>
      <c r="L871" s="26" t="s">
        <v>20</v>
      </c>
      <c r="M871" s="12">
        <v>45199.0</v>
      </c>
      <c r="N871" s="77" t="str">
        <f t="shared" si="1"/>
        <v>junho</v>
      </c>
    </row>
    <row r="872">
      <c r="A872" s="25" t="s">
        <v>2881</v>
      </c>
      <c r="B872" s="59">
        <v>45098.441399166666</v>
      </c>
      <c r="C872" s="25" t="s">
        <v>1004</v>
      </c>
      <c r="D872" s="25">
        <v>3.4415304E7</v>
      </c>
      <c r="E872" s="25" t="s">
        <v>1097</v>
      </c>
      <c r="F872" s="25" t="s">
        <v>2882</v>
      </c>
      <c r="G872" s="85" t="s">
        <v>1881</v>
      </c>
      <c r="H872" s="25" t="s">
        <v>37</v>
      </c>
      <c r="I872" s="25"/>
      <c r="J872" s="25" t="s">
        <v>2883</v>
      </c>
      <c r="K872" s="25"/>
      <c r="L872" s="56" t="s">
        <v>74</v>
      </c>
      <c r="M872" s="62"/>
      <c r="N872" s="77" t="str">
        <f t="shared" si="1"/>
        <v>junho</v>
      </c>
    </row>
    <row r="873">
      <c r="A873" s="25" t="s">
        <v>2884</v>
      </c>
      <c r="B873" s="59">
        <v>45098.488020335644</v>
      </c>
      <c r="C873" s="25" t="s">
        <v>2885</v>
      </c>
      <c r="D873" s="25" t="s">
        <v>2886</v>
      </c>
      <c r="E873" s="25" t="s">
        <v>34</v>
      </c>
      <c r="F873" s="25" t="s">
        <v>188</v>
      </c>
      <c r="G873" s="25" t="s">
        <v>2514</v>
      </c>
      <c r="H873" s="25" t="s">
        <v>764</v>
      </c>
      <c r="I873" s="25"/>
      <c r="J873" s="25" t="s">
        <v>2887</v>
      </c>
      <c r="K873" s="25"/>
      <c r="L873" s="26" t="s">
        <v>20</v>
      </c>
      <c r="M873" s="12">
        <v>45105.0</v>
      </c>
      <c r="N873" s="77" t="str">
        <f t="shared" si="1"/>
        <v>junho</v>
      </c>
    </row>
    <row r="874">
      <c r="A874" s="25" t="s">
        <v>2888</v>
      </c>
      <c r="B874" s="59">
        <v>45098.48963752315</v>
      </c>
      <c r="C874" s="25" t="s">
        <v>2885</v>
      </c>
      <c r="D874" s="25" t="s">
        <v>2886</v>
      </c>
      <c r="E874" s="25" t="s">
        <v>34</v>
      </c>
      <c r="F874" s="25" t="s">
        <v>188</v>
      </c>
      <c r="G874" s="25" t="s">
        <v>2889</v>
      </c>
      <c r="H874" s="25" t="s">
        <v>37</v>
      </c>
      <c r="I874" s="25"/>
      <c r="J874" s="25" t="s">
        <v>2890</v>
      </c>
      <c r="K874" s="25"/>
      <c r="L874" s="56" t="s">
        <v>74</v>
      </c>
      <c r="M874" s="62"/>
      <c r="N874" s="77" t="str">
        <f t="shared" si="1"/>
        <v>junho</v>
      </c>
    </row>
    <row r="875">
      <c r="A875" s="25" t="s">
        <v>2891</v>
      </c>
      <c r="B875" s="59">
        <v>45098.56315159722</v>
      </c>
      <c r="C875" s="25" t="s">
        <v>486</v>
      </c>
      <c r="D875" s="25">
        <v>5340.0</v>
      </c>
      <c r="E875" s="25" t="s">
        <v>70</v>
      </c>
      <c r="F875" s="25" t="s">
        <v>61</v>
      </c>
      <c r="G875" s="25" t="s">
        <v>2892</v>
      </c>
      <c r="H875" s="25" t="s">
        <v>79</v>
      </c>
      <c r="I875" s="25"/>
      <c r="J875" s="25" t="s">
        <v>2893</v>
      </c>
      <c r="K875" s="25"/>
      <c r="L875" s="61" t="s">
        <v>20</v>
      </c>
      <c r="M875" s="62">
        <v>45154.0</v>
      </c>
      <c r="N875" s="77" t="str">
        <f t="shared" si="1"/>
        <v>junho</v>
      </c>
    </row>
    <row r="876">
      <c r="A876" s="25" t="s">
        <v>2894</v>
      </c>
      <c r="B876" s="59">
        <v>45098.608246284726</v>
      </c>
      <c r="C876" s="25" t="s">
        <v>512</v>
      </c>
      <c r="D876" s="25">
        <v>5340.0</v>
      </c>
      <c r="E876" s="25" t="s">
        <v>70</v>
      </c>
      <c r="F876" s="25" t="s">
        <v>42</v>
      </c>
      <c r="G876" s="25" t="s">
        <v>42</v>
      </c>
      <c r="H876" s="25" t="s">
        <v>79</v>
      </c>
      <c r="I876" s="25"/>
      <c r="J876" s="25" t="s">
        <v>2895</v>
      </c>
      <c r="K876" s="25"/>
      <c r="L876" s="56" t="s">
        <v>74</v>
      </c>
      <c r="M876" s="62">
        <v>45153.0</v>
      </c>
      <c r="N876" s="77" t="str">
        <f t="shared" si="1"/>
        <v>junho</v>
      </c>
    </row>
    <row r="877">
      <c r="A877" s="25" t="s">
        <v>2896</v>
      </c>
      <c r="B877" s="59">
        <v>45098.630422222224</v>
      </c>
      <c r="C877" s="25" t="s">
        <v>598</v>
      </c>
      <c r="D877" s="25">
        <v>3.4415349E7</v>
      </c>
      <c r="E877" s="25" t="s">
        <v>60</v>
      </c>
      <c r="F877" s="25" t="s">
        <v>61</v>
      </c>
      <c r="G877" s="25" t="s">
        <v>2897</v>
      </c>
      <c r="H877" s="25" t="s">
        <v>37</v>
      </c>
      <c r="I877" s="25"/>
      <c r="J877" s="25" t="s">
        <v>2898</v>
      </c>
      <c r="K877" s="25"/>
      <c r="L877" s="26" t="s">
        <v>20</v>
      </c>
      <c r="M877" s="12">
        <v>45200.0</v>
      </c>
      <c r="N877" s="77" t="str">
        <f t="shared" si="1"/>
        <v>junho</v>
      </c>
    </row>
    <row r="878">
      <c r="A878" s="25" t="s">
        <v>2899</v>
      </c>
      <c r="B878" s="59">
        <v>45099.143923275464</v>
      </c>
      <c r="C878" s="25" t="s">
        <v>65</v>
      </c>
      <c r="D878" s="25">
        <v>5318.0</v>
      </c>
      <c r="E878" s="25" t="s">
        <v>15</v>
      </c>
      <c r="F878" s="25" t="s">
        <v>49</v>
      </c>
      <c r="G878" s="25" t="s">
        <v>2900</v>
      </c>
      <c r="H878" s="25" t="s">
        <v>18</v>
      </c>
      <c r="I878" s="25"/>
      <c r="J878" s="25" t="s">
        <v>2901</v>
      </c>
      <c r="K878" s="25"/>
      <c r="L878" s="26" t="s">
        <v>20</v>
      </c>
      <c r="M878" s="12">
        <v>45153.0</v>
      </c>
      <c r="N878" s="77" t="str">
        <f t="shared" si="1"/>
        <v>junho</v>
      </c>
    </row>
    <row r="879">
      <c r="A879" s="25" t="s">
        <v>2902</v>
      </c>
      <c r="B879" s="59">
        <v>45099.145622372685</v>
      </c>
      <c r="C879" s="25" t="s">
        <v>65</v>
      </c>
      <c r="D879" s="25">
        <v>5318.0</v>
      </c>
      <c r="E879" s="25" t="s">
        <v>15</v>
      </c>
      <c r="F879" s="25" t="s">
        <v>16</v>
      </c>
      <c r="G879" s="25" t="s">
        <v>2903</v>
      </c>
      <c r="H879" s="25" t="s">
        <v>18</v>
      </c>
      <c r="I879" s="25"/>
      <c r="J879" s="25" t="s">
        <v>2904</v>
      </c>
      <c r="K879" s="25"/>
      <c r="L879" s="26" t="s">
        <v>20</v>
      </c>
      <c r="M879" s="12">
        <v>45153.0</v>
      </c>
      <c r="N879" s="77" t="str">
        <f t="shared" si="1"/>
        <v>junho</v>
      </c>
    </row>
    <row r="880">
      <c r="A880" s="25" t="s">
        <v>2905</v>
      </c>
      <c r="B880" s="59">
        <v>45099.14812347222</v>
      </c>
      <c r="C880" s="25" t="s">
        <v>2906</v>
      </c>
      <c r="D880" s="25">
        <v>5318.0</v>
      </c>
      <c r="E880" s="25" t="s">
        <v>15</v>
      </c>
      <c r="F880" s="25" t="s">
        <v>61</v>
      </c>
      <c r="G880" s="25" t="s">
        <v>2907</v>
      </c>
      <c r="H880" s="25" t="s">
        <v>18</v>
      </c>
      <c r="I880" s="25"/>
      <c r="J880" s="25" t="s">
        <v>2908</v>
      </c>
      <c r="K880" s="25"/>
      <c r="L880" s="26" t="s">
        <v>20</v>
      </c>
      <c r="M880" s="12">
        <v>45153.0</v>
      </c>
      <c r="N880" s="77" t="str">
        <f t="shared" si="1"/>
        <v>junho</v>
      </c>
    </row>
    <row r="881">
      <c r="A881" s="25" t="s">
        <v>2909</v>
      </c>
      <c r="B881" s="59">
        <v>45099.33609560185</v>
      </c>
      <c r="C881" s="25" t="s">
        <v>486</v>
      </c>
      <c r="D881" s="25">
        <v>5340.0</v>
      </c>
      <c r="E881" s="25" t="s">
        <v>70</v>
      </c>
      <c r="F881" s="25" t="s">
        <v>142</v>
      </c>
      <c r="G881" s="25" t="s">
        <v>2910</v>
      </c>
      <c r="H881" s="25" t="s">
        <v>37</v>
      </c>
      <c r="I881" s="25"/>
      <c r="J881" s="25" t="s">
        <v>2911</v>
      </c>
      <c r="K881" s="25"/>
      <c r="L881" s="26" t="s">
        <v>20</v>
      </c>
      <c r="M881" s="12">
        <v>45149.0</v>
      </c>
      <c r="N881" s="77" t="str">
        <f t="shared" si="1"/>
        <v>junho</v>
      </c>
    </row>
    <row r="882">
      <c r="A882" s="25" t="s">
        <v>2912</v>
      </c>
      <c r="B882" s="59">
        <v>45099.53562594907</v>
      </c>
      <c r="C882" s="25" t="s">
        <v>194</v>
      </c>
      <c r="D882" s="25">
        <v>3.4417601E7</v>
      </c>
      <c r="E882" s="25" t="s">
        <v>195</v>
      </c>
      <c r="F882" s="20" t="s">
        <v>1621</v>
      </c>
      <c r="G882" s="25" t="s">
        <v>2913</v>
      </c>
      <c r="H882" s="25" t="s">
        <v>37</v>
      </c>
      <c r="I882" s="25"/>
      <c r="J882" s="25" t="s">
        <v>2914</v>
      </c>
      <c r="K882" s="25"/>
      <c r="L882" s="26" t="s">
        <v>20</v>
      </c>
      <c r="M882" s="12">
        <v>45147.0</v>
      </c>
      <c r="N882" s="77" t="str">
        <f t="shared" si="1"/>
        <v>junho</v>
      </c>
    </row>
    <row r="883">
      <c r="A883" s="25" t="s">
        <v>2915</v>
      </c>
      <c r="B883" s="59">
        <v>45099.55684024305</v>
      </c>
      <c r="C883" s="25" t="s">
        <v>2916</v>
      </c>
      <c r="D883" s="25">
        <v>9.81020638E8</v>
      </c>
      <c r="E883" s="25" t="s">
        <v>34</v>
      </c>
      <c r="F883" s="25" t="s">
        <v>347</v>
      </c>
      <c r="G883" s="25" t="s">
        <v>751</v>
      </c>
      <c r="H883" s="25" t="s">
        <v>79</v>
      </c>
      <c r="I883" s="25"/>
      <c r="J883" s="25" t="s">
        <v>2917</v>
      </c>
      <c r="K883" s="25"/>
      <c r="L883" s="26" t="s">
        <v>20</v>
      </c>
      <c r="M883" s="12">
        <v>45153.0</v>
      </c>
      <c r="N883" s="77" t="str">
        <f t="shared" si="1"/>
        <v>junho</v>
      </c>
    </row>
    <row r="884">
      <c r="A884" s="25" t="s">
        <v>2918</v>
      </c>
      <c r="B884" s="59">
        <v>45099.61037199074</v>
      </c>
      <c r="C884" s="25" t="s">
        <v>307</v>
      </c>
      <c r="D884" s="25">
        <v>3.4999071369E10</v>
      </c>
      <c r="E884" s="20" t="s">
        <v>308</v>
      </c>
      <c r="F884" s="25" t="s">
        <v>2351</v>
      </c>
      <c r="G884" s="25" t="s">
        <v>2919</v>
      </c>
      <c r="H884" s="25" t="s">
        <v>162</v>
      </c>
      <c r="I884" s="25"/>
      <c r="J884" s="25" t="s">
        <v>2920</v>
      </c>
      <c r="K884" s="25"/>
      <c r="L884" s="26" t="s">
        <v>20</v>
      </c>
      <c r="M884" s="12">
        <v>45103.0</v>
      </c>
      <c r="N884" s="77" t="str">
        <f t="shared" si="1"/>
        <v>junho</v>
      </c>
    </row>
    <row r="885">
      <c r="A885" s="7" t="s">
        <v>2921</v>
      </c>
      <c r="B885" s="8">
        <v>45100.5751346412</v>
      </c>
      <c r="C885" s="7" t="s">
        <v>531</v>
      </c>
      <c r="D885" s="7">
        <v>5341.0</v>
      </c>
      <c r="E885" s="7" t="s">
        <v>532</v>
      </c>
      <c r="F885" s="7" t="s">
        <v>2922</v>
      </c>
      <c r="G885" s="9" t="s">
        <v>97</v>
      </c>
      <c r="H885" s="7" t="s">
        <v>79</v>
      </c>
      <c r="I885" s="7"/>
      <c r="J885" s="60" t="s">
        <v>2923</v>
      </c>
      <c r="K885" s="54"/>
      <c r="L885" s="10" t="s">
        <v>20</v>
      </c>
      <c r="M885" s="55">
        <v>45301.0</v>
      </c>
      <c r="N885" s="77" t="str">
        <f t="shared" si="1"/>
        <v>junho</v>
      </c>
    </row>
    <row r="886">
      <c r="A886" s="25" t="s">
        <v>2924</v>
      </c>
      <c r="B886" s="59">
        <v>45101.40008597222</v>
      </c>
      <c r="C886" s="25" t="s">
        <v>215</v>
      </c>
      <c r="D886" s="25">
        <v>5333.0</v>
      </c>
      <c r="E886" s="25" t="s">
        <v>41</v>
      </c>
      <c r="F886" s="25" t="s">
        <v>42</v>
      </c>
      <c r="G886" s="25" t="s">
        <v>2925</v>
      </c>
      <c r="H886" s="25" t="s">
        <v>44</v>
      </c>
      <c r="I886" s="25" t="s">
        <v>2202</v>
      </c>
      <c r="J886" s="25" t="s">
        <v>2926</v>
      </c>
      <c r="K886" s="25"/>
      <c r="L886" s="26" t="s">
        <v>20</v>
      </c>
      <c r="M886" s="12">
        <v>45201.0</v>
      </c>
      <c r="N886" s="77" t="str">
        <f t="shared" si="1"/>
        <v>junho</v>
      </c>
    </row>
    <row r="887">
      <c r="A887" s="25" t="s">
        <v>2927</v>
      </c>
      <c r="B887" s="59">
        <v>45103.27627640046</v>
      </c>
      <c r="C887" s="25" t="s">
        <v>531</v>
      </c>
      <c r="D887" s="25">
        <v>5341.0</v>
      </c>
      <c r="E887" s="25" t="s">
        <v>532</v>
      </c>
      <c r="F887" s="25" t="s">
        <v>393</v>
      </c>
      <c r="G887" s="25" t="s">
        <v>1180</v>
      </c>
      <c r="H887" s="25" t="s">
        <v>37</v>
      </c>
      <c r="I887" s="25"/>
      <c r="J887" s="25" t="s">
        <v>2928</v>
      </c>
      <c r="K887" s="25"/>
      <c r="L887" s="26" t="s">
        <v>20</v>
      </c>
      <c r="M887" s="12">
        <v>45103.0</v>
      </c>
      <c r="N887" s="77" t="str">
        <f t="shared" si="1"/>
        <v>junho</v>
      </c>
    </row>
    <row r="888">
      <c r="A888" s="25" t="s">
        <v>2929</v>
      </c>
      <c r="B888" s="59">
        <v>45103.30625821759</v>
      </c>
      <c r="C888" s="25" t="s">
        <v>486</v>
      </c>
      <c r="D888" s="25">
        <v>5340.0</v>
      </c>
      <c r="E888" s="25" t="s">
        <v>70</v>
      </c>
      <c r="F888" s="25" t="s">
        <v>86</v>
      </c>
      <c r="G888" s="25" t="s">
        <v>2930</v>
      </c>
      <c r="H888" s="25" t="s">
        <v>37</v>
      </c>
      <c r="I888" s="25"/>
      <c r="J888" s="25" t="s">
        <v>2931</v>
      </c>
      <c r="K888" s="25"/>
      <c r="L888" s="26" t="s">
        <v>20</v>
      </c>
      <c r="M888" s="12">
        <v>45103.0</v>
      </c>
      <c r="N888" s="77" t="str">
        <f t="shared" si="1"/>
        <v>junho</v>
      </c>
    </row>
    <row r="889">
      <c r="A889" s="25" t="s">
        <v>2932</v>
      </c>
      <c r="B889" s="59">
        <v>45103.31040543981</v>
      </c>
      <c r="C889" s="25" t="s">
        <v>486</v>
      </c>
      <c r="D889" s="25">
        <v>5340.0</v>
      </c>
      <c r="E889" s="25" t="s">
        <v>70</v>
      </c>
      <c r="F889" s="25" t="s">
        <v>82</v>
      </c>
      <c r="G889" s="25" t="s">
        <v>2933</v>
      </c>
      <c r="H889" s="25" t="s">
        <v>129</v>
      </c>
      <c r="I889" s="25"/>
      <c r="J889" s="25" t="s">
        <v>2934</v>
      </c>
      <c r="K889" s="25"/>
      <c r="L889" s="26" t="s">
        <v>20</v>
      </c>
      <c r="M889" s="12">
        <v>45103.0</v>
      </c>
      <c r="N889" s="77" t="str">
        <f t="shared" si="1"/>
        <v>junho</v>
      </c>
    </row>
    <row r="890">
      <c r="A890" s="7" t="s">
        <v>2935</v>
      </c>
      <c r="B890" s="8">
        <v>45103.33787846065</v>
      </c>
      <c r="C890" s="7" t="s">
        <v>531</v>
      </c>
      <c r="D890" s="7">
        <v>5341.0</v>
      </c>
      <c r="E890" s="7" t="s">
        <v>532</v>
      </c>
      <c r="F890" s="25" t="s">
        <v>86</v>
      </c>
      <c r="G890" s="9" t="s">
        <v>97</v>
      </c>
      <c r="H890" s="7" t="s">
        <v>79</v>
      </c>
      <c r="I890" s="7"/>
      <c r="J890" s="60" t="s">
        <v>2936</v>
      </c>
      <c r="K890" s="54"/>
      <c r="L890" s="10" t="s">
        <v>20</v>
      </c>
      <c r="M890" s="55">
        <v>45301.0</v>
      </c>
      <c r="N890" s="77" t="str">
        <f t="shared" si="1"/>
        <v>junho</v>
      </c>
    </row>
    <row r="891">
      <c r="A891" s="25" t="s">
        <v>2937</v>
      </c>
      <c r="B891" s="59">
        <v>45103.36629366898</v>
      </c>
      <c r="C891" s="25" t="s">
        <v>1491</v>
      </c>
      <c r="D891" s="25">
        <v>5333.0</v>
      </c>
      <c r="E891" s="25" t="s">
        <v>41</v>
      </c>
      <c r="F891" s="25" t="s">
        <v>42</v>
      </c>
      <c r="G891" s="25" t="s">
        <v>1359</v>
      </c>
      <c r="H891" s="25" t="s">
        <v>37</v>
      </c>
      <c r="I891" s="25"/>
      <c r="J891" s="25" t="s">
        <v>2938</v>
      </c>
      <c r="K891" s="25"/>
      <c r="L891" s="26" t="s">
        <v>20</v>
      </c>
      <c r="M891" s="12">
        <v>45103.0</v>
      </c>
      <c r="N891" s="77" t="str">
        <f t="shared" si="1"/>
        <v>junho</v>
      </c>
    </row>
    <row r="892">
      <c r="A892" s="25" t="s">
        <v>2939</v>
      </c>
      <c r="B892" s="59">
        <v>45103.41786814815</v>
      </c>
      <c r="C892" s="25" t="s">
        <v>1227</v>
      </c>
      <c r="D892" s="25">
        <v>5335.0</v>
      </c>
      <c r="E892" s="25" t="s">
        <v>674</v>
      </c>
      <c r="F892" s="25" t="s">
        <v>82</v>
      </c>
      <c r="G892" s="25" t="s">
        <v>1228</v>
      </c>
      <c r="H892" s="25" t="s">
        <v>764</v>
      </c>
      <c r="I892" s="25"/>
      <c r="J892" s="25" t="s">
        <v>2940</v>
      </c>
      <c r="K892" s="25"/>
      <c r="L892" s="26" t="s">
        <v>20</v>
      </c>
      <c r="M892" s="12">
        <v>45106.0</v>
      </c>
      <c r="N892" s="77" t="str">
        <f t="shared" si="1"/>
        <v>junho</v>
      </c>
    </row>
    <row r="893">
      <c r="A893" s="7" t="s">
        <v>2941</v>
      </c>
      <c r="B893" s="8">
        <v>45103.42245952546</v>
      </c>
      <c r="C893" s="7" t="s">
        <v>2942</v>
      </c>
      <c r="D893" s="7">
        <v>6.4981584849E10</v>
      </c>
      <c r="E893" s="25" t="s">
        <v>34</v>
      </c>
      <c r="F893" s="7" t="s">
        <v>2943</v>
      </c>
      <c r="G893" s="9" t="s">
        <v>2944</v>
      </c>
      <c r="H893" s="7" t="s">
        <v>37</v>
      </c>
      <c r="I893" s="7"/>
      <c r="J893" s="60" t="s">
        <v>2945</v>
      </c>
      <c r="K893" s="60"/>
      <c r="L893" s="10" t="s">
        <v>20</v>
      </c>
      <c r="M893" s="55">
        <v>45264.0</v>
      </c>
      <c r="N893" s="77" t="str">
        <f t="shared" si="1"/>
        <v>junho</v>
      </c>
    </row>
    <row r="894">
      <c r="A894" s="25" t="s">
        <v>2946</v>
      </c>
      <c r="B894" s="59">
        <v>45103.443208599536</v>
      </c>
      <c r="C894" s="25" t="s">
        <v>2947</v>
      </c>
      <c r="D894" s="25">
        <v>5347.0</v>
      </c>
      <c r="E894" s="25" t="s">
        <v>70</v>
      </c>
      <c r="F894" s="25" t="s">
        <v>77</v>
      </c>
      <c r="G894" s="85" t="s">
        <v>2948</v>
      </c>
      <c r="H894" s="25" t="s">
        <v>37</v>
      </c>
      <c r="I894" s="25"/>
      <c r="J894" s="25" t="s">
        <v>2949</v>
      </c>
      <c r="K894" s="25"/>
      <c r="L894" s="26" t="s">
        <v>20</v>
      </c>
      <c r="M894" s="12">
        <v>45103.0</v>
      </c>
      <c r="N894" s="77" t="str">
        <f t="shared" si="1"/>
        <v>junho</v>
      </c>
    </row>
    <row r="895">
      <c r="A895" s="25" t="s">
        <v>2950</v>
      </c>
      <c r="B895" s="59">
        <v>45103.446586516206</v>
      </c>
      <c r="C895" s="25" t="s">
        <v>2947</v>
      </c>
      <c r="D895" s="25">
        <v>5347.0</v>
      </c>
      <c r="E895" s="25" t="s">
        <v>70</v>
      </c>
      <c r="F895" s="25" t="s">
        <v>77</v>
      </c>
      <c r="G895" s="85" t="s">
        <v>2948</v>
      </c>
      <c r="H895" s="25" t="s">
        <v>37</v>
      </c>
      <c r="I895" s="25"/>
      <c r="J895" s="25" t="s">
        <v>2951</v>
      </c>
      <c r="K895" s="25"/>
      <c r="L895" s="26" t="s">
        <v>20</v>
      </c>
      <c r="M895" s="12">
        <v>45202.0</v>
      </c>
      <c r="N895" s="77" t="str">
        <f t="shared" si="1"/>
        <v>junho</v>
      </c>
    </row>
    <row r="896">
      <c r="A896" s="25" t="s">
        <v>2952</v>
      </c>
      <c r="B896" s="59">
        <v>45103.52713528935</v>
      </c>
      <c r="C896" s="25" t="s">
        <v>2096</v>
      </c>
      <c r="D896" s="25" t="s">
        <v>2953</v>
      </c>
      <c r="E896" s="25" t="s">
        <v>34</v>
      </c>
      <c r="F896" s="25" t="s">
        <v>763</v>
      </c>
      <c r="G896" s="85" t="s">
        <v>2379</v>
      </c>
      <c r="H896" s="25" t="s">
        <v>162</v>
      </c>
      <c r="I896" s="25"/>
      <c r="J896" s="25" t="s">
        <v>2954</v>
      </c>
      <c r="K896" s="25"/>
      <c r="L896" s="26" t="s">
        <v>20</v>
      </c>
      <c r="M896" s="12">
        <v>45105.0</v>
      </c>
      <c r="N896" s="77" t="str">
        <f t="shared" si="1"/>
        <v>junho</v>
      </c>
    </row>
    <row r="897">
      <c r="A897" s="25" t="s">
        <v>2955</v>
      </c>
      <c r="B897" s="59">
        <v>45103.64391462963</v>
      </c>
      <c r="C897" s="25" t="s">
        <v>2441</v>
      </c>
      <c r="D897" s="25">
        <v>6.2982410124E10</v>
      </c>
      <c r="E897" s="25" t="s">
        <v>621</v>
      </c>
      <c r="F897" s="25" t="s">
        <v>2956</v>
      </c>
      <c r="G897" s="25" t="s">
        <v>2957</v>
      </c>
      <c r="H897" s="25" t="s">
        <v>37</v>
      </c>
      <c r="I897" s="25"/>
      <c r="J897" s="25" t="s">
        <v>2958</v>
      </c>
      <c r="K897" s="25"/>
      <c r="L897" s="26" t="s">
        <v>20</v>
      </c>
      <c r="M897" s="12">
        <v>45147.0</v>
      </c>
      <c r="N897" s="77" t="str">
        <f t="shared" si="1"/>
        <v>junho</v>
      </c>
    </row>
    <row r="898">
      <c r="A898" s="25" t="s">
        <v>2959</v>
      </c>
      <c r="B898" s="59">
        <v>45103.696728379626</v>
      </c>
      <c r="C898" s="25" t="s">
        <v>2441</v>
      </c>
      <c r="D898" s="25">
        <v>6.2982410124E10</v>
      </c>
      <c r="E898" s="25" t="s">
        <v>621</v>
      </c>
      <c r="F898" s="25" t="s">
        <v>2960</v>
      </c>
      <c r="G898" s="25" t="s">
        <v>2961</v>
      </c>
      <c r="H898" s="25" t="s">
        <v>37</v>
      </c>
      <c r="I898" s="25"/>
      <c r="J898" s="25" t="s">
        <v>2962</v>
      </c>
      <c r="K898" s="25"/>
      <c r="L898" s="26" t="s">
        <v>20</v>
      </c>
      <c r="M898" s="12">
        <v>45147.0</v>
      </c>
      <c r="N898" s="77" t="str">
        <f t="shared" si="1"/>
        <v>junho</v>
      </c>
    </row>
    <row r="899">
      <c r="A899" s="25" t="s">
        <v>2963</v>
      </c>
      <c r="B899" s="59">
        <v>45104.29113574074</v>
      </c>
      <c r="C899" s="25" t="s">
        <v>169</v>
      </c>
      <c r="D899" s="25">
        <v>5318.0</v>
      </c>
      <c r="E899" s="25" t="s">
        <v>15</v>
      </c>
      <c r="F899" s="25" t="s">
        <v>61</v>
      </c>
      <c r="G899" s="25" t="s">
        <v>2964</v>
      </c>
      <c r="H899" s="25" t="s">
        <v>162</v>
      </c>
      <c r="I899" s="25" t="s">
        <v>2119</v>
      </c>
      <c r="J899" s="25" t="s">
        <v>2965</v>
      </c>
      <c r="K899" s="25"/>
      <c r="L899" s="26" t="s">
        <v>20</v>
      </c>
      <c r="M899" s="12">
        <v>45104.0</v>
      </c>
      <c r="N899" s="77" t="str">
        <f t="shared" si="1"/>
        <v>junho</v>
      </c>
    </row>
    <row r="900">
      <c r="A900" s="25" t="s">
        <v>2966</v>
      </c>
      <c r="B900" s="59">
        <v>45104.3425871875</v>
      </c>
      <c r="C900" s="25" t="s">
        <v>486</v>
      </c>
      <c r="D900" s="25">
        <v>5340.0</v>
      </c>
      <c r="E900" s="25" t="s">
        <v>70</v>
      </c>
      <c r="F900" s="25" t="s">
        <v>61</v>
      </c>
      <c r="G900" s="25" t="s">
        <v>1148</v>
      </c>
      <c r="H900" s="25" t="s">
        <v>764</v>
      </c>
      <c r="I900" s="25"/>
      <c r="J900" s="25" t="s">
        <v>2967</v>
      </c>
      <c r="K900" s="25"/>
      <c r="L900" s="26" t="s">
        <v>20</v>
      </c>
      <c r="M900" s="12">
        <v>45104.0</v>
      </c>
      <c r="N900" s="77" t="str">
        <f t="shared" si="1"/>
        <v>junho</v>
      </c>
    </row>
    <row r="901">
      <c r="A901" s="25" t="s">
        <v>2968</v>
      </c>
      <c r="B901" s="59">
        <v>45104.41311715278</v>
      </c>
      <c r="C901" s="25" t="s">
        <v>2096</v>
      </c>
      <c r="D901" s="25" t="s">
        <v>2969</v>
      </c>
      <c r="E901" s="25" t="s">
        <v>34</v>
      </c>
      <c r="F901" s="25" t="s">
        <v>783</v>
      </c>
      <c r="G901" s="25">
        <v>307.0</v>
      </c>
      <c r="H901" s="25" t="s">
        <v>162</v>
      </c>
      <c r="I901" s="25"/>
      <c r="J901" s="25" t="s">
        <v>2970</v>
      </c>
      <c r="K901" s="25"/>
      <c r="L901" s="26" t="s">
        <v>20</v>
      </c>
      <c r="M901" s="12">
        <v>45170.0</v>
      </c>
      <c r="N901" s="77" t="str">
        <f t="shared" si="1"/>
        <v>junho</v>
      </c>
    </row>
    <row r="902">
      <c r="A902" s="25" t="s">
        <v>2971</v>
      </c>
      <c r="B902" s="59">
        <v>45104.548678136576</v>
      </c>
      <c r="C902" s="25" t="s">
        <v>2580</v>
      </c>
      <c r="D902" s="25">
        <v>6.4981211543E10</v>
      </c>
      <c r="E902" s="25" t="s">
        <v>262</v>
      </c>
      <c r="F902" s="25" t="s">
        <v>2972</v>
      </c>
      <c r="G902" s="25" t="s">
        <v>2973</v>
      </c>
      <c r="H902" s="25" t="s">
        <v>18</v>
      </c>
      <c r="I902" s="25"/>
      <c r="J902" s="25" t="s">
        <v>2974</v>
      </c>
      <c r="K902" s="25"/>
      <c r="L902" s="26" t="s">
        <v>20</v>
      </c>
      <c r="M902" s="12">
        <v>45106.0</v>
      </c>
      <c r="N902" s="77" t="str">
        <f t="shared" si="1"/>
        <v>junho</v>
      </c>
    </row>
    <row r="903">
      <c r="A903" s="25" t="s">
        <v>2975</v>
      </c>
      <c r="B903" s="59">
        <v>45104.61680582176</v>
      </c>
      <c r="C903" s="25" t="s">
        <v>307</v>
      </c>
      <c r="D903" s="25">
        <v>3.4999071369E10</v>
      </c>
      <c r="E903" s="20" t="s">
        <v>308</v>
      </c>
      <c r="F903" s="25" t="s">
        <v>783</v>
      </c>
      <c r="G903" s="25" t="s">
        <v>2976</v>
      </c>
      <c r="H903" s="25" t="s">
        <v>18</v>
      </c>
      <c r="I903" s="25"/>
      <c r="J903" s="25" t="s">
        <v>2977</v>
      </c>
      <c r="K903" s="25"/>
      <c r="L903" s="26" t="s">
        <v>20</v>
      </c>
      <c r="M903" s="12">
        <v>45105.0</v>
      </c>
      <c r="N903" s="77" t="str">
        <f t="shared" si="1"/>
        <v>junho</v>
      </c>
    </row>
    <row r="904">
      <c r="A904" s="25" t="s">
        <v>2978</v>
      </c>
      <c r="B904" s="59">
        <v>45104.61744876158</v>
      </c>
      <c r="C904" s="25" t="s">
        <v>525</v>
      </c>
      <c r="D904" s="25">
        <v>3.4999071369E10</v>
      </c>
      <c r="E904" s="20" t="s">
        <v>308</v>
      </c>
      <c r="F904" s="25" t="s">
        <v>2351</v>
      </c>
      <c r="G904" s="25">
        <v>153.0</v>
      </c>
      <c r="H904" s="25" t="s">
        <v>764</v>
      </c>
      <c r="I904" s="25"/>
      <c r="J904" s="25" t="s">
        <v>2979</v>
      </c>
      <c r="K904" s="25"/>
      <c r="L904" s="26" t="s">
        <v>20</v>
      </c>
      <c r="M904" s="12">
        <v>45106.0</v>
      </c>
      <c r="N904" s="77" t="str">
        <f t="shared" si="1"/>
        <v>junho</v>
      </c>
    </row>
    <row r="905">
      <c r="A905" s="25" t="s">
        <v>2980</v>
      </c>
      <c r="B905" s="59">
        <v>45104.67647827546</v>
      </c>
      <c r="C905" s="25" t="s">
        <v>2981</v>
      </c>
      <c r="D905" s="25" t="s">
        <v>2982</v>
      </c>
      <c r="E905" s="25" t="s">
        <v>2560</v>
      </c>
      <c r="F905" s="25" t="s">
        <v>763</v>
      </c>
      <c r="G905" s="25">
        <v>6.0</v>
      </c>
      <c r="H905" s="25" t="s">
        <v>1734</v>
      </c>
      <c r="I905" s="25"/>
      <c r="J905" s="25" t="s">
        <v>2983</v>
      </c>
      <c r="K905" s="25"/>
      <c r="L905" s="26" t="s">
        <v>20</v>
      </c>
      <c r="M905" s="12">
        <v>45105.0</v>
      </c>
      <c r="N905" s="77" t="str">
        <f t="shared" si="1"/>
        <v>junho</v>
      </c>
    </row>
    <row r="906">
      <c r="A906" s="7" t="s">
        <v>2984</v>
      </c>
      <c r="B906" s="8">
        <v>45104.70238682871</v>
      </c>
      <c r="C906" s="7" t="s">
        <v>2580</v>
      </c>
      <c r="D906" s="7">
        <v>6.4981211543E10</v>
      </c>
      <c r="E906" s="7" t="s">
        <v>262</v>
      </c>
      <c r="F906" s="7" t="s">
        <v>2985</v>
      </c>
      <c r="G906" s="9" t="s">
        <v>2986</v>
      </c>
      <c r="H906" s="7" t="s">
        <v>79</v>
      </c>
      <c r="I906" s="7"/>
      <c r="J906" s="60" t="s">
        <v>2987</v>
      </c>
      <c r="K906" s="54"/>
      <c r="L906" s="10" t="s">
        <v>20</v>
      </c>
      <c r="M906" s="55">
        <v>45301.0</v>
      </c>
      <c r="N906" s="77" t="str">
        <f t="shared" si="1"/>
        <v>junho</v>
      </c>
    </row>
    <row r="907">
      <c r="A907" s="25" t="s">
        <v>2988</v>
      </c>
      <c r="B907" s="59">
        <v>45105.207737453704</v>
      </c>
      <c r="C907" s="25" t="s">
        <v>65</v>
      </c>
      <c r="D907" s="25">
        <v>5318.0</v>
      </c>
      <c r="E907" s="25" t="s">
        <v>15</v>
      </c>
      <c r="F907" s="25" t="s">
        <v>61</v>
      </c>
      <c r="G907" s="25" t="s">
        <v>2989</v>
      </c>
      <c r="H907" s="25" t="s">
        <v>18</v>
      </c>
      <c r="I907" s="25"/>
      <c r="J907" s="25" t="s">
        <v>2990</v>
      </c>
      <c r="K907" s="25"/>
      <c r="L907" s="26" t="s">
        <v>20</v>
      </c>
      <c r="M907" s="12">
        <v>45153.0</v>
      </c>
      <c r="N907" s="77" t="str">
        <f t="shared" si="1"/>
        <v>junho</v>
      </c>
    </row>
    <row r="908">
      <c r="A908" s="25" t="s">
        <v>2991</v>
      </c>
      <c r="B908" s="59">
        <v>45105.435270092596</v>
      </c>
      <c r="C908" s="25" t="s">
        <v>2310</v>
      </c>
      <c r="D908" s="25">
        <v>7609.0</v>
      </c>
      <c r="E908" s="25" t="s">
        <v>2311</v>
      </c>
      <c r="F908" s="25" t="s">
        <v>313</v>
      </c>
      <c r="G908" s="25" t="s">
        <v>2992</v>
      </c>
      <c r="H908" s="25" t="s">
        <v>764</v>
      </c>
      <c r="I908" s="25"/>
      <c r="J908" s="25" t="s">
        <v>2993</v>
      </c>
      <c r="K908" s="25"/>
      <c r="L908" s="26" t="s">
        <v>20</v>
      </c>
      <c r="M908" s="12">
        <v>45153.0</v>
      </c>
      <c r="N908" s="77" t="str">
        <f t="shared" si="1"/>
        <v>junho</v>
      </c>
    </row>
    <row r="909">
      <c r="A909" s="25" t="s">
        <v>2994</v>
      </c>
      <c r="B909" s="59">
        <v>45105.58673621528</v>
      </c>
      <c r="C909" s="25" t="s">
        <v>2995</v>
      </c>
      <c r="D909" s="25" t="s">
        <v>1902</v>
      </c>
      <c r="E909" s="25" t="s">
        <v>34</v>
      </c>
      <c r="F909" s="25" t="s">
        <v>347</v>
      </c>
      <c r="G909" s="25" t="s">
        <v>751</v>
      </c>
      <c r="H909" s="25" t="s">
        <v>1734</v>
      </c>
      <c r="I909" s="25"/>
      <c r="J909" s="25" t="s">
        <v>2996</v>
      </c>
      <c r="K909" s="25"/>
      <c r="L909" s="26" t="s">
        <v>20</v>
      </c>
      <c r="M909" s="12">
        <v>45111.0</v>
      </c>
      <c r="N909" s="77" t="str">
        <f t="shared" si="1"/>
        <v>junho</v>
      </c>
    </row>
    <row r="910">
      <c r="A910" s="25" t="s">
        <v>2997</v>
      </c>
      <c r="B910" s="59">
        <v>45105.60891664352</v>
      </c>
      <c r="C910" s="25" t="s">
        <v>553</v>
      </c>
      <c r="D910" s="25">
        <v>5318.0</v>
      </c>
      <c r="E910" s="25" t="s">
        <v>15</v>
      </c>
      <c r="F910" s="25" t="s">
        <v>393</v>
      </c>
      <c r="G910" s="25" t="s">
        <v>14</v>
      </c>
      <c r="H910" s="25" t="s">
        <v>1734</v>
      </c>
      <c r="I910" s="25"/>
      <c r="J910" s="25" t="s">
        <v>2998</v>
      </c>
      <c r="K910" s="25"/>
      <c r="L910" s="26" t="s">
        <v>20</v>
      </c>
      <c r="M910" s="12">
        <v>45105.0</v>
      </c>
      <c r="N910" s="77" t="str">
        <f t="shared" si="1"/>
        <v>junho</v>
      </c>
    </row>
    <row r="911">
      <c r="A911" s="25" t="s">
        <v>2999</v>
      </c>
      <c r="B911" s="59">
        <v>45105.70275762731</v>
      </c>
      <c r="C911" s="25" t="s">
        <v>2981</v>
      </c>
      <c r="D911" s="25" t="s">
        <v>3000</v>
      </c>
      <c r="E911" s="25" t="s">
        <v>2560</v>
      </c>
      <c r="F911" s="25" t="s">
        <v>188</v>
      </c>
      <c r="G911" s="25" t="s">
        <v>3001</v>
      </c>
      <c r="H911" s="25" t="s">
        <v>1734</v>
      </c>
      <c r="I911" s="25"/>
      <c r="J911" s="25" t="s">
        <v>3002</v>
      </c>
      <c r="K911" s="25"/>
      <c r="L911" s="26" t="s">
        <v>20</v>
      </c>
      <c r="M911" s="12">
        <v>45106.0</v>
      </c>
      <c r="N911" s="77" t="str">
        <f t="shared" si="1"/>
        <v>junho</v>
      </c>
    </row>
    <row r="912">
      <c r="A912" s="25" t="s">
        <v>3003</v>
      </c>
      <c r="B912" s="59">
        <v>45106.38031085648</v>
      </c>
      <c r="C912" s="25" t="s">
        <v>3004</v>
      </c>
      <c r="D912" s="25" t="s">
        <v>3005</v>
      </c>
      <c r="E912" s="20" t="s">
        <v>288</v>
      </c>
      <c r="F912" s="25" t="s">
        <v>55</v>
      </c>
      <c r="G912" s="25" t="s">
        <v>56</v>
      </c>
      <c r="H912" s="25" t="s">
        <v>79</v>
      </c>
      <c r="I912" s="25"/>
      <c r="J912" s="25" t="s">
        <v>3006</v>
      </c>
      <c r="K912" s="25"/>
      <c r="L912" s="26" t="s">
        <v>20</v>
      </c>
      <c r="M912" s="12">
        <v>45106.0</v>
      </c>
      <c r="N912" s="77" t="str">
        <f t="shared" si="1"/>
        <v>junho</v>
      </c>
    </row>
    <row r="913">
      <c r="A913" s="25" t="s">
        <v>3007</v>
      </c>
      <c r="B913" s="59">
        <v>45106.39242928241</v>
      </c>
      <c r="C913" s="25" t="s">
        <v>3008</v>
      </c>
      <c r="D913" s="25">
        <v>3.4415308E7</v>
      </c>
      <c r="E913" s="25" t="s">
        <v>1372</v>
      </c>
      <c r="F913" s="25" t="s">
        <v>22</v>
      </c>
      <c r="G913" s="25" t="s">
        <v>3009</v>
      </c>
      <c r="H913" s="25" t="s">
        <v>1734</v>
      </c>
      <c r="I913" s="25"/>
      <c r="J913" s="25" t="s">
        <v>3010</v>
      </c>
      <c r="K913" s="25"/>
      <c r="L913" s="26" t="s">
        <v>20</v>
      </c>
      <c r="M913" s="12">
        <v>45106.0</v>
      </c>
      <c r="N913" s="77" t="str">
        <f t="shared" si="1"/>
        <v>junho</v>
      </c>
    </row>
    <row r="914">
      <c r="A914" s="25" t="s">
        <v>3011</v>
      </c>
      <c r="B914" s="59">
        <v>45106.42949638889</v>
      </c>
      <c r="C914" s="25" t="s">
        <v>1682</v>
      </c>
      <c r="D914" s="25">
        <v>6.2991579626E10</v>
      </c>
      <c r="E914" s="7" t="s">
        <v>199</v>
      </c>
      <c r="F914" s="25" t="s">
        <v>3012</v>
      </c>
      <c r="G914" s="25" t="s">
        <v>3013</v>
      </c>
      <c r="H914" s="25" t="s">
        <v>129</v>
      </c>
      <c r="I914" s="25"/>
      <c r="J914" s="25" t="s">
        <v>3014</v>
      </c>
      <c r="K914" s="25"/>
      <c r="L914" s="26" t="s">
        <v>20</v>
      </c>
      <c r="M914" s="12">
        <v>45226.0</v>
      </c>
      <c r="N914" s="77" t="str">
        <f t="shared" si="1"/>
        <v>junho</v>
      </c>
    </row>
    <row r="915">
      <c r="A915" s="25" t="s">
        <v>3015</v>
      </c>
      <c r="B915" s="59">
        <v>45106.47713943287</v>
      </c>
      <c r="C915" s="25" t="s">
        <v>486</v>
      </c>
      <c r="D915" s="25">
        <v>5340.0</v>
      </c>
      <c r="E915" s="25" t="s">
        <v>70</v>
      </c>
      <c r="F915" s="25" t="s">
        <v>1144</v>
      </c>
      <c r="G915" s="25" t="s">
        <v>3016</v>
      </c>
      <c r="H915" s="25" t="s">
        <v>162</v>
      </c>
      <c r="I915" s="25"/>
      <c r="J915" s="25" t="s">
        <v>3017</v>
      </c>
      <c r="K915" s="25"/>
      <c r="L915" s="26" t="s">
        <v>20</v>
      </c>
      <c r="M915" s="12">
        <v>45107.0</v>
      </c>
      <c r="N915" s="77" t="str">
        <f t="shared" si="1"/>
        <v>junho</v>
      </c>
    </row>
    <row r="916">
      <c r="A916" s="25" t="s">
        <v>3018</v>
      </c>
      <c r="B916" s="59">
        <v>45106.48001550926</v>
      </c>
      <c r="C916" s="25" t="s">
        <v>486</v>
      </c>
      <c r="D916" s="25">
        <v>5340.0</v>
      </c>
      <c r="E916" s="25" t="s">
        <v>70</v>
      </c>
      <c r="F916" s="25" t="s">
        <v>1144</v>
      </c>
      <c r="G916" s="25" t="s">
        <v>3019</v>
      </c>
      <c r="H916" s="25" t="s">
        <v>1734</v>
      </c>
      <c r="I916" s="25"/>
      <c r="J916" s="25" t="s">
        <v>3020</v>
      </c>
      <c r="K916" s="25"/>
      <c r="L916" s="26" t="s">
        <v>20</v>
      </c>
      <c r="M916" s="12">
        <v>45106.0</v>
      </c>
      <c r="N916" s="77" t="str">
        <f t="shared" si="1"/>
        <v>junho</v>
      </c>
    </row>
    <row r="917">
      <c r="A917" s="25" t="s">
        <v>3021</v>
      </c>
      <c r="B917" s="59">
        <v>45106.57052032407</v>
      </c>
      <c r="C917" s="25" t="s">
        <v>2580</v>
      </c>
      <c r="D917" s="25">
        <v>6.4981211543E10</v>
      </c>
      <c r="E917" s="25" t="s">
        <v>262</v>
      </c>
      <c r="F917" s="25" t="s">
        <v>49</v>
      </c>
      <c r="G917" s="25" t="s">
        <v>49</v>
      </c>
      <c r="H917" s="25" t="s">
        <v>18</v>
      </c>
      <c r="I917" s="25"/>
      <c r="J917" s="25" t="s">
        <v>3022</v>
      </c>
      <c r="K917" s="25"/>
      <c r="L917" s="26" t="s">
        <v>20</v>
      </c>
      <c r="M917" s="12">
        <v>45155.0</v>
      </c>
      <c r="N917" s="77" t="str">
        <f t="shared" si="1"/>
        <v>junho</v>
      </c>
    </row>
    <row r="918">
      <c r="A918" s="25" t="s">
        <v>3023</v>
      </c>
      <c r="B918" s="59">
        <v>45106.5813174537</v>
      </c>
      <c r="C918" s="25" t="s">
        <v>531</v>
      </c>
      <c r="D918" s="25">
        <v>5341.0</v>
      </c>
      <c r="E918" s="25" t="s">
        <v>532</v>
      </c>
      <c r="F918" s="25" t="s">
        <v>393</v>
      </c>
      <c r="G918" s="25" t="s">
        <v>1180</v>
      </c>
      <c r="H918" s="25" t="s">
        <v>129</v>
      </c>
      <c r="I918" s="25"/>
      <c r="J918" s="25" t="s">
        <v>3024</v>
      </c>
      <c r="K918" s="25"/>
      <c r="L918" s="26" t="s">
        <v>20</v>
      </c>
      <c r="M918" s="12">
        <v>45166.0</v>
      </c>
      <c r="N918" s="77" t="str">
        <f t="shared" si="1"/>
        <v>junho</v>
      </c>
    </row>
    <row r="919">
      <c r="A919" s="25" t="s">
        <v>3025</v>
      </c>
      <c r="B919" s="59">
        <v>45106.65154990741</v>
      </c>
      <c r="C919" s="25" t="s">
        <v>260</v>
      </c>
      <c r="D919" s="25">
        <v>3.4415337E7</v>
      </c>
      <c r="E919" s="25" t="s">
        <v>262</v>
      </c>
      <c r="F919" s="25" t="s">
        <v>3026</v>
      </c>
      <c r="G919" s="25" t="s">
        <v>262</v>
      </c>
      <c r="H919" s="25" t="s">
        <v>1853</v>
      </c>
      <c r="I919" s="25"/>
      <c r="J919" s="25" t="s">
        <v>3027</v>
      </c>
      <c r="K919" s="25"/>
      <c r="L919" s="26" t="s">
        <v>20</v>
      </c>
      <c r="M919" s="12">
        <v>45175.0</v>
      </c>
      <c r="N919" s="77" t="str">
        <f t="shared" si="1"/>
        <v>junho</v>
      </c>
    </row>
    <row r="920">
      <c r="A920" s="25" t="s">
        <v>3028</v>
      </c>
      <c r="B920" s="59">
        <v>45106.66065820602</v>
      </c>
      <c r="C920" s="25" t="s">
        <v>335</v>
      </c>
      <c r="D920" s="25" t="s">
        <v>3029</v>
      </c>
      <c r="E920" s="20" t="s">
        <v>308</v>
      </c>
      <c r="F920" s="25" t="s">
        <v>61</v>
      </c>
      <c r="G920" s="25" t="s">
        <v>336</v>
      </c>
      <c r="H920" s="25" t="s">
        <v>1734</v>
      </c>
      <c r="I920" s="25"/>
      <c r="J920" s="25" t="s">
        <v>3030</v>
      </c>
      <c r="K920" s="25"/>
      <c r="L920" s="26" t="s">
        <v>20</v>
      </c>
      <c r="M920" s="12">
        <v>45126.0</v>
      </c>
      <c r="N920" s="77" t="str">
        <f t="shared" si="1"/>
        <v>junho</v>
      </c>
    </row>
    <row r="921">
      <c r="A921" s="25" t="s">
        <v>3031</v>
      </c>
      <c r="B921" s="59">
        <v>45106.972928310184</v>
      </c>
      <c r="C921" s="25" t="s">
        <v>215</v>
      </c>
      <c r="D921" s="25">
        <v>5333.0</v>
      </c>
      <c r="E921" s="25" t="s">
        <v>41</v>
      </c>
      <c r="F921" s="25" t="s">
        <v>42</v>
      </c>
      <c r="G921" s="25" t="s">
        <v>3032</v>
      </c>
      <c r="H921" s="25" t="s">
        <v>79</v>
      </c>
      <c r="I921" s="25"/>
      <c r="J921" s="25" t="s">
        <v>3033</v>
      </c>
      <c r="K921" s="25"/>
      <c r="L921" s="26" t="s">
        <v>20</v>
      </c>
      <c r="M921" s="12">
        <v>45138.0</v>
      </c>
      <c r="N921" s="77" t="str">
        <f t="shared" si="1"/>
        <v>junho</v>
      </c>
    </row>
    <row r="922">
      <c r="A922" s="25" t="s">
        <v>3034</v>
      </c>
      <c r="B922" s="59">
        <v>45107.37110498843</v>
      </c>
      <c r="C922" s="25" t="s">
        <v>3035</v>
      </c>
      <c r="D922" s="25">
        <v>5375.0</v>
      </c>
      <c r="E922" s="25" t="s">
        <v>423</v>
      </c>
      <c r="F922" s="25" t="s">
        <v>82</v>
      </c>
      <c r="G922" s="25" t="s">
        <v>3036</v>
      </c>
      <c r="H922" s="25" t="s">
        <v>764</v>
      </c>
      <c r="I922" s="25"/>
      <c r="J922" s="25" t="s">
        <v>3037</v>
      </c>
      <c r="K922" s="25"/>
      <c r="L922" s="26" t="s">
        <v>20</v>
      </c>
      <c r="M922" s="12">
        <v>45117.0</v>
      </c>
      <c r="N922" s="77" t="str">
        <f t="shared" si="1"/>
        <v>junho</v>
      </c>
    </row>
    <row r="923">
      <c r="A923" s="25" t="s">
        <v>3038</v>
      </c>
      <c r="B923" s="59">
        <v>45107.37694642361</v>
      </c>
      <c r="C923" s="25" t="s">
        <v>2916</v>
      </c>
      <c r="D923" s="25" t="s">
        <v>1902</v>
      </c>
      <c r="E923" s="25" t="s">
        <v>34</v>
      </c>
      <c r="F923" s="25" t="s">
        <v>347</v>
      </c>
      <c r="G923" s="25" t="s">
        <v>751</v>
      </c>
      <c r="H923" s="25" t="s">
        <v>1734</v>
      </c>
      <c r="I923" s="25"/>
      <c r="J923" s="25" t="s">
        <v>3039</v>
      </c>
      <c r="K923" s="25"/>
      <c r="L923" s="26" t="s">
        <v>20</v>
      </c>
      <c r="M923" s="12">
        <v>45111.0</v>
      </c>
      <c r="N923" s="77" t="str">
        <f t="shared" si="1"/>
        <v>junho</v>
      </c>
    </row>
    <row r="924">
      <c r="A924" s="25" t="s">
        <v>3040</v>
      </c>
      <c r="B924" s="59">
        <v>45107.40722790509</v>
      </c>
      <c r="C924" s="25" t="s">
        <v>3041</v>
      </c>
      <c r="D924" s="25">
        <v>5335.0</v>
      </c>
      <c r="E924" s="25" t="s">
        <v>674</v>
      </c>
      <c r="F924" s="25" t="s">
        <v>82</v>
      </c>
      <c r="G924" s="25" t="s">
        <v>1228</v>
      </c>
      <c r="H924" s="25" t="s">
        <v>764</v>
      </c>
      <c r="I924" s="25"/>
      <c r="J924" s="25" t="s">
        <v>3042</v>
      </c>
      <c r="K924" s="25"/>
      <c r="L924" s="26" t="s">
        <v>20</v>
      </c>
      <c r="M924" s="12">
        <v>45117.0</v>
      </c>
      <c r="N924" s="77" t="str">
        <f t="shared" si="1"/>
        <v>junho</v>
      </c>
    </row>
    <row r="925">
      <c r="A925" s="25" t="s">
        <v>3043</v>
      </c>
      <c r="B925" s="59">
        <v>45107.583024120366</v>
      </c>
      <c r="C925" s="25" t="s">
        <v>1272</v>
      </c>
      <c r="D925" s="25">
        <v>5360.0</v>
      </c>
      <c r="E925" s="25" t="s">
        <v>371</v>
      </c>
      <c r="F925" s="25" t="s">
        <v>49</v>
      </c>
      <c r="G925" s="25" t="s">
        <v>3044</v>
      </c>
      <c r="H925" s="25" t="s">
        <v>79</v>
      </c>
      <c r="I925" s="25"/>
      <c r="J925" s="25" t="s">
        <v>3045</v>
      </c>
      <c r="K925" s="25"/>
      <c r="L925" s="26" t="s">
        <v>20</v>
      </c>
      <c r="M925" s="12">
        <v>45110.0</v>
      </c>
      <c r="N925" s="77" t="str">
        <f t="shared" si="1"/>
        <v>junho</v>
      </c>
    </row>
    <row r="926">
      <c r="A926" s="25" t="s">
        <v>3046</v>
      </c>
      <c r="B926" s="59">
        <v>45107.75286446759</v>
      </c>
      <c r="C926" s="25" t="s">
        <v>205</v>
      </c>
      <c r="D926" s="25" t="s">
        <v>3047</v>
      </c>
      <c r="E926" s="20" t="s">
        <v>206</v>
      </c>
      <c r="F926" s="25" t="s">
        <v>783</v>
      </c>
      <c r="G926" s="25">
        <v>356.0</v>
      </c>
      <c r="H926" s="25" t="s">
        <v>1734</v>
      </c>
      <c r="I926" s="25"/>
      <c r="J926" s="25" t="s">
        <v>3048</v>
      </c>
      <c r="K926" s="25"/>
      <c r="L926" s="26" t="s">
        <v>20</v>
      </c>
      <c r="M926" s="12">
        <v>45146.0</v>
      </c>
      <c r="N926" s="77" t="str">
        <f t="shared" si="1"/>
        <v>junho</v>
      </c>
    </row>
    <row r="927">
      <c r="A927" s="25" t="s">
        <v>3049</v>
      </c>
      <c r="B927" s="59">
        <v>45110.572134375005</v>
      </c>
      <c r="C927" s="25" t="s">
        <v>292</v>
      </c>
      <c r="D927" s="25">
        <v>5356.0</v>
      </c>
      <c r="E927" s="25" t="s">
        <v>1097</v>
      </c>
      <c r="F927" s="25" t="s">
        <v>1405</v>
      </c>
      <c r="G927" s="25" t="s">
        <v>581</v>
      </c>
      <c r="H927" s="25" t="s">
        <v>1734</v>
      </c>
      <c r="I927" s="25"/>
      <c r="J927" s="25" t="s">
        <v>3050</v>
      </c>
      <c r="K927" s="25"/>
      <c r="L927" s="26" t="s">
        <v>20</v>
      </c>
      <c r="M927" s="12">
        <v>45112.0</v>
      </c>
      <c r="N927" s="77" t="str">
        <f t="shared" si="1"/>
        <v>julho</v>
      </c>
    </row>
    <row r="928">
      <c r="A928" s="25" t="s">
        <v>3051</v>
      </c>
      <c r="B928" s="59">
        <v>45110.6281405787</v>
      </c>
      <c r="C928" s="25" t="s">
        <v>2096</v>
      </c>
      <c r="D928" s="25" t="s">
        <v>3052</v>
      </c>
      <c r="E928" s="25" t="s">
        <v>34</v>
      </c>
      <c r="F928" s="25" t="s">
        <v>763</v>
      </c>
      <c r="G928" s="85" t="s">
        <v>2379</v>
      </c>
      <c r="H928" s="25" t="s">
        <v>79</v>
      </c>
      <c r="I928" s="25"/>
      <c r="J928" s="25" t="s">
        <v>3053</v>
      </c>
      <c r="K928" s="25"/>
      <c r="L928" s="26" t="s">
        <v>20</v>
      </c>
      <c r="M928" s="12">
        <v>45203.0</v>
      </c>
      <c r="N928" s="77" t="str">
        <f t="shared" si="1"/>
        <v>julho</v>
      </c>
    </row>
    <row r="929">
      <c r="A929" s="25" t="s">
        <v>3054</v>
      </c>
      <c r="B929" s="59">
        <v>45111.42804431713</v>
      </c>
      <c r="C929" s="25" t="s">
        <v>876</v>
      </c>
      <c r="D929" s="25" t="s">
        <v>2260</v>
      </c>
      <c r="E929" s="25" t="s">
        <v>187</v>
      </c>
      <c r="F929" s="25" t="s">
        <v>763</v>
      </c>
      <c r="G929" s="25">
        <v>11.0</v>
      </c>
      <c r="H929" s="25" t="s">
        <v>1734</v>
      </c>
      <c r="I929" s="25"/>
      <c r="J929" s="25" t="s">
        <v>2261</v>
      </c>
      <c r="K929" s="25"/>
      <c r="L929" s="26" t="s">
        <v>20</v>
      </c>
      <c r="M929" s="12">
        <v>45147.0</v>
      </c>
      <c r="N929" s="77" t="str">
        <f t="shared" si="1"/>
        <v>julho</v>
      </c>
    </row>
    <row r="930">
      <c r="A930" s="25" t="s">
        <v>3055</v>
      </c>
      <c r="B930" s="59">
        <v>45111.429405902774</v>
      </c>
      <c r="C930" s="25" t="s">
        <v>876</v>
      </c>
      <c r="D930" s="25" t="s">
        <v>2260</v>
      </c>
      <c r="E930" s="25" t="s">
        <v>187</v>
      </c>
      <c r="F930" s="25" t="s">
        <v>347</v>
      </c>
      <c r="G930" s="25">
        <v>115.0</v>
      </c>
      <c r="H930" s="25" t="s">
        <v>79</v>
      </c>
      <c r="I930" s="25"/>
      <c r="J930" s="25" t="s">
        <v>3056</v>
      </c>
      <c r="K930" s="25"/>
      <c r="L930" s="26" t="s">
        <v>20</v>
      </c>
      <c r="M930" s="12">
        <v>45153.0</v>
      </c>
      <c r="N930" s="77" t="str">
        <f t="shared" si="1"/>
        <v>julho</v>
      </c>
    </row>
    <row r="931">
      <c r="A931" s="25" t="s">
        <v>3057</v>
      </c>
      <c r="B931" s="59">
        <v>45111.61931284722</v>
      </c>
      <c r="C931" s="25" t="s">
        <v>3004</v>
      </c>
      <c r="D931" s="25">
        <v>5357.0</v>
      </c>
      <c r="E931" s="20" t="s">
        <v>288</v>
      </c>
      <c r="F931" s="25" t="s">
        <v>55</v>
      </c>
      <c r="G931" s="25" t="s">
        <v>3058</v>
      </c>
      <c r="H931" s="25" t="s">
        <v>79</v>
      </c>
      <c r="I931" s="25"/>
      <c r="J931" s="25" t="s">
        <v>3059</v>
      </c>
      <c r="K931" s="25"/>
      <c r="L931" s="26" t="s">
        <v>20</v>
      </c>
      <c r="M931" s="12">
        <v>45153.0</v>
      </c>
      <c r="N931" s="77" t="str">
        <f t="shared" si="1"/>
        <v>julho</v>
      </c>
    </row>
    <row r="932">
      <c r="A932" s="25" t="s">
        <v>3060</v>
      </c>
      <c r="B932" s="59">
        <v>45111.622094942126</v>
      </c>
      <c r="C932" s="25" t="s">
        <v>3004</v>
      </c>
      <c r="D932" s="25">
        <v>5357.0</v>
      </c>
      <c r="E932" s="20" t="s">
        <v>288</v>
      </c>
      <c r="F932" s="25" t="s">
        <v>55</v>
      </c>
      <c r="G932" s="25" t="s">
        <v>3061</v>
      </c>
      <c r="H932" s="25" t="s">
        <v>79</v>
      </c>
      <c r="I932" s="25"/>
      <c r="J932" s="25" t="s">
        <v>3062</v>
      </c>
      <c r="K932" s="25"/>
      <c r="L932" s="26" t="s">
        <v>20</v>
      </c>
      <c r="M932" s="12">
        <v>45112.0</v>
      </c>
      <c r="N932" s="77" t="str">
        <f t="shared" si="1"/>
        <v>julho</v>
      </c>
    </row>
    <row r="933">
      <c r="A933" s="7" t="s">
        <v>3063</v>
      </c>
      <c r="B933" s="8">
        <v>45111.64010024305</v>
      </c>
      <c r="C933" s="7" t="s">
        <v>3004</v>
      </c>
      <c r="D933" s="7">
        <v>5357.0</v>
      </c>
      <c r="E933" s="20" t="s">
        <v>288</v>
      </c>
      <c r="F933" s="7" t="s">
        <v>55</v>
      </c>
      <c r="G933" s="9" t="s">
        <v>3064</v>
      </c>
      <c r="H933" s="7" t="s">
        <v>79</v>
      </c>
      <c r="I933" s="7"/>
      <c r="J933" s="60" t="s">
        <v>3065</v>
      </c>
      <c r="K933" s="60"/>
      <c r="L933" s="10" t="s">
        <v>20</v>
      </c>
      <c r="M933" s="55">
        <v>45268.0</v>
      </c>
      <c r="N933" s="77" t="str">
        <f t="shared" si="1"/>
        <v>julho</v>
      </c>
    </row>
    <row r="934">
      <c r="A934" s="25" t="s">
        <v>3066</v>
      </c>
      <c r="B934" s="59">
        <v>45111.64309201389</v>
      </c>
      <c r="C934" s="25" t="s">
        <v>3004</v>
      </c>
      <c r="D934" s="25">
        <v>5357.0</v>
      </c>
      <c r="E934" s="20" t="s">
        <v>288</v>
      </c>
      <c r="F934" s="25" t="s">
        <v>55</v>
      </c>
      <c r="G934" s="25" t="s">
        <v>3067</v>
      </c>
      <c r="H934" s="25" t="s">
        <v>79</v>
      </c>
      <c r="I934" s="25"/>
      <c r="J934" s="25" t="s">
        <v>3068</v>
      </c>
      <c r="K934" s="25"/>
      <c r="L934" s="26" t="s">
        <v>20</v>
      </c>
      <c r="M934" s="12">
        <v>45119.0</v>
      </c>
      <c r="N934" s="77" t="str">
        <f t="shared" si="1"/>
        <v>julho</v>
      </c>
    </row>
    <row r="935">
      <c r="A935" s="25" t="s">
        <v>3069</v>
      </c>
      <c r="B935" s="59">
        <v>45111.64662459491</v>
      </c>
      <c r="C935" s="25" t="s">
        <v>3070</v>
      </c>
      <c r="D935" s="25">
        <v>5357.0</v>
      </c>
      <c r="E935" s="20" t="s">
        <v>288</v>
      </c>
      <c r="F935" s="25" t="s">
        <v>55</v>
      </c>
      <c r="G935" s="25" t="s">
        <v>3071</v>
      </c>
      <c r="H935" s="25" t="s">
        <v>79</v>
      </c>
      <c r="I935" s="25"/>
      <c r="J935" s="25" t="s">
        <v>3072</v>
      </c>
      <c r="K935" s="25"/>
      <c r="L935" s="26" t="s">
        <v>20</v>
      </c>
      <c r="M935" s="12">
        <v>45153.0</v>
      </c>
      <c r="N935" s="77" t="str">
        <f t="shared" si="1"/>
        <v>julho</v>
      </c>
    </row>
    <row r="936">
      <c r="A936" s="25" t="s">
        <v>3073</v>
      </c>
      <c r="B936" s="59">
        <v>45111.655590381946</v>
      </c>
      <c r="C936" s="25" t="s">
        <v>3004</v>
      </c>
      <c r="D936" s="25">
        <v>5357.0</v>
      </c>
      <c r="E936" s="20" t="s">
        <v>288</v>
      </c>
      <c r="F936" s="25" t="s">
        <v>55</v>
      </c>
      <c r="G936" s="25" t="s">
        <v>3074</v>
      </c>
      <c r="H936" s="25" t="s">
        <v>79</v>
      </c>
      <c r="I936" s="25"/>
      <c r="J936" s="25" t="s">
        <v>3075</v>
      </c>
      <c r="K936" s="25"/>
      <c r="L936" s="26" t="s">
        <v>20</v>
      </c>
      <c r="M936" s="12">
        <v>45153.0</v>
      </c>
      <c r="N936" s="77" t="str">
        <f t="shared" si="1"/>
        <v>julho</v>
      </c>
    </row>
    <row r="937">
      <c r="A937" s="25" t="s">
        <v>3076</v>
      </c>
      <c r="B937" s="59">
        <v>45111.7276742824</v>
      </c>
      <c r="C937" s="25" t="s">
        <v>522</v>
      </c>
      <c r="D937" s="25">
        <v>5333.0</v>
      </c>
      <c r="E937" s="25" t="s">
        <v>41</v>
      </c>
      <c r="F937" s="25" t="s">
        <v>42</v>
      </c>
      <c r="G937" s="25" t="s">
        <v>691</v>
      </c>
      <c r="H937" s="25" t="s">
        <v>1734</v>
      </c>
      <c r="I937" s="25"/>
      <c r="J937" s="25" t="s">
        <v>3077</v>
      </c>
      <c r="K937" s="25"/>
      <c r="L937" s="26" t="s">
        <v>20</v>
      </c>
      <c r="M937" s="12">
        <v>45112.0</v>
      </c>
      <c r="N937" s="77" t="str">
        <f t="shared" si="1"/>
        <v>julho</v>
      </c>
    </row>
    <row r="938">
      <c r="A938" s="25" t="s">
        <v>3078</v>
      </c>
      <c r="B938" s="59">
        <v>45112.39701717593</v>
      </c>
      <c r="C938" s="25" t="s">
        <v>522</v>
      </c>
      <c r="D938" s="25">
        <v>6.198346672E10</v>
      </c>
      <c r="E938" s="25" t="s">
        <v>41</v>
      </c>
      <c r="F938" s="25" t="s">
        <v>22</v>
      </c>
      <c r="G938" s="85" t="s">
        <v>1705</v>
      </c>
      <c r="H938" s="25" t="s">
        <v>764</v>
      </c>
      <c r="I938" s="25"/>
      <c r="J938" s="25" t="s">
        <v>3079</v>
      </c>
      <c r="K938" s="25"/>
      <c r="L938" s="26" t="s">
        <v>20</v>
      </c>
      <c r="M938" s="12">
        <v>45145.0</v>
      </c>
      <c r="N938" s="77" t="str">
        <f t="shared" si="1"/>
        <v>julho</v>
      </c>
    </row>
    <row r="939">
      <c r="A939" s="25" t="s">
        <v>3080</v>
      </c>
      <c r="B939" s="59">
        <v>45112.408790914356</v>
      </c>
      <c r="C939" s="25" t="s">
        <v>346</v>
      </c>
      <c r="D939" s="25">
        <v>6.4996990617E10</v>
      </c>
      <c r="E939" s="25" t="s">
        <v>34</v>
      </c>
      <c r="F939" s="25" t="s">
        <v>347</v>
      </c>
      <c r="G939" s="25" t="s">
        <v>1832</v>
      </c>
      <c r="H939" s="25" t="s">
        <v>764</v>
      </c>
      <c r="I939" s="25"/>
      <c r="J939" s="25" t="s">
        <v>3081</v>
      </c>
      <c r="K939" s="25"/>
      <c r="L939" s="26" t="s">
        <v>20</v>
      </c>
      <c r="M939" s="12">
        <v>45153.0</v>
      </c>
      <c r="N939" s="77" t="str">
        <f t="shared" si="1"/>
        <v>julho</v>
      </c>
    </row>
    <row r="940">
      <c r="A940" s="25" t="s">
        <v>3082</v>
      </c>
      <c r="B940" s="59">
        <v>45112.48810988426</v>
      </c>
      <c r="C940" s="25" t="s">
        <v>1475</v>
      </c>
      <c r="D940" s="25">
        <v>5334.0</v>
      </c>
      <c r="E940" s="25" t="s">
        <v>187</v>
      </c>
      <c r="F940" s="25" t="s">
        <v>783</v>
      </c>
      <c r="G940" s="25" t="s">
        <v>3083</v>
      </c>
      <c r="H940" s="25" t="s">
        <v>1734</v>
      </c>
      <c r="I940" s="25"/>
      <c r="J940" s="25" t="s">
        <v>1007</v>
      </c>
      <c r="K940" s="25"/>
      <c r="L940" s="26" t="s">
        <v>20</v>
      </c>
      <c r="M940" s="12">
        <v>45153.0</v>
      </c>
      <c r="N940" s="77" t="str">
        <f t="shared" si="1"/>
        <v>julho</v>
      </c>
    </row>
    <row r="941">
      <c r="A941" s="25" t="s">
        <v>3084</v>
      </c>
      <c r="B941" s="59">
        <v>45112.69706420139</v>
      </c>
      <c r="C941" s="25" t="s">
        <v>339</v>
      </c>
      <c r="D941" s="25">
        <v>7.7999477415E10</v>
      </c>
      <c r="E941" s="25" t="s">
        <v>284</v>
      </c>
      <c r="F941" s="25" t="s">
        <v>86</v>
      </c>
      <c r="G941" s="25" t="s">
        <v>3085</v>
      </c>
      <c r="H941" s="25" t="s">
        <v>1734</v>
      </c>
      <c r="I941" s="25"/>
      <c r="J941" s="25" t="s">
        <v>3086</v>
      </c>
      <c r="K941" s="25"/>
      <c r="L941" s="26" t="s">
        <v>20</v>
      </c>
      <c r="M941" s="12">
        <v>45126.0</v>
      </c>
      <c r="N941" s="77" t="str">
        <f t="shared" si="1"/>
        <v>julho</v>
      </c>
    </row>
    <row r="942">
      <c r="A942" s="25" t="s">
        <v>3087</v>
      </c>
      <c r="B942" s="59">
        <v>45114.423100810185</v>
      </c>
      <c r="C942" s="25" t="s">
        <v>3088</v>
      </c>
      <c r="D942" s="25">
        <v>5343.0</v>
      </c>
      <c r="E942" s="25" t="s">
        <v>987</v>
      </c>
      <c r="F942" s="25" t="s">
        <v>82</v>
      </c>
      <c r="G942" s="25" t="s">
        <v>3089</v>
      </c>
      <c r="H942" s="25" t="s">
        <v>79</v>
      </c>
      <c r="I942" s="25"/>
      <c r="J942" s="25" t="s">
        <v>3090</v>
      </c>
      <c r="K942" s="25"/>
      <c r="L942" s="26" t="s">
        <v>20</v>
      </c>
      <c r="M942" s="12">
        <v>45135.0</v>
      </c>
      <c r="N942" s="77" t="str">
        <f t="shared" si="1"/>
        <v>julho</v>
      </c>
    </row>
    <row r="943">
      <c r="A943" s="25" t="s">
        <v>3091</v>
      </c>
      <c r="B943" s="59">
        <v>45114.47637307871</v>
      </c>
      <c r="C943" s="25" t="s">
        <v>598</v>
      </c>
      <c r="D943" s="25">
        <v>6.434415349E9</v>
      </c>
      <c r="E943" s="25" t="s">
        <v>60</v>
      </c>
      <c r="F943" s="25" t="s">
        <v>61</v>
      </c>
      <c r="G943" s="25" t="s">
        <v>2335</v>
      </c>
      <c r="H943" s="25" t="s">
        <v>79</v>
      </c>
      <c r="I943" s="25"/>
      <c r="J943" s="25" t="s">
        <v>3092</v>
      </c>
      <c r="K943" s="25"/>
      <c r="L943" s="26" t="s">
        <v>20</v>
      </c>
      <c r="M943" s="12">
        <v>45119.0</v>
      </c>
      <c r="N943" s="77" t="str">
        <f t="shared" si="1"/>
        <v>julho</v>
      </c>
    </row>
    <row r="944">
      <c r="A944" s="25" t="s">
        <v>3093</v>
      </c>
      <c r="B944" s="59">
        <v>45117.17807234953</v>
      </c>
      <c r="C944" s="25" t="s">
        <v>169</v>
      </c>
      <c r="D944" s="25">
        <v>5318.0</v>
      </c>
      <c r="E944" s="25" t="s">
        <v>15</v>
      </c>
      <c r="F944" s="25" t="s">
        <v>86</v>
      </c>
      <c r="G944" s="25" t="s">
        <v>3094</v>
      </c>
      <c r="H944" s="25" t="s">
        <v>1734</v>
      </c>
      <c r="I944" s="25"/>
      <c r="J944" s="25" t="s">
        <v>3095</v>
      </c>
      <c r="K944" s="25"/>
      <c r="L944" s="26" t="s">
        <v>20</v>
      </c>
      <c r="M944" s="12">
        <v>45120.0</v>
      </c>
      <c r="N944" s="77" t="str">
        <f t="shared" si="1"/>
        <v>julho</v>
      </c>
    </row>
    <row r="945">
      <c r="A945" s="25" t="s">
        <v>3096</v>
      </c>
      <c r="B945" s="59">
        <v>45117.39489635416</v>
      </c>
      <c r="C945" s="25" t="s">
        <v>982</v>
      </c>
      <c r="D945" s="25">
        <v>5327.0</v>
      </c>
      <c r="E945" s="25" t="s">
        <v>853</v>
      </c>
      <c r="F945" s="25" t="s">
        <v>86</v>
      </c>
      <c r="G945" s="25" t="s">
        <v>3097</v>
      </c>
      <c r="H945" s="25" t="s">
        <v>1734</v>
      </c>
      <c r="I945" s="25"/>
      <c r="J945" s="25" t="s">
        <v>3098</v>
      </c>
      <c r="K945" s="25"/>
      <c r="L945" s="26" t="s">
        <v>20</v>
      </c>
      <c r="M945" s="12">
        <v>45147.0</v>
      </c>
      <c r="N945" s="77" t="str">
        <f t="shared" si="1"/>
        <v>julho</v>
      </c>
    </row>
    <row r="946">
      <c r="A946" s="25" t="s">
        <v>3099</v>
      </c>
      <c r="B946" s="59">
        <v>45117.39631137731</v>
      </c>
      <c r="C946" s="25" t="s">
        <v>3100</v>
      </c>
      <c r="D946" s="25">
        <v>5328.0</v>
      </c>
      <c r="E946" s="25" t="s">
        <v>853</v>
      </c>
      <c r="F946" s="25" t="s">
        <v>86</v>
      </c>
      <c r="G946" s="25" t="s">
        <v>3097</v>
      </c>
      <c r="H946" s="25" t="s">
        <v>18</v>
      </c>
      <c r="I946" s="25"/>
      <c r="J946" s="25" t="s">
        <v>3101</v>
      </c>
      <c r="K946" s="25"/>
      <c r="L946" s="26" t="s">
        <v>20</v>
      </c>
      <c r="M946" s="12">
        <v>45126.0</v>
      </c>
      <c r="N946" s="77" t="str">
        <f t="shared" si="1"/>
        <v>julho</v>
      </c>
    </row>
    <row r="947">
      <c r="A947" s="25" t="s">
        <v>3102</v>
      </c>
      <c r="B947" s="59">
        <v>45117.577729826386</v>
      </c>
      <c r="C947" s="25" t="s">
        <v>422</v>
      </c>
      <c r="D947" s="25">
        <v>5346.0</v>
      </c>
      <c r="E947" s="25" t="s">
        <v>423</v>
      </c>
      <c r="F947" s="25" t="s">
        <v>82</v>
      </c>
      <c r="G947" s="25" t="s">
        <v>3103</v>
      </c>
      <c r="H947" s="25" t="s">
        <v>764</v>
      </c>
      <c r="I947" s="25"/>
      <c r="J947" s="25" t="s">
        <v>3104</v>
      </c>
      <c r="K947" s="25"/>
      <c r="L947" s="26" t="s">
        <v>20</v>
      </c>
      <c r="M947" s="12">
        <v>45118.0</v>
      </c>
      <c r="N947" s="77" t="str">
        <f t="shared" si="1"/>
        <v>julho</v>
      </c>
    </row>
    <row r="948">
      <c r="A948" s="25" t="s">
        <v>3105</v>
      </c>
      <c r="B948" s="59">
        <v>45117.579185104165</v>
      </c>
      <c r="C948" s="25" t="s">
        <v>422</v>
      </c>
      <c r="D948" s="25">
        <v>5346.0</v>
      </c>
      <c r="E948" s="25" t="s">
        <v>423</v>
      </c>
      <c r="F948" s="25" t="s">
        <v>82</v>
      </c>
      <c r="G948" s="25" t="s">
        <v>3103</v>
      </c>
      <c r="H948" s="25" t="s">
        <v>764</v>
      </c>
      <c r="I948" s="25"/>
      <c r="J948" s="25" t="s">
        <v>3106</v>
      </c>
      <c r="K948" s="25"/>
      <c r="L948" s="26" t="s">
        <v>20</v>
      </c>
      <c r="M948" s="12">
        <v>45118.0</v>
      </c>
      <c r="N948" s="77" t="str">
        <f t="shared" si="1"/>
        <v>julho</v>
      </c>
    </row>
    <row r="949">
      <c r="A949" s="25" t="s">
        <v>3107</v>
      </c>
      <c r="B949" s="59">
        <v>45117.58070993055</v>
      </c>
      <c r="C949" s="25" t="s">
        <v>422</v>
      </c>
      <c r="D949" s="25">
        <v>5346.0</v>
      </c>
      <c r="E949" s="25" t="s">
        <v>423</v>
      </c>
      <c r="F949" s="25" t="s">
        <v>82</v>
      </c>
      <c r="G949" s="25" t="s">
        <v>3108</v>
      </c>
      <c r="H949" s="25" t="s">
        <v>764</v>
      </c>
      <c r="I949" s="25"/>
      <c r="J949" s="25" t="s">
        <v>3104</v>
      </c>
      <c r="K949" s="25"/>
      <c r="L949" s="26" t="s">
        <v>20</v>
      </c>
      <c r="M949" s="12">
        <v>45118.0</v>
      </c>
      <c r="N949" s="77" t="str">
        <f t="shared" si="1"/>
        <v>julho</v>
      </c>
    </row>
    <row r="950">
      <c r="A950" s="25" t="s">
        <v>3109</v>
      </c>
      <c r="B950" s="59">
        <v>45117.698920462964</v>
      </c>
      <c r="C950" s="25" t="s">
        <v>673</v>
      </c>
      <c r="D950" s="25">
        <v>5332.0</v>
      </c>
      <c r="E950" s="25" t="s">
        <v>728</v>
      </c>
      <c r="F950" s="25" t="s">
        <v>103</v>
      </c>
      <c r="G950" s="25" t="s">
        <v>3110</v>
      </c>
      <c r="H950" s="25" t="s">
        <v>1734</v>
      </c>
      <c r="I950" s="25"/>
      <c r="J950" s="25" t="s">
        <v>3111</v>
      </c>
      <c r="K950" s="25"/>
      <c r="L950" s="26" t="s">
        <v>20</v>
      </c>
      <c r="M950" s="12">
        <v>45126.0</v>
      </c>
      <c r="N950" s="77" t="str">
        <f t="shared" si="1"/>
        <v>julho</v>
      </c>
    </row>
    <row r="951">
      <c r="A951" s="25" t="s">
        <v>3112</v>
      </c>
      <c r="B951" s="59">
        <v>45117.700499513885</v>
      </c>
      <c r="C951" s="25" t="s">
        <v>673</v>
      </c>
      <c r="D951" s="25">
        <v>5332.0</v>
      </c>
      <c r="E951" s="25" t="s">
        <v>728</v>
      </c>
      <c r="F951" s="25" t="s">
        <v>103</v>
      </c>
      <c r="G951" s="25" t="s">
        <v>3113</v>
      </c>
      <c r="H951" s="25" t="s">
        <v>1734</v>
      </c>
      <c r="I951" s="25"/>
      <c r="J951" s="25" t="s">
        <v>3114</v>
      </c>
      <c r="K951" s="25"/>
      <c r="L951" s="26" t="s">
        <v>20</v>
      </c>
      <c r="M951" s="12">
        <v>45133.0</v>
      </c>
      <c r="N951" s="77" t="str">
        <f t="shared" si="1"/>
        <v>julho</v>
      </c>
    </row>
    <row r="952">
      <c r="A952" s="25" t="s">
        <v>3115</v>
      </c>
      <c r="B952" s="59">
        <v>45117.71061096065</v>
      </c>
      <c r="C952" s="25" t="s">
        <v>673</v>
      </c>
      <c r="D952" s="25">
        <v>5332.0</v>
      </c>
      <c r="E952" s="25" t="s">
        <v>728</v>
      </c>
      <c r="F952" s="25" t="s">
        <v>103</v>
      </c>
      <c r="G952" s="25" t="s">
        <v>891</v>
      </c>
      <c r="H952" s="25" t="s">
        <v>764</v>
      </c>
      <c r="I952" s="25"/>
      <c r="J952" s="25" t="s">
        <v>3116</v>
      </c>
      <c r="K952" s="25"/>
      <c r="L952" s="26" t="s">
        <v>20</v>
      </c>
      <c r="M952" s="12">
        <v>45120.0</v>
      </c>
      <c r="N952" s="77" t="str">
        <f t="shared" si="1"/>
        <v>julho</v>
      </c>
    </row>
    <row r="953">
      <c r="A953" s="25" t="s">
        <v>3117</v>
      </c>
      <c r="B953" s="59">
        <v>45117.71407855324</v>
      </c>
      <c r="C953" s="25" t="s">
        <v>673</v>
      </c>
      <c r="D953" s="25">
        <v>5332.0</v>
      </c>
      <c r="E953" s="25" t="s">
        <v>728</v>
      </c>
      <c r="F953" s="25" t="s">
        <v>103</v>
      </c>
      <c r="G953" s="25" t="s">
        <v>3009</v>
      </c>
      <c r="H953" s="25" t="s">
        <v>1734</v>
      </c>
      <c r="I953" s="25"/>
      <c r="J953" s="25" t="s">
        <v>3118</v>
      </c>
      <c r="K953" s="25"/>
      <c r="L953" s="26" t="s">
        <v>20</v>
      </c>
      <c r="M953" s="12">
        <v>45147.0</v>
      </c>
      <c r="N953" s="77" t="str">
        <f t="shared" si="1"/>
        <v>julho</v>
      </c>
    </row>
    <row r="954">
      <c r="A954" s="7" t="s">
        <v>3119</v>
      </c>
      <c r="B954" s="8">
        <v>45118.31861097222</v>
      </c>
      <c r="C954" s="7" t="s">
        <v>2096</v>
      </c>
      <c r="D954" s="7" t="s">
        <v>3120</v>
      </c>
      <c r="E954" s="25" t="s">
        <v>34</v>
      </c>
      <c r="F954" s="7" t="s">
        <v>783</v>
      </c>
      <c r="G954" s="9">
        <v>307.0</v>
      </c>
      <c r="H954" s="7" t="s">
        <v>764</v>
      </c>
      <c r="I954" s="7"/>
      <c r="J954" s="60" t="s">
        <v>3121</v>
      </c>
      <c r="K954" s="60"/>
      <c r="L954" s="10" t="s">
        <v>20</v>
      </c>
      <c r="M954" s="55">
        <v>45257.0</v>
      </c>
      <c r="N954" s="77" t="str">
        <f t="shared" si="1"/>
        <v>julho</v>
      </c>
    </row>
    <row r="955">
      <c r="A955" s="25" t="s">
        <v>3122</v>
      </c>
      <c r="B955" s="59">
        <v>45118.32060497685</v>
      </c>
      <c r="C955" s="25" t="s">
        <v>3123</v>
      </c>
      <c r="D955" s="25">
        <v>5320.0</v>
      </c>
      <c r="E955" s="20" t="s">
        <v>206</v>
      </c>
      <c r="F955" s="25" t="s">
        <v>178</v>
      </c>
      <c r="G955" s="25" t="s">
        <v>3124</v>
      </c>
      <c r="H955" s="25" t="s">
        <v>1734</v>
      </c>
      <c r="I955" s="25"/>
      <c r="J955" s="25" t="s">
        <v>3125</v>
      </c>
      <c r="K955" s="25"/>
      <c r="L955" s="26" t="s">
        <v>20</v>
      </c>
      <c r="M955" s="12">
        <v>45133.0</v>
      </c>
      <c r="N955" s="77" t="str">
        <f t="shared" si="1"/>
        <v>julho</v>
      </c>
    </row>
    <row r="956">
      <c r="A956" s="25" t="s">
        <v>3126</v>
      </c>
      <c r="B956" s="59">
        <v>45118.46207918982</v>
      </c>
      <c r="C956" s="25" t="s">
        <v>138</v>
      </c>
      <c r="D956" s="25">
        <v>5318.0</v>
      </c>
      <c r="E956" s="25" t="s">
        <v>15</v>
      </c>
      <c r="F956" s="25" t="s">
        <v>393</v>
      </c>
      <c r="G956" s="25" t="s">
        <v>14</v>
      </c>
      <c r="H956" s="25" t="s">
        <v>1734</v>
      </c>
      <c r="I956" s="25"/>
      <c r="J956" s="25" t="s">
        <v>3127</v>
      </c>
      <c r="K956" s="25"/>
      <c r="L956" s="26" t="s">
        <v>20</v>
      </c>
      <c r="M956" s="12">
        <v>45119.0</v>
      </c>
      <c r="N956" s="77" t="str">
        <f t="shared" si="1"/>
        <v>julho</v>
      </c>
    </row>
    <row r="957">
      <c r="A957" s="25" t="s">
        <v>3128</v>
      </c>
      <c r="B957" s="59">
        <v>45118.63680609954</v>
      </c>
      <c r="C957" s="25" t="s">
        <v>354</v>
      </c>
      <c r="D957" s="25">
        <v>5323.0</v>
      </c>
      <c r="E957" s="7" t="s">
        <v>246</v>
      </c>
      <c r="F957" s="25" t="s">
        <v>178</v>
      </c>
      <c r="G957" s="25" t="s">
        <v>3129</v>
      </c>
      <c r="H957" s="25" t="s">
        <v>1734</v>
      </c>
      <c r="I957" s="25"/>
      <c r="J957" s="25" t="s">
        <v>3130</v>
      </c>
      <c r="K957" s="25"/>
      <c r="L957" s="26" t="s">
        <v>20</v>
      </c>
      <c r="M957" s="12">
        <v>45147.0</v>
      </c>
      <c r="N957" s="77" t="str">
        <f t="shared" si="1"/>
        <v>julho</v>
      </c>
    </row>
    <row r="958">
      <c r="A958" s="25" t="s">
        <v>3131</v>
      </c>
      <c r="B958" s="59">
        <v>45118.74236017361</v>
      </c>
      <c r="C958" s="25" t="s">
        <v>194</v>
      </c>
      <c r="D958" s="25" t="s">
        <v>3132</v>
      </c>
      <c r="E958" s="25" t="s">
        <v>195</v>
      </c>
      <c r="F958" s="25" t="s">
        <v>3133</v>
      </c>
      <c r="G958" s="25" t="s">
        <v>3134</v>
      </c>
      <c r="H958" s="25" t="s">
        <v>1734</v>
      </c>
      <c r="I958" s="25"/>
      <c r="J958" s="25" t="s">
        <v>3135</v>
      </c>
      <c r="K958" s="25"/>
      <c r="L958" s="26" t="s">
        <v>20</v>
      </c>
      <c r="M958" s="12">
        <v>45216.0</v>
      </c>
      <c r="N958" s="77" t="str">
        <f t="shared" si="1"/>
        <v>julho</v>
      </c>
    </row>
    <row r="959">
      <c r="A959" s="25" t="s">
        <v>3136</v>
      </c>
      <c r="B959" s="59">
        <v>45119.01689277778</v>
      </c>
      <c r="C959" s="25" t="s">
        <v>65</v>
      </c>
      <c r="D959" s="25">
        <v>5318.0</v>
      </c>
      <c r="E959" s="25" t="s">
        <v>15</v>
      </c>
      <c r="F959" s="25" t="s">
        <v>86</v>
      </c>
      <c r="G959" s="25" t="s">
        <v>1349</v>
      </c>
      <c r="H959" s="25" t="s">
        <v>18</v>
      </c>
      <c r="I959" s="25"/>
      <c r="J959" s="25" t="s">
        <v>3137</v>
      </c>
      <c r="K959" s="25"/>
      <c r="L959" s="26" t="s">
        <v>20</v>
      </c>
      <c r="M959" s="12">
        <v>45120.0</v>
      </c>
      <c r="N959" s="77" t="str">
        <f t="shared" si="1"/>
        <v>julho</v>
      </c>
    </row>
    <row r="960">
      <c r="A960" s="25" t="s">
        <v>3138</v>
      </c>
      <c r="B960" s="59">
        <v>45119.01894011574</v>
      </c>
      <c r="C960" s="25" t="s">
        <v>65</v>
      </c>
      <c r="D960" s="25">
        <v>5318.0</v>
      </c>
      <c r="E960" s="25" t="s">
        <v>15</v>
      </c>
      <c r="F960" s="25" t="s">
        <v>49</v>
      </c>
      <c r="G960" s="25" t="s">
        <v>3139</v>
      </c>
      <c r="H960" s="25" t="s">
        <v>18</v>
      </c>
      <c r="I960" s="25"/>
      <c r="J960" s="25" t="s">
        <v>3140</v>
      </c>
      <c r="K960" s="25"/>
      <c r="L960" s="26" t="s">
        <v>20</v>
      </c>
      <c r="M960" s="12">
        <v>45132.0</v>
      </c>
      <c r="N960" s="77" t="str">
        <f t="shared" si="1"/>
        <v>julho</v>
      </c>
    </row>
    <row r="961">
      <c r="A961" s="7" t="s">
        <v>3141</v>
      </c>
      <c r="B961" s="8">
        <v>45119.46020028935</v>
      </c>
      <c r="C961" s="7" t="s">
        <v>40</v>
      </c>
      <c r="D961" s="7">
        <v>5333.0</v>
      </c>
      <c r="E961" s="7" t="s">
        <v>41</v>
      </c>
      <c r="F961" s="25" t="s">
        <v>42</v>
      </c>
      <c r="G961" s="9" t="s">
        <v>254</v>
      </c>
      <c r="H961" s="7" t="s">
        <v>1853</v>
      </c>
      <c r="I961" s="7"/>
      <c r="J961" s="60" t="s">
        <v>3142</v>
      </c>
      <c r="K961" s="60"/>
      <c r="L961" s="10" t="s">
        <v>20</v>
      </c>
      <c r="M961" s="55">
        <v>45236.0</v>
      </c>
      <c r="N961" s="77" t="str">
        <f t="shared" si="1"/>
        <v>julho</v>
      </c>
    </row>
    <row r="962">
      <c r="A962" s="25" t="s">
        <v>3143</v>
      </c>
      <c r="B962" s="59">
        <v>45119.46725233796</v>
      </c>
      <c r="C962" s="25" t="s">
        <v>40</v>
      </c>
      <c r="D962" s="25">
        <v>5333.0</v>
      </c>
      <c r="E962" s="25" t="s">
        <v>41</v>
      </c>
      <c r="F962" s="25" t="s">
        <v>42</v>
      </c>
      <c r="G962" s="25" t="s">
        <v>608</v>
      </c>
      <c r="H962" s="25" t="s">
        <v>79</v>
      </c>
      <c r="I962" s="25"/>
      <c r="J962" s="25" t="s">
        <v>3144</v>
      </c>
      <c r="K962" s="25"/>
      <c r="L962" s="26" t="s">
        <v>20</v>
      </c>
      <c r="M962" s="12">
        <v>45140.0</v>
      </c>
      <c r="N962" s="77" t="str">
        <f t="shared" si="1"/>
        <v>julho</v>
      </c>
    </row>
    <row r="963">
      <c r="A963" s="25" t="s">
        <v>3145</v>
      </c>
      <c r="B963" s="59">
        <v>45119.47001289352</v>
      </c>
      <c r="C963" s="25" t="s">
        <v>40</v>
      </c>
      <c r="D963" s="25">
        <v>5333.0</v>
      </c>
      <c r="E963" s="25" t="s">
        <v>41</v>
      </c>
      <c r="F963" s="25" t="s">
        <v>42</v>
      </c>
      <c r="G963" s="25" t="s">
        <v>608</v>
      </c>
      <c r="H963" s="25" t="s">
        <v>79</v>
      </c>
      <c r="I963" s="25"/>
      <c r="J963" s="25" t="s">
        <v>3146</v>
      </c>
      <c r="K963" s="25"/>
      <c r="L963" s="26" t="s">
        <v>20</v>
      </c>
      <c r="M963" s="12">
        <v>45138.0</v>
      </c>
      <c r="N963" s="77" t="str">
        <f t="shared" si="1"/>
        <v>julho</v>
      </c>
    </row>
    <row r="964">
      <c r="A964" s="7" t="s">
        <v>3147</v>
      </c>
      <c r="B964" s="8">
        <v>45119.69566748843</v>
      </c>
      <c r="C964" s="7" t="s">
        <v>3035</v>
      </c>
      <c r="D964" s="7">
        <v>5375.0</v>
      </c>
      <c r="E964" s="7" t="s">
        <v>423</v>
      </c>
      <c r="F964" s="7" t="s">
        <v>3148</v>
      </c>
      <c r="G964" s="9">
        <v>13.0</v>
      </c>
      <c r="H964" s="7" t="s">
        <v>764</v>
      </c>
      <c r="I964" s="7"/>
      <c r="J964" s="60" t="s">
        <v>3149</v>
      </c>
      <c r="K964" s="60"/>
      <c r="L964" s="10" t="s">
        <v>20</v>
      </c>
      <c r="M964" s="55">
        <v>45250.0</v>
      </c>
      <c r="N964" s="77" t="str">
        <f t="shared" si="1"/>
        <v>julho</v>
      </c>
    </row>
    <row r="965">
      <c r="A965" s="25" t="s">
        <v>3150</v>
      </c>
      <c r="B965" s="59">
        <v>45120.36804743056</v>
      </c>
      <c r="C965" s="25" t="s">
        <v>1491</v>
      </c>
      <c r="D965" s="25">
        <v>5333.0</v>
      </c>
      <c r="E965" s="25" t="s">
        <v>41</v>
      </c>
      <c r="F965" s="25" t="s">
        <v>42</v>
      </c>
      <c r="G965" s="25" t="s">
        <v>3151</v>
      </c>
      <c r="H965" s="25" t="s">
        <v>79</v>
      </c>
      <c r="I965" s="25"/>
      <c r="J965" s="25" t="s">
        <v>3152</v>
      </c>
      <c r="K965" s="25"/>
      <c r="L965" s="26" t="s">
        <v>20</v>
      </c>
      <c r="M965" s="12">
        <v>45140.0</v>
      </c>
      <c r="N965" s="77" t="str">
        <f t="shared" si="1"/>
        <v>julho</v>
      </c>
    </row>
    <row r="966">
      <c r="A966" s="25" t="s">
        <v>3153</v>
      </c>
      <c r="B966" s="59">
        <v>45120.39432252315</v>
      </c>
      <c r="C966" s="25" t="s">
        <v>2177</v>
      </c>
      <c r="D966" s="25">
        <v>3.4415308E7</v>
      </c>
      <c r="E966" s="25" t="s">
        <v>1372</v>
      </c>
      <c r="F966" s="25" t="s">
        <v>1487</v>
      </c>
      <c r="G966" s="25" t="s">
        <v>3154</v>
      </c>
      <c r="H966" s="25" t="s">
        <v>18</v>
      </c>
      <c r="I966" s="25"/>
      <c r="J966" s="25" t="s">
        <v>3155</v>
      </c>
      <c r="K966" s="25"/>
      <c r="L966" s="26" t="s">
        <v>20</v>
      </c>
      <c r="M966" s="12">
        <v>45134.0</v>
      </c>
      <c r="N966" s="77" t="str">
        <f t="shared" si="1"/>
        <v>julho</v>
      </c>
    </row>
    <row r="967">
      <c r="A967" s="25" t="s">
        <v>3156</v>
      </c>
      <c r="B967" s="59">
        <v>45120.39789748842</v>
      </c>
      <c r="C967" s="25" t="s">
        <v>2861</v>
      </c>
      <c r="D967" s="25">
        <v>3.4415308E7</v>
      </c>
      <c r="E967" s="25" t="s">
        <v>1372</v>
      </c>
      <c r="F967" s="25" t="s">
        <v>3157</v>
      </c>
      <c r="G967" s="25" t="s">
        <v>3158</v>
      </c>
      <c r="H967" s="25" t="s">
        <v>764</v>
      </c>
      <c r="I967" s="25"/>
      <c r="J967" s="25" t="s">
        <v>3159</v>
      </c>
      <c r="K967" s="25"/>
      <c r="L967" s="26" t="s">
        <v>20</v>
      </c>
      <c r="M967" s="12">
        <v>45138.0</v>
      </c>
      <c r="N967" s="77" t="str">
        <f t="shared" si="1"/>
        <v>julho</v>
      </c>
    </row>
    <row r="968">
      <c r="A968" s="25" t="s">
        <v>3160</v>
      </c>
      <c r="B968" s="59">
        <v>45120.52487188658</v>
      </c>
      <c r="C968" s="25" t="s">
        <v>3161</v>
      </c>
      <c r="D968" s="25">
        <v>6.4981321757E10</v>
      </c>
      <c r="E968" s="25" t="s">
        <v>187</v>
      </c>
      <c r="F968" s="25" t="s">
        <v>347</v>
      </c>
      <c r="G968" s="25" t="s">
        <v>3162</v>
      </c>
      <c r="H968" s="25" t="s">
        <v>18</v>
      </c>
      <c r="I968" s="25"/>
      <c r="J968" s="25" t="s">
        <v>3163</v>
      </c>
      <c r="K968" s="25"/>
      <c r="L968" s="26" t="s">
        <v>20</v>
      </c>
      <c r="M968" s="12">
        <v>45133.0</v>
      </c>
      <c r="N968" s="77" t="str">
        <f t="shared" si="1"/>
        <v>julho</v>
      </c>
    </row>
    <row r="969">
      <c r="A969" s="25" t="s">
        <v>3164</v>
      </c>
      <c r="B969" s="59">
        <v>45120.6510056713</v>
      </c>
      <c r="C969" s="25" t="s">
        <v>3165</v>
      </c>
      <c r="D969" s="25">
        <v>5320.0</v>
      </c>
      <c r="E969" s="20" t="s">
        <v>206</v>
      </c>
      <c r="F969" s="25" t="s">
        <v>61</v>
      </c>
      <c r="G969" s="25" t="s">
        <v>3166</v>
      </c>
      <c r="H969" s="25" t="s">
        <v>1734</v>
      </c>
      <c r="I969" s="25"/>
      <c r="J969" s="25" t="s">
        <v>1018</v>
      </c>
      <c r="K969" s="25"/>
      <c r="L969" s="26" t="s">
        <v>20</v>
      </c>
      <c r="M969" s="12">
        <v>45146.0</v>
      </c>
      <c r="N969" s="77" t="str">
        <f t="shared" si="1"/>
        <v>julho</v>
      </c>
    </row>
    <row r="970">
      <c r="A970" s="25" t="s">
        <v>3167</v>
      </c>
      <c r="B970" s="59">
        <v>45121.3426308912</v>
      </c>
      <c r="C970" s="25" t="s">
        <v>553</v>
      </c>
      <c r="D970" s="25">
        <v>5318.0</v>
      </c>
      <c r="E970" s="25" t="s">
        <v>15</v>
      </c>
      <c r="F970" s="25" t="s">
        <v>347</v>
      </c>
      <c r="G970" s="25" t="s">
        <v>3168</v>
      </c>
      <c r="H970" s="25" t="s">
        <v>18</v>
      </c>
      <c r="I970" s="25"/>
      <c r="J970" s="25" t="s">
        <v>3169</v>
      </c>
      <c r="K970" s="25"/>
      <c r="L970" s="26" t="s">
        <v>20</v>
      </c>
      <c r="M970" s="12">
        <v>45132.0</v>
      </c>
      <c r="N970" s="77" t="str">
        <f t="shared" si="1"/>
        <v>julho</v>
      </c>
    </row>
    <row r="971">
      <c r="A971" s="25" t="s">
        <v>3170</v>
      </c>
      <c r="B971" s="59">
        <v>45124.307245752316</v>
      </c>
      <c r="C971" s="25" t="s">
        <v>486</v>
      </c>
      <c r="D971" s="25">
        <v>5340.0</v>
      </c>
      <c r="E971" s="25" t="s">
        <v>70</v>
      </c>
      <c r="F971" s="25" t="s">
        <v>1005</v>
      </c>
      <c r="G971" s="25" t="s">
        <v>1208</v>
      </c>
      <c r="H971" s="25" t="s">
        <v>79</v>
      </c>
      <c r="I971" s="25"/>
      <c r="J971" s="25" t="s">
        <v>3171</v>
      </c>
      <c r="K971" s="25"/>
      <c r="L971" s="26" t="s">
        <v>20</v>
      </c>
      <c r="M971" s="12">
        <v>45138.0</v>
      </c>
      <c r="N971" s="77" t="str">
        <f t="shared" si="1"/>
        <v>julho</v>
      </c>
    </row>
    <row r="972">
      <c r="A972" s="25" t="s">
        <v>3172</v>
      </c>
      <c r="B972" s="59">
        <v>45124.42192678241</v>
      </c>
      <c r="C972" s="25" t="s">
        <v>3173</v>
      </c>
      <c r="D972" s="25">
        <v>5314.0</v>
      </c>
      <c r="E972" s="25" t="s">
        <v>261</v>
      </c>
      <c r="F972" s="25" t="s">
        <v>2513</v>
      </c>
      <c r="G972" s="25">
        <v>116.0</v>
      </c>
      <c r="H972" s="25" t="s">
        <v>764</v>
      </c>
      <c r="I972" s="25"/>
      <c r="J972" s="25" t="s">
        <v>3174</v>
      </c>
      <c r="K972" s="25"/>
      <c r="L972" s="26" t="s">
        <v>20</v>
      </c>
      <c r="M972" s="12">
        <v>45141.0</v>
      </c>
      <c r="N972" s="77" t="str">
        <f t="shared" si="1"/>
        <v>julho</v>
      </c>
    </row>
    <row r="973">
      <c r="A973" s="25" t="s">
        <v>3175</v>
      </c>
      <c r="B973" s="59">
        <v>45124.58094783565</v>
      </c>
      <c r="C973" s="25" t="s">
        <v>186</v>
      </c>
      <c r="D973" s="25">
        <v>5334.0</v>
      </c>
      <c r="E973" s="25" t="s">
        <v>187</v>
      </c>
      <c r="F973" s="25" t="s">
        <v>347</v>
      </c>
      <c r="G973" s="25" t="s">
        <v>3176</v>
      </c>
      <c r="H973" s="25" t="s">
        <v>1734</v>
      </c>
      <c r="I973" s="25"/>
      <c r="J973" s="25" t="s">
        <v>3177</v>
      </c>
      <c r="K973" s="25"/>
      <c r="L973" s="26" t="s">
        <v>20</v>
      </c>
      <c r="M973" s="12">
        <v>45125.0</v>
      </c>
      <c r="N973" s="77" t="str">
        <f t="shared" si="1"/>
        <v>julho</v>
      </c>
    </row>
    <row r="974">
      <c r="A974" s="7" t="s">
        <v>3178</v>
      </c>
      <c r="B974" s="8">
        <v>45124.61612811343</v>
      </c>
      <c r="C974" s="7" t="s">
        <v>2981</v>
      </c>
      <c r="D974" s="7" t="s">
        <v>3179</v>
      </c>
      <c r="E974" s="7" t="s">
        <v>2560</v>
      </c>
      <c r="F974" s="25" t="s">
        <v>347</v>
      </c>
      <c r="G974" s="9">
        <v>213.0</v>
      </c>
      <c r="H974" s="7" t="s">
        <v>298</v>
      </c>
      <c r="I974" s="7"/>
      <c r="J974" s="60" t="s">
        <v>3180</v>
      </c>
      <c r="K974" s="7" t="s">
        <v>3181</v>
      </c>
      <c r="L974" s="10" t="s">
        <v>74</v>
      </c>
      <c r="M974" s="55">
        <v>45254.0</v>
      </c>
      <c r="N974" s="77" t="str">
        <f t="shared" si="1"/>
        <v>julho</v>
      </c>
    </row>
    <row r="975">
      <c r="A975" s="25" t="s">
        <v>3182</v>
      </c>
      <c r="B975" s="59">
        <v>45124.61971550926</v>
      </c>
      <c r="C975" s="25" t="s">
        <v>2981</v>
      </c>
      <c r="D975" s="25" t="s">
        <v>3179</v>
      </c>
      <c r="E975" s="25" t="s">
        <v>2560</v>
      </c>
      <c r="F975" s="25" t="s">
        <v>347</v>
      </c>
      <c r="G975" s="25">
        <v>210.0</v>
      </c>
      <c r="H975" s="25" t="s">
        <v>764</v>
      </c>
      <c r="I975" s="25"/>
      <c r="J975" s="25" t="s">
        <v>3183</v>
      </c>
      <c r="K975" s="25"/>
      <c r="L975" s="26" t="s">
        <v>20</v>
      </c>
      <c r="M975" s="12">
        <v>45139.0</v>
      </c>
      <c r="N975" s="77" t="str">
        <f t="shared" si="1"/>
        <v>julho</v>
      </c>
    </row>
    <row r="976">
      <c r="A976" s="25" t="s">
        <v>3184</v>
      </c>
      <c r="B976" s="59">
        <v>45124.693426087964</v>
      </c>
      <c r="C976" s="25" t="s">
        <v>138</v>
      </c>
      <c r="D976" s="25">
        <v>5318.0</v>
      </c>
      <c r="E976" s="25" t="s">
        <v>15</v>
      </c>
      <c r="F976" s="25" t="s">
        <v>86</v>
      </c>
      <c r="G976" s="25" t="s">
        <v>1919</v>
      </c>
      <c r="H976" s="25" t="s">
        <v>18</v>
      </c>
      <c r="I976" s="25"/>
      <c r="J976" s="25" t="s">
        <v>3185</v>
      </c>
      <c r="K976" s="25"/>
      <c r="L976" s="26" t="s">
        <v>20</v>
      </c>
      <c r="M976" s="12">
        <v>45127.0</v>
      </c>
      <c r="N976" s="77" t="str">
        <f t="shared" si="1"/>
        <v>julho</v>
      </c>
    </row>
    <row r="977">
      <c r="A977" s="25" t="s">
        <v>3186</v>
      </c>
      <c r="B977" s="59">
        <v>45125.09977028935</v>
      </c>
      <c r="C977" s="25" t="s">
        <v>65</v>
      </c>
      <c r="D977" s="25">
        <v>5318.0</v>
      </c>
      <c r="E977" s="25" t="s">
        <v>15</v>
      </c>
      <c r="F977" s="25" t="s">
        <v>3187</v>
      </c>
      <c r="G977" s="25" t="s">
        <v>3187</v>
      </c>
      <c r="H977" s="25" t="s">
        <v>18</v>
      </c>
      <c r="I977" s="25"/>
      <c r="J977" s="25" t="s">
        <v>3188</v>
      </c>
      <c r="K977" s="25"/>
      <c r="L977" s="26" t="s">
        <v>20</v>
      </c>
      <c r="M977" s="12">
        <v>45127.0</v>
      </c>
      <c r="N977" s="77" t="str">
        <f t="shared" si="1"/>
        <v>julho</v>
      </c>
    </row>
    <row r="978">
      <c r="A978" s="7" t="s">
        <v>3189</v>
      </c>
      <c r="B978" s="8">
        <v>45125.50220349537</v>
      </c>
      <c r="C978" s="7" t="s">
        <v>40</v>
      </c>
      <c r="D978" s="7">
        <v>5333.0</v>
      </c>
      <c r="E978" s="7" t="s">
        <v>41</v>
      </c>
      <c r="F978" s="25" t="s">
        <v>42</v>
      </c>
      <c r="G978" s="9" t="s">
        <v>2014</v>
      </c>
      <c r="H978" s="7" t="s">
        <v>764</v>
      </c>
      <c r="I978" s="7"/>
      <c r="J978" s="60" t="s">
        <v>3190</v>
      </c>
      <c r="K978" s="60"/>
      <c r="L978" s="10" t="s">
        <v>74</v>
      </c>
      <c r="M978" s="55">
        <v>45237.0</v>
      </c>
      <c r="N978" s="77" t="str">
        <f t="shared" si="1"/>
        <v>julho</v>
      </c>
    </row>
    <row r="979">
      <c r="A979" s="7" t="s">
        <v>3191</v>
      </c>
      <c r="B979" s="8">
        <v>45125.48947583333</v>
      </c>
      <c r="C979" s="7" t="s">
        <v>194</v>
      </c>
      <c r="D979" s="7" t="s">
        <v>3132</v>
      </c>
      <c r="E979" s="25" t="s">
        <v>195</v>
      </c>
      <c r="F979" s="7" t="s">
        <v>755</v>
      </c>
      <c r="G979" s="9" t="s">
        <v>3192</v>
      </c>
      <c r="H979" s="7" t="s">
        <v>764</v>
      </c>
      <c r="I979" s="7"/>
      <c r="J979" s="60" t="s">
        <v>3193</v>
      </c>
      <c r="K979" s="54"/>
      <c r="L979" s="10" t="s">
        <v>20</v>
      </c>
      <c r="M979" s="55">
        <v>45288.0</v>
      </c>
      <c r="N979" s="77" t="str">
        <f t="shared" si="1"/>
        <v>julho</v>
      </c>
    </row>
    <row r="980">
      <c r="A980" s="7" t="s">
        <v>3194</v>
      </c>
      <c r="B980" s="8">
        <v>45125.50220349537</v>
      </c>
      <c r="C980" s="7" t="s">
        <v>40</v>
      </c>
      <c r="D980" s="7">
        <v>5333.0</v>
      </c>
      <c r="E980" s="7" t="s">
        <v>41</v>
      </c>
      <c r="F980" s="25" t="s">
        <v>42</v>
      </c>
      <c r="G980" s="9" t="s">
        <v>2014</v>
      </c>
      <c r="H980" s="7" t="s">
        <v>764</v>
      </c>
      <c r="I980" s="7"/>
      <c r="J980" s="60" t="s">
        <v>3190</v>
      </c>
      <c r="K980" s="60"/>
      <c r="L980" s="10" t="s">
        <v>74</v>
      </c>
      <c r="M980" s="55">
        <v>45237.0</v>
      </c>
      <c r="N980" s="77" t="str">
        <f t="shared" si="1"/>
        <v>julho</v>
      </c>
    </row>
    <row r="981">
      <c r="A981" s="25" t="s">
        <v>3195</v>
      </c>
      <c r="B981" s="59">
        <v>45125.559364988425</v>
      </c>
      <c r="C981" s="25" t="s">
        <v>2234</v>
      </c>
      <c r="D981" s="25" t="s">
        <v>3196</v>
      </c>
      <c r="E981" s="25" t="s">
        <v>187</v>
      </c>
      <c r="F981" s="25" t="s">
        <v>188</v>
      </c>
      <c r="G981" s="25" t="s">
        <v>3197</v>
      </c>
      <c r="H981" s="25" t="s">
        <v>1734</v>
      </c>
      <c r="I981" s="25"/>
      <c r="J981" s="25" t="s">
        <v>3198</v>
      </c>
      <c r="K981" s="25"/>
      <c r="L981" s="26" t="s">
        <v>20</v>
      </c>
      <c r="M981" s="12">
        <v>45125.0</v>
      </c>
      <c r="N981" s="77" t="str">
        <f t="shared" si="1"/>
        <v>julho</v>
      </c>
    </row>
    <row r="982">
      <c r="A982" s="25" t="s">
        <v>3199</v>
      </c>
      <c r="B982" s="59">
        <v>45125.626460520834</v>
      </c>
      <c r="C982" s="25" t="s">
        <v>3161</v>
      </c>
      <c r="D982" s="25">
        <v>6.4981321757E10</v>
      </c>
      <c r="E982" s="25" t="s">
        <v>187</v>
      </c>
      <c r="F982" s="25" t="s">
        <v>347</v>
      </c>
      <c r="G982" s="25" t="s">
        <v>3200</v>
      </c>
      <c r="H982" s="25" t="s">
        <v>1734</v>
      </c>
      <c r="I982" s="25"/>
      <c r="J982" s="25" t="s">
        <v>3201</v>
      </c>
      <c r="K982" s="25"/>
      <c r="L982" s="26" t="s">
        <v>20</v>
      </c>
      <c r="M982" s="12">
        <v>45134.0</v>
      </c>
      <c r="N982" s="77" t="str">
        <f t="shared" si="1"/>
        <v>julho</v>
      </c>
    </row>
    <row r="983">
      <c r="A983" s="25" t="s">
        <v>3202</v>
      </c>
      <c r="B983" s="59">
        <v>45126.27457003472</v>
      </c>
      <c r="C983" s="25" t="s">
        <v>169</v>
      </c>
      <c r="D983" s="25">
        <v>5318.0</v>
      </c>
      <c r="E983" s="25" t="s">
        <v>15</v>
      </c>
      <c r="F983" s="25" t="s">
        <v>1858</v>
      </c>
      <c r="G983" s="25" t="s">
        <v>3203</v>
      </c>
      <c r="H983" s="25" t="s">
        <v>18</v>
      </c>
      <c r="I983" s="25"/>
      <c r="J983" s="25" t="s">
        <v>3204</v>
      </c>
      <c r="K983" s="25"/>
      <c r="L983" s="26" t="s">
        <v>20</v>
      </c>
      <c r="M983" s="12">
        <v>45148.0</v>
      </c>
      <c r="N983" s="77" t="str">
        <f t="shared" si="1"/>
        <v>julho</v>
      </c>
    </row>
    <row r="984">
      <c r="A984" s="25" t="s">
        <v>3205</v>
      </c>
      <c r="B984" s="59">
        <v>45126.468255451386</v>
      </c>
      <c r="C984" s="25" t="s">
        <v>2441</v>
      </c>
      <c r="D984" s="25">
        <v>6.2982410124E10</v>
      </c>
      <c r="E984" s="25" t="s">
        <v>621</v>
      </c>
      <c r="F984" s="25" t="s">
        <v>86</v>
      </c>
      <c r="G984" s="25" t="s">
        <v>3206</v>
      </c>
      <c r="H984" s="25" t="s">
        <v>18</v>
      </c>
      <c r="I984" s="25"/>
      <c r="J984" s="25" t="s">
        <v>3207</v>
      </c>
      <c r="K984" s="25"/>
      <c r="L984" s="26" t="s">
        <v>20</v>
      </c>
      <c r="M984" s="12">
        <v>45134.0</v>
      </c>
      <c r="N984" s="77" t="str">
        <f t="shared" si="1"/>
        <v>julho</v>
      </c>
    </row>
    <row r="985">
      <c r="A985" s="25" t="s">
        <v>3208</v>
      </c>
      <c r="B985" s="59">
        <v>45126.47152200231</v>
      </c>
      <c r="C985" s="25" t="s">
        <v>2441</v>
      </c>
      <c r="D985" s="25">
        <v>6.2982410124E10</v>
      </c>
      <c r="E985" s="25" t="s">
        <v>621</v>
      </c>
      <c r="F985" s="25" t="s">
        <v>86</v>
      </c>
      <c r="G985" s="25" t="s">
        <v>3209</v>
      </c>
      <c r="H985" s="25" t="s">
        <v>1734</v>
      </c>
      <c r="I985" s="25"/>
      <c r="J985" s="25" t="s">
        <v>3210</v>
      </c>
      <c r="K985" s="25"/>
      <c r="L985" s="56" t="s">
        <v>74</v>
      </c>
      <c r="M985" s="62"/>
      <c r="N985" s="77" t="str">
        <f t="shared" si="1"/>
        <v>julho</v>
      </c>
    </row>
    <row r="986">
      <c r="A986" s="25" t="s">
        <v>3211</v>
      </c>
      <c r="B986" s="59">
        <v>45127.01491597222</v>
      </c>
      <c r="C986" s="25" t="s">
        <v>65</v>
      </c>
      <c r="D986" s="25">
        <v>5318.0</v>
      </c>
      <c r="E986" s="25" t="s">
        <v>15</v>
      </c>
      <c r="F986" s="25" t="s">
        <v>347</v>
      </c>
      <c r="G986" s="25" t="s">
        <v>3212</v>
      </c>
      <c r="H986" s="25" t="s">
        <v>18</v>
      </c>
      <c r="I986" s="25"/>
      <c r="J986" s="25" t="s">
        <v>3213</v>
      </c>
      <c r="K986" s="25"/>
      <c r="L986" s="26" t="s">
        <v>20</v>
      </c>
      <c r="M986" s="12">
        <v>45132.0</v>
      </c>
      <c r="N986" s="77" t="str">
        <f t="shared" si="1"/>
        <v>julho</v>
      </c>
    </row>
    <row r="987">
      <c r="A987" s="25" t="s">
        <v>3214</v>
      </c>
      <c r="B987" s="59">
        <v>45127.02223318287</v>
      </c>
      <c r="C987" s="25" t="s">
        <v>65</v>
      </c>
      <c r="D987" s="25">
        <v>5318.0</v>
      </c>
      <c r="E987" s="25" t="s">
        <v>15</v>
      </c>
      <c r="F987" s="25" t="s">
        <v>35</v>
      </c>
      <c r="G987" s="25" t="s">
        <v>35</v>
      </c>
      <c r="H987" s="25" t="s">
        <v>18</v>
      </c>
      <c r="I987" s="25"/>
      <c r="J987" s="25" t="s">
        <v>3215</v>
      </c>
      <c r="K987" s="25"/>
      <c r="L987" s="26" t="s">
        <v>20</v>
      </c>
      <c r="M987" s="12">
        <v>45149.0</v>
      </c>
      <c r="N987" s="77" t="str">
        <f t="shared" si="1"/>
        <v>julho</v>
      </c>
    </row>
    <row r="988">
      <c r="A988" s="25" t="s">
        <v>3216</v>
      </c>
      <c r="B988" s="59">
        <v>45127.30163501158</v>
      </c>
      <c r="C988" s="25" t="s">
        <v>1272</v>
      </c>
      <c r="D988" s="25">
        <v>5360.0</v>
      </c>
      <c r="E988" s="25" t="s">
        <v>371</v>
      </c>
      <c r="F988" s="25" t="s">
        <v>49</v>
      </c>
      <c r="G988" s="25" t="s">
        <v>3217</v>
      </c>
      <c r="H988" s="25" t="s">
        <v>1734</v>
      </c>
      <c r="I988" s="25"/>
      <c r="J988" s="25" t="s">
        <v>3218</v>
      </c>
      <c r="K988" s="25"/>
      <c r="L988" s="26" t="s">
        <v>20</v>
      </c>
      <c r="M988" s="12">
        <v>45132.0</v>
      </c>
      <c r="N988" s="77" t="str">
        <f t="shared" si="1"/>
        <v>julho</v>
      </c>
    </row>
    <row r="989">
      <c r="A989" s="25" t="s">
        <v>3219</v>
      </c>
      <c r="B989" s="59">
        <v>45128.51429877315</v>
      </c>
      <c r="C989" s="25" t="s">
        <v>40</v>
      </c>
      <c r="D989" s="25">
        <v>5333.0</v>
      </c>
      <c r="E989" s="25" t="s">
        <v>41</v>
      </c>
      <c r="F989" s="25" t="s">
        <v>42</v>
      </c>
      <c r="G989" s="25" t="s">
        <v>3220</v>
      </c>
      <c r="H989" s="25" t="s">
        <v>162</v>
      </c>
      <c r="I989" s="25"/>
      <c r="J989" s="25" t="s">
        <v>3221</v>
      </c>
      <c r="K989" s="25"/>
      <c r="L989" s="26" t="s">
        <v>20</v>
      </c>
      <c r="M989" s="12">
        <v>45131.0</v>
      </c>
      <c r="N989" s="77" t="str">
        <f t="shared" si="1"/>
        <v>julho</v>
      </c>
    </row>
    <row r="990">
      <c r="A990" s="25" t="s">
        <v>3222</v>
      </c>
      <c r="B990" s="59">
        <v>45128.65528068287</v>
      </c>
      <c r="C990" s="25" t="s">
        <v>40</v>
      </c>
      <c r="D990" s="25">
        <v>5333.0</v>
      </c>
      <c r="E990" s="25" t="s">
        <v>41</v>
      </c>
      <c r="F990" s="25" t="s">
        <v>42</v>
      </c>
      <c r="G990" s="25" t="s">
        <v>3223</v>
      </c>
      <c r="H990" s="25" t="s">
        <v>79</v>
      </c>
      <c r="I990" s="25"/>
      <c r="J990" s="25" t="s">
        <v>3224</v>
      </c>
      <c r="K990" s="25"/>
      <c r="L990" s="26" t="s">
        <v>20</v>
      </c>
      <c r="M990" s="12">
        <v>45138.0</v>
      </c>
      <c r="N990" s="77" t="str">
        <f t="shared" si="1"/>
        <v>julho</v>
      </c>
    </row>
    <row r="991">
      <c r="A991" s="25" t="s">
        <v>3225</v>
      </c>
      <c r="B991" s="59">
        <v>45128.97688174769</v>
      </c>
      <c r="C991" s="25" t="s">
        <v>65</v>
      </c>
      <c r="D991" s="25">
        <v>5318.0</v>
      </c>
      <c r="E991" s="25" t="s">
        <v>15</v>
      </c>
      <c r="F991" s="25" t="s">
        <v>313</v>
      </c>
      <c r="G991" s="25" t="s">
        <v>3226</v>
      </c>
      <c r="H991" s="25" t="s">
        <v>18</v>
      </c>
      <c r="I991" s="25"/>
      <c r="J991" s="25" t="s">
        <v>3227</v>
      </c>
      <c r="K991" s="25"/>
      <c r="L991" s="26" t="s">
        <v>20</v>
      </c>
      <c r="M991" s="12">
        <v>45133.0</v>
      </c>
      <c r="N991" s="77" t="str">
        <f t="shared" si="1"/>
        <v>julho</v>
      </c>
    </row>
    <row r="992">
      <c r="A992" s="25" t="s">
        <v>3228</v>
      </c>
      <c r="B992" s="59">
        <v>45131.18381873843</v>
      </c>
      <c r="C992" s="25" t="s">
        <v>65</v>
      </c>
      <c r="D992" s="25">
        <v>5318.0</v>
      </c>
      <c r="E992" s="25" t="s">
        <v>15</v>
      </c>
      <c r="F992" s="25" t="s">
        <v>61</v>
      </c>
      <c r="G992" s="25" t="s">
        <v>3229</v>
      </c>
      <c r="H992" s="25" t="s">
        <v>18</v>
      </c>
      <c r="I992" s="25"/>
      <c r="J992" s="25" t="s">
        <v>3230</v>
      </c>
      <c r="K992" s="25"/>
      <c r="L992" s="26" t="s">
        <v>20</v>
      </c>
      <c r="M992" s="12">
        <v>45132.0</v>
      </c>
      <c r="N992" s="77" t="str">
        <f t="shared" si="1"/>
        <v>julho</v>
      </c>
    </row>
    <row r="993">
      <c r="A993" s="25" t="s">
        <v>3231</v>
      </c>
      <c r="B993" s="59">
        <v>45131.18578857639</v>
      </c>
      <c r="C993" s="25" t="s">
        <v>65</v>
      </c>
      <c r="D993" s="25">
        <v>5318.0</v>
      </c>
      <c r="E993" s="25" t="s">
        <v>15</v>
      </c>
      <c r="F993" s="25" t="s">
        <v>3232</v>
      </c>
      <c r="G993" s="25" t="s">
        <v>3233</v>
      </c>
      <c r="H993" s="25" t="s">
        <v>18</v>
      </c>
      <c r="I993" s="25"/>
      <c r="J993" s="25" t="s">
        <v>3234</v>
      </c>
      <c r="K993" s="25"/>
      <c r="L993" s="26" t="s">
        <v>20</v>
      </c>
      <c r="M993" s="12">
        <v>45132.0</v>
      </c>
      <c r="N993" s="77" t="str">
        <f t="shared" si="1"/>
        <v>julho</v>
      </c>
    </row>
    <row r="994">
      <c r="A994" s="25" t="s">
        <v>3235</v>
      </c>
      <c r="B994" s="59">
        <v>45131.186964849534</v>
      </c>
      <c r="C994" s="25" t="s">
        <v>65</v>
      </c>
      <c r="D994" s="25">
        <v>5318.0</v>
      </c>
      <c r="E994" s="25" t="s">
        <v>15</v>
      </c>
      <c r="F994" s="25" t="s">
        <v>16</v>
      </c>
      <c r="G994" s="25" t="s">
        <v>3236</v>
      </c>
      <c r="H994" s="25" t="s">
        <v>18</v>
      </c>
      <c r="I994" s="25"/>
      <c r="J994" s="25" t="s">
        <v>3237</v>
      </c>
      <c r="K994" s="25"/>
      <c r="L994" s="26" t="s">
        <v>20</v>
      </c>
      <c r="M994" s="12">
        <v>45132.0</v>
      </c>
      <c r="N994" s="77" t="str">
        <f t="shared" si="1"/>
        <v>julho</v>
      </c>
    </row>
    <row r="995">
      <c r="A995" s="25" t="s">
        <v>3238</v>
      </c>
      <c r="B995" s="59">
        <v>45131.55879717592</v>
      </c>
      <c r="C995" s="25" t="s">
        <v>486</v>
      </c>
      <c r="D995" s="25">
        <v>5340.0</v>
      </c>
      <c r="E995" s="25" t="s">
        <v>70</v>
      </c>
      <c r="F995" s="25" t="s">
        <v>86</v>
      </c>
      <c r="G995" s="25" t="s">
        <v>3239</v>
      </c>
      <c r="H995" s="25" t="s">
        <v>1734</v>
      </c>
      <c r="I995" s="25"/>
      <c r="J995" s="25" t="s">
        <v>3240</v>
      </c>
      <c r="K995" s="25"/>
      <c r="L995" s="26" t="s">
        <v>20</v>
      </c>
      <c r="M995" s="12">
        <v>45135.0</v>
      </c>
      <c r="N995" s="77" t="str">
        <f t="shared" si="1"/>
        <v>julho</v>
      </c>
    </row>
    <row r="996">
      <c r="A996" s="25" t="s">
        <v>3241</v>
      </c>
      <c r="B996" s="59">
        <v>45131.561092372685</v>
      </c>
      <c r="C996" s="25" t="s">
        <v>3004</v>
      </c>
      <c r="D996" s="25">
        <v>5357.0</v>
      </c>
      <c r="E996" s="20" t="s">
        <v>288</v>
      </c>
      <c r="F996" s="25" t="s">
        <v>1858</v>
      </c>
      <c r="G996" s="25" t="s">
        <v>3242</v>
      </c>
      <c r="H996" s="25" t="s">
        <v>79</v>
      </c>
      <c r="I996" s="25"/>
      <c r="J996" s="25" t="s">
        <v>3243</v>
      </c>
      <c r="K996" s="25"/>
      <c r="L996" s="26" t="s">
        <v>20</v>
      </c>
      <c r="M996" s="12">
        <v>45135.0</v>
      </c>
      <c r="N996" s="77" t="str">
        <f t="shared" si="1"/>
        <v>julho</v>
      </c>
    </row>
    <row r="997">
      <c r="A997" s="25" t="s">
        <v>3244</v>
      </c>
      <c r="B997" s="59">
        <v>45131.62947857639</v>
      </c>
      <c r="C997" s="25" t="s">
        <v>659</v>
      </c>
      <c r="D997" s="25">
        <v>5340.0</v>
      </c>
      <c r="E997" s="25" t="s">
        <v>70</v>
      </c>
      <c r="F997" s="25" t="s">
        <v>61</v>
      </c>
      <c r="G997" s="25" t="s">
        <v>3245</v>
      </c>
      <c r="H997" s="25" t="s">
        <v>764</v>
      </c>
      <c r="I997" s="25"/>
      <c r="J997" s="25" t="s">
        <v>3246</v>
      </c>
      <c r="K997" s="25"/>
      <c r="L997" s="26" t="s">
        <v>20</v>
      </c>
      <c r="M997" s="12">
        <v>45132.0</v>
      </c>
      <c r="N997" s="77" t="str">
        <f t="shared" si="1"/>
        <v>julho</v>
      </c>
    </row>
    <row r="998">
      <c r="A998" s="25" t="s">
        <v>3247</v>
      </c>
      <c r="B998" s="59">
        <v>45132.30090699074</v>
      </c>
      <c r="C998" s="25" t="s">
        <v>486</v>
      </c>
      <c r="D998" s="25">
        <v>5340.0</v>
      </c>
      <c r="E998" s="25" t="s">
        <v>70</v>
      </c>
      <c r="F998" s="25" t="s">
        <v>1291</v>
      </c>
      <c r="G998" s="25" t="s">
        <v>3248</v>
      </c>
      <c r="H998" s="25" t="s">
        <v>79</v>
      </c>
      <c r="I998" s="25"/>
      <c r="J998" s="25" t="s">
        <v>3249</v>
      </c>
      <c r="K998" s="25"/>
      <c r="L998" s="26" t="s">
        <v>20</v>
      </c>
      <c r="M998" s="12">
        <v>45133.0</v>
      </c>
      <c r="N998" s="77" t="str">
        <f t="shared" si="1"/>
        <v>julho</v>
      </c>
    </row>
    <row r="999">
      <c r="A999" s="25" t="s">
        <v>3250</v>
      </c>
      <c r="B999" s="59">
        <v>45132.44608868056</v>
      </c>
      <c r="C999" s="25" t="s">
        <v>1272</v>
      </c>
      <c r="D999" s="25">
        <v>5360.0</v>
      </c>
      <c r="E999" s="25" t="s">
        <v>371</v>
      </c>
      <c r="F999" s="25" t="s">
        <v>49</v>
      </c>
      <c r="G999" s="25" t="s">
        <v>3251</v>
      </c>
      <c r="H999" s="25" t="s">
        <v>79</v>
      </c>
      <c r="I999" s="25"/>
      <c r="J999" s="25" t="s">
        <v>3252</v>
      </c>
      <c r="K999" s="25"/>
      <c r="L999" s="26" t="s">
        <v>20</v>
      </c>
      <c r="M999" s="12">
        <v>45138.0</v>
      </c>
      <c r="N999" s="77" t="str">
        <f t="shared" si="1"/>
        <v>julho</v>
      </c>
    </row>
    <row r="1000">
      <c r="A1000" s="25" t="s">
        <v>3253</v>
      </c>
      <c r="B1000" s="59">
        <v>45132.71177866898</v>
      </c>
      <c r="C1000" s="25" t="s">
        <v>138</v>
      </c>
      <c r="D1000" s="25">
        <v>5318.0</v>
      </c>
      <c r="E1000" s="25" t="s">
        <v>15</v>
      </c>
      <c r="F1000" s="25" t="s">
        <v>178</v>
      </c>
      <c r="G1000" s="25" t="s">
        <v>1742</v>
      </c>
      <c r="H1000" s="25" t="s">
        <v>764</v>
      </c>
      <c r="I1000" s="25"/>
      <c r="J1000" s="25" t="s">
        <v>3254</v>
      </c>
      <c r="K1000" s="25"/>
      <c r="L1000" s="56" t="s">
        <v>74</v>
      </c>
      <c r="M1000" s="62"/>
      <c r="N1000" s="77" t="str">
        <f t="shared" si="1"/>
        <v>julho</v>
      </c>
    </row>
    <row r="1001">
      <c r="A1001" s="25" t="s">
        <v>3255</v>
      </c>
      <c r="B1001" s="59">
        <v>45133.181745486116</v>
      </c>
      <c r="C1001" s="25" t="s">
        <v>65</v>
      </c>
      <c r="D1001" s="25">
        <v>5318.0</v>
      </c>
      <c r="E1001" s="25" t="s">
        <v>15</v>
      </c>
      <c r="F1001" s="25" t="s">
        <v>86</v>
      </c>
      <c r="G1001" s="25" t="s">
        <v>86</v>
      </c>
      <c r="H1001" s="25" t="s">
        <v>18</v>
      </c>
      <c r="I1001" s="25"/>
      <c r="J1001" s="25" t="s">
        <v>3256</v>
      </c>
      <c r="K1001" s="25"/>
      <c r="L1001" s="26" t="s">
        <v>20</v>
      </c>
      <c r="M1001" s="12">
        <v>45135.0</v>
      </c>
      <c r="N1001" s="77" t="str">
        <f t="shared" si="1"/>
        <v>julho</v>
      </c>
    </row>
    <row r="1002">
      <c r="A1002" s="7" t="s">
        <v>3257</v>
      </c>
      <c r="B1002" s="8">
        <v>45133.423446712965</v>
      </c>
      <c r="C1002" s="7" t="s">
        <v>370</v>
      </c>
      <c r="D1002" s="7" t="s">
        <v>3258</v>
      </c>
      <c r="E1002" s="7" t="s">
        <v>371</v>
      </c>
      <c r="F1002" s="25" t="s">
        <v>49</v>
      </c>
      <c r="G1002" s="9" t="s">
        <v>2701</v>
      </c>
      <c r="H1002" s="7" t="s">
        <v>1734</v>
      </c>
      <c r="I1002" s="7"/>
      <c r="J1002" s="60" t="s">
        <v>3259</v>
      </c>
      <c r="K1002" s="60"/>
      <c r="L1002" s="10" t="s">
        <v>20</v>
      </c>
      <c r="M1002" s="55">
        <v>45272.0</v>
      </c>
      <c r="N1002" s="77" t="str">
        <f t="shared" si="1"/>
        <v>julho</v>
      </c>
    </row>
    <row r="1003">
      <c r="A1003" s="25" t="s">
        <v>3260</v>
      </c>
      <c r="B1003" s="59">
        <v>45133.611124918985</v>
      </c>
      <c r="C1003" s="25" t="s">
        <v>486</v>
      </c>
      <c r="D1003" s="25">
        <v>5340.0</v>
      </c>
      <c r="E1003" s="25" t="s">
        <v>70</v>
      </c>
      <c r="F1003" s="25" t="s">
        <v>82</v>
      </c>
      <c r="G1003" s="25" t="s">
        <v>3019</v>
      </c>
      <c r="H1003" s="25" t="s">
        <v>129</v>
      </c>
      <c r="I1003" s="25"/>
      <c r="J1003" s="25" t="s">
        <v>3261</v>
      </c>
      <c r="K1003" s="25"/>
      <c r="L1003" s="26" t="s">
        <v>20</v>
      </c>
      <c r="M1003" s="12">
        <v>45140.0</v>
      </c>
      <c r="N1003" s="77" t="str">
        <f t="shared" si="1"/>
        <v>julho</v>
      </c>
    </row>
    <row r="1004">
      <c r="A1004" s="25" t="s">
        <v>3262</v>
      </c>
      <c r="B1004" s="59">
        <v>45134.42735828704</v>
      </c>
      <c r="C1004" s="25" t="s">
        <v>1491</v>
      </c>
      <c r="D1004" s="25">
        <v>5333.0</v>
      </c>
      <c r="E1004" s="25" t="s">
        <v>41</v>
      </c>
      <c r="F1004" s="25" t="s">
        <v>42</v>
      </c>
      <c r="G1004" s="25" t="s">
        <v>3263</v>
      </c>
      <c r="H1004" s="25" t="s">
        <v>1734</v>
      </c>
      <c r="I1004" s="25"/>
      <c r="J1004" s="25" t="s">
        <v>3264</v>
      </c>
      <c r="K1004" s="25"/>
      <c r="L1004" s="26" t="s">
        <v>20</v>
      </c>
      <c r="M1004" s="12">
        <v>45138.0</v>
      </c>
      <c r="N1004" s="77" t="str">
        <f t="shared" si="1"/>
        <v>julho</v>
      </c>
    </row>
    <row r="1005">
      <c r="A1005" s="25" t="s">
        <v>3265</v>
      </c>
      <c r="B1005" s="59">
        <v>45134.42955747685</v>
      </c>
      <c r="C1005" s="25" t="s">
        <v>1491</v>
      </c>
      <c r="D1005" s="25">
        <v>5333.0</v>
      </c>
      <c r="E1005" s="25" t="s">
        <v>41</v>
      </c>
      <c r="F1005" s="25" t="s">
        <v>42</v>
      </c>
      <c r="G1005" s="25" t="s">
        <v>3266</v>
      </c>
      <c r="H1005" s="25" t="s">
        <v>764</v>
      </c>
      <c r="I1005" s="25"/>
      <c r="J1005" s="25" t="s">
        <v>3267</v>
      </c>
      <c r="K1005" s="25"/>
      <c r="L1005" s="26" t="s">
        <v>20</v>
      </c>
      <c r="M1005" s="12">
        <v>45138.0</v>
      </c>
      <c r="N1005" s="77" t="str">
        <f t="shared" si="1"/>
        <v>julho</v>
      </c>
    </row>
    <row r="1006">
      <c r="A1006" s="25" t="s">
        <v>3268</v>
      </c>
      <c r="B1006" s="59">
        <v>45134.63250743056</v>
      </c>
      <c r="C1006" s="25" t="s">
        <v>948</v>
      </c>
      <c r="D1006" s="25" t="s">
        <v>1027</v>
      </c>
      <c r="E1006" s="25" t="s">
        <v>187</v>
      </c>
      <c r="F1006" s="25" t="s">
        <v>347</v>
      </c>
      <c r="G1006" s="25" t="s">
        <v>3269</v>
      </c>
      <c r="H1006" s="25" t="s">
        <v>764</v>
      </c>
      <c r="I1006" s="25"/>
      <c r="J1006" s="25" t="s">
        <v>3270</v>
      </c>
      <c r="K1006" s="25"/>
      <c r="L1006" s="26" t="s">
        <v>20</v>
      </c>
      <c r="M1006" s="12">
        <v>45138.0</v>
      </c>
      <c r="N1006" s="77" t="str">
        <f t="shared" si="1"/>
        <v>julho</v>
      </c>
    </row>
    <row r="1007">
      <c r="A1007" s="25" t="s">
        <v>3271</v>
      </c>
      <c r="B1007" s="59">
        <v>45135.40133807871</v>
      </c>
      <c r="C1007" s="25" t="s">
        <v>2292</v>
      </c>
      <c r="D1007" s="25">
        <v>3.4999071369E10</v>
      </c>
      <c r="E1007" s="20" t="s">
        <v>308</v>
      </c>
      <c r="F1007" s="25" t="s">
        <v>763</v>
      </c>
      <c r="G1007" s="25">
        <v>5.0</v>
      </c>
      <c r="H1007" s="25" t="s">
        <v>129</v>
      </c>
      <c r="I1007" s="25"/>
      <c r="J1007" s="25" t="s">
        <v>3272</v>
      </c>
      <c r="K1007" s="25"/>
      <c r="L1007" s="26" t="s">
        <v>20</v>
      </c>
      <c r="M1007" s="12">
        <v>45138.0</v>
      </c>
      <c r="N1007" s="77" t="str">
        <f t="shared" si="1"/>
        <v>julho</v>
      </c>
    </row>
    <row r="1008">
      <c r="A1008" s="25" t="s">
        <v>3273</v>
      </c>
      <c r="B1008" s="59">
        <v>45135.40284539352</v>
      </c>
      <c r="C1008" s="25" t="s">
        <v>2292</v>
      </c>
      <c r="D1008" s="25">
        <v>3.4999071369E10</v>
      </c>
      <c r="E1008" s="20" t="s">
        <v>308</v>
      </c>
      <c r="F1008" s="25" t="s">
        <v>783</v>
      </c>
      <c r="G1008" s="25">
        <v>151.0</v>
      </c>
      <c r="H1008" s="25" t="s">
        <v>18</v>
      </c>
      <c r="I1008" s="25"/>
      <c r="J1008" s="25" t="s">
        <v>3274</v>
      </c>
      <c r="K1008" s="25"/>
      <c r="L1008" s="26" t="s">
        <v>20</v>
      </c>
      <c r="M1008" s="12">
        <v>45156.0</v>
      </c>
      <c r="N1008" s="77" t="str">
        <f t="shared" si="1"/>
        <v>julho</v>
      </c>
    </row>
    <row r="1009">
      <c r="A1009" s="25" t="s">
        <v>3275</v>
      </c>
      <c r="B1009" s="59">
        <v>45136.70884688657</v>
      </c>
      <c r="C1009" s="25" t="s">
        <v>522</v>
      </c>
      <c r="D1009" s="25">
        <v>5333.0</v>
      </c>
      <c r="E1009" s="25" t="s">
        <v>41</v>
      </c>
      <c r="F1009" s="25" t="s">
        <v>42</v>
      </c>
      <c r="G1009" s="25" t="s">
        <v>3276</v>
      </c>
      <c r="H1009" s="25" t="s">
        <v>1734</v>
      </c>
      <c r="I1009" s="25"/>
      <c r="J1009" s="25" t="s">
        <v>3277</v>
      </c>
      <c r="K1009" s="25"/>
      <c r="L1009" s="26" t="s">
        <v>20</v>
      </c>
      <c r="M1009" s="12">
        <v>45139.0</v>
      </c>
      <c r="N1009" s="77" t="str">
        <f t="shared" si="1"/>
        <v>julho</v>
      </c>
    </row>
    <row r="1010">
      <c r="A1010" s="25" t="s">
        <v>3278</v>
      </c>
      <c r="B1010" s="59">
        <v>45136.71152518519</v>
      </c>
      <c r="C1010" s="25" t="s">
        <v>215</v>
      </c>
      <c r="D1010" s="25">
        <v>5333.0</v>
      </c>
      <c r="E1010" s="25" t="s">
        <v>41</v>
      </c>
      <c r="F1010" s="25" t="s">
        <v>42</v>
      </c>
      <c r="G1010" s="25" t="s">
        <v>2526</v>
      </c>
      <c r="H1010" s="25" t="s">
        <v>1734</v>
      </c>
      <c r="I1010" s="25"/>
      <c r="J1010" s="25" t="s">
        <v>3279</v>
      </c>
      <c r="K1010" s="25"/>
      <c r="L1010" s="26" t="s">
        <v>20</v>
      </c>
      <c r="M1010" s="12">
        <v>45138.0</v>
      </c>
      <c r="N1010" s="77" t="str">
        <f t="shared" si="1"/>
        <v>julho</v>
      </c>
    </row>
    <row r="1011">
      <c r="A1011" s="25" t="s">
        <v>3280</v>
      </c>
      <c r="B1011" s="59">
        <v>45138.33626899305</v>
      </c>
      <c r="C1011" s="25" t="s">
        <v>486</v>
      </c>
      <c r="D1011" s="25">
        <v>5340.0</v>
      </c>
      <c r="E1011" s="25" t="s">
        <v>70</v>
      </c>
      <c r="F1011" s="25" t="s">
        <v>3281</v>
      </c>
      <c r="G1011" s="25" t="s">
        <v>3248</v>
      </c>
      <c r="H1011" s="25" t="s">
        <v>79</v>
      </c>
      <c r="I1011" s="25"/>
      <c r="J1011" s="25" t="s">
        <v>3282</v>
      </c>
      <c r="K1011" s="25"/>
      <c r="L1011" s="26" t="s">
        <v>20</v>
      </c>
      <c r="M1011" s="12">
        <v>45148.0</v>
      </c>
      <c r="N1011" s="77" t="str">
        <f t="shared" si="1"/>
        <v>julho</v>
      </c>
    </row>
    <row r="1012">
      <c r="A1012" s="25" t="s">
        <v>3283</v>
      </c>
      <c r="B1012" s="59">
        <v>45138.36190174769</v>
      </c>
      <c r="C1012" s="25" t="s">
        <v>370</v>
      </c>
      <c r="D1012" s="25">
        <v>5306.0</v>
      </c>
      <c r="E1012" s="25" t="s">
        <v>371</v>
      </c>
      <c r="F1012" s="25" t="s">
        <v>49</v>
      </c>
      <c r="G1012" s="25" t="s">
        <v>1988</v>
      </c>
      <c r="H1012" s="25" t="s">
        <v>764</v>
      </c>
      <c r="I1012" s="25"/>
      <c r="J1012" s="25" t="s">
        <v>3284</v>
      </c>
      <c r="K1012" s="25"/>
      <c r="L1012" s="26" t="s">
        <v>20</v>
      </c>
      <c r="M1012" s="12">
        <v>45145.0</v>
      </c>
      <c r="N1012" s="77" t="str">
        <f t="shared" si="1"/>
        <v>julho</v>
      </c>
    </row>
    <row r="1013">
      <c r="A1013" s="25" t="s">
        <v>3285</v>
      </c>
      <c r="B1013" s="59">
        <v>45138.39510119213</v>
      </c>
      <c r="C1013" s="25" t="s">
        <v>383</v>
      </c>
      <c r="D1013" s="85" t="s">
        <v>959</v>
      </c>
      <c r="E1013" s="25" t="s">
        <v>195</v>
      </c>
      <c r="F1013" s="25" t="s">
        <v>35</v>
      </c>
      <c r="G1013" s="25" t="s">
        <v>3286</v>
      </c>
      <c r="H1013" s="25" t="s">
        <v>1734</v>
      </c>
      <c r="I1013" s="25"/>
      <c r="J1013" s="25" t="s">
        <v>3287</v>
      </c>
      <c r="K1013" s="25"/>
      <c r="L1013" s="26" t="s">
        <v>20</v>
      </c>
      <c r="M1013" s="12">
        <v>45148.0</v>
      </c>
      <c r="N1013" s="77" t="str">
        <f t="shared" si="1"/>
        <v>julho</v>
      </c>
    </row>
    <row r="1014">
      <c r="A1014" s="7" t="s">
        <v>3288</v>
      </c>
      <c r="B1014" s="8">
        <v>45138.39809180556</v>
      </c>
      <c r="C1014" s="7" t="s">
        <v>383</v>
      </c>
      <c r="D1014" s="89" t="s">
        <v>959</v>
      </c>
      <c r="E1014" s="25" t="s">
        <v>195</v>
      </c>
      <c r="F1014" s="7" t="s">
        <v>3289</v>
      </c>
      <c r="G1014" s="9" t="s">
        <v>3290</v>
      </c>
      <c r="H1014" s="7" t="s">
        <v>129</v>
      </c>
      <c r="I1014" s="7"/>
      <c r="J1014" s="60" t="s">
        <v>3291</v>
      </c>
      <c r="K1014" s="10" t="s">
        <v>3292</v>
      </c>
      <c r="L1014" s="10" t="s">
        <v>2240</v>
      </c>
      <c r="M1014" s="43"/>
      <c r="N1014" s="77" t="str">
        <f t="shared" si="1"/>
        <v>julho</v>
      </c>
    </row>
    <row r="1015">
      <c r="A1015" s="25" t="s">
        <v>3293</v>
      </c>
      <c r="B1015" s="59">
        <v>45138.40063929398</v>
      </c>
      <c r="C1015" s="25" t="s">
        <v>383</v>
      </c>
      <c r="D1015" s="85" t="s">
        <v>959</v>
      </c>
      <c r="E1015" s="25" t="s">
        <v>195</v>
      </c>
      <c r="F1015" s="25" t="s">
        <v>3294</v>
      </c>
      <c r="G1015" s="25" t="s">
        <v>3294</v>
      </c>
      <c r="H1015" s="25" t="s">
        <v>79</v>
      </c>
      <c r="I1015" s="25"/>
      <c r="J1015" s="25" t="s">
        <v>3295</v>
      </c>
      <c r="K1015" s="25"/>
      <c r="L1015" s="26" t="s">
        <v>20</v>
      </c>
      <c r="M1015" s="12">
        <v>45148.0</v>
      </c>
      <c r="N1015" s="77" t="str">
        <f t="shared" si="1"/>
        <v>julho</v>
      </c>
    </row>
    <row r="1016">
      <c r="A1016" s="25" t="s">
        <v>3296</v>
      </c>
      <c r="B1016" s="59">
        <v>45138.446584652775</v>
      </c>
      <c r="C1016" s="25" t="s">
        <v>3297</v>
      </c>
      <c r="D1016" s="25">
        <v>6.4996431506E10</v>
      </c>
      <c r="E1016" s="20" t="s">
        <v>308</v>
      </c>
      <c r="F1016" s="25" t="s">
        <v>61</v>
      </c>
      <c r="G1016" s="25" t="s">
        <v>336</v>
      </c>
      <c r="H1016" s="25" t="s">
        <v>764</v>
      </c>
      <c r="I1016" s="25"/>
      <c r="J1016" s="25" t="s">
        <v>3298</v>
      </c>
      <c r="K1016" s="25"/>
      <c r="L1016" s="26" t="s">
        <v>20</v>
      </c>
      <c r="M1016" s="12">
        <v>45146.0</v>
      </c>
      <c r="N1016" s="77" t="str">
        <f t="shared" si="1"/>
        <v>julho</v>
      </c>
    </row>
    <row r="1017">
      <c r="A1017" s="25" t="s">
        <v>3299</v>
      </c>
      <c r="B1017" s="59">
        <v>45138.44706417824</v>
      </c>
      <c r="C1017" s="25" t="s">
        <v>1491</v>
      </c>
      <c r="D1017" s="25">
        <v>5333.0</v>
      </c>
      <c r="E1017" s="25" t="s">
        <v>41</v>
      </c>
      <c r="F1017" s="25" t="s">
        <v>42</v>
      </c>
      <c r="G1017" s="25" t="s">
        <v>2307</v>
      </c>
      <c r="H1017" s="25" t="s">
        <v>79</v>
      </c>
      <c r="I1017" s="25"/>
      <c r="J1017" s="25" t="s">
        <v>3300</v>
      </c>
      <c r="K1017" s="25"/>
      <c r="L1017" s="26" t="s">
        <v>20</v>
      </c>
      <c r="M1017" s="12">
        <v>45140.0</v>
      </c>
      <c r="N1017" s="77" t="str">
        <f t="shared" si="1"/>
        <v>julho</v>
      </c>
    </row>
    <row r="1018">
      <c r="A1018" s="25" t="s">
        <v>3301</v>
      </c>
      <c r="B1018" s="59">
        <v>45138.45794049768</v>
      </c>
      <c r="C1018" s="25" t="s">
        <v>1491</v>
      </c>
      <c r="D1018" s="25">
        <v>5333.0</v>
      </c>
      <c r="E1018" s="25" t="s">
        <v>41</v>
      </c>
      <c r="F1018" s="25" t="s">
        <v>42</v>
      </c>
      <c r="G1018" s="25" t="s">
        <v>1020</v>
      </c>
      <c r="H1018" s="25" t="s">
        <v>79</v>
      </c>
      <c r="I1018" s="25"/>
      <c r="J1018" s="25" t="s">
        <v>3302</v>
      </c>
      <c r="K1018" s="25"/>
      <c r="L1018" s="26" t="s">
        <v>20</v>
      </c>
      <c r="M1018" s="12">
        <v>45148.0</v>
      </c>
      <c r="N1018" s="77" t="str">
        <f t="shared" si="1"/>
        <v>julho</v>
      </c>
    </row>
    <row r="1019">
      <c r="A1019" s="25" t="s">
        <v>3303</v>
      </c>
      <c r="B1019" s="59">
        <v>45138.50025331019</v>
      </c>
      <c r="C1019" s="25" t="s">
        <v>1491</v>
      </c>
      <c r="D1019" s="25">
        <v>5333.0</v>
      </c>
      <c r="E1019" s="25" t="s">
        <v>41</v>
      </c>
      <c r="F1019" s="25" t="s">
        <v>42</v>
      </c>
      <c r="G1019" s="25" t="s">
        <v>3304</v>
      </c>
      <c r="H1019" s="25" t="s">
        <v>79</v>
      </c>
      <c r="I1019" s="25"/>
      <c r="J1019" s="25" t="s">
        <v>3305</v>
      </c>
      <c r="K1019" s="25"/>
      <c r="L1019" s="26" t="s">
        <v>20</v>
      </c>
      <c r="M1019" s="12">
        <v>45140.0</v>
      </c>
      <c r="N1019" s="77" t="str">
        <f t="shared" si="1"/>
        <v>julho</v>
      </c>
    </row>
    <row r="1020">
      <c r="A1020" s="25" t="s">
        <v>3306</v>
      </c>
      <c r="B1020" s="59">
        <v>45138.57987302083</v>
      </c>
      <c r="C1020" s="25" t="s">
        <v>3004</v>
      </c>
      <c r="D1020" s="25">
        <v>5357.0</v>
      </c>
      <c r="E1020" s="20" t="s">
        <v>288</v>
      </c>
      <c r="F1020" s="25" t="s">
        <v>1548</v>
      </c>
      <c r="G1020" s="25" t="s">
        <v>3307</v>
      </c>
      <c r="H1020" s="25" t="s">
        <v>79</v>
      </c>
      <c r="I1020" s="25"/>
      <c r="J1020" s="25" t="s">
        <v>3308</v>
      </c>
      <c r="K1020" s="25"/>
      <c r="L1020" s="26" t="s">
        <v>20</v>
      </c>
      <c r="M1020" s="12">
        <v>45148.0</v>
      </c>
      <c r="N1020" s="77" t="str">
        <f t="shared" si="1"/>
        <v>julho</v>
      </c>
    </row>
    <row r="1021">
      <c r="A1021" s="25" t="s">
        <v>3309</v>
      </c>
      <c r="B1021" s="59">
        <v>45138.628273333336</v>
      </c>
      <c r="C1021" s="25" t="s">
        <v>1491</v>
      </c>
      <c r="D1021" s="25">
        <v>5333.0</v>
      </c>
      <c r="E1021" s="25" t="s">
        <v>41</v>
      </c>
      <c r="F1021" s="25" t="s">
        <v>42</v>
      </c>
      <c r="G1021" s="25" t="s">
        <v>3310</v>
      </c>
      <c r="H1021" s="25" t="s">
        <v>764</v>
      </c>
      <c r="I1021" s="25"/>
      <c r="J1021" s="25" t="s">
        <v>3311</v>
      </c>
      <c r="K1021" s="25"/>
      <c r="L1021" s="26" t="s">
        <v>20</v>
      </c>
      <c r="M1021" s="12">
        <v>45148.0</v>
      </c>
      <c r="N1021" s="77" t="str">
        <f t="shared" si="1"/>
        <v>julho</v>
      </c>
    </row>
    <row r="1022">
      <c r="A1022" s="25" t="s">
        <v>3312</v>
      </c>
      <c r="B1022" s="59">
        <v>45138.75525030092</v>
      </c>
      <c r="C1022" s="25" t="s">
        <v>948</v>
      </c>
      <c r="D1022" s="25">
        <v>6.4981321757E10</v>
      </c>
      <c r="E1022" s="25" t="s">
        <v>187</v>
      </c>
      <c r="F1022" s="25" t="s">
        <v>347</v>
      </c>
      <c r="G1022" s="25" t="s">
        <v>3313</v>
      </c>
      <c r="H1022" s="25" t="s">
        <v>1734</v>
      </c>
      <c r="I1022" s="25"/>
      <c r="J1022" s="25" t="s">
        <v>3314</v>
      </c>
      <c r="K1022" s="25"/>
      <c r="L1022" s="26" t="s">
        <v>20</v>
      </c>
      <c r="M1022" s="12">
        <v>45140.0</v>
      </c>
      <c r="N1022" s="77" t="str">
        <f t="shared" si="1"/>
        <v>julho</v>
      </c>
    </row>
    <row r="1023">
      <c r="A1023" s="25" t="s">
        <v>3315</v>
      </c>
      <c r="B1023" s="59">
        <v>45139.16663263889</v>
      </c>
      <c r="C1023" s="25" t="s">
        <v>65</v>
      </c>
      <c r="D1023" s="25">
        <v>5318.0</v>
      </c>
      <c r="E1023" s="25" t="s">
        <v>15</v>
      </c>
      <c r="F1023" s="25" t="s">
        <v>86</v>
      </c>
      <c r="G1023" s="25" t="s">
        <v>86</v>
      </c>
      <c r="H1023" s="25" t="s">
        <v>18</v>
      </c>
      <c r="I1023" s="25"/>
      <c r="J1023" s="25" t="s">
        <v>3316</v>
      </c>
      <c r="K1023" s="25"/>
      <c r="L1023" s="26" t="s">
        <v>20</v>
      </c>
      <c r="M1023" s="12">
        <v>45140.0</v>
      </c>
      <c r="N1023" s="77" t="str">
        <f t="shared" si="1"/>
        <v>agosto</v>
      </c>
    </row>
    <row r="1024">
      <c r="A1024" s="25" t="s">
        <v>3317</v>
      </c>
      <c r="B1024" s="59">
        <v>45139.54744946759</v>
      </c>
      <c r="C1024" s="25" t="s">
        <v>69</v>
      </c>
      <c r="D1024" s="25">
        <v>5340.0</v>
      </c>
      <c r="E1024" s="25" t="s">
        <v>70</v>
      </c>
      <c r="F1024" s="25" t="s">
        <v>61</v>
      </c>
      <c r="G1024" s="25" t="s">
        <v>3318</v>
      </c>
      <c r="H1024" s="25" t="s">
        <v>764</v>
      </c>
      <c r="I1024" s="25"/>
      <c r="J1024" s="25" t="s">
        <v>3319</v>
      </c>
      <c r="K1024" s="25"/>
      <c r="L1024" s="26" t="s">
        <v>20</v>
      </c>
      <c r="M1024" s="12">
        <v>45145.0</v>
      </c>
      <c r="N1024" s="77" t="str">
        <f t="shared" si="1"/>
        <v>agosto</v>
      </c>
    </row>
    <row r="1025">
      <c r="A1025" s="25" t="s">
        <v>3320</v>
      </c>
      <c r="B1025" s="59">
        <v>45139.581441539354</v>
      </c>
      <c r="C1025" s="25" t="s">
        <v>1885</v>
      </c>
      <c r="D1025" s="25" t="s">
        <v>3321</v>
      </c>
      <c r="E1025" s="25" t="s">
        <v>540</v>
      </c>
      <c r="F1025" s="25" t="s">
        <v>3322</v>
      </c>
      <c r="G1025" s="25" t="s">
        <v>3323</v>
      </c>
      <c r="H1025" s="25" t="s">
        <v>1734</v>
      </c>
      <c r="I1025" s="25"/>
      <c r="J1025" s="25" t="s">
        <v>3324</v>
      </c>
      <c r="K1025" s="25"/>
      <c r="L1025" s="26" t="s">
        <v>20</v>
      </c>
      <c r="M1025" s="12">
        <v>45149.0</v>
      </c>
      <c r="N1025" s="77" t="str">
        <f t="shared" si="1"/>
        <v>agosto</v>
      </c>
    </row>
    <row r="1026">
      <c r="A1026" s="25" t="s">
        <v>3325</v>
      </c>
      <c r="B1026" s="59">
        <v>45139.62757423611</v>
      </c>
      <c r="C1026" s="25" t="s">
        <v>1491</v>
      </c>
      <c r="D1026" s="25">
        <v>5333.0</v>
      </c>
      <c r="E1026" s="25" t="s">
        <v>41</v>
      </c>
      <c r="F1026" s="25" t="s">
        <v>42</v>
      </c>
      <c r="G1026" s="25" t="s">
        <v>608</v>
      </c>
      <c r="H1026" s="25" t="s">
        <v>79</v>
      </c>
      <c r="I1026" s="25"/>
      <c r="J1026" s="25" t="s">
        <v>3326</v>
      </c>
      <c r="K1026" s="25"/>
      <c r="L1026" s="26" t="s">
        <v>20</v>
      </c>
      <c r="M1026" s="12">
        <v>45147.0</v>
      </c>
      <c r="N1026" s="77" t="str">
        <f t="shared" si="1"/>
        <v>agosto</v>
      </c>
    </row>
    <row r="1027">
      <c r="A1027" s="25" t="s">
        <v>3327</v>
      </c>
      <c r="B1027" s="59">
        <v>45139.69491229167</v>
      </c>
      <c r="C1027" s="25" t="s">
        <v>3070</v>
      </c>
      <c r="D1027" s="25">
        <v>5357.0</v>
      </c>
      <c r="E1027" s="20" t="s">
        <v>288</v>
      </c>
      <c r="F1027" s="25" t="s">
        <v>1858</v>
      </c>
      <c r="G1027" s="25" t="s">
        <v>1103</v>
      </c>
      <c r="H1027" s="25" t="s">
        <v>1734</v>
      </c>
      <c r="I1027" s="25"/>
      <c r="J1027" s="25" t="s">
        <v>3328</v>
      </c>
      <c r="K1027" s="25"/>
      <c r="L1027" s="26" t="s">
        <v>20</v>
      </c>
      <c r="M1027" s="12">
        <v>45141.0</v>
      </c>
      <c r="N1027" s="77" t="str">
        <f t="shared" si="1"/>
        <v>agosto</v>
      </c>
    </row>
    <row r="1028">
      <c r="A1028" s="25" t="s">
        <v>3329</v>
      </c>
      <c r="B1028" s="59">
        <v>45140.59890865741</v>
      </c>
      <c r="C1028" s="25" t="s">
        <v>339</v>
      </c>
      <c r="D1028" s="25">
        <v>7.7999477415E10</v>
      </c>
      <c r="E1028" s="25" t="s">
        <v>284</v>
      </c>
      <c r="F1028" s="25" t="s">
        <v>86</v>
      </c>
      <c r="G1028" s="25" t="s">
        <v>3330</v>
      </c>
      <c r="H1028" s="25" t="s">
        <v>18</v>
      </c>
      <c r="I1028" s="25"/>
      <c r="J1028" s="25" t="s">
        <v>3331</v>
      </c>
      <c r="K1028" s="25"/>
      <c r="L1028" s="26" t="s">
        <v>20</v>
      </c>
      <c r="M1028" s="12">
        <v>45149.0</v>
      </c>
      <c r="N1028" s="77" t="str">
        <f t="shared" si="1"/>
        <v>agosto</v>
      </c>
    </row>
    <row r="1029">
      <c r="A1029" s="25" t="s">
        <v>3332</v>
      </c>
      <c r="B1029" s="59">
        <v>45140.62552240741</v>
      </c>
      <c r="C1029" s="25" t="s">
        <v>876</v>
      </c>
      <c r="D1029" s="25" t="s">
        <v>3333</v>
      </c>
      <c r="E1029" s="25" t="s">
        <v>187</v>
      </c>
      <c r="F1029" s="25" t="s">
        <v>347</v>
      </c>
      <c r="G1029" s="25">
        <v>111.0</v>
      </c>
      <c r="H1029" s="25" t="s">
        <v>1734</v>
      </c>
      <c r="I1029" s="25"/>
      <c r="J1029" s="25" t="s">
        <v>3334</v>
      </c>
      <c r="K1029" s="25"/>
      <c r="L1029" s="26" t="s">
        <v>20</v>
      </c>
      <c r="M1029" s="12">
        <v>45141.0</v>
      </c>
      <c r="N1029" s="77" t="str">
        <f t="shared" si="1"/>
        <v>agosto</v>
      </c>
    </row>
    <row r="1030">
      <c r="A1030" s="25" t="s">
        <v>3335</v>
      </c>
      <c r="B1030" s="59">
        <v>45140.63277722222</v>
      </c>
      <c r="C1030" s="25" t="s">
        <v>451</v>
      </c>
      <c r="D1030" s="25">
        <v>5304.0</v>
      </c>
      <c r="E1030" s="25" t="s">
        <v>1097</v>
      </c>
      <c r="F1030" s="25" t="s">
        <v>1199</v>
      </c>
      <c r="G1030" s="25">
        <v>5.0</v>
      </c>
      <c r="H1030" s="25" t="s">
        <v>764</v>
      </c>
      <c r="I1030" s="25"/>
      <c r="J1030" s="25" t="s">
        <v>3336</v>
      </c>
      <c r="K1030" s="25"/>
      <c r="L1030" s="26" t="s">
        <v>20</v>
      </c>
      <c r="M1030" s="12">
        <v>45145.0</v>
      </c>
      <c r="N1030" s="77" t="str">
        <f t="shared" si="1"/>
        <v>agosto</v>
      </c>
    </row>
    <row r="1031">
      <c r="A1031" s="25" t="s">
        <v>3337</v>
      </c>
      <c r="B1031" s="59">
        <v>45140.639568495375</v>
      </c>
      <c r="C1031" s="25" t="s">
        <v>186</v>
      </c>
      <c r="D1031" s="25" t="s">
        <v>3333</v>
      </c>
      <c r="E1031" s="25" t="s">
        <v>187</v>
      </c>
      <c r="F1031" s="25" t="s">
        <v>347</v>
      </c>
      <c r="G1031" s="25">
        <v>111.0</v>
      </c>
      <c r="H1031" s="25" t="s">
        <v>1734</v>
      </c>
      <c r="I1031" s="25"/>
      <c r="J1031" s="25" t="s">
        <v>3338</v>
      </c>
      <c r="K1031" s="25"/>
      <c r="L1031" s="26" t="s">
        <v>20</v>
      </c>
      <c r="M1031" s="12">
        <v>45141.0</v>
      </c>
      <c r="N1031" s="77" t="str">
        <f t="shared" si="1"/>
        <v>agosto</v>
      </c>
    </row>
    <row r="1032">
      <c r="A1032" s="25" t="s">
        <v>3339</v>
      </c>
      <c r="B1032" s="59">
        <v>45140.66111291667</v>
      </c>
      <c r="C1032" s="25" t="s">
        <v>138</v>
      </c>
      <c r="D1032" s="25">
        <v>5318.0</v>
      </c>
      <c r="E1032" s="25" t="s">
        <v>15</v>
      </c>
      <c r="F1032" s="25" t="s">
        <v>3340</v>
      </c>
      <c r="G1032" s="25" t="s">
        <v>1742</v>
      </c>
      <c r="H1032" s="25" t="s">
        <v>18</v>
      </c>
      <c r="I1032" s="25"/>
      <c r="J1032" s="25" t="s">
        <v>3341</v>
      </c>
      <c r="K1032" s="25"/>
      <c r="L1032" s="26" t="s">
        <v>20</v>
      </c>
      <c r="M1032" s="12">
        <v>45141.0</v>
      </c>
      <c r="N1032" s="77" t="str">
        <f t="shared" si="1"/>
        <v>agosto</v>
      </c>
    </row>
    <row r="1033">
      <c r="A1033" s="25" t="s">
        <v>3342</v>
      </c>
      <c r="B1033" s="59">
        <v>45140.69204190972</v>
      </c>
      <c r="C1033" s="25" t="s">
        <v>486</v>
      </c>
      <c r="D1033" s="25">
        <v>5340.0</v>
      </c>
      <c r="E1033" s="25" t="s">
        <v>70</v>
      </c>
      <c r="F1033" s="25" t="s">
        <v>1789</v>
      </c>
      <c r="G1033" s="25" t="s">
        <v>1208</v>
      </c>
      <c r="H1033" s="25" t="s">
        <v>79</v>
      </c>
      <c r="I1033" s="25"/>
      <c r="J1033" s="25" t="s">
        <v>3343</v>
      </c>
      <c r="K1033" s="25"/>
      <c r="L1033" s="26" t="s">
        <v>20</v>
      </c>
      <c r="M1033" s="12">
        <v>45147.0</v>
      </c>
      <c r="N1033" s="77" t="str">
        <f t="shared" si="1"/>
        <v>agosto</v>
      </c>
    </row>
    <row r="1034">
      <c r="A1034" s="25" t="s">
        <v>3344</v>
      </c>
      <c r="B1034" s="59">
        <v>45140.69650664352</v>
      </c>
      <c r="C1034" s="25" t="s">
        <v>486</v>
      </c>
      <c r="D1034" s="25">
        <v>5340.0</v>
      </c>
      <c r="E1034" s="25" t="s">
        <v>70</v>
      </c>
      <c r="F1034" s="25" t="s">
        <v>82</v>
      </c>
      <c r="G1034" s="25" t="s">
        <v>3019</v>
      </c>
      <c r="H1034" s="25" t="s">
        <v>79</v>
      </c>
      <c r="I1034" s="25"/>
      <c r="J1034" s="25" t="s">
        <v>3345</v>
      </c>
      <c r="K1034" s="25"/>
      <c r="L1034" s="26" t="s">
        <v>20</v>
      </c>
      <c r="M1034" s="12">
        <v>45148.0</v>
      </c>
      <c r="N1034" s="77" t="str">
        <f t="shared" si="1"/>
        <v>agosto</v>
      </c>
    </row>
    <row r="1035">
      <c r="A1035" s="25" t="s">
        <v>3346</v>
      </c>
      <c r="B1035" s="59">
        <v>45141.450451481476</v>
      </c>
      <c r="C1035" s="25" t="s">
        <v>3347</v>
      </c>
      <c r="D1035" s="25">
        <v>3.4415308E7</v>
      </c>
      <c r="E1035" s="25" t="s">
        <v>1372</v>
      </c>
      <c r="F1035" s="25" t="s">
        <v>3157</v>
      </c>
      <c r="G1035" s="25" t="s">
        <v>3348</v>
      </c>
      <c r="H1035" s="25" t="s">
        <v>1734</v>
      </c>
      <c r="I1035" s="25"/>
      <c r="J1035" s="25" t="s">
        <v>3349</v>
      </c>
      <c r="K1035" s="25"/>
      <c r="L1035" s="26" t="s">
        <v>20</v>
      </c>
      <c r="M1035" s="12">
        <v>45153.0</v>
      </c>
      <c r="N1035" s="77" t="str">
        <f t="shared" si="1"/>
        <v>agosto</v>
      </c>
    </row>
    <row r="1036">
      <c r="A1036" s="25" t="s">
        <v>3350</v>
      </c>
      <c r="B1036" s="59">
        <v>45141.464702916666</v>
      </c>
      <c r="C1036" s="25" t="s">
        <v>3351</v>
      </c>
      <c r="D1036" s="25" t="s">
        <v>3352</v>
      </c>
      <c r="E1036" s="25" t="s">
        <v>262</v>
      </c>
      <c r="F1036" s="25" t="s">
        <v>3353</v>
      </c>
      <c r="G1036" s="25" t="s">
        <v>3354</v>
      </c>
      <c r="H1036" s="25" t="s">
        <v>18</v>
      </c>
      <c r="I1036" s="25"/>
      <c r="J1036" s="25" t="s">
        <v>3355</v>
      </c>
      <c r="K1036" s="25"/>
      <c r="L1036" s="26" t="s">
        <v>20</v>
      </c>
      <c r="M1036" s="12">
        <v>45141.0</v>
      </c>
      <c r="N1036" s="77" t="str">
        <f t="shared" si="1"/>
        <v>agosto</v>
      </c>
    </row>
    <row r="1037">
      <c r="A1037" s="25" t="s">
        <v>3356</v>
      </c>
      <c r="B1037" s="59">
        <v>45141.69555684028</v>
      </c>
      <c r="C1037" s="25" t="s">
        <v>307</v>
      </c>
      <c r="D1037" s="25">
        <v>3.4999071369E10</v>
      </c>
      <c r="E1037" s="20" t="s">
        <v>308</v>
      </c>
      <c r="F1037" s="25" t="s">
        <v>783</v>
      </c>
      <c r="G1037" s="25">
        <v>151.0</v>
      </c>
      <c r="H1037" s="25" t="s">
        <v>1734</v>
      </c>
      <c r="I1037" s="25"/>
      <c r="J1037" s="25" t="s">
        <v>3357</v>
      </c>
      <c r="K1037" s="25"/>
      <c r="L1037" s="26" t="s">
        <v>20</v>
      </c>
      <c r="M1037" s="12">
        <v>45146.0</v>
      </c>
      <c r="N1037" s="77" t="str">
        <f t="shared" si="1"/>
        <v>agosto</v>
      </c>
    </row>
    <row r="1038">
      <c r="A1038" s="25" t="s">
        <v>3358</v>
      </c>
      <c r="B1038" s="59">
        <v>45142.23847701389</v>
      </c>
      <c r="C1038" s="25" t="s">
        <v>169</v>
      </c>
      <c r="D1038" s="25">
        <v>5318.0</v>
      </c>
      <c r="E1038" s="25" t="s">
        <v>15</v>
      </c>
      <c r="F1038" s="25" t="s">
        <v>393</v>
      </c>
      <c r="G1038" s="25" t="s">
        <v>3359</v>
      </c>
      <c r="H1038" s="25" t="s">
        <v>1734</v>
      </c>
      <c r="I1038" s="25"/>
      <c r="J1038" s="25" t="s">
        <v>3360</v>
      </c>
      <c r="K1038" s="25"/>
      <c r="L1038" s="26" t="s">
        <v>20</v>
      </c>
      <c r="M1038" s="12">
        <v>45145.0</v>
      </c>
      <c r="N1038" s="77" t="str">
        <f t="shared" si="1"/>
        <v>agosto</v>
      </c>
    </row>
    <row r="1039">
      <c r="A1039" s="25" t="s">
        <v>3361</v>
      </c>
      <c r="B1039" s="59">
        <v>45142.44534880787</v>
      </c>
      <c r="C1039" s="25" t="s">
        <v>3362</v>
      </c>
      <c r="D1039" s="25">
        <v>5340.0</v>
      </c>
      <c r="E1039" s="25" t="s">
        <v>70</v>
      </c>
      <c r="F1039" s="25" t="s">
        <v>3363</v>
      </c>
      <c r="G1039" s="25" t="s">
        <v>1534</v>
      </c>
      <c r="H1039" s="25" t="s">
        <v>79</v>
      </c>
      <c r="I1039" s="25"/>
      <c r="J1039" s="25" t="s">
        <v>3364</v>
      </c>
      <c r="K1039" s="25"/>
      <c r="L1039" s="26" t="s">
        <v>20</v>
      </c>
      <c r="M1039" s="12">
        <v>45147.0</v>
      </c>
      <c r="N1039" s="77" t="str">
        <f t="shared" si="1"/>
        <v>agosto</v>
      </c>
    </row>
    <row r="1040">
      <c r="A1040" s="25" t="s">
        <v>3365</v>
      </c>
      <c r="B1040" s="59">
        <v>45142.621379108794</v>
      </c>
      <c r="C1040" s="25" t="s">
        <v>3366</v>
      </c>
      <c r="D1040" s="25">
        <v>5304.0</v>
      </c>
      <c r="E1040" s="25" t="s">
        <v>1097</v>
      </c>
      <c r="F1040" s="25" t="s">
        <v>1199</v>
      </c>
      <c r="G1040" s="25">
        <v>1.0</v>
      </c>
      <c r="H1040" s="25" t="s">
        <v>18</v>
      </c>
      <c r="I1040" s="25"/>
      <c r="J1040" s="25" t="s">
        <v>3367</v>
      </c>
      <c r="K1040" s="25"/>
      <c r="L1040" s="26" t="s">
        <v>20</v>
      </c>
      <c r="M1040" s="12">
        <v>45146.0</v>
      </c>
      <c r="N1040" s="77" t="str">
        <f t="shared" si="1"/>
        <v>agosto</v>
      </c>
    </row>
    <row r="1041">
      <c r="A1041" s="25" t="s">
        <v>3368</v>
      </c>
      <c r="B1041" s="59">
        <v>45145.4673253125</v>
      </c>
      <c r="C1041" s="25" t="s">
        <v>2234</v>
      </c>
      <c r="D1041" s="25" t="s">
        <v>3369</v>
      </c>
      <c r="E1041" s="25" t="s">
        <v>187</v>
      </c>
      <c r="F1041" s="25" t="s">
        <v>1617</v>
      </c>
      <c r="G1041" s="25" t="s">
        <v>1476</v>
      </c>
      <c r="H1041" s="25" t="s">
        <v>1734</v>
      </c>
      <c r="I1041" s="25"/>
      <c r="J1041" s="25" t="s">
        <v>3370</v>
      </c>
      <c r="K1041" s="25"/>
      <c r="L1041" s="26" t="s">
        <v>20</v>
      </c>
      <c r="M1041" s="12">
        <v>45145.0</v>
      </c>
      <c r="N1041" s="77" t="str">
        <f t="shared" si="1"/>
        <v>agosto</v>
      </c>
    </row>
    <row r="1042">
      <c r="A1042" s="25" t="s">
        <v>3371</v>
      </c>
      <c r="B1042" s="59">
        <v>45146.59778974537</v>
      </c>
      <c r="C1042" s="25" t="s">
        <v>1272</v>
      </c>
      <c r="D1042" s="25">
        <v>5360.0</v>
      </c>
      <c r="E1042" s="25" t="s">
        <v>371</v>
      </c>
      <c r="F1042" s="25" t="s">
        <v>49</v>
      </c>
      <c r="G1042" s="25" t="s">
        <v>3372</v>
      </c>
      <c r="H1042" s="25" t="s">
        <v>79</v>
      </c>
      <c r="I1042" s="25"/>
      <c r="J1042" s="25" t="s">
        <v>3373</v>
      </c>
      <c r="K1042" s="25"/>
      <c r="L1042" s="26" t="s">
        <v>20</v>
      </c>
      <c r="M1042" s="12">
        <v>45149.0</v>
      </c>
      <c r="N1042" s="77" t="str">
        <f t="shared" si="1"/>
        <v>agosto</v>
      </c>
    </row>
    <row r="1043">
      <c r="A1043" s="25" t="s">
        <v>3374</v>
      </c>
      <c r="B1043" s="59">
        <v>45146.60162883102</v>
      </c>
      <c r="C1043" s="25" t="s">
        <v>1272</v>
      </c>
      <c r="D1043" s="25">
        <v>5360.0</v>
      </c>
      <c r="E1043" s="25" t="s">
        <v>371</v>
      </c>
      <c r="F1043" s="25" t="s">
        <v>49</v>
      </c>
      <c r="G1043" s="25" t="s">
        <v>3375</v>
      </c>
      <c r="H1043" s="25" t="s">
        <v>79</v>
      </c>
      <c r="I1043" s="25"/>
      <c r="J1043" s="25" t="s">
        <v>3376</v>
      </c>
      <c r="K1043" s="25"/>
      <c r="L1043" s="26" t="s">
        <v>20</v>
      </c>
      <c r="M1043" s="12">
        <v>45149.0</v>
      </c>
      <c r="N1043" s="77" t="str">
        <f t="shared" si="1"/>
        <v>agosto</v>
      </c>
    </row>
    <row r="1044">
      <c r="A1044" s="7" t="s">
        <v>3377</v>
      </c>
      <c r="B1044" s="8">
        <v>45146.67336579861</v>
      </c>
      <c r="C1044" s="7" t="s">
        <v>2942</v>
      </c>
      <c r="D1044" s="7" t="s">
        <v>3378</v>
      </c>
      <c r="E1044" s="25" t="s">
        <v>34</v>
      </c>
      <c r="F1044" s="7" t="s">
        <v>188</v>
      </c>
      <c r="G1044" s="9" t="s">
        <v>891</v>
      </c>
      <c r="H1044" s="7" t="s">
        <v>298</v>
      </c>
      <c r="I1044" s="7"/>
      <c r="J1044" s="60" t="s">
        <v>3379</v>
      </c>
      <c r="K1044" s="54"/>
      <c r="L1044" s="10" t="s">
        <v>20</v>
      </c>
      <c r="M1044" s="55">
        <v>45397.0</v>
      </c>
      <c r="N1044" s="77" t="str">
        <f t="shared" si="1"/>
        <v>agosto</v>
      </c>
    </row>
    <row r="1045">
      <c r="A1045" s="25" t="s">
        <v>3380</v>
      </c>
      <c r="B1045" s="59">
        <v>45147.043763379625</v>
      </c>
      <c r="C1045" s="25" t="s">
        <v>65</v>
      </c>
      <c r="D1045" s="25">
        <v>5318.0</v>
      </c>
      <c r="E1045" s="25" t="s">
        <v>15</v>
      </c>
      <c r="F1045" s="25" t="s">
        <v>61</v>
      </c>
      <c r="G1045" s="25" t="s">
        <v>3381</v>
      </c>
      <c r="H1045" s="25" t="s">
        <v>18</v>
      </c>
      <c r="I1045" s="25"/>
      <c r="J1045" s="25" t="s">
        <v>3382</v>
      </c>
      <c r="K1045" s="25"/>
      <c r="L1045" s="26" t="s">
        <v>20</v>
      </c>
      <c r="M1045" s="12">
        <v>45149.0</v>
      </c>
      <c r="N1045" s="77" t="str">
        <f t="shared" si="1"/>
        <v>agosto</v>
      </c>
    </row>
    <row r="1046">
      <c r="A1046" s="7" t="s">
        <v>3383</v>
      </c>
      <c r="B1046" s="8">
        <v>45147.6222997338</v>
      </c>
      <c r="C1046" s="7" t="s">
        <v>2177</v>
      </c>
      <c r="D1046" s="7">
        <v>3.4415308E7</v>
      </c>
      <c r="E1046" s="7" t="s">
        <v>1372</v>
      </c>
      <c r="F1046" s="7" t="s">
        <v>554</v>
      </c>
      <c r="G1046" s="9" t="s">
        <v>3384</v>
      </c>
      <c r="H1046" s="7" t="s">
        <v>764</v>
      </c>
      <c r="I1046" s="7"/>
      <c r="J1046" s="60" t="s">
        <v>3385</v>
      </c>
      <c r="K1046" s="54"/>
      <c r="L1046" s="10" t="s">
        <v>738</v>
      </c>
      <c r="M1046" s="43"/>
      <c r="N1046" s="77" t="str">
        <f t="shared" si="1"/>
        <v>agosto</v>
      </c>
    </row>
    <row r="1047">
      <c r="A1047" s="25" t="s">
        <v>3386</v>
      </c>
      <c r="B1047" s="59">
        <v>45147.69308362268</v>
      </c>
      <c r="C1047" s="25" t="s">
        <v>3387</v>
      </c>
      <c r="D1047" s="25">
        <v>5340.0</v>
      </c>
      <c r="E1047" s="25" t="s">
        <v>70</v>
      </c>
      <c r="F1047" s="25" t="s">
        <v>313</v>
      </c>
      <c r="G1047" s="25" t="s">
        <v>399</v>
      </c>
      <c r="H1047" s="25" t="s">
        <v>129</v>
      </c>
      <c r="I1047" s="25"/>
      <c r="J1047" s="25" t="s">
        <v>3388</v>
      </c>
      <c r="K1047" s="25"/>
      <c r="L1047" s="26" t="s">
        <v>20</v>
      </c>
      <c r="M1047" s="12">
        <v>45154.0</v>
      </c>
      <c r="N1047" s="77" t="str">
        <f t="shared" si="1"/>
        <v>agosto</v>
      </c>
    </row>
    <row r="1048">
      <c r="A1048" s="25" t="s">
        <v>3389</v>
      </c>
      <c r="B1048" s="59">
        <v>45148.23177840278</v>
      </c>
      <c r="C1048" s="25" t="s">
        <v>169</v>
      </c>
      <c r="D1048" s="25">
        <v>5318.0</v>
      </c>
      <c r="E1048" s="25" t="s">
        <v>15</v>
      </c>
      <c r="F1048" s="25" t="s">
        <v>86</v>
      </c>
      <c r="G1048" s="25" t="s">
        <v>3390</v>
      </c>
      <c r="H1048" s="25" t="s">
        <v>18</v>
      </c>
      <c r="I1048" s="25"/>
      <c r="J1048" s="25" t="s">
        <v>3391</v>
      </c>
      <c r="K1048" s="25"/>
      <c r="L1048" s="26" t="s">
        <v>20</v>
      </c>
      <c r="M1048" s="12">
        <v>45149.0</v>
      </c>
      <c r="N1048" s="77" t="str">
        <f t="shared" si="1"/>
        <v>agosto</v>
      </c>
    </row>
    <row r="1049">
      <c r="A1049" s="25" t="s">
        <v>3392</v>
      </c>
      <c r="B1049" s="59">
        <v>45148.34122714121</v>
      </c>
      <c r="C1049" s="25" t="s">
        <v>3393</v>
      </c>
      <c r="D1049" s="25">
        <v>6.498407889E10</v>
      </c>
      <c r="E1049" s="25" t="s">
        <v>187</v>
      </c>
      <c r="F1049" s="25" t="s">
        <v>188</v>
      </c>
      <c r="G1049" s="25" t="s">
        <v>1476</v>
      </c>
      <c r="H1049" s="25" t="s">
        <v>1734</v>
      </c>
      <c r="I1049" s="25"/>
      <c r="J1049" s="25" t="s">
        <v>3394</v>
      </c>
      <c r="K1049" s="25"/>
      <c r="L1049" s="26" t="s">
        <v>20</v>
      </c>
      <c r="M1049" s="12">
        <v>45148.0</v>
      </c>
      <c r="N1049" s="77" t="str">
        <f t="shared" si="1"/>
        <v>agosto</v>
      </c>
    </row>
    <row r="1050">
      <c r="A1050" s="25" t="s">
        <v>3395</v>
      </c>
      <c r="B1050" s="59">
        <v>45148.352733067135</v>
      </c>
      <c r="C1050" s="25" t="s">
        <v>3396</v>
      </c>
      <c r="D1050" s="25" t="s">
        <v>3397</v>
      </c>
      <c r="E1050" s="25" t="s">
        <v>423</v>
      </c>
      <c r="F1050" s="25" t="s">
        <v>3398</v>
      </c>
      <c r="G1050" s="25" t="s">
        <v>3399</v>
      </c>
      <c r="H1050" s="25" t="s">
        <v>129</v>
      </c>
      <c r="I1050" s="25"/>
      <c r="J1050" s="25" t="s">
        <v>3400</v>
      </c>
      <c r="K1050" s="25"/>
      <c r="L1050" s="26" t="s">
        <v>20</v>
      </c>
      <c r="M1050" s="12">
        <v>45154.0</v>
      </c>
      <c r="N1050" s="77" t="str">
        <f t="shared" si="1"/>
        <v>agosto</v>
      </c>
    </row>
    <row r="1051">
      <c r="A1051" s="25" t="s">
        <v>3401</v>
      </c>
      <c r="B1051" s="59">
        <v>45148.5700919213</v>
      </c>
      <c r="C1051" s="25" t="s">
        <v>3402</v>
      </c>
      <c r="D1051" s="25">
        <v>6.4999572733E10</v>
      </c>
      <c r="E1051" s="25" t="s">
        <v>195</v>
      </c>
      <c r="F1051" s="25" t="s">
        <v>755</v>
      </c>
      <c r="G1051" s="25" t="s">
        <v>3403</v>
      </c>
      <c r="H1051" s="25" t="s">
        <v>18</v>
      </c>
      <c r="I1051" s="25"/>
      <c r="J1051" s="25" t="s">
        <v>3404</v>
      </c>
      <c r="K1051" s="25"/>
      <c r="L1051" s="26" t="s">
        <v>20</v>
      </c>
      <c r="M1051" s="12">
        <v>45149.0</v>
      </c>
      <c r="N1051" s="77" t="str">
        <f t="shared" si="1"/>
        <v>agosto</v>
      </c>
    </row>
    <row r="1052">
      <c r="A1052" s="25" t="s">
        <v>3405</v>
      </c>
      <c r="B1052" s="59">
        <v>45148.67678807871</v>
      </c>
      <c r="C1052" s="25" t="s">
        <v>138</v>
      </c>
      <c r="D1052" s="25">
        <v>5318.0</v>
      </c>
      <c r="E1052" s="25" t="s">
        <v>15</v>
      </c>
      <c r="F1052" s="25" t="s">
        <v>61</v>
      </c>
      <c r="G1052" s="25" t="s">
        <v>3406</v>
      </c>
      <c r="H1052" s="25" t="s">
        <v>18</v>
      </c>
      <c r="I1052" s="25"/>
      <c r="J1052" s="25" t="s">
        <v>3407</v>
      </c>
      <c r="K1052" s="25"/>
      <c r="L1052" s="26" t="s">
        <v>20</v>
      </c>
      <c r="M1052" s="12">
        <v>45149.0</v>
      </c>
      <c r="N1052" s="77" t="str">
        <f t="shared" si="1"/>
        <v>agosto</v>
      </c>
    </row>
    <row r="1053">
      <c r="A1053" s="7" t="s">
        <v>3408</v>
      </c>
      <c r="B1053" s="8">
        <v>45148.80971153935</v>
      </c>
      <c r="C1053" s="7" t="s">
        <v>3409</v>
      </c>
      <c r="D1053" s="89" t="s">
        <v>3410</v>
      </c>
      <c r="E1053" s="25" t="s">
        <v>187</v>
      </c>
      <c r="F1053" s="7" t="s">
        <v>188</v>
      </c>
      <c r="G1053" s="9" t="s">
        <v>3411</v>
      </c>
      <c r="H1053" s="7" t="s">
        <v>18</v>
      </c>
      <c r="I1053" s="7"/>
      <c r="J1053" s="60" t="s">
        <v>3412</v>
      </c>
      <c r="K1053" s="54"/>
      <c r="L1053" s="10" t="s">
        <v>20</v>
      </c>
      <c r="M1053" s="55">
        <v>45301.0</v>
      </c>
      <c r="N1053" s="77" t="str">
        <f t="shared" si="1"/>
        <v>agosto</v>
      </c>
    </row>
    <row r="1054">
      <c r="A1054" s="25" t="s">
        <v>3413</v>
      </c>
      <c r="B1054" s="59">
        <v>45149.39217021991</v>
      </c>
      <c r="C1054" s="25" t="s">
        <v>3387</v>
      </c>
      <c r="D1054" s="25">
        <v>5340.0</v>
      </c>
      <c r="E1054" s="25" t="s">
        <v>70</v>
      </c>
      <c r="F1054" s="25" t="s">
        <v>86</v>
      </c>
      <c r="G1054" s="25" t="s">
        <v>3414</v>
      </c>
      <c r="H1054" s="25" t="s">
        <v>764</v>
      </c>
      <c r="I1054" s="25"/>
      <c r="J1054" s="25" t="s">
        <v>3415</v>
      </c>
      <c r="K1054" s="25"/>
      <c r="L1054" s="26" t="s">
        <v>74</v>
      </c>
      <c r="M1054" s="12">
        <v>45153.0</v>
      </c>
      <c r="N1054" s="77" t="str">
        <f t="shared" si="1"/>
        <v>agosto</v>
      </c>
    </row>
    <row r="1055">
      <c r="A1055" s="25" t="s">
        <v>3416</v>
      </c>
      <c r="B1055" s="59">
        <v>45149.43207028935</v>
      </c>
      <c r="C1055" s="25" t="s">
        <v>346</v>
      </c>
      <c r="D1055" s="25">
        <v>9.96990617E8</v>
      </c>
      <c r="E1055" s="25" t="s">
        <v>34</v>
      </c>
      <c r="F1055" s="25" t="s">
        <v>347</v>
      </c>
      <c r="G1055" s="25" t="s">
        <v>3417</v>
      </c>
      <c r="H1055" s="25" t="s">
        <v>79</v>
      </c>
      <c r="I1055" s="25"/>
      <c r="J1055" s="25" t="s">
        <v>3418</v>
      </c>
      <c r="K1055" s="25"/>
      <c r="L1055" s="26" t="s">
        <v>20</v>
      </c>
      <c r="M1055" s="12">
        <v>45162.0</v>
      </c>
      <c r="N1055" s="77" t="str">
        <f t="shared" si="1"/>
        <v>agosto</v>
      </c>
    </row>
    <row r="1056">
      <c r="A1056" s="25" t="s">
        <v>3419</v>
      </c>
      <c r="B1056" s="59">
        <v>45149.44433891204</v>
      </c>
      <c r="C1056" s="25" t="s">
        <v>346</v>
      </c>
      <c r="D1056" s="25" t="s">
        <v>3420</v>
      </c>
      <c r="E1056" s="25" t="s">
        <v>34</v>
      </c>
      <c r="F1056" s="25" t="s">
        <v>347</v>
      </c>
      <c r="G1056" s="25" t="s">
        <v>3421</v>
      </c>
      <c r="H1056" s="25" t="s">
        <v>764</v>
      </c>
      <c r="I1056" s="25"/>
      <c r="J1056" s="25" t="s">
        <v>3422</v>
      </c>
      <c r="K1056" s="25"/>
      <c r="L1056" s="26" t="s">
        <v>20</v>
      </c>
      <c r="M1056" s="12">
        <v>45161.0</v>
      </c>
      <c r="N1056" s="77" t="str">
        <f t="shared" si="1"/>
        <v>agosto</v>
      </c>
    </row>
    <row r="1057">
      <c r="A1057" s="25" t="s">
        <v>3423</v>
      </c>
      <c r="B1057" s="59">
        <v>45149.47785115741</v>
      </c>
      <c r="C1057" s="25" t="s">
        <v>525</v>
      </c>
      <c r="D1057" s="25">
        <v>3.4999071369E10</v>
      </c>
      <c r="E1057" s="20" t="s">
        <v>308</v>
      </c>
      <c r="F1057" s="25" t="s">
        <v>3424</v>
      </c>
      <c r="G1057" s="25">
        <v>5.0</v>
      </c>
      <c r="H1057" s="25" t="s">
        <v>1734</v>
      </c>
      <c r="I1057" s="25"/>
      <c r="J1057" s="25" t="s">
        <v>3425</v>
      </c>
      <c r="K1057" s="25"/>
      <c r="L1057" s="26" t="s">
        <v>20</v>
      </c>
      <c r="M1057" s="12">
        <v>45149.0</v>
      </c>
      <c r="N1057" s="77" t="str">
        <f t="shared" si="1"/>
        <v>agosto</v>
      </c>
    </row>
    <row r="1058">
      <c r="A1058" s="7" t="s">
        <v>3426</v>
      </c>
      <c r="B1058" s="8">
        <v>45149.65873047453</v>
      </c>
      <c r="C1058" s="7" t="s">
        <v>1491</v>
      </c>
      <c r="D1058" s="7">
        <v>5333.0</v>
      </c>
      <c r="E1058" s="7" t="s">
        <v>41</v>
      </c>
      <c r="F1058" s="25" t="s">
        <v>42</v>
      </c>
      <c r="G1058" s="9" t="s">
        <v>608</v>
      </c>
      <c r="H1058" s="7" t="s">
        <v>79</v>
      </c>
      <c r="I1058" s="7"/>
      <c r="J1058" s="60" t="s">
        <v>3427</v>
      </c>
      <c r="K1058" s="60"/>
      <c r="L1058" s="10" t="s">
        <v>20</v>
      </c>
      <c r="M1058" s="55">
        <v>45236.0</v>
      </c>
      <c r="N1058" s="77" t="str">
        <f t="shared" si="1"/>
        <v>agosto</v>
      </c>
    </row>
    <row r="1059">
      <c r="A1059" s="25" t="s">
        <v>3428</v>
      </c>
      <c r="B1059" s="59">
        <v>45149.65978744213</v>
      </c>
      <c r="C1059" s="25" t="s">
        <v>1491</v>
      </c>
      <c r="D1059" s="25">
        <v>5333.0</v>
      </c>
      <c r="E1059" s="25" t="s">
        <v>41</v>
      </c>
      <c r="F1059" s="25" t="s">
        <v>42</v>
      </c>
      <c r="G1059" s="25" t="s">
        <v>3429</v>
      </c>
      <c r="H1059" s="25" t="s">
        <v>1734</v>
      </c>
      <c r="I1059" s="25"/>
      <c r="J1059" s="25" t="s">
        <v>3430</v>
      </c>
      <c r="K1059" s="25"/>
      <c r="L1059" s="26" t="s">
        <v>20</v>
      </c>
      <c r="M1059" s="12">
        <v>45163.0</v>
      </c>
      <c r="N1059" s="77" t="str">
        <f t="shared" si="1"/>
        <v>agosto</v>
      </c>
    </row>
    <row r="1060">
      <c r="A1060" s="25" t="s">
        <v>3431</v>
      </c>
      <c r="B1060" s="59">
        <v>45149.661079247686</v>
      </c>
      <c r="C1060" s="25" t="s">
        <v>1491</v>
      </c>
      <c r="D1060" s="25">
        <v>5333.0</v>
      </c>
      <c r="E1060" s="25" t="s">
        <v>41</v>
      </c>
      <c r="F1060" s="25" t="s">
        <v>42</v>
      </c>
      <c r="G1060" s="25" t="s">
        <v>3223</v>
      </c>
      <c r="H1060" s="25" t="s">
        <v>79</v>
      </c>
      <c r="I1060" s="25"/>
      <c r="J1060" s="25" t="s">
        <v>3432</v>
      </c>
      <c r="K1060" s="25"/>
      <c r="L1060" s="26" t="s">
        <v>20</v>
      </c>
      <c r="M1060" s="12">
        <v>45163.0</v>
      </c>
      <c r="N1060" s="77" t="str">
        <f t="shared" si="1"/>
        <v>agosto</v>
      </c>
    </row>
    <row r="1061">
      <c r="A1061" s="25" t="s">
        <v>3433</v>
      </c>
      <c r="B1061" s="59">
        <v>45152.36245296296</v>
      </c>
      <c r="C1061" s="25" t="s">
        <v>292</v>
      </c>
      <c r="D1061" s="25">
        <v>5356.0</v>
      </c>
      <c r="E1061" s="25" t="s">
        <v>1097</v>
      </c>
      <c r="F1061" s="25" t="s">
        <v>2882</v>
      </c>
      <c r="G1061" s="25">
        <v>1.0</v>
      </c>
      <c r="H1061" s="25" t="s">
        <v>764</v>
      </c>
      <c r="I1061" s="25"/>
      <c r="J1061" s="25" t="s">
        <v>3434</v>
      </c>
      <c r="K1061" s="25"/>
      <c r="L1061" s="26" t="s">
        <v>20</v>
      </c>
      <c r="M1061" s="12">
        <v>45154.0</v>
      </c>
      <c r="N1061" s="77" t="str">
        <f t="shared" si="1"/>
        <v>agosto</v>
      </c>
    </row>
    <row r="1062">
      <c r="A1062" s="7" t="s">
        <v>3435</v>
      </c>
      <c r="B1062" s="8">
        <v>45152.56395858796</v>
      </c>
      <c r="C1062" s="7" t="s">
        <v>370</v>
      </c>
      <c r="D1062" s="7">
        <v>5306.0</v>
      </c>
      <c r="E1062" s="7" t="s">
        <v>371</v>
      </c>
      <c r="F1062" s="25" t="s">
        <v>49</v>
      </c>
      <c r="G1062" s="9" t="s">
        <v>3436</v>
      </c>
      <c r="H1062" s="7" t="s">
        <v>298</v>
      </c>
      <c r="I1062" s="7"/>
      <c r="J1062" s="60" t="s">
        <v>3437</v>
      </c>
      <c r="K1062" s="60"/>
      <c r="L1062" s="10" t="s">
        <v>20</v>
      </c>
      <c r="M1062" s="55">
        <v>45258.0</v>
      </c>
      <c r="N1062" s="77" t="str">
        <f t="shared" si="1"/>
        <v>agosto</v>
      </c>
    </row>
    <row r="1063">
      <c r="A1063" s="7" t="s">
        <v>3438</v>
      </c>
      <c r="B1063" s="8">
        <v>45152.56470851852</v>
      </c>
      <c r="C1063" s="7" t="s">
        <v>370</v>
      </c>
      <c r="D1063" s="7">
        <v>5306.0</v>
      </c>
      <c r="E1063" s="7" t="s">
        <v>371</v>
      </c>
      <c r="F1063" s="25" t="s">
        <v>49</v>
      </c>
      <c r="G1063" s="9" t="s">
        <v>3439</v>
      </c>
      <c r="H1063" s="7" t="s">
        <v>162</v>
      </c>
      <c r="I1063" s="7"/>
      <c r="J1063" s="60" t="s">
        <v>3440</v>
      </c>
      <c r="K1063" s="90" t="s">
        <v>3441</v>
      </c>
      <c r="L1063" s="10" t="s">
        <v>74</v>
      </c>
      <c r="M1063" s="55">
        <v>45261.0</v>
      </c>
      <c r="N1063" s="77" t="str">
        <f t="shared" si="1"/>
        <v>agosto</v>
      </c>
    </row>
    <row r="1064">
      <c r="A1064" s="7" t="s">
        <v>3442</v>
      </c>
      <c r="B1064" s="8">
        <v>45152.56572387731</v>
      </c>
      <c r="C1064" s="7" t="s">
        <v>370</v>
      </c>
      <c r="D1064" s="7">
        <v>5306.0</v>
      </c>
      <c r="E1064" s="7" t="s">
        <v>371</v>
      </c>
      <c r="F1064" s="25" t="s">
        <v>49</v>
      </c>
      <c r="G1064" s="9" t="s">
        <v>3443</v>
      </c>
      <c r="H1064" s="7" t="s">
        <v>3444</v>
      </c>
      <c r="I1064" s="7"/>
      <c r="J1064" s="60" t="s">
        <v>3445</v>
      </c>
      <c r="K1064" s="54"/>
      <c r="L1064" s="10" t="s">
        <v>20</v>
      </c>
      <c r="M1064" s="55">
        <v>45153.0</v>
      </c>
      <c r="N1064" s="77" t="str">
        <f t="shared" si="1"/>
        <v>agosto</v>
      </c>
    </row>
    <row r="1065">
      <c r="A1065" s="25" t="s">
        <v>3446</v>
      </c>
      <c r="B1065" s="59">
        <v>45152.56672462963</v>
      </c>
      <c r="C1065" s="25" t="s">
        <v>370</v>
      </c>
      <c r="D1065" s="25">
        <v>5306.0</v>
      </c>
      <c r="E1065" s="25" t="s">
        <v>371</v>
      </c>
      <c r="F1065" s="25" t="s">
        <v>49</v>
      </c>
      <c r="G1065" s="25" t="s">
        <v>3447</v>
      </c>
      <c r="H1065" s="25" t="s">
        <v>18</v>
      </c>
      <c r="I1065" s="25"/>
      <c r="J1065" s="25" t="s">
        <v>3448</v>
      </c>
      <c r="K1065" s="25"/>
      <c r="L1065" s="26" t="s">
        <v>20</v>
      </c>
      <c r="M1065" s="12">
        <v>45196.0</v>
      </c>
      <c r="N1065" s="77" t="str">
        <f t="shared" si="1"/>
        <v>agosto</v>
      </c>
    </row>
    <row r="1066">
      <c r="A1066" s="25" t="s">
        <v>3449</v>
      </c>
      <c r="B1066" s="59">
        <v>45152.56756520833</v>
      </c>
      <c r="C1066" s="25" t="s">
        <v>370</v>
      </c>
      <c r="D1066" s="25">
        <v>5306.0</v>
      </c>
      <c r="E1066" s="25" t="s">
        <v>371</v>
      </c>
      <c r="F1066" s="25" t="s">
        <v>49</v>
      </c>
      <c r="G1066" s="25" t="s">
        <v>3450</v>
      </c>
      <c r="H1066" s="25" t="s">
        <v>18</v>
      </c>
      <c r="I1066" s="25"/>
      <c r="J1066" s="25" t="s">
        <v>3451</v>
      </c>
      <c r="K1066" s="25"/>
      <c r="L1066" s="26" t="s">
        <v>20</v>
      </c>
      <c r="M1066" s="12">
        <v>45196.0</v>
      </c>
      <c r="N1066" s="77" t="str">
        <f t="shared" si="1"/>
        <v>agosto</v>
      </c>
    </row>
    <row r="1067">
      <c r="A1067" s="25" t="s">
        <v>3452</v>
      </c>
      <c r="B1067" s="59">
        <v>45153.311894212966</v>
      </c>
      <c r="C1067" s="25" t="s">
        <v>659</v>
      </c>
      <c r="D1067" s="25">
        <v>5340.0</v>
      </c>
      <c r="E1067" s="25" t="s">
        <v>70</v>
      </c>
      <c r="F1067" s="25" t="s">
        <v>49</v>
      </c>
      <c r="G1067" s="25" t="s">
        <v>3453</v>
      </c>
      <c r="H1067" s="25" t="s">
        <v>79</v>
      </c>
      <c r="I1067" s="25"/>
      <c r="J1067" s="25" t="s">
        <v>3454</v>
      </c>
      <c r="K1067" s="25"/>
      <c r="L1067" s="26" t="s">
        <v>20</v>
      </c>
      <c r="M1067" s="12">
        <v>45153.0</v>
      </c>
      <c r="N1067" s="77" t="str">
        <f t="shared" si="1"/>
        <v>agosto</v>
      </c>
    </row>
    <row r="1068">
      <c r="A1068" s="25" t="s">
        <v>3455</v>
      </c>
      <c r="B1068" s="59">
        <v>45153.40353135417</v>
      </c>
      <c r="C1068" s="25" t="s">
        <v>3456</v>
      </c>
      <c r="D1068" s="25" t="s">
        <v>3457</v>
      </c>
      <c r="E1068" s="25" t="s">
        <v>187</v>
      </c>
      <c r="F1068" s="25" t="s">
        <v>188</v>
      </c>
      <c r="G1068" s="25">
        <v>11.0</v>
      </c>
      <c r="H1068" s="25" t="s">
        <v>1734</v>
      </c>
      <c r="I1068" s="25"/>
      <c r="J1068" s="25" t="s">
        <v>3458</v>
      </c>
      <c r="K1068" s="25"/>
      <c r="L1068" s="26" t="s">
        <v>20</v>
      </c>
      <c r="M1068" s="12">
        <v>45153.0</v>
      </c>
      <c r="N1068" s="77" t="str">
        <f t="shared" si="1"/>
        <v>agosto</v>
      </c>
    </row>
    <row r="1069">
      <c r="A1069" s="25" t="s">
        <v>3459</v>
      </c>
      <c r="B1069" s="59">
        <v>45153.41379460648</v>
      </c>
      <c r="C1069" s="25" t="s">
        <v>2619</v>
      </c>
      <c r="D1069" s="25">
        <v>5360.0</v>
      </c>
      <c r="E1069" s="25" t="s">
        <v>371</v>
      </c>
      <c r="F1069" s="25" t="s">
        <v>49</v>
      </c>
      <c r="G1069" s="25" t="s">
        <v>1988</v>
      </c>
      <c r="H1069" s="25" t="s">
        <v>1734</v>
      </c>
      <c r="I1069" s="25"/>
      <c r="J1069" s="25" t="s">
        <v>3460</v>
      </c>
      <c r="K1069" s="25"/>
      <c r="L1069" s="26" t="s">
        <v>20</v>
      </c>
      <c r="M1069" s="12">
        <v>45153.0</v>
      </c>
      <c r="N1069" s="77" t="str">
        <f t="shared" si="1"/>
        <v>agosto</v>
      </c>
    </row>
    <row r="1070">
      <c r="A1070" s="25" t="s">
        <v>3461</v>
      </c>
      <c r="B1070" s="59">
        <v>45153.41873252315</v>
      </c>
      <c r="C1070" s="25" t="s">
        <v>2619</v>
      </c>
      <c r="D1070" s="25">
        <v>5360.0</v>
      </c>
      <c r="E1070" s="25" t="s">
        <v>371</v>
      </c>
      <c r="F1070" s="25" t="s">
        <v>49</v>
      </c>
      <c r="G1070" s="25" t="s">
        <v>3462</v>
      </c>
      <c r="H1070" s="25" t="s">
        <v>1734</v>
      </c>
      <c r="I1070" s="25"/>
      <c r="J1070" s="25" t="s">
        <v>3463</v>
      </c>
      <c r="K1070" s="25"/>
      <c r="L1070" s="26" t="s">
        <v>20</v>
      </c>
      <c r="M1070" s="12">
        <v>45155.0</v>
      </c>
      <c r="N1070" s="77" t="str">
        <f t="shared" si="1"/>
        <v>agosto</v>
      </c>
    </row>
    <row r="1071">
      <c r="A1071" s="25" t="s">
        <v>3464</v>
      </c>
      <c r="B1071" s="59">
        <v>45153.56821146991</v>
      </c>
      <c r="C1071" s="25" t="s">
        <v>266</v>
      </c>
      <c r="D1071" s="25">
        <v>5343.0</v>
      </c>
      <c r="E1071" s="25" t="s">
        <v>987</v>
      </c>
      <c r="F1071" s="25" t="s">
        <v>61</v>
      </c>
      <c r="G1071" s="25" t="s">
        <v>3465</v>
      </c>
      <c r="H1071" s="25" t="s">
        <v>79</v>
      </c>
      <c r="I1071" s="25"/>
      <c r="J1071" s="25" t="s">
        <v>3466</v>
      </c>
      <c r="K1071" s="25"/>
      <c r="L1071" s="26" t="s">
        <v>20</v>
      </c>
      <c r="M1071" s="12">
        <v>45154.0</v>
      </c>
      <c r="N1071" s="77" t="str">
        <f t="shared" si="1"/>
        <v>agosto</v>
      </c>
    </row>
    <row r="1072">
      <c r="A1072" s="7" t="s">
        <v>3467</v>
      </c>
      <c r="B1072" s="8">
        <v>45153.69692783565</v>
      </c>
      <c r="C1072" s="7" t="s">
        <v>3173</v>
      </c>
      <c r="D1072" s="7">
        <v>5314.0</v>
      </c>
      <c r="E1072" s="7" t="s">
        <v>261</v>
      </c>
      <c r="F1072" s="7" t="s">
        <v>3468</v>
      </c>
      <c r="G1072" s="9" t="s">
        <v>3469</v>
      </c>
      <c r="H1072" s="7" t="s">
        <v>129</v>
      </c>
      <c r="I1072" s="7"/>
      <c r="J1072" s="60" t="s">
        <v>3470</v>
      </c>
      <c r="K1072" s="54" t="s">
        <v>3471</v>
      </c>
      <c r="L1072" s="10" t="s">
        <v>20</v>
      </c>
      <c r="M1072" s="55">
        <v>45301.0</v>
      </c>
      <c r="N1072" s="77" t="str">
        <f t="shared" si="1"/>
        <v>agosto</v>
      </c>
    </row>
    <row r="1073">
      <c r="A1073" s="7" t="s">
        <v>3472</v>
      </c>
      <c r="B1073" s="8">
        <v>45154.318278125</v>
      </c>
      <c r="C1073" s="7" t="s">
        <v>1068</v>
      </c>
      <c r="D1073" s="7" t="s">
        <v>3473</v>
      </c>
      <c r="E1073" s="25" t="s">
        <v>251</v>
      </c>
      <c r="F1073" s="7" t="s">
        <v>3474</v>
      </c>
      <c r="G1073" s="9" t="s">
        <v>1967</v>
      </c>
      <c r="H1073" s="7" t="s">
        <v>162</v>
      </c>
      <c r="I1073" s="7"/>
      <c r="J1073" s="60" t="s">
        <v>3475</v>
      </c>
      <c r="K1073" s="60"/>
      <c r="L1073" s="10" t="s">
        <v>20</v>
      </c>
      <c r="M1073" s="55">
        <v>45243.0</v>
      </c>
      <c r="N1073" s="77" t="str">
        <f t="shared" si="1"/>
        <v>agosto</v>
      </c>
    </row>
    <row r="1074">
      <c r="A1074" s="25" t="s">
        <v>3476</v>
      </c>
      <c r="B1074" s="59">
        <v>45154.39194893518</v>
      </c>
      <c r="C1074" s="25" t="s">
        <v>1272</v>
      </c>
      <c r="D1074" s="25">
        <v>5660.0</v>
      </c>
      <c r="E1074" s="25" t="s">
        <v>371</v>
      </c>
      <c r="F1074" s="25" t="s">
        <v>49</v>
      </c>
      <c r="G1074" s="25" t="s">
        <v>3477</v>
      </c>
      <c r="H1074" s="25" t="s">
        <v>1734</v>
      </c>
      <c r="I1074" s="25"/>
      <c r="J1074" s="25" t="s">
        <v>3478</v>
      </c>
      <c r="K1074" s="25"/>
      <c r="L1074" s="26" t="s">
        <v>20</v>
      </c>
      <c r="M1074" s="12">
        <v>45161.0</v>
      </c>
      <c r="N1074" s="77" t="str">
        <f t="shared" si="1"/>
        <v>agosto</v>
      </c>
    </row>
    <row r="1075">
      <c r="A1075" s="25" t="s">
        <v>3479</v>
      </c>
      <c r="B1075" s="59">
        <v>45154.666118333334</v>
      </c>
      <c r="C1075" s="25" t="s">
        <v>266</v>
      </c>
      <c r="D1075" s="25" t="s">
        <v>3480</v>
      </c>
      <c r="E1075" s="25" t="s">
        <v>987</v>
      </c>
      <c r="F1075" s="25" t="s">
        <v>100</v>
      </c>
      <c r="G1075" s="25" t="s">
        <v>3481</v>
      </c>
      <c r="H1075" s="25" t="s">
        <v>79</v>
      </c>
      <c r="I1075" s="25"/>
      <c r="J1075" s="25" t="s">
        <v>3482</v>
      </c>
      <c r="K1075" s="25"/>
      <c r="L1075" s="26" t="s">
        <v>20</v>
      </c>
      <c r="M1075" s="12">
        <v>45159.0</v>
      </c>
      <c r="N1075" s="77" t="str">
        <f t="shared" si="1"/>
        <v>agosto</v>
      </c>
    </row>
    <row r="1076">
      <c r="A1076" s="25" t="s">
        <v>3483</v>
      </c>
      <c r="B1076" s="59">
        <v>45154.728377708336</v>
      </c>
      <c r="C1076" s="25" t="s">
        <v>215</v>
      </c>
      <c r="D1076" s="25">
        <v>5333.0</v>
      </c>
      <c r="E1076" s="25" t="s">
        <v>41</v>
      </c>
      <c r="F1076" s="25" t="s">
        <v>42</v>
      </c>
      <c r="G1076" s="25" t="s">
        <v>2216</v>
      </c>
      <c r="H1076" s="25" t="s">
        <v>1734</v>
      </c>
      <c r="I1076" s="25"/>
      <c r="J1076" s="25" t="s">
        <v>3484</v>
      </c>
      <c r="K1076" s="25"/>
      <c r="L1076" s="26" t="s">
        <v>20</v>
      </c>
      <c r="M1076" s="12">
        <v>45163.0</v>
      </c>
      <c r="N1076" s="77" t="str">
        <f t="shared" si="1"/>
        <v>agosto</v>
      </c>
    </row>
    <row r="1077">
      <c r="A1077" s="25" t="s">
        <v>3485</v>
      </c>
      <c r="B1077" s="59">
        <v>45154.729144641205</v>
      </c>
      <c r="C1077" s="25" t="s">
        <v>215</v>
      </c>
      <c r="D1077" s="25">
        <v>5333.0</v>
      </c>
      <c r="E1077" s="25" t="s">
        <v>41</v>
      </c>
      <c r="F1077" s="25" t="s">
        <v>42</v>
      </c>
      <c r="G1077" s="25" t="s">
        <v>3486</v>
      </c>
      <c r="H1077" s="25" t="s">
        <v>1734</v>
      </c>
      <c r="I1077" s="25"/>
      <c r="J1077" s="25" t="s">
        <v>3487</v>
      </c>
      <c r="K1077" s="25"/>
      <c r="L1077" s="26" t="s">
        <v>20</v>
      </c>
      <c r="M1077" s="12">
        <v>45163.0</v>
      </c>
      <c r="N1077" s="77" t="str">
        <f t="shared" si="1"/>
        <v>agosto</v>
      </c>
    </row>
    <row r="1078">
      <c r="A1078" s="25" t="s">
        <v>3488</v>
      </c>
      <c r="B1078" s="59">
        <v>45154.72986313657</v>
      </c>
      <c r="C1078" s="25" t="s">
        <v>215</v>
      </c>
      <c r="D1078" s="25">
        <v>5333.0</v>
      </c>
      <c r="E1078" s="25" t="s">
        <v>41</v>
      </c>
      <c r="F1078" s="25" t="s">
        <v>42</v>
      </c>
      <c r="G1078" s="25" t="s">
        <v>409</v>
      </c>
      <c r="H1078" s="25" t="s">
        <v>18</v>
      </c>
      <c r="I1078" s="25"/>
      <c r="J1078" s="25" t="s">
        <v>3489</v>
      </c>
      <c r="K1078" s="25"/>
      <c r="L1078" s="26" t="s">
        <v>20</v>
      </c>
      <c r="M1078" s="12">
        <v>45163.0</v>
      </c>
      <c r="N1078" s="77" t="str">
        <f t="shared" si="1"/>
        <v>agosto</v>
      </c>
    </row>
    <row r="1079">
      <c r="A1079" s="25" t="s">
        <v>3490</v>
      </c>
      <c r="B1079" s="59">
        <v>45154.73061118055</v>
      </c>
      <c r="C1079" s="25" t="s">
        <v>522</v>
      </c>
      <c r="D1079" s="25">
        <v>5333.0</v>
      </c>
      <c r="E1079" s="25" t="s">
        <v>41</v>
      </c>
      <c r="F1079" s="25" t="s">
        <v>42</v>
      </c>
      <c r="G1079" s="25">
        <v>402.0</v>
      </c>
      <c r="H1079" s="25" t="s">
        <v>162</v>
      </c>
      <c r="I1079" s="25"/>
      <c r="J1079" s="25" t="s">
        <v>3491</v>
      </c>
      <c r="K1079" s="25"/>
      <c r="L1079" s="26" t="s">
        <v>20</v>
      </c>
      <c r="M1079" s="12">
        <v>45163.0</v>
      </c>
      <c r="N1079" s="77" t="str">
        <f t="shared" si="1"/>
        <v>agosto</v>
      </c>
    </row>
    <row r="1080">
      <c r="A1080" s="25" t="s">
        <v>3492</v>
      </c>
      <c r="B1080" s="59">
        <v>45155.426499594905</v>
      </c>
      <c r="C1080" s="25" t="s">
        <v>346</v>
      </c>
      <c r="D1080" s="25" t="s">
        <v>2704</v>
      </c>
      <c r="E1080" s="25" t="s">
        <v>34</v>
      </c>
      <c r="F1080" s="25" t="s">
        <v>347</v>
      </c>
      <c r="G1080" s="25" t="s">
        <v>595</v>
      </c>
      <c r="H1080" s="25" t="s">
        <v>129</v>
      </c>
      <c r="I1080" s="25"/>
      <c r="J1080" s="25" t="s">
        <v>3493</v>
      </c>
      <c r="K1080" s="25"/>
      <c r="L1080" s="26" t="s">
        <v>20</v>
      </c>
      <c r="M1080" s="12">
        <v>45156.0</v>
      </c>
      <c r="N1080" s="77" t="str">
        <f t="shared" si="1"/>
        <v>agosto</v>
      </c>
    </row>
    <row r="1081">
      <c r="A1081" s="25" t="s">
        <v>3494</v>
      </c>
      <c r="B1081" s="59">
        <v>45155.47009726852</v>
      </c>
      <c r="C1081" s="25" t="s">
        <v>321</v>
      </c>
      <c r="D1081" s="25">
        <v>6.4981047171E10</v>
      </c>
      <c r="E1081" s="25" t="s">
        <v>183</v>
      </c>
      <c r="F1081" s="25" t="s">
        <v>1083</v>
      </c>
      <c r="G1081" s="25" t="s">
        <v>3495</v>
      </c>
      <c r="H1081" s="25" t="s">
        <v>1734</v>
      </c>
      <c r="I1081" s="25"/>
      <c r="J1081" s="25" t="s">
        <v>3496</v>
      </c>
      <c r="K1081" s="25"/>
      <c r="L1081" s="26" t="s">
        <v>20</v>
      </c>
      <c r="M1081" s="12">
        <v>45184.0</v>
      </c>
      <c r="N1081" s="77" t="str">
        <f t="shared" si="1"/>
        <v>agosto</v>
      </c>
    </row>
    <row r="1082">
      <c r="A1082" s="25" t="s">
        <v>3497</v>
      </c>
      <c r="B1082" s="59">
        <v>45155.59620755787</v>
      </c>
      <c r="C1082" s="25" t="s">
        <v>3498</v>
      </c>
      <c r="D1082" s="25">
        <v>5326.0</v>
      </c>
      <c r="E1082" s="25" t="s">
        <v>54</v>
      </c>
      <c r="F1082" s="25" t="s">
        <v>61</v>
      </c>
      <c r="G1082" s="25" t="s">
        <v>3499</v>
      </c>
      <c r="H1082" s="25" t="s">
        <v>1734</v>
      </c>
      <c r="I1082" s="25"/>
      <c r="J1082" s="25" t="s">
        <v>3500</v>
      </c>
      <c r="K1082" s="25"/>
      <c r="L1082" s="26" t="s">
        <v>20</v>
      </c>
      <c r="M1082" s="12">
        <v>45170.0</v>
      </c>
      <c r="N1082" s="77" t="str">
        <f t="shared" si="1"/>
        <v>agosto</v>
      </c>
    </row>
    <row r="1083">
      <c r="A1083" s="25" t="s">
        <v>3501</v>
      </c>
      <c r="B1083" s="59">
        <v>45155.61384263889</v>
      </c>
      <c r="C1083" s="25" t="s">
        <v>3387</v>
      </c>
      <c r="D1083" s="25">
        <v>5340.0</v>
      </c>
      <c r="E1083" s="25" t="s">
        <v>70</v>
      </c>
      <c r="F1083" s="25" t="s">
        <v>1405</v>
      </c>
      <c r="G1083" s="25" t="s">
        <v>3502</v>
      </c>
      <c r="H1083" s="25" t="s">
        <v>764</v>
      </c>
      <c r="I1083" s="25"/>
      <c r="J1083" s="25" t="s">
        <v>3503</v>
      </c>
      <c r="K1083" s="25"/>
      <c r="L1083" s="26" t="s">
        <v>20</v>
      </c>
      <c r="M1083" s="12">
        <v>45156.0</v>
      </c>
      <c r="N1083" s="77" t="str">
        <f t="shared" si="1"/>
        <v>agosto</v>
      </c>
    </row>
    <row r="1084">
      <c r="A1084" s="25" t="s">
        <v>3504</v>
      </c>
      <c r="B1084" s="59">
        <v>45156.39737989583</v>
      </c>
      <c r="C1084" s="25" t="s">
        <v>486</v>
      </c>
      <c r="D1084" s="25">
        <v>5340.0</v>
      </c>
      <c r="E1084" s="25" t="s">
        <v>60</v>
      </c>
      <c r="F1084" s="25" t="s">
        <v>61</v>
      </c>
      <c r="G1084" s="25" t="s">
        <v>336</v>
      </c>
      <c r="H1084" s="25" t="s">
        <v>1734</v>
      </c>
      <c r="I1084" s="25"/>
      <c r="J1084" s="25" t="s">
        <v>3505</v>
      </c>
      <c r="K1084" s="25"/>
      <c r="L1084" s="26" t="s">
        <v>20</v>
      </c>
      <c r="M1084" s="12">
        <v>45161.0</v>
      </c>
      <c r="N1084" s="77" t="str">
        <f t="shared" si="1"/>
        <v>agosto</v>
      </c>
    </row>
    <row r="1085">
      <c r="A1085" s="7" t="s">
        <v>3506</v>
      </c>
      <c r="B1085" s="8">
        <v>45156.43253118056</v>
      </c>
      <c r="C1085" s="7" t="s">
        <v>3507</v>
      </c>
      <c r="D1085" s="7" t="s">
        <v>3508</v>
      </c>
      <c r="E1085" s="25" t="s">
        <v>251</v>
      </c>
      <c r="F1085" s="7" t="s">
        <v>3474</v>
      </c>
      <c r="G1085" s="9" t="s">
        <v>3509</v>
      </c>
      <c r="H1085" s="7" t="s">
        <v>162</v>
      </c>
      <c r="I1085" s="7"/>
      <c r="J1085" s="60" t="s">
        <v>3510</v>
      </c>
      <c r="K1085" s="54"/>
      <c r="L1085" s="10" t="s">
        <v>20</v>
      </c>
      <c r="M1085" s="55">
        <v>45307.0</v>
      </c>
      <c r="N1085" s="77" t="str">
        <f t="shared" si="1"/>
        <v>agosto</v>
      </c>
    </row>
    <row r="1086">
      <c r="A1086" s="7" t="s">
        <v>3511</v>
      </c>
      <c r="B1086" s="8">
        <v>45156.43931047454</v>
      </c>
      <c r="C1086" s="7" t="s">
        <v>339</v>
      </c>
      <c r="D1086" s="7">
        <v>7.7999477415E10</v>
      </c>
      <c r="E1086" s="25" t="s">
        <v>621</v>
      </c>
      <c r="F1086" s="25" t="s">
        <v>86</v>
      </c>
      <c r="G1086" s="9" t="s">
        <v>3512</v>
      </c>
      <c r="H1086" s="7" t="s">
        <v>764</v>
      </c>
      <c r="I1086" s="7"/>
      <c r="J1086" s="60" t="s">
        <v>3513</v>
      </c>
      <c r="K1086" s="54"/>
      <c r="L1086" s="10" t="s">
        <v>20</v>
      </c>
      <c r="M1086" s="55">
        <v>45301.0</v>
      </c>
      <c r="N1086" s="77" t="str">
        <f t="shared" si="1"/>
        <v>agosto</v>
      </c>
    </row>
    <row r="1087">
      <c r="A1087" s="25" t="s">
        <v>3514</v>
      </c>
      <c r="B1087" s="59">
        <v>45156.594326736114</v>
      </c>
      <c r="C1087" s="25" t="s">
        <v>53</v>
      </c>
      <c r="D1087" s="25">
        <v>5357.0</v>
      </c>
      <c r="E1087" s="20" t="s">
        <v>288</v>
      </c>
      <c r="F1087" s="25" t="s">
        <v>1548</v>
      </c>
      <c r="G1087" s="25" t="s">
        <v>3515</v>
      </c>
      <c r="H1087" s="25" t="s">
        <v>79</v>
      </c>
      <c r="I1087" s="25"/>
      <c r="J1087" s="25" t="s">
        <v>3516</v>
      </c>
      <c r="K1087" s="25"/>
      <c r="L1087" s="26" t="s">
        <v>20</v>
      </c>
      <c r="M1087" s="12">
        <v>45160.0</v>
      </c>
      <c r="N1087" s="77" t="str">
        <f t="shared" si="1"/>
        <v>agosto</v>
      </c>
    </row>
    <row r="1088">
      <c r="A1088" s="25" t="s">
        <v>3517</v>
      </c>
      <c r="B1088" s="59">
        <v>45156.59701282407</v>
      </c>
      <c r="C1088" s="25" t="s">
        <v>53</v>
      </c>
      <c r="D1088" s="25">
        <v>5357.0</v>
      </c>
      <c r="E1088" s="20" t="s">
        <v>288</v>
      </c>
      <c r="F1088" s="25" t="s">
        <v>1858</v>
      </c>
      <c r="G1088" s="25" t="s">
        <v>3518</v>
      </c>
      <c r="H1088" s="25" t="s">
        <v>1734</v>
      </c>
      <c r="I1088" s="25"/>
      <c r="J1088" s="25" t="s">
        <v>3519</v>
      </c>
      <c r="K1088" s="25"/>
      <c r="L1088" s="26" t="s">
        <v>20</v>
      </c>
      <c r="M1088" s="12">
        <v>45162.0</v>
      </c>
      <c r="N1088" s="77" t="str">
        <f t="shared" si="1"/>
        <v>agosto</v>
      </c>
    </row>
    <row r="1089">
      <c r="A1089" s="7" t="s">
        <v>3520</v>
      </c>
      <c r="B1089" s="8">
        <v>45156.60568208333</v>
      </c>
      <c r="C1089" s="7" t="s">
        <v>3521</v>
      </c>
      <c r="D1089" s="7">
        <v>5307.0</v>
      </c>
      <c r="E1089" s="20" t="s">
        <v>288</v>
      </c>
      <c r="F1089" s="7" t="s">
        <v>55</v>
      </c>
      <c r="G1089" s="9" t="s">
        <v>3522</v>
      </c>
      <c r="H1089" s="7" t="s">
        <v>298</v>
      </c>
      <c r="I1089" s="7"/>
      <c r="J1089" s="60" t="s">
        <v>3523</v>
      </c>
      <c r="K1089" s="54"/>
      <c r="L1089" s="10" t="s">
        <v>20</v>
      </c>
      <c r="M1089" s="55">
        <v>45214.0</v>
      </c>
      <c r="N1089" s="77" t="str">
        <f t="shared" si="1"/>
        <v>agosto</v>
      </c>
    </row>
    <row r="1090">
      <c r="A1090" s="7" t="s">
        <v>3524</v>
      </c>
      <c r="B1090" s="8">
        <v>45156.624249305554</v>
      </c>
      <c r="C1090" s="7" t="s">
        <v>2234</v>
      </c>
      <c r="D1090" s="7">
        <v>6.498407889E10</v>
      </c>
      <c r="E1090" s="25" t="s">
        <v>187</v>
      </c>
      <c r="F1090" s="7" t="s">
        <v>188</v>
      </c>
      <c r="G1090" s="9" t="s">
        <v>1476</v>
      </c>
      <c r="H1090" s="7" t="s">
        <v>764</v>
      </c>
      <c r="I1090" s="7"/>
      <c r="J1090" s="60" t="s">
        <v>3525</v>
      </c>
      <c r="K1090" s="60"/>
      <c r="L1090" s="10" t="s">
        <v>20</v>
      </c>
      <c r="M1090" s="55">
        <v>45250.0</v>
      </c>
      <c r="N1090" s="77" t="str">
        <f t="shared" si="1"/>
        <v>agosto</v>
      </c>
    </row>
    <row r="1091">
      <c r="A1091" s="25" t="s">
        <v>3526</v>
      </c>
      <c r="B1091" s="59">
        <v>45158.69981451389</v>
      </c>
      <c r="C1091" s="25" t="s">
        <v>138</v>
      </c>
      <c r="D1091" s="25">
        <v>5318.0</v>
      </c>
      <c r="E1091" s="25" t="s">
        <v>15</v>
      </c>
      <c r="F1091" s="25" t="s">
        <v>86</v>
      </c>
      <c r="G1091" s="25" t="s">
        <v>1919</v>
      </c>
      <c r="H1091" s="25" t="s">
        <v>18</v>
      </c>
      <c r="I1091" s="25"/>
      <c r="J1091" s="25" t="s">
        <v>3527</v>
      </c>
      <c r="K1091" s="25"/>
      <c r="L1091" s="26" t="s">
        <v>20</v>
      </c>
      <c r="M1091" s="12">
        <v>45161.0</v>
      </c>
      <c r="N1091" s="77" t="str">
        <f t="shared" si="1"/>
        <v>agosto</v>
      </c>
    </row>
    <row r="1092">
      <c r="A1092" s="25" t="s">
        <v>3528</v>
      </c>
      <c r="B1092" s="59">
        <v>45158.70057122685</v>
      </c>
      <c r="C1092" s="25" t="s">
        <v>138</v>
      </c>
      <c r="D1092" s="25">
        <v>5318.0</v>
      </c>
      <c r="E1092" s="25" t="s">
        <v>15</v>
      </c>
      <c r="F1092" s="25" t="s">
        <v>1244</v>
      </c>
      <c r="G1092" s="25" t="s">
        <v>1742</v>
      </c>
      <c r="H1092" s="25" t="s">
        <v>18</v>
      </c>
      <c r="I1092" s="25"/>
      <c r="J1092" s="25" t="s">
        <v>3527</v>
      </c>
      <c r="K1092" s="25"/>
      <c r="L1092" s="26" t="s">
        <v>20</v>
      </c>
      <c r="M1092" s="12">
        <v>45161.0</v>
      </c>
      <c r="N1092" s="77" t="str">
        <f t="shared" si="1"/>
        <v>agosto</v>
      </c>
    </row>
    <row r="1093">
      <c r="A1093" s="25" t="s">
        <v>3529</v>
      </c>
      <c r="B1093" s="59">
        <v>45158.75496535879</v>
      </c>
      <c r="C1093" s="25" t="s">
        <v>138</v>
      </c>
      <c r="D1093" s="25">
        <v>5318.0</v>
      </c>
      <c r="E1093" s="25" t="s">
        <v>15</v>
      </c>
      <c r="F1093" s="25" t="s">
        <v>90</v>
      </c>
      <c r="G1093" s="25" t="s">
        <v>806</v>
      </c>
      <c r="H1093" s="25" t="s">
        <v>764</v>
      </c>
      <c r="I1093" s="25"/>
      <c r="J1093" s="25" t="s">
        <v>3530</v>
      </c>
      <c r="K1093" s="25"/>
      <c r="L1093" s="26" t="s">
        <v>20</v>
      </c>
      <c r="M1093" s="12">
        <v>45161.0</v>
      </c>
      <c r="N1093" s="77" t="str">
        <f t="shared" si="1"/>
        <v>agosto</v>
      </c>
    </row>
    <row r="1094">
      <c r="A1094" s="25" t="s">
        <v>3531</v>
      </c>
      <c r="B1094" s="59">
        <v>45159.053487418976</v>
      </c>
      <c r="C1094" s="25" t="s">
        <v>65</v>
      </c>
      <c r="D1094" s="25">
        <v>5318.0</v>
      </c>
      <c r="E1094" s="25" t="s">
        <v>15</v>
      </c>
      <c r="F1094" s="25" t="s">
        <v>16</v>
      </c>
      <c r="G1094" s="25" t="s">
        <v>1063</v>
      </c>
      <c r="H1094" s="25" t="s">
        <v>764</v>
      </c>
      <c r="I1094" s="25"/>
      <c r="J1094" s="25" t="s">
        <v>3532</v>
      </c>
      <c r="K1094" s="25"/>
      <c r="L1094" s="26" t="s">
        <v>20</v>
      </c>
      <c r="M1094" s="12">
        <v>45161.0</v>
      </c>
      <c r="N1094" s="77" t="str">
        <f t="shared" si="1"/>
        <v>agosto</v>
      </c>
    </row>
    <row r="1095">
      <c r="A1095" s="25" t="s">
        <v>3533</v>
      </c>
      <c r="B1095" s="59">
        <v>45159.40165986111</v>
      </c>
      <c r="C1095" s="25" t="s">
        <v>1031</v>
      </c>
      <c r="D1095" s="25">
        <v>6.4981321757E10</v>
      </c>
      <c r="E1095" s="25" t="s">
        <v>187</v>
      </c>
      <c r="F1095" s="25" t="s">
        <v>347</v>
      </c>
      <c r="G1095" s="25" t="s">
        <v>3534</v>
      </c>
      <c r="H1095" s="25" t="s">
        <v>129</v>
      </c>
      <c r="I1095" s="25"/>
      <c r="J1095" s="25" t="s">
        <v>3535</v>
      </c>
      <c r="K1095" s="25"/>
      <c r="L1095" s="26" t="s">
        <v>20</v>
      </c>
      <c r="M1095" s="12">
        <v>45169.0</v>
      </c>
      <c r="N1095" s="77" t="str">
        <f t="shared" si="1"/>
        <v>agosto</v>
      </c>
    </row>
    <row r="1096">
      <c r="A1096" s="25" t="s">
        <v>3536</v>
      </c>
      <c r="B1096" s="59">
        <v>45159.40537945602</v>
      </c>
      <c r="C1096" s="25" t="s">
        <v>76</v>
      </c>
      <c r="D1096" s="25">
        <v>5340.0</v>
      </c>
      <c r="E1096" s="25" t="s">
        <v>70</v>
      </c>
      <c r="F1096" s="25" t="s">
        <v>2084</v>
      </c>
      <c r="G1096" s="25" t="s">
        <v>3537</v>
      </c>
      <c r="H1096" s="25" t="s">
        <v>79</v>
      </c>
      <c r="I1096" s="25"/>
      <c r="J1096" s="25" t="s">
        <v>3538</v>
      </c>
      <c r="K1096" s="25"/>
      <c r="L1096" s="26" t="s">
        <v>20</v>
      </c>
      <c r="M1096" s="12">
        <v>45160.0</v>
      </c>
      <c r="N1096" s="77" t="str">
        <f t="shared" si="1"/>
        <v>agosto</v>
      </c>
    </row>
    <row r="1097">
      <c r="A1097" s="25" t="s">
        <v>3539</v>
      </c>
      <c r="B1097" s="59">
        <v>45159.470810729166</v>
      </c>
      <c r="C1097" s="25" t="s">
        <v>3387</v>
      </c>
      <c r="D1097" s="25">
        <v>5379.0</v>
      </c>
      <c r="E1097" s="25" t="s">
        <v>70</v>
      </c>
      <c r="F1097" s="25" t="s">
        <v>3540</v>
      </c>
      <c r="G1097" s="25" t="s">
        <v>3541</v>
      </c>
      <c r="H1097" s="25" t="s">
        <v>764</v>
      </c>
      <c r="I1097" s="25"/>
      <c r="J1097" s="25" t="s">
        <v>3542</v>
      </c>
      <c r="K1097" s="25"/>
      <c r="L1097" s="26" t="s">
        <v>20</v>
      </c>
      <c r="M1097" s="12">
        <v>45161.0</v>
      </c>
      <c r="N1097" s="77" t="str">
        <f t="shared" si="1"/>
        <v>agosto</v>
      </c>
    </row>
    <row r="1098">
      <c r="A1098" s="25" t="s">
        <v>3543</v>
      </c>
      <c r="B1098" s="59">
        <v>45160.633570694445</v>
      </c>
      <c r="C1098" s="25" t="s">
        <v>1862</v>
      </c>
      <c r="D1098" s="25">
        <v>5399.0</v>
      </c>
      <c r="E1098" s="25" t="s">
        <v>540</v>
      </c>
      <c r="F1098" s="25" t="s">
        <v>1987</v>
      </c>
      <c r="G1098" s="25" t="s">
        <v>3544</v>
      </c>
      <c r="H1098" s="25" t="s">
        <v>1734</v>
      </c>
      <c r="I1098" s="25"/>
      <c r="J1098" s="25" t="s">
        <v>3545</v>
      </c>
      <c r="K1098" s="25"/>
      <c r="L1098" s="26" t="s">
        <v>20</v>
      </c>
      <c r="M1098" s="12">
        <v>45161.0</v>
      </c>
      <c r="N1098" s="77" t="str">
        <f t="shared" si="1"/>
        <v>agosto</v>
      </c>
    </row>
    <row r="1099">
      <c r="A1099" s="25" t="s">
        <v>3546</v>
      </c>
      <c r="B1099" s="59">
        <v>45160.63745556713</v>
      </c>
      <c r="C1099" s="25" t="s">
        <v>346</v>
      </c>
      <c r="D1099" s="25" t="s">
        <v>2704</v>
      </c>
      <c r="E1099" s="25" t="s">
        <v>34</v>
      </c>
      <c r="F1099" s="25" t="s">
        <v>61</v>
      </c>
      <c r="G1099" s="25" t="s">
        <v>3547</v>
      </c>
      <c r="H1099" s="25" t="s">
        <v>764</v>
      </c>
      <c r="I1099" s="25"/>
      <c r="J1099" s="25" t="s">
        <v>3548</v>
      </c>
      <c r="K1099" s="25"/>
      <c r="L1099" s="26" t="s">
        <v>20</v>
      </c>
      <c r="M1099" s="12">
        <v>45162.0</v>
      </c>
      <c r="N1099" s="77" t="str">
        <f t="shared" si="1"/>
        <v>agosto</v>
      </c>
    </row>
    <row r="1100">
      <c r="A1100" s="25" t="s">
        <v>3549</v>
      </c>
      <c r="B1100" s="59">
        <v>45161.52383402778</v>
      </c>
      <c r="C1100" s="25" t="s">
        <v>3550</v>
      </c>
      <c r="D1100" s="25" t="s">
        <v>2982</v>
      </c>
      <c r="E1100" s="25" t="s">
        <v>2560</v>
      </c>
      <c r="F1100" s="25" t="s">
        <v>347</v>
      </c>
      <c r="G1100" s="25" t="s">
        <v>3551</v>
      </c>
      <c r="H1100" s="25" t="s">
        <v>79</v>
      </c>
      <c r="I1100" s="25"/>
      <c r="J1100" s="25" t="s">
        <v>3552</v>
      </c>
      <c r="K1100" s="25"/>
      <c r="L1100" s="26" t="s">
        <v>20</v>
      </c>
      <c r="M1100" s="64">
        <v>45166.0</v>
      </c>
      <c r="N1100" s="77" t="str">
        <f t="shared" si="1"/>
        <v>agosto</v>
      </c>
    </row>
    <row r="1101">
      <c r="A1101" s="25" t="s">
        <v>3553</v>
      </c>
      <c r="B1101" s="59">
        <v>45161.68913829861</v>
      </c>
      <c r="C1101" s="25" t="s">
        <v>1068</v>
      </c>
      <c r="D1101" s="25" t="s">
        <v>3554</v>
      </c>
      <c r="E1101" s="25" t="s">
        <v>251</v>
      </c>
      <c r="F1101" s="25" t="s">
        <v>100</v>
      </c>
      <c r="G1101" s="25" t="s">
        <v>509</v>
      </c>
      <c r="H1101" s="25" t="s">
        <v>30</v>
      </c>
      <c r="I1101" s="25"/>
      <c r="J1101" s="25" t="s">
        <v>3555</v>
      </c>
      <c r="K1101" s="25"/>
      <c r="L1101" s="26" t="s">
        <v>20</v>
      </c>
      <c r="M1101" s="64">
        <v>45194.0</v>
      </c>
      <c r="N1101" s="77" t="str">
        <f t="shared" si="1"/>
        <v>agosto</v>
      </c>
    </row>
    <row r="1102">
      <c r="A1102" s="25" t="s">
        <v>3556</v>
      </c>
      <c r="B1102" s="59">
        <v>45161.76777475694</v>
      </c>
      <c r="C1102" s="25" t="s">
        <v>40</v>
      </c>
      <c r="D1102" s="25">
        <v>5333.0</v>
      </c>
      <c r="E1102" s="25" t="s">
        <v>41</v>
      </c>
      <c r="F1102" s="25" t="s">
        <v>42</v>
      </c>
      <c r="G1102" s="25" t="s">
        <v>973</v>
      </c>
      <c r="H1102" s="25" t="s">
        <v>79</v>
      </c>
      <c r="I1102" s="25"/>
      <c r="J1102" s="25" t="s">
        <v>3557</v>
      </c>
      <c r="K1102" s="25"/>
      <c r="L1102" s="26" t="s">
        <v>20</v>
      </c>
      <c r="M1102" s="64">
        <v>45169.0</v>
      </c>
      <c r="N1102" s="77" t="str">
        <f t="shared" si="1"/>
        <v>agosto</v>
      </c>
    </row>
    <row r="1103">
      <c r="A1103" s="7" t="s">
        <v>3558</v>
      </c>
      <c r="B1103" s="8">
        <v>45161.77133599537</v>
      </c>
      <c r="C1103" s="7" t="s">
        <v>40</v>
      </c>
      <c r="D1103" s="7">
        <v>5333.0</v>
      </c>
      <c r="E1103" s="7" t="s">
        <v>41</v>
      </c>
      <c r="F1103" s="25" t="s">
        <v>42</v>
      </c>
      <c r="G1103" s="9" t="s">
        <v>3559</v>
      </c>
      <c r="H1103" s="7" t="s">
        <v>1853</v>
      </c>
      <c r="I1103" s="7"/>
      <c r="J1103" s="60" t="s">
        <v>3560</v>
      </c>
      <c r="K1103" s="60"/>
      <c r="L1103" s="10" t="s">
        <v>20</v>
      </c>
      <c r="M1103" s="55">
        <v>45236.0</v>
      </c>
      <c r="N1103" s="77" t="str">
        <f t="shared" si="1"/>
        <v>agosto</v>
      </c>
    </row>
    <row r="1104">
      <c r="A1104" s="25" t="s">
        <v>3561</v>
      </c>
      <c r="B1104" s="59">
        <v>45162.40760070602</v>
      </c>
      <c r="C1104" s="25" t="s">
        <v>266</v>
      </c>
      <c r="D1104" s="25">
        <v>5343.0</v>
      </c>
      <c r="E1104" s="25" t="s">
        <v>987</v>
      </c>
      <c r="F1104" s="25" t="s">
        <v>3562</v>
      </c>
      <c r="G1104" s="25">
        <v>201.0</v>
      </c>
      <c r="H1104" s="25" t="s">
        <v>1734</v>
      </c>
      <c r="I1104" s="25"/>
      <c r="J1104" s="25" t="s">
        <v>3563</v>
      </c>
      <c r="K1104" s="25"/>
      <c r="L1104" s="26" t="s">
        <v>20</v>
      </c>
      <c r="M1104" s="64">
        <v>45167.0</v>
      </c>
      <c r="N1104" s="77" t="str">
        <f t="shared" si="1"/>
        <v>agosto</v>
      </c>
    </row>
    <row r="1105">
      <c r="A1105" s="25" t="s">
        <v>3564</v>
      </c>
      <c r="B1105" s="59">
        <v>45162.432991388894</v>
      </c>
      <c r="C1105" s="25" t="s">
        <v>1491</v>
      </c>
      <c r="D1105" s="25">
        <v>5333.0</v>
      </c>
      <c r="E1105" s="25" t="s">
        <v>41</v>
      </c>
      <c r="F1105" s="25" t="s">
        <v>42</v>
      </c>
      <c r="G1105" s="25" t="s">
        <v>2830</v>
      </c>
      <c r="H1105" s="25" t="s">
        <v>1734</v>
      </c>
      <c r="I1105" s="25"/>
      <c r="J1105" s="25" t="s">
        <v>3565</v>
      </c>
      <c r="K1105" s="25"/>
      <c r="L1105" s="26" t="s">
        <v>20</v>
      </c>
      <c r="M1105" s="64">
        <v>45162.0</v>
      </c>
      <c r="N1105" s="77" t="str">
        <f t="shared" si="1"/>
        <v>agosto</v>
      </c>
    </row>
    <row r="1106">
      <c r="A1106" s="25" t="s">
        <v>3566</v>
      </c>
      <c r="B1106" s="59">
        <v>45162.4800169213</v>
      </c>
      <c r="C1106" s="25" t="s">
        <v>266</v>
      </c>
      <c r="D1106" s="25">
        <v>5343.0</v>
      </c>
      <c r="E1106" s="25" t="s">
        <v>987</v>
      </c>
      <c r="F1106" s="25" t="s">
        <v>3562</v>
      </c>
      <c r="G1106" s="25" t="s">
        <v>3567</v>
      </c>
      <c r="H1106" s="25" t="s">
        <v>79</v>
      </c>
      <c r="I1106" s="25"/>
      <c r="J1106" s="25" t="s">
        <v>3568</v>
      </c>
      <c r="K1106" s="25"/>
      <c r="L1106" s="26" t="s">
        <v>20</v>
      </c>
      <c r="M1106" s="64">
        <v>45166.0</v>
      </c>
      <c r="N1106" s="77" t="str">
        <f t="shared" si="1"/>
        <v>agosto</v>
      </c>
    </row>
    <row r="1107">
      <c r="A1107" s="25" t="s">
        <v>3569</v>
      </c>
      <c r="B1107" s="59">
        <v>45162.56753834491</v>
      </c>
      <c r="C1107" s="25" t="s">
        <v>1862</v>
      </c>
      <c r="D1107" s="25">
        <v>5399.0</v>
      </c>
      <c r="E1107" s="25" t="s">
        <v>540</v>
      </c>
      <c r="F1107" s="25" t="s">
        <v>82</v>
      </c>
      <c r="G1107" s="25" t="s">
        <v>3570</v>
      </c>
      <c r="H1107" s="25" t="s">
        <v>1734</v>
      </c>
      <c r="I1107" s="25"/>
      <c r="J1107" s="25" t="s">
        <v>3571</v>
      </c>
      <c r="K1107" s="25"/>
      <c r="L1107" s="26" t="s">
        <v>20</v>
      </c>
      <c r="M1107" s="64">
        <v>45170.0</v>
      </c>
      <c r="N1107" s="77" t="str">
        <f t="shared" si="1"/>
        <v>agosto</v>
      </c>
    </row>
    <row r="1108">
      <c r="A1108" s="25" t="s">
        <v>3572</v>
      </c>
      <c r="B1108" s="59">
        <v>45162.616417094905</v>
      </c>
      <c r="C1108" s="25" t="s">
        <v>1491</v>
      </c>
      <c r="D1108" s="25">
        <v>5333.0</v>
      </c>
      <c r="E1108" s="25" t="s">
        <v>41</v>
      </c>
      <c r="F1108" s="25" t="s">
        <v>42</v>
      </c>
      <c r="G1108" s="25" t="s">
        <v>2196</v>
      </c>
      <c r="H1108" s="25" t="s">
        <v>1734</v>
      </c>
      <c r="I1108" s="25"/>
      <c r="J1108" s="25" t="s">
        <v>3573</v>
      </c>
      <c r="K1108" s="25"/>
      <c r="L1108" s="26" t="s">
        <v>20</v>
      </c>
      <c r="M1108" s="64">
        <v>45163.0</v>
      </c>
      <c r="N1108" s="77" t="str">
        <f t="shared" si="1"/>
        <v>agosto</v>
      </c>
    </row>
    <row r="1109">
      <c r="A1109" s="25" t="s">
        <v>3574</v>
      </c>
      <c r="B1109" s="59">
        <v>45162.837260810185</v>
      </c>
      <c r="C1109" s="25" t="s">
        <v>215</v>
      </c>
      <c r="D1109" s="25">
        <v>5333.0</v>
      </c>
      <c r="E1109" s="25" t="s">
        <v>41</v>
      </c>
      <c r="F1109" s="25" t="s">
        <v>42</v>
      </c>
      <c r="G1109" s="25" t="s">
        <v>3575</v>
      </c>
      <c r="H1109" s="25" t="s">
        <v>1734</v>
      </c>
      <c r="I1109" s="25"/>
      <c r="J1109" s="25" t="s">
        <v>3576</v>
      </c>
      <c r="K1109" s="25"/>
      <c r="L1109" s="26" t="s">
        <v>74</v>
      </c>
      <c r="M1109" s="64">
        <v>45166.0</v>
      </c>
      <c r="N1109" s="77" t="str">
        <f t="shared" si="1"/>
        <v>agosto</v>
      </c>
    </row>
    <row r="1110">
      <c r="A1110" s="25" t="s">
        <v>3577</v>
      </c>
      <c r="B1110" s="59">
        <v>45163.490308657405</v>
      </c>
      <c r="C1110" s="25" t="s">
        <v>1491</v>
      </c>
      <c r="D1110" s="25">
        <v>5333.0</v>
      </c>
      <c r="E1110" s="25" t="s">
        <v>41</v>
      </c>
      <c r="F1110" s="25" t="s">
        <v>42</v>
      </c>
      <c r="G1110" s="25" t="s">
        <v>608</v>
      </c>
      <c r="H1110" s="25" t="s">
        <v>79</v>
      </c>
      <c r="I1110" s="25"/>
      <c r="J1110" s="25" t="s">
        <v>3578</v>
      </c>
      <c r="K1110" s="25"/>
      <c r="L1110" s="26" t="s">
        <v>20</v>
      </c>
      <c r="M1110" s="64">
        <v>45217.0</v>
      </c>
      <c r="N1110" s="77" t="str">
        <f t="shared" si="1"/>
        <v>agosto</v>
      </c>
    </row>
    <row r="1111">
      <c r="A1111" s="25" t="s">
        <v>3579</v>
      </c>
      <c r="B1111" s="59">
        <v>45163.49266931713</v>
      </c>
      <c r="C1111" s="25" t="s">
        <v>1491</v>
      </c>
      <c r="D1111" s="25">
        <v>5333.0</v>
      </c>
      <c r="E1111" s="25" t="s">
        <v>41</v>
      </c>
      <c r="F1111" s="25" t="s">
        <v>42</v>
      </c>
      <c r="G1111" s="25" t="s">
        <v>212</v>
      </c>
      <c r="H1111" s="25" t="s">
        <v>1734</v>
      </c>
      <c r="I1111" s="25"/>
      <c r="J1111" s="25" t="s">
        <v>3580</v>
      </c>
      <c r="K1111" s="25"/>
      <c r="L1111" s="26" t="s">
        <v>20</v>
      </c>
      <c r="M1111" s="64">
        <v>45168.0</v>
      </c>
      <c r="N1111" s="77" t="str">
        <f t="shared" si="1"/>
        <v>agosto</v>
      </c>
    </row>
    <row r="1112">
      <c r="A1112" s="25" t="s">
        <v>3581</v>
      </c>
      <c r="B1112" s="59">
        <v>45163.49399055555</v>
      </c>
      <c r="C1112" s="25" t="s">
        <v>1491</v>
      </c>
      <c r="D1112" s="25">
        <v>5333.0</v>
      </c>
      <c r="E1112" s="25" t="s">
        <v>41</v>
      </c>
      <c r="F1112" s="25" t="s">
        <v>42</v>
      </c>
      <c r="G1112" s="25" t="s">
        <v>3559</v>
      </c>
      <c r="H1112" s="25" t="s">
        <v>79</v>
      </c>
      <c r="I1112" s="25"/>
      <c r="J1112" s="25" t="s">
        <v>3582</v>
      </c>
      <c r="K1112" s="25"/>
      <c r="L1112" s="26" t="s">
        <v>20</v>
      </c>
      <c r="M1112" s="64">
        <v>45169.0</v>
      </c>
      <c r="N1112" s="77" t="str">
        <f t="shared" si="1"/>
        <v>agosto</v>
      </c>
    </row>
    <row r="1113">
      <c r="A1113" s="25" t="s">
        <v>3583</v>
      </c>
      <c r="B1113" s="59">
        <v>45163.58740434027</v>
      </c>
      <c r="C1113" s="25" t="s">
        <v>512</v>
      </c>
      <c r="D1113" s="25">
        <v>5340.0</v>
      </c>
      <c r="E1113" s="25" t="s">
        <v>70</v>
      </c>
      <c r="F1113" s="20" t="s">
        <v>1220</v>
      </c>
      <c r="G1113" s="25" t="s">
        <v>3584</v>
      </c>
      <c r="H1113" s="25" t="s">
        <v>79</v>
      </c>
      <c r="I1113" s="25"/>
      <c r="J1113" s="25" t="s">
        <v>3585</v>
      </c>
      <c r="K1113" s="25"/>
      <c r="L1113" s="26" t="s">
        <v>20</v>
      </c>
      <c r="M1113" s="64">
        <v>45163.0</v>
      </c>
      <c r="N1113" s="77" t="str">
        <f t="shared" si="1"/>
        <v>agosto</v>
      </c>
    </row>
    <row r="1114">
      <c r="A1114" s="25" t="s">
        <v>3586</v>
      </c>
      <c r="B1114" s="59">
        <v>45163.59739858797</v>
      </c>
      <c r="C1114" s="25" t="s">
        <v>1491</v>
      </c>
      <c r="D1114" s="25">
        <v>5333.0</v>
      </c>
      <c r="E1114" s="25" t="s">
        <v>41</v>
      </c>
      <c r="F1114" s="25" t="s">
        <v>42</v>
      </c>
      <c r="G1114" s="25" t="s">
        <v>2307</v>
      </c>
      <c r="H1114" s="25" t="s">
        <v>1734</v>
      </c>
      <c r="I1114" s="25"/>
      <c r="J1114" s="25" t="s">
        <v>3587</v>
      </c>
      <c r="K1114" s="25"/>
      <c r="L1114" s="26" t="s">
        <v>20</v>
      </c>
      <c r="M1114" s="64">
        <v>45168.0</v>
      </c>
      <c r="N1114" s="77" t="str">
        <f t="shared" si="1"/>
        <v>agosto</v>
      </c>
    </row>
    <row r="1115">
      <c r="A1115" s="7" t="s">
        <v>3588</v>
      </c>
      <c r="B1115" s="8">
        <v>45163.66536511574</v>
      </c>
      <c r="C1115" s="7" t="s">
        <v>215</v>
      </c>
      <c r="D1115" s="7">
        <v>5333.0</v>
      </c>
      <c r="E1115" s="7" t="s">
        <v>41</v>
      </c>
      <c r="F1115" s="25" t="s">
        <v>42</v>
      </c>
      <c r="G1115" s="9" t="s">
        <v>2118</v>
      </c>
      <c r="H1115" s="7" t="s">
        <v>129</v>
      </c>
      <c r="I1115" s="7"/>
      <c r="J1115" s="60" t="s">
        <v>3589</v>
      </c>
      <c r="K1115" s="60"/>
      <c r="L1115" s="10" t="s">
        <v>20</v>
      </c>
      <c r="M1115" s="55">
        <v>45247.0</v>
      </c>
      <c r="N1115" s="77" t="str">
        <f t="shared" si="1"/>
        <v>agosto</v>
      </c>
    </row>
    <row r="1116">
      <c r="A1116" s="25" t="s">
        <v>3590</v>
      </c>
      <c r="B1116" s="59">
        <v>45163.666501388885</v>
      </c>
      <c r="C1116" s="25" t="s">
        <v>522</v>
      </c>
      <c r="D1116" s="25">
        <v>5333.0</v>
      </c>
      <c r="E1116" s="25" t="s">
        <v>1243</v>
      </c>
      <c r="F1116" s="25" t="s">
        <v>42</v>
      </c>
      <c r="G1116" s="25" t="s">
        <v>2526</v>
      </c>
      <c r="H1116" s="25" t="s">
        <v>79</v>
      </c>
      <c r="I1116" s="25"/>
      <c r="J1116" s="25" t="s">
        <v>3591</v>
      </c>
      <c r="K1116" s="25"/>
      <c r="L1116" s="26" t="s">
        <v>20</v>
      </c>
      <c r="M1116" s="64">
        <v>45169.0</v>
      </c>
      <c r="N1116" s="77" t="str">
        <f t="shared" si="1"/>
        <v>agosto</v>
      </c>
    </row>
    <row r="1117">
      <c r="A1117" s="25" t="s">
        <v>3592</v>
      </c>
      <c r="B1117" s="59">
        <v>45163.66746413194</v>
      </c>
      <c r="C1117" s="25" t="s">
        <v>215</v>
      </c>
      <c r="D1117" s="25">
        <v>5333.0</v>
      </c>
      <c r="E1117" s="25" t="s">
        <v>41</v>
      </c>
      <c r="F1117" s="25" t="s">
        <v>42</v>
      </c>
      <c r="G1117" s="25" t="s">
        <v>2526</v>
      </c>
      <c r="H1117" s="25" t="s">
        <v>764</v>
      </c>
      <c r="I1117" s="25"/>
      <c r="J1117" s="25" t="s">
        <v>3593</v>
      </c>
      <c r="K1117" s="25"/>
      <c r="L1117" s="26" t="s">
        <v>20</v>
      </c>
      <c r="M1117" s="64">
        <v>45168.0</v>
      </c>
      <c r="N1117" s="77" t="str">
        <f t="shared" si="1"/>
        <v>agosto</v>
      </c>
    </row>
    <row r="1118">
      <c r="A1118" s="7" t="s">
        <v>3594</v>
      </c>
      <c r="B1118" s="8">
        <v>45163.681382696755</v>
      </c>
      <c r="C1118" s="7" t="s">
        <v>215</v>
      </c>
      <c r="D1118" s="7">
        <v>5333.0</v>
      </c>
      <c r="E1118" s="7" t="s">
        <v>41</v>
      </c>
      <c r="F1118" s="25" t="s">
        <v>42</v>
      </c>
      <c r="G1118" s="9" t="s">
        <v>670</v>
      </c>
      <c r="H1118" s="7" t="s">
        <v>162</v>
      </c>
      <c r="I1118" s="7"/>
      <c r="J1118" s="60" t="s">
        <v>3595</v>
      </c>
      <c r="K1118" s="60"/>
      <c r="L1118" s="10" t="s">
        <v>20</v>
      </c>
      <c r="M1118" s="55">
        <v>45236.0</v>
      </c>
      <c r="N1118" s="77" t="str">
        <f t="shared" si="1"/>
        <v>agosto</v>
      </c>
    </row>
    <row r="1119">
      <c r="A1119" s="25" t="s">
        <v>3596</v>
      </c>
      <c r="B1119" s="59">
        <v>45166.25359951389</v>
      </c>
      <c r="C1119" s="25" t="s">
        <v>169</v>
      </c>
      <c r="D1119" s="25">
        <v>5318.0</v>
      </c>
      <c r="E1119" s="25" t="s">
        <v>15</v>
      </c>
      <c r="F1119" s="20" t="s">
        <v>1220</v>
      </c>
      <c r="G1119" s="25" t="s">
        <v>3597</v>
      </c>
      <c r="H1119" s="25" t="s">
        <v>18</v>
      </c>
      <c r="I1119" s="25"/>
      <c r="J1119" s="25" t="s">
        <v>3598</v>
      </c>
      <c r="K1119" s="25"/>
      <c r="L1119" s="26" t="s">
        <v>20</v>
      </c>
      <c r="M1119" s="64">
        <v>45166.0</v>
      </c>
      <c r="N1119" s="77" t="str">
        <f t="shared" si="1"/>
        <v>agosto</v>
      </c>
    </row>
    <row r="1120">
      <c r="A1120" s="25" t="s">
        <v>3599</v>
      </c>
      <c r="B1120" s="59">
        <v>45166.25573050926</v>
      </c>
      <c r="C1120" s="25" t="s">
        <v>169</v>
      </c>
      <c r="D1120" s="25">
        <v>5318.0</v>
      </c>
      <c r="E1120" s="25" t="s">
        <v>15</v>
      </c>
      <c r="F1120" s="25" t="s">
        <v>86</v>
      </c>
      <c r="G1120" s="25" t="s">
        <v>3600</v>
      </c>
      <c r="H1120" s="25" t="s">
        <v>18</v>
      </c>
      <c r="I1120" s="25"/>
      <c r="J1120" s="25" t="s">
        <v>3601</v>
      </c>
      <c r="K1120" s="25"/>
      <c r="L1120" s="26" t="s">
        <v>20</v>
      </c>
      <c r="M1120" s="64">
        <v>45166.0</v>
      </c>
      <c r="N1120" s="77" t="str">
        <f t="shared" si="1"/>
        <v>agosto</v>
      </c>
    </row>
    <row r="1121">
      <c r="A1121" s="25" t="s">
        <v>3602</v>
      </c>
      <c r="B1121" s="59">
        <v>45166.48348429398</v>
      </c>
      <c r="C1121" s="25" t="s">
        <v>1491</v>
      </c>
      <c r="D1121" s="25">
        <v>5333.0</v>
      </c>
      <c r="E1121" s="25" t="s">
        <v>41</v>
      </c>
      <c r="F1121" s="25" t="s">
        <v>42</v>
      </c>
      <c r="G1121" s="25" t="s">
        <v>2196</v>
      </c>
      <c r="H1121" s="25" t="s">
        <v>1734</v>
      </c>
      <c r="I1121" s="25"/>
      <c r="J1121" s="25" t="s">
        <v>3603</v>
      </c>
      <c r="K1121" s="25"/>
      <c r="L1121" s="26" t="s">
        <v>20</v>
      </c>
      <c r="M1121" s="64">
        <v>45168.0</v>
      </c>
      <c r="N1121" s="77" t="str">
        <f t="shared" si="1"/>
        <v>agosto</v>
      </c>
    </row>
    <row r="1122">
      <c r="A1122" s="25" t="s">
        <v>3604</v>
      </c>
      <c r="B1122" s="59">
        <v>45166.551085659725</v>
      </c>
      <c r="C1122" s="25" t="s">
        <v>3605</v>
      </c>
      <c r="D1122" s="25">
        <v>5340.0</v>
      </c>
      <c r="E1122" s="25" t="s">
        <v>70</v>
      </c>
      <c r="F1122" s="25" t="s">
        <v>49</v>
      </c>
      <c r="G1122" s="25" t="s">
        <v>3462</v>
      </c>
      <c r="H1122" s="25" t="s">
        <v>79</v>
      </c>
      <c r="I1122" s="25"/>
      <c r="J1122" s="25" t="s">
        <v>3606</v>
      </c>
      <c r="K1122" s="25"/>
      <c r="L1122" s="26" t="s">
        <v>20</v>
      </c>
      <c r="M1122" s="64">
        <v>45169.0</v>
      </c>
      <c r="N1122" s="77" t="str">
        <f t="shared" si="1"/>
        <v>agosto</v>
      </c>
    </row>
    <row r="1123">
      <c r="A1123" s="25" t="s">
        <v>3607</v>
      </c>
      <c r="B1123" s="59">
        <v>45166.55212451389</v>
      </c>
      <c r="C1123" s="25" t="s">
        <v>76</v>
      </c>
      <c r="D1123" s="25">
        <v>5340.0</v>
      </c>
      <c r="E1123" s="25" t="s">
        <v>70</v>
      </c>
      <c r="F1123" s="25" t="s">
        <v>1661</v>
      </c>
      <c r="G1123" s="25" t="s">
        <v>806</v>
      </c>
      <c r="H1123" s="25" t="s">
        <v>79</v>
      </c>
      <c r="I1123" s="25"/>
      <c r="J1123" s="25" t="s">
        <v>3608</v>
      </c>
      <c r="K1123" s="25"/>
      <c r="L1123" s="26" t="s">
        <v>20</v>
      </c>
      <c r="M1123" s="64">
        <v>45173.0</v>
      </c>
      <c r="N1123" s="77" t="str">
        <f t="shared" si="1"/>
        <v>agosto</v>
      </c>
    </row>
    <row r="1124">
      <c r="A1124" s="25" t="s">
        <v>3609</v>
      </c>
      <c r="B1124" s="59">
        <v>45166.553184398144</v>
      </c>
      <c r="C1124" s="25" t="s">
        <v>512</v>
      </c>
      <c r="D1124" s="25">
        <v>5340.0</v>
      </c>
      <c r="E1124" s="25" t="s">
        <v>70</v>
      </c>
      <c r="F1124" s="25" t="s">
        <v>100</v>
      </c>
      <c r="G1124" s="25" t="s">
        <v>806</v>
      </c>
      <c r="H1124" s="25" t="s">
        <v>79</v>
      </c>
      <c r="I1124" s="25"/>
      <c r="J1124" s="25" t="s">
        <v>3610</v>
      </c>
      <c r="K1124" s="25"/>
      <c r="L1124" s="26" t="s">
        <v>20</v>
      </c>
      <c r="M1124" s="64">
        <v>45173.0</v>
      </c>
      <c r="N1124" s="77" t="str">
        <f t="shared" si="1"/>
        <v>agosto</v>
      </c>
    </row>
    <row r="1125">
      <c r="A1125" s="25" t="s">
        <v>3611</v>
      </c>
      <c r="B1125" s="59">
        <v>45166.55388986111</v>
      </c>
      <c r="C1125" s="25" t="s">
        <v>512</v>
      </c>
      <c r="D1125" s="25">
        <v>5340.0</v>
      </c>
      <c r="E1125" s="25" t="s">
        <v>70</v>
      </c>
      <c r="F1125" s="25" t="s">
        <v>100</v>
      </c>
      <c r="G1125" s="25" t="s">
        <v>684</v>
      </c>
      <c r="H1125" s="25" t="s">
        <v>79</v>
      </c>
      <c r="I1125" s="25"/>
      <c r="J1125" s="25" t="s">
        <v>3612</v>
      </c>
      <c r="K1125" s="25"/>
      <c r="L1125" s="26" t="s">
        <v>20</v>
      </c>
      <c r="M1125" s="64">
        <v>45173.0</v>
      </c>
      <c r="N1125" s="77" t="str">
        <f t="shared" si="1"/>
        <v>agosto</v>
      </c>
    </row>
    <row r="1126">
      <c r="A1126" s="25" t="s">
        <v>3613</v>
      </c>
      <c r="B1126" s="59">
        <v>45166.5550200463</v>
      </c>
      <c r="C1126" s="25" t="s">
        <v>512</v>
      </c>
      <c r="D1126" s="25">
        <v>5340.0</v>
      </c>
      <c r="E1126" s="25" t="s">
        <v>70</v>
      </c>
      <c r="F1126" s="65" t="s">
        <v>367</v>
      </c>
      <c r="G1126" s="25" t="s">
        <v>684</v>
      </c>
      <c r="H1126" s="25" t="s">
        <v>79</v>
      </c>
      <c r="I1126" s="25"/>
      <c r="J1126" s="25" t="s">
        <v>3614</v>
      </c>
      <c r="K1126" s="25"/>
      <c r="L1126" s="26" t="s">
        <v>20</v>
      </c>
      <c r="M1126" s="64">
        <v>45173.0</v>
      </c>
      <c r="N1126" s="77" t="str">
        <f t="shared" si="1"/>
        <v>agosto</v>
      </c>
    </row>
    <row r="1127">
      <c r="A1127" s="25" t="s">
        <v>3615</v>
      </c>
      <c r="B1127" s="59">
        <v>45166.5698559375</v>
      </c>
      <c r="C1127" s="25" t="s">
        <v>486</v>
      </c>
      <c r="D1127" s="25">
        <v>5310.0</v>
      </c>
      <c r="E1127" s="25" t="s">
        <v>70</v>
      </c>
      <c r="F1127" s="25" t="s">
        <v>61</v>
      </c>
      <c r="G1127" s="25">
        <v>151.0</v>
      </c>
      <c r="H1127" s="25" t="s">
        <v>764</v>
      </c>
      <c r="I1127" s="25"/>
      <c r="J1127" s="25" t="s">
        <v>3616</v>
      </c>
      <c r="K1127" s="25"/>
      <c r="L1127" s="26" t="s">
        <v>20</v>
      </c>
      <c r="M1127" s="64">
        <v>45170.0</v>
      </c>
      <c r="N1127" s="77" t="str">
        <f t="shared" si="1"/>
        <v>agosto</v>
      </c>
    </row>
    <row r="1128">
      <c r="A1128" s="7" t="s">
        <v>3617</v>
      </c>
      <c r="B1128" s="8">
        <v>45167.413005995375</v>
      </c>
      <c r="C1128" s="7" t="s">
        <v>3618</v>
      </c>
      <c r="D1128" s="7" t="s">
        <v>3619</v>
      </c>
      <c r="E1128" s="25" t="s">
        <v>187</v>
      </c>
      <c r="F1128" s="25" t="s">
        <v>61</v>
      </c>
      <c r="G1128" s="9">
        <v>256.0</v>
      </c>
      <c r="H1128" s="7" t="s">
        <v>129</v>
      </c>
      <c r="I1128" s="7"/>
      <c r="J1128" s="60" t="s">
        <v>3620</v>
      </c>
      <c r="K1128" s="60"/>
      <c r="L1128" s="10" t="s">
        <v>20</v>
      </c>
      <c r="M1128" s="55">
        <v>45274.0</v>
      </c>
      <c r="N1128" s="77" t="str">
        <f t="shared" si="1"/>
        <v>agosto</v>
      </c>
    </row>
    <row r="1129">
      <c r="A1129" s="7" t="s">
        <v>3621</v>
      </c>
      <c r="B1129" s="8">
        <v>45167.583385289356</v>
      </c>
      <c r="C1129" s="7" t="s">
        <v>512</v>
      </c>
      <c r="D1129" s="7">
        <v>5340.0</v>
      </c>
      <c r="E1129" s="25" t="s">
        <v>70</v>
      </c>
      <c r="F1129" s="25" t="s">
        <v>347</v>
      </c>
      <c r="G1129" s="9" t="s">
        <v>3462</v>
      </c>
      <c r="H1129" s="7" t="s">
        <v>79</v>
      </c>
      <c r="I1129" s="7"/>
      <c r="J1129" s="60" t="s">
        <v>3622</v>
      </c>
      <c r="K1129" s="54"/>
      <c r="L1129" s="10" t="s">
        <v>20</v>
      </c>
      <c r="M1129" s="55">
        <v>45341.0</v>
      </c>
      <c r="N1129" s="77" t="str">
        <f t="shared" si="1"/>
        <v>agosto</v>
      </c>
    </row>
    <row r="1130">
      <c r="A1130" s="25" t="s">
        <v>3623</v>
      </c>
      <c r="B1130" s="59">
        <v>45167.63040673611</v>
      </c>
      <c r="C1130" s="25" t="s">
        <v>3624</v>
      </c>
      <c r="D1130" s="25" t="s">
        <v>3625</v>
      </c>
      <c r="E1130" s="25" t="s">
        <v>2560</v>
      </c>
      <c r="F1130" s="25" t="s">
        <v>347</v>
      </c>
      <c r="G1130" s="25" t="s">
        <v>3626</v>
      </c>
      <c r="H1130" s="25" t="s">
        <v>1734</v>
      </c>
      <c r="I1130" s="25"/>
      <c r="J1130" s="25" t="s">
        <v>3627</v>
      </c>
      <c r="K1130" s="25"/>
      <c r="L1130" s="26" t="s">
        <v>20</v>
      </c>
      <c r="M1130" s="64">
        <v>45169.0</v>
      </c>
      <c r="N1130" s="77" t="str">
        <f t="shared" si="1"/>
        <v>agosto</v>
      </c>
    </row>
    <row r="1131">
      <c r="A1131" s="7" t="s">
        <v>3628</v>
      </c>
      <c r="B1131" s="8">
        <v>45167.66821689815</v>
      </c>
      <c r="C1131" s="7" t="s">
        <v>2062</v>
      </c>
      <c r="D1131" s="7">
        <v>5397.0</v>
      </c>
      <c r="E1131" s="7" t="s">
        <v>1333</v>
      </c>
      <c r="F1131" s="25" t="s">
        <v>49</v>
      </c>
      <c r="G1131" s="9" t="s">
        <v>3629</v>
      </c>
      <c r="H1131" s="25" t="s">
        <v>44</v>
      </c>
      <c r="I1131" s="7"/>
      <c r="J1131" s="60" t="s">
        <v>3630</v>
      </c>
      <c r="K1131" s="54"/>
      <c r="L1131" s="10" t="s">
        <v>20</v>
      </c>
      <c r="M1131" s="55">
        <v>45288.0</v>
      </c>
      <c r="N1131" s="77" t="str">
        <f t="shared" si="1"/>
        <v>agosto</v>
      </c>
    </row>
    <row r="1132">
      <c r="A1132" s="25" t="s">
        <v>3631</v>
      </c>
      <c r="B1132" s="59">
        <v>45167.76380825232</v>
      </c>
      <c r="C1132" s="25" t="s">
        <v>553</v>
      </c>
      <c r="D1132" s="25">
        <v>8318.0</v>
      </c>
      <c r="E1132" s="25" t="s">
        <v>15</v>
      </c>
      <c r="F1132" s="25" t="s">
        <v>61</v>
      </c>
      <c r="G1132" s="25" t="s">
        <v>3632</v>
      </c>
      <c r="H1132" s="25" t="s">
        <v>18</v>
      </c>
      <c r="I1132" s="25"/>
      <c r="J1132" s="25" t="s">
        <v>3633</v>
      </c>
      <c r="K1132" s="25"/>
      <c r="L1132" s="26" t="s">
        <v>20</v>
      </c>
      <c r="M1132" s="64">
        <v>45169.0</v>
      </c>
      <c r="N1132" s="77" t="str">
        <f t="shared" si="1"/>
        <v>agosto</v>
      </c>
    </row>
    <row r="1133">
      <c r="A1133" s="25" t="s">
        <v>3634</v>
      </c>
      <c r="B1133" s="59">
        <v>45168.388750474536</v>
      </c>
      <c r="C1133" s="25" t="s">
        <v>3635</v>
      </c>
      <c r="D1133" s="25">
        <v>6.498136554E10</v>
      </c>
      <c r="E1133" s="25" t="s">
        <v>187</v>
      </c>
      <c r="F1133" s="25" t="s">
        <v>763</v>
      </c>
      <c r="G1133" s="25">
        <v>11.0</v>
      </c>
      <c r="H1133" s="25" t="s">
        <v>1734</v>
      </c>
      <c r="I1133" s="25"/>
      <c r="J1133" s="25" t="s">
        <v>3636</v>
      </c>
      <c r="K1133" s="25"/>
      <c r="L1133" s="26" t="s">
        <v>20</v>
      </c>
      <c r="M1133" s="64">
        <v>45168.0</v>
      </c>
      <c r="N1133" s="77" t="str">
        <f t="shared" si="1"/>
        <v>agosto</v>
      </c>
    </row>
    <row r="1134">
      <c r="A1134" s="25" t="s">
        <v>3637</v>
      </c>
      <c r="B1134" s="59">
        <v>45168.41797141204</v>
      </c>
      <c r="C1134" s="25" t="s">
        <v>3638</v>
      </c>
      <c r="D1134" s="25" t="s">
        <v>740</v>
      </c>
      <c r="E1134" s="25" t="s">
        <v>195</v>
      </c>
      <c r="F1134" s="25" t="s">
        <v>755</v>
      </c>
      <c r="G1134" s="25" t="s">
        <v>3639</v>
      </c>
      <c r="H1134" s="25" t="s">
        <v>1734</v>
      </c>
      <c r="I1134" s="25"/>
      <c r="J1134" s="25" t="s">
        <v>3640</v>
      </c>
      <c r="K1134" s="25"/>
      <c r="L1134" s="26" t="s">
        <v>20</v>
      </c>
      <c r="M1134" s="64">
        <v>45168.0</v>
      </c>
      <c r="N1134" s="77" t="str">
        <f t="shared" si="1"/>
        <v>agosto</v>
      </c>
    </row>
    <row r="1135">
      <c r="A1135" s="25" t="s">
        <v>3641</v>
      </c>
      <c r="B1135" s="59">
        <v>45168.4679249537</v>
      </c>
      <c r="C1135" s="25" t="s">
        <v>76</v>
      </c>
      <c r="D1135" s="25">
        <v>5340.0</v>
      </c>
      <c r="E1135" s="25" t="s">
        <v>70</v>
      </c>
      <c r="F1135" s="20" t="s">
        <v>1621</v>
      </c>
      <c r="G1135" s="25" t="s">
        <v>2284</v>
      </c>
      <c r="H1135" s="25" t="s">
        <v>79</v>
      </c>
      <c r="I1135" s="25"/>
      <c r="J1135" s="25" t="s">
        <v>3642</v>
      </c>
      <c r="K1135" s="25"/>
      <c r="L1135" s="26" t="s">
        <v>20</v>
      </c>
      <c r="M1135" s="64">
        <v>45170.0</v>
      </c>
      <c r="N1135" s="77" t="str">
        <f t="shared" si="1"/>
        <v>agosto</v>
      </c>
    </row>
    <row r="1136">
      <c r="A1136" s="25" t="s">
        <v>3643</v>
      </c>
      <c r="B1136" s="59">
        <v>45168.48830615741</v>
      </c>
      <c r="C1136" s="25" t="s">
        <v>1491</v>
      </c>
      <c r="D1136" s="25">
        <v>5333.0</v>
      </c>
      <c r="E1136" s="25" t="s">
        <v>41</v>
      </c>
      <c r="F1136" s="25" t="s">
        <v>42</v>
      </c>
      <c r="G1136" s="25" t="s">
        <v>3223</v>
      </c>
      <c r="H1136" s="25" t="s">
        <v>79</v>
      </c>
      <c r="I1136" s="25"/>
      <c r="J1136" s="25" t="s">
        <v>3644</v>
      </c>
      <c r="K1136" s="25"/>
      <c r="L1136" s="26" t="s">
        <v>20</v>
      </c>
      <c r="M1136" s="64">
        <v>45169.0</v>
      </c>
      <c r="N1136" s="77" t="str">
        <f t="shared" si="1"/>
        <v>agosto</v>
      </c>
    </row>
    <row r="1137">
      <c r="A1137" s="25" t="s">
        <v>3645</v>
      </c>
      <c r="B1137" s="59">
        <v>45168.66730744213</v>
      </c>
      <c r="C1137" s="25" t="s">
        <v>512</v>
      </c>
      <c r="D1137" s="25">
        <v>5340.0</v>
      </c>
      <c r="E1137" s="25" t="s">
        <v>70</v>
      </c>
      <c r="F1137" s="25" t="s">
        <v>77</v>
      </c>
      <c r="G1137" s="25" t="s">
        <v>1077</v>
      </c>
      <c r="H1137" s="25" t="s">
        <v>79</v>
      </c>
      <c r="I1137" s="25"/>
      <c r="J1137" s="25" t="s">
        <v>3646</v>
      </c>
      <c r="K1137" s="25"/>
      <c r="L1137" s="26" t="s">
        <v>20</v>
      </c>
      <c r="M1137" s="64">
        <v>45169.0</v>
      </c>
      <c r="N1137" s="77" t="str">
        <f t="shared" si="1"/>
        <v>agosto</v>
      </c>
    </row>
    <row r="1138">
      <c r="A1138" s="7" t="s">
        <v>3647</v>
      </c>
      <c r="B1138" s="8">
        <v>45168.691360798606</v>
      </c>
      <c r="C1138" s="7" t="s">
        <v>522</v>
      </c>
      <c r="D1138" s="7">
        <v>5333.0</v>
      </c>
      <c r="E1138" s="7" t="s">
        <v>41</v>
      </c>
      <c r="F1138" s="25" t="s">
        <v>42</v>
      </c>
      <c r="G1138" s="9" t="s">
        <v>3648</v>
      </c>
      <c r="H1138" s="7" t="s">
        <v>298</v>
      </c>
      <c r="I1138" s="7"/>
      <c r="J1138" s="60" t="s">
        <v>3649</v>
      </c>
      <c r="K1138" s="54"/>
      <c r="L1138" s="10" t="s">
        <v>3650</v>
      </c>
      <c r="M1138" s="43"/>
      <c r="N1138" s="77" t="str">
        <f t="shared" si="1"/>
        <v>agosto</v>
      </c>
    </row>
    <row r="1139">
      <c r="A1139" s="25" t="s">
        <v>3651</v>
      </c>
      <c r="B1139" s="59">
        <v>45169.13172601852</v>
      </c>
      <c r="C1139" s="25" t="s">
        <v>65</v>
      </c>
      <c r="D1139" s="25">
        <v>5318.0</v>
      </c>
      <c r="E1139" s="25" t="s">
        <v>15</v>
      </c>
      <c r="F1139" s="25" t="s">
        <v>188</v>
      </c>
      <c r="G1139" s="25" t="s">
        <v>3652</v>
      </c>
      <c r="H1139" s="25" t="s">
        <v>18</v>
      </c>
      <c r="I1139" s="25"/>
      <c r="J1139" s="25" t="s">
        <v>3653</v>
      </c>
      <c r="K1139" s="25"/>
      <c r="L1139" s="26" t="s">
        <v>20</v>
      </c>
      <c r="M1139" s="64">
        <v>45169.0</v>
      </c>
      <c r="N1139" s="77" t="str">
        <f t="shared" si="1"/>
        <v>agosto</v>
      </c>
    </row>
    <row r="1140">
      <c r="A1140" s="25" t="s">
        <v>3654</v>
      </c>
      <c r="B1140" s="59">
        <v>45169.45444482639</v>
      </c>
      <c r="C1140" s="25" t="s">
        <v>876</v>
      </c>
      <c r="D1140" s="25">
        <v>5334.0</v>
      </c>
      <c r="E1140" s="25" t="s">
        <v>187</v>
      </c>
      <c r="F1140" s="25" t="s">
        <v>347</v>
      </c>
      <c r="G1140" s="25" t="s">
        <v>3655</v>
      </c>
      <c r="H1140" s="25" t="s">
        <v>764</v>
      </c>
      <c r="I1140" s="25"/>
      <c r="J1140" s="25" t="s">
        <v>3656</v>
      </c>
      <c r="K1140" s="25"/>
      <c r="L1140" s="26" t="s">
        <v>20</v>
      </c>
      <c r="M1140" s="64">
        <v>45174.0</v>
      </c>
      <c r="N1140" s="77" t="str">
        <f t="shared" si="1"/>
        <v>agosto</v>
      </c>
    </row>
    <row r="1141">
      <c r="A1141" s="7" t="s">
        <v>3657</v>
      </c>
      <c r="B1141" s="8">
        <v>45169.574931944444</v>
      </c>
      <c r="C1141" s="7" t="s">
        <v>788</v>
      </c>
      <c r="D1141" s="7">
        <v>3.4999071369E10</v>
      </c>
      <c r="E1141" s="20" t="s">
        <v>308</v>
      </c>
      <c r="F1141" s="20" t="s">
        <v>1621</v>
      </c>
      <c r="G1141" s="9" t="s">
        <v>3658</v>
      </c>
      <c r="H1141" s="7" t="s">
        <v>129</v>
      </c>
      <c r="I1141" s="7"/>
      <c r="J1141" s="60" t="s">
        <v>3659</v>
      </c>
      <c r="K1141" s="60"/>
      <c r="L1141" s="10" t="s">
        <v>20</v>
      </c>
      <c r="M1141" s="55">
        <v>45236.0</v>
      </c>
      <c r="N1141" s="77" t="str">
        <f t="shared" si="1"/>
        <v>agosto</v>
      </c>
    </row>
    <row r="1142">
      <c r="A1142" s="7" t="s">
        <v>3660</v>
      </c>
      <c r="B1142" s="8">
        <v>45169.575882916666</v>
      </c>
      <c r="C1142" s="7" t="s">
        <v>525</v>
      </c>
      <c r="D1142" s="7">
        <v>3.4999071369E10</v>
      </c>
      <c r="E1142" s="20" t="s">
        <v>308</v>
      </c>
      <c r="F1142" s="7" t="s">
        <v>188</v>
      </c>
      <c r="G1142" s="9">
        <v>5.0</v>
      </c>
      <c r="H1142" s="7" t="s">
        <v>129</v>
      </c>
      <c r="I1142" s="7"/>
      <c r="J1142" s="60" t="s">
        <v>3661</v>
      </c>
      <c r="K1142" s="54"/>
      <c r="L1142" s="10" t="s">
        <v>3650</v>
      </c>
      <c r="M1142" s="43"/>
      <c r="N1142" s="77" t="str">
        <f t="shared" si="1"/>
        <v>agosto</v>
      </c>
    </row>
    <row r="1143">
      <c r="A1143" s="25" t="s">
        <v>3662</v>
      </c>
      <c r="B1143" s="59">
        <v>45169.57660695602</v>
      </c>
      <c r="C1143" s="25" t="s">
        <v>525</v>
      </c>
      <c r="D1143" s="25">
        <v>3.4999071369E10</v>
      </c>
      <c r="E1143" s="20" t="s">
        <v>308</v>
      </c>
      <c r="F1143" s="25" t="s">
        <v>763</v>
      </c>
      <c r="G1143" s="25">
        <v>5.0</v>
      </c>
      <c r="H1143" s="25" t="s">
        <v>764</v>
      </c>
      <c r="I1143" s="25"/>
      <c r="J1143" s="25" t="s">
        <v>3663</v>
      </c>
      <c r="K1143" s="25"/>
      <c r="L1143" s="26" t="s">
        <v>20</v>
      </c>
      <c r="M1143" s="64">
        <v>45204.0</v>
      </c>
      <c r="N1143" s="77" t="str">
        <f t="shared" si="1"/>
        <v>agosto</v>
      </c>
    </row>
    <row r="1144">
      <c r="A1144" s="25" t="s">
        <v>3664</v>
      </c>
      <c r="B1144" s="59">
        <v>45169.646685914355</v>
      </c>
      <c r="C1144" s="25" t="s">
        <v>3665</v>
      </c>
      <c r="D1144" s="25">
        <v>5340.0</v>
      </c>
      <c r="E1144" s="25" t="s">
        <v>70</v>
      </c>
      <c r="F1144" s="25" t="s">
        <v>3666</v>
      </c>
      <c r="G1144" s="25" t="s">
        <v>3666</v>
      </c>
      <c r="H1144" s="25" t="s">
        <v>1734</v>
      </c>
      <c r="I1144" s="25"/>
      <c r="J1144" s="25" t="s">
        <v>3667</v>
      </c>
      <c r="K1144" s="25"/>
      <c r="L1144" s="26" t="s">
        <v>20</v>
      </c>
      <c r="M1144" s="64">
        <v>45169.0</v>
      </c>
      <c r="N1144" s="77" t="str">
        <f t="shared" si="1"/>
        <v>agosto</v>
      </c>
    </row>
    <row r="1145">
      <c r="A1145" s="25" t="s">
        <v>3668</v>
      </c>
      <c r="B1145" s="59">
        <v>45169.65147063657</v>
      </c>
      <c r="C1145" s="25" t="s">
        <v>3665</v>
      </c>
      <c r="D1145" s="25">
        <v>5340.0</v>
      </c>
      <c r="E1145" s="25" t="s">
        <v>70</v>
      </c>
      <c r="F1145" s="25" t="s">
        <v>100</v>
      </c>
      <c r="G1145" s="25" t="s">
        <v>3669</v>
      </c>
      <c r="H1145" s="25" t="s">
        <v>79</v>
      </c>
      <c r="I1145" s="25"/>
      <c r="J1145" s="25" t="s">
        <v>3670</v>
      </c>
      <c r="K1145" s="25"/>
      <c r="L1145" s="26" t="s">
        <v>20</v>
      </c>
      <c r="M1145" s="64">
        <v>45170.0</v>
      </c>
      <c r="N1145" s="77" t="str">
        <f t="shared" si="1"/>
        <v>agosto</v>
      </c>
    </row>
    <row r="1146">
      <c r="A1146" s="25" t="s">
        <v>3671</v>
      </c>
      <c r="B1146" s="59">
        <v>45169.65559930555</v>
      </c>
      <c r="C1146" s="25" t="s">
        <v>3665</v>
      </c>
      <c r="D1146" s="25">
        <v>5340.0</v>
      </c>
      <c r="E1146" s="25" t="s">
        <v>70</v>
      </c>
      <c r="F1146" s="25" t="s">
        <v>3672</v>
      </c>
      <c r="G1146" s="25" t="s">
        <v>3673</v>
      </c>
      <c r="H1146" s="25" t="s">
        <v>79</v>
      </c>
      <c r="I1146" s="25"/>
      <c r="J1146" s="25" t="s">
        <v>3674</v>
      </c>
      <c r="K1146" s="25"/>
      <c r="L1146" s="26" t="s">
        <v>20</v>
      </c>
      <c r="M1146" s="64">
        <v>45226.0</v>
      </c>
      <c r="N1146" s="77" t="str">
        <f t="shared" si="1"/>
        <v>agosto</v>
      </c>
    </row>
    <row r="1147">
      <c r="A1147" s="25" t="s">
        <v>3675</v>
      </c>
      <c r="B1147" s="59">
        <v>45169.659430416665</v>
      </c>
      <c r="C1147" s="25" t="s">
        <v>3676</v>
      </c>
      <c r="D1147" s="25">
        <v>5340.0</v>
      </c>
      <c r="E1147" s="25" t="s">
        <v>70</v>
      </c>
      <c r="F1147" s="25" t="s">
        <v>49</v>
      </c>
      <c r="G1147" s="25" t="s">
        <v>3677</v>
      </c>
      <c r="H1147" s="25" t="s">
        <v>162</v>
      </c>
      <c r="I1147" s="25"/>
      <c r="J1147" s="25" t="s">
        <v>3678</v>
      </c>
      <c r="K1147" s="25"/>
      <c r="L1147" s="26" t="s">
        <v>20</v>
      </c>
      <c r="M1147" s="64">
        <v>45201.0</v>
      </c>
      <c r="N1147" s="77" t="str">
        <f t="shared" si="1"/>
        <v>agosto</v>
      </c>
    </row>
    <row r="1148">
      <c r="A1148" s="25" t="s">
        <v>3679</v>
      </c>
      <c r="B1148" s="59">
        <v>45169.66160260417</v>
      </c>
      <c r="C1148" s="25" t="s">
        <v>3665</v>
      </c>
      <c r="D1148" s="25">
        <v>5340.0</v>
      </c>
      <c r="E1148" s="25" t="s">
        <v>70</v>
      </c>
      <c r="F1148" s="25" t="s">
        <v>347</v>
      </c>
      <c r="G1148" s="25" t="s">
        <v>3680</v>
      </c>
      <c r="H1148" s="25" t="s">
        <v>764</v>
      </c>
      <c r="I1148" s="25"/>
      <c r="J1148" s="25" t="s">
        <v>3681</v>
      </c>
      <c r="K1148" s="25"/>
      <c r="L1148" s="26" t="s">
        <v>20</v>
      </c>
      <c r="M1148" s="64">
        <v>45201.0</v>
      </c>
      <c r="N1148" s="77" t="str">
        <f t="shared" si="1"/>
        <v>agosto</v>
      </c>
    </row>
    <row r="1149">
      <c r="A1149" s="25" t="s">
        <v>3682</v>
      </c>
      <c r="B1149" s="59">
        <v>45169.68328145833</v>
      </c>
      <c r="C1149" s="25" t="s">
        <v>76</v>
      </c>
      <c r="D1149" s="25">
        <v>5340.0</v>
      </c>
      <c r="E1149" s="25" t="s">
        <v>70</v>
      </c>
      <c r="F1149" s="25" t="s">
        <v>3683</v>
      </c>
      <c r="G1149" s="25" t="s">
        <v>3684</v>
      </c>
      <c r="H1149" s="25" t="s">
        <v>79</v>
      </c>
      <c r="I1149" s="25"/>
      <c r="J1149" s="25" t="s">
        <v>3685</v>
      </c>
      <c r="K1149" s="25"/>
      <c r="L1149" s="26" t="s">
        <v>20</v>
      </c>
      <c r="M1149" s="64">
        <v>45170.0</v>
      </c>
      <c r="N1149" s="77" t="str">
        <f t="shared" si="1"/>
        <v>agosto</v>
      </c>
    </row>
    <row r="1150">
      <c r="A1150" s="25" t="s">
        <v>3686</v>
      </c>
      <c r="B1150" s="59">
        <v>45169.703529502316</v>
      </c>
      <c r="C1150" s="25" t="s">
        <v>76</v>
      </c>
      <c r="D1150" s="25">
        <v>5340.0</v>
      </c>
      <c r="E1150" s="25" t="s">
        <v>70</v>
      </c>
      <c r="F1150" s="25" t="s">
        <v>86</v>
      </c>
      <c r="G1150" s="25" t="s">
        <v>3687</v>
      </c>
      <c r="H1150" s="25" t="s">
        <v>79</v>
      </c>
      <c r="I1150" s="25"/>
      <c r="J1150" s="25" t="s">
        <v>3688</v>
      </c>
      <c r="K1150" s="25"/>
      <c r="L1150" s="26" t="s">
        <v>20</v>
      </c>
      <c r="M1150" s="64">
        <v>45170.0</v>
      </c>
      <c r="N1150" s="77" t="str">
        <f t="shared" si="1"/>
        <v>agosto</v>
      </c>
    </row>
    <row r="1151">
      <c r="A1151" s="7" t="s">
        <v>3689</v>
      </c>
      <c r="B1151" s="8">
        <v>45170.436977997684</v>
      </c>
      <c r="C1151" s="7" t="s">
        <v>3665</v>
      </c>
      <c r="D1151" s="7">
        <v>5340.0</v>
      </c>
      <c r="E1151" s="25" t="s">
        <v>70</v>
      </c>
      <c r="F1151" s="25" t="s">
        <v>86</v>
      </c>
      <c r="G1151" s="9" t="s">
        <v>3690</v>
      </c>
      <c r="H1151" s="7" t="s">
        <v>764</v>
      </c>
      <c r="I1151" s="7"/>
      <c r="J1151" s="60" t="s">
        <v>3691</v>
      </c>
      <c r="K1151" s="54"/>
      <c r="L1151" s="10" t="s">
        <v>20</v>
      </c>
      <c r="M1151" s="55">
        <v>45301.0</v>
      </c>
      <c r="N1151" s="77" t="str">
        <f t="shared" si="1"/>
        <v>setembro</v>
      </c>
    </row>
    <row r="1152">
      <c r="A1152" s="25" t="s">
        <v>3692</v>
      </c>
      <c r="B1152" s="59">
        <v>45170.45582498843</v>
      </c>
      <c r="C1152" s="25" t="s">
        <v>512</v>
      </c>
      <c r="D1152" s="25">
        <v>5340.0</v>
      </c>
      <c r="E1152" s="25" t="s">
        <v>70</v>
      </c>
      <c r="F1152" s="25" t="s">
        <v>49</v>
      </c>
      <c r="G1152" s="25" t="s">
        <v>3693</v>
      </c>
      <c r="H1152" s="25" t="s">
        <v>1734</v>
      </c>
      <c r="I1152" s="25"/>
      <c r="J1152" s="25" t="s">
        <v>3694</v>
      </c>
      <c r="K1152" s="25"/>
      <c r="L1152" s="26" t="s">
        <v>20</v>
      </c>
      <c r="M1152" s="64">
        <v>45175.0</v>
      </c>
      <c r="N1152" s="77" t="str">
        <f t="shared" si="1"/>
        <v>setembro</v>
      </c>
    </row>
    <row r="1153">
      <c r="A1153" s="25" t="s">
        <v>3695</v>
      </c>
      <c r="B1153" s="59">
        <v>45170.57962371528</v>
      </c>
      <c r="C1153" s="25" t="s">
        <v>194</v>
      </c>
      <c r="D1153" s="25">
        <v>3.4417602E7</v>
      </c>
      <c r="E1153" s="25" t="s">
        <v>195</v>
      </c>
      <c r="F1153" s="25" t="s">
        <v>755</v>
      </c>
      <c r="G1153" s="25" t="s">
        <v>3696</v>
      </c>
      <c r="H1153" s="25" t="s">
        <v>1734</v>
      </c>
      <c r="I1153" s="25"/>
      <c r="J1153" s="25" t="s">
        <v>3697</v>
      </c>
      <c r="K1153" s="25" t="s">
        <v>3698</v>
      </c>
      <c r="L1153" s="26" t="s">
        <v>20</v>
      </c>
      <c r="M1153" s="64">
        <v>45215.0</v>
      </c>
      <c r="N1153" s="77" t="str">
        <f t="shared" si="1"/>
        <v>setembro</v>
      </c>
    </row>
    <row r="1154">
      <c r="A1154" s="25" t="s">
        <v>3699</v>
      </c>
      <c r="B1154" s="59">
        <v>45170.654634328705</v>
      </c>
      <c r="C1154" s="25" t="s">
        <v>876</v>
      </c>
      <c r="D1154" s="25">
        <v>9.84129238E8</v>
      </c>
      <c r="E1154" s="25" t="s">
        <v>187</v>
      </c>
      <c r="F1154" s="25" t="s">
        <v>347</v>
      </c>
      <c r="G1154" s="25">
        <v>115.0</v>
      </c>
      <c r="H1154" s="25" t="s">
        <v>79</v>
      </c>
      <c r="I1154" s="25"/>
      <c r="J1154" s="25" t="s">
        <v>3700</v>
      </c>
      <c r="K1154" s="25"/>
      <c r="L1154" s="26" t="s">
        <v>20</v>
      </c>
      <c r="M1154" s="64">
        <v>45201.0</v>
      </c>
      <c r="N1154" s="77" t="str">
        <f t="shared" si="1"/>
        <v>setembro</v>
      </c>
    </row>
    <row r="1155">
      <c r="A1155" s="25" t="s">
        <v>3701</v>
      </c>
      <c r="B1155" s="59">
        <v>45171.25790506945</v>
      </c>
      <c r="C1155" s="25" t="s">
        <v>65</v>
      </c>
      <c r="D1155" s="25">
        <v>5318.0</v>
      </c>
      <c r="E1155" s="25" t="s">
        <v>15</v>
      </c>
      <c r="F1155" s="25" t="s">
        <v>3702</v>
      </c>
      <c r="G1155" s="25" t="s">
        <v>3703</v>
      </c>
      <c r="H1155" s="25" t="s">
        <v>18</v>
      </c>
      <c r="I1155" s="25"/>
      <c r="J1155" s="25" t="s">
        <v>3704</v>
      </c>
      <c r="K1155" s="25"/>
      <c r="L1155" s="26" t="s">
        <v>20</v>
      </c>
      <c r="M1155" s="64">
        <v>45173.0</v>
      </c>
      <c r="N1155" s="77" t="str">
        <f t="shared" si="1"/>
        <v>setembro</v>
      </c>
    </row>
    <row r="1156">
      <c r="A1156" s="25" t="s">
        <v>3705</v>
      </c>
      <c r="B1156" s="59">
        <v>45173.30305909722</v>
      </c>
      <c r="C1156" s="25" t="s">
        <v>422</v>
      </c>
      <c r="D1156" s="25">
        <v>5346.0</v>
      </c>
      <c r="E1156" s="25" t="s">
        <v>423</v>
      </c>
      <c r="F1156" s="25" t="s">
        <v>82</v>
      </c>
      <c r="G1156" s="25">
        <v>17.0</v>
      </c>
      <c r="H1156" s="25" t="s">
        <v>18</v>
      </c>
      <c r="I1156" s="25"/>
      <c r="J1156" s="25" t="s">
        <v>3706</v>
      </c>
      <c r="K1156" s="25"/>
      <c r="L1156" s="26" t="s">
        <v>20</v>
      </c>
      <c r="M1156" s="64">
        <v>45173.0</v>
      </c>
      <c r="N1156" s="77" t="str">
        <f t="shared" si="1"/>
        <v>setembro</v>
      </c>
    </row>
    <row r="1157">
      <c r="A1157" s="7" t="s">
        <v>3707</v>
      </c>
      <c r="B1157" s="8">
        <v>45173.309152256945</v>
      </c>
      <c r="C1157" s="7" t="s">
        <v>3665</v>
      </c>
      <c r="D1157" s="7">
        <v>5340.0</v>
      </c>
      <c r="E1157" s="25" t="s">
        <v>70</v>
      </c>
      <c r="F1157" s="7" t="s">
        <v>3708</v>
      </c>
      <c r="G1157" s="9" t="s">
        <v>3709</v>
      </c>
      <c r="H1157" s="7" t="s">
        <v>162</v>
      </c>
      <c r="I1157" s="7"/>
      <c r="J1157" s="60" t="s">
        <v>3710</v>
      </c>
      <c r="K1157" s="54"/>
      <c r="L1157" s="10" t="s">
        <v>20</v>
      </c>
      <c r="M1157" s="55">
        <v>45288.0</v>
      </c>
      <c r="N1157" s="77" t="str">
        <f t="shared" si="1"/>
        <v>setembro</v>
      </c>
    </row>
    <row r="1158">
      <c r="A1158" s="25" t="s">
        <v>3711</v>
      </c>
      <c r="B1158" s="59">
        <v>45173.314721319446</v>
      </c>
      <c r="C1158" s="25" t="s">
        <v>3387</v>
      </c>
      <c r="D1158" s="25">
        <v>5340.0</v>
      </c>
      <c r="E1158" s="25" t="s">
        <v>70</v>
      </c>
      <c r="F1158" s="25" t="s">
        <v>61</v>
      </c>
      <c r="G1158" s="25" t="s">
        <v>3712</v>
      </c>
      <c r="H1158" s="25" t="s">
        <v>1734</v>
      </c>
      <c r="I1158" s="25"/>
      <c r="J1158" s="25" t="s">
        <v>3713</v>
      </c>
      <c r="K1158" s="25"/>
      <c r="L1158" s="26" t="s">
        <v>20</v>
      </c>
      <c r="M1158" s="64">
        <v>45174.0</v>
      </c>
      <c r="N1158" s="77" t="str">
        <f t="shared" si="1"/>
        <v>setembro</v>
      </c>
    </row>
    <row r="1159">
      <c r="A1159" s="25" t="s">
        <v>3714</v>
      </c>
      <c r="B1159" s="59">
        <v>45173.32910003472</v>
      </c>
      <c r="C1159" s="25" t="s">
        <v>512</v>
      </c>
      <c r="D1159" s="25">
        <v>5340.0</v>
      </c>
      <c r="E1159" s="25" t="s">
        <v>70</v>
      </c>
      <c r="F1159" s="25" t="s">
        <v>77</v>
      </c>
      <c r="G1159" s="25" t="s">
        <v>3715</v>
      </c>
      <c r="H1159" s="25" t="s">
        <v>1734</v>
      </c>
      <c r="I1159" s="25"/>
      <c r="J1159" s="25" t="s">
        <v>3716</v>
      </c>
      <c r="K1159" s="25"/>
      <c r="L1159" s="26" t="s">
        <v>20</v>
      </c>
      <c r="M1159" s="64">
        <v>45173.0</v>
      </c>
      <c r="N1159" s="77" t="str">
        <f t="shared" si="1"/>
        <v>setembro</v>
      </c>
    </row>
    <row r="1160">
      <c r="A1160" s="25" t="s">
        <v>3717</v>
      </c>
      <c r="B1160" s="59">
        <v>45173.358799062495</v>
      </c>
      <c r="C1160" s="25" t="s">
        <v>3665</v>
      </c>
      <c r="D1160" s="25">
        <v>5340.0</v>
      </c>
      <c r="E1160" s="25" t="s">
        <v>70</v>
      </c>
      <c r="F1160" s="25" t="s">
        <v>347</v>
      </c>
      <c r="G1160" s="25" t="s">
        <v>3718</v>
      </c>
      <c r="H1160" s="25" t="s">
        <v>79</v>
      </c>
      <c r="I1160" s="25"/>
      <c r="J1160" s="25" t="s">
        <v>3719</v>
      </c>
      <c r="K1160" s="25"/>
      <c r="L1160" s="26" t="s">
        <v>20</v>
      </c>
      <c r="M1160" s="64">
        <v>45201.0</v>
      </c>
      <c r="N1160" s="77" t="str">
        <f t="shared" si="1"/>
        <v>setembro</v>
      </c>
    </row>
    <row r="1161">
      <c r="A1161" s="7" t="s">
        <v>3720</v>
      </c>
      <c r="B1161" s="8">
        <v>45173.3846665625</v>
      </c>
      <c r="C1161" s="7" t="s">
        <v>512</v>
      </c>
      <c r="D1161" s="7">
        <v>5340.0</v>
      </c>
      <c r="E1161" s="25" t="s">
        <v>70</v>
      </c>
      <c r="F1161" s="65" t="s">
        <v>367</v>
      </c>
      <c r="G1161" s="9" t="s">
        <v>3721</v>
      </c>
      <c r="H1161" s="7" t="s">
        <v>79</v>
      </c>
      <c r="I1161" s="7"/>
      <c r="J1161" s="60" t="s">
        <v>3722</v>
      </c>
      <c r="K1161" s="60"/>
      <c r="L1161" s="10" t="s">
        <v>20</v>
      </c>
      <c r="M1161" s="55">
        <v>45252.0</v>
      </c>
      <c r="N1161" s="77" t="str">
        <f t="shared" si="1"/>
        <v>setembro</v>
      </c>
    </row>
    <row r="1162">
      <c r="A1162" s="25" t="s">
        <v>3723</v>
      </c>
      <c r="B1162" s="59">
        <v>45173.385546226855</v>
      </c>
      <c r="C1162" s="25" t="s">
        <v>512</v>
      </c>
      <c r="D1162" s="25">
        <v>5340.0</v>
      </c>
      <c r="E1162" s="25" t="s">
        <v>70</v>
      </c>
      <c r="F1162" s="65" t="s">
        <v>367</v>
      </c>
      <c r="G1162" s="25" t="s">
        <v>1077</v>
      </c>
      <c r="H1162" s="25" t="s">
        <v>79</v>
      </c>
      <c r="I1162" s="25"/>
      <c r="J1162" s="25" t="s">
        <v>3724</v>
      </c>
      <c r="K1162" s="25"/>
      <c r="L1162" s="26" t="s">
        <v>20</v>
      </c>
      <c r="M1162" s="64">
        <v>45201.0</v>
      </c>
      <c r="N1162" s="77" t="str">
        <f t="shared" si="1"/>
        <v>setembro</v>
      </c>
    </row>
    <row r="1163">
      <c r="A1163" s="25" t="s">
        <v>3725</v>
      </c>
      <c r="B1163" s="59">
        <v>45174.30144135417</v>
      </c>
      <c r="C1163" s="25" t="s">
        <v>512</v>
      </c>
      <c r="D1163" s="25">
        <v>5340.0</v>
      </c>
      <c r="E1163" s="25" t="s">
        <v>70</v>
      </c>
      <c r="F1163" s="25" t="s">
        <v>1090</v>
      </c>
      <c r="G1163" s="25" t="s">
        <v>796</v>
      </c>
      <c r="H1163" s="25" t="s">
        <v>79</v>
      </c>
      <c r="I1163" s="25"/>
      <c r="J1163" s="25" t="s">
        <v>3726</v>
      </c>
      <c r="K1163" s="25"/>
      <c r="L1163" s="26" t="s">
        <v>20</v>
      </c>
      <c r="M1163" s="64">
        <v>45201.0</v>
      </c>
      <c r="N1163" s="77" t="str">
        <f t="shared" si="1"/>
        <v>setembro</v>
      </c>
    </row>
    <row r="1164">
      <c r="A1164" s="25" t="s">
        <v>3727</v>
      </c>
      <c r="B1164" s="59">
        <v>45174.302251493056</v>
      </c>
      <c r="C1164" s="25" t="s">
        <v>512</v>
      </c>
      <c r="D1164" s="25">
        <v>5340.0</v>
      </c>
      <c r="E1164" s="25" t="s">
        <v>70</v>
      </c>
      <c r="F1164" s="65" t="s">
        <v>367</v>
      </c>
      <c r="G1164" s="25" t="s">
        <v>796</v>
      </c>
      <c r="H1164" s="25" t="s">
        <v>79</v>
      </c>
      <c r="I1164" s="25"/>
      <c r="J1164" s="25" t="s">
        <v>3728</v>
      </c>
      <c r="K1164" s="25"/>
      <c r="L1164" s="26" t="s">
        <v>20</v>
      </c>
      <c r="M1164" s="64">
        <v>45201.0</v>
      </c>
      <c r="N1164" s="77" t="str">
        <f t="shared" si="1"/>
        <v>setembro</v>
      </c>
    </row>
    <row r="1165">
      <c r="A1165" s="25" t="s">
        <v>3729</v>
      </c>
      <c r="B1165" s="59">
        <v>45174.390012372685</v>
      </c>
      <c r="C1165" s="25" t="s">
        <v>512</v>
      </c>
      <c r="D1165" s="25">
        <v>5340.0</v>
      </c>
      <c r="E1165" s="25" t="s">
        <v>70</v>
      </c>
      <c r="F1165" s="25" t="s">
        <v>61</v>
      </c>
      <c r="G1165" s="25" t="s">
        <v>3730</v>
      </c>
      <c r="H1165" s="25" t="s">
        <v>162</v>
      </c>
      <c r="I1165" s="25"/>
      <c r="J1165" s="25" t="s">
        <v>3731</v>
      </c>
      <c r="K1165" s="25"/>
      <c r="L1165" s="26" t="s">
        <v>20</v>
      </c>
      <c r="M1165" s="64">
        <v>45175.0</v>
      </c>
      <c r="N1165" s="77" t="str">
        <f t="shared" si="1"/>
        <v>setembro</v>
      </c>
    </row>
    <row r="1166">
      <c r="A1166" s="7" t="s">
        <v>3732</v>
      </c>
      <c r="B1166" s="8">
        <v>45174.39171491898</v>
      </c>
      <c r="C1166" s="7" t="s">
        <v>3173</v>
      </c>
      <c r="D1166" s="7">
        <v>5314.0</v>
      </c>
      <c r="E1166" s="7" t="s">
        <v>261</v>
      </c>
      <c r="F1166" s="7" t="s">
        <v>93</v>
      </c>
      <c r="G1166" s="9" t="s">
        <v>3733</v>
      </c>
      <c r="H1166" s="7" t="s">
        <v>1734</v>
      </c>
      <c r="I1166" s="7"/>
      <c r="J1166" s="60" t="s">
        <v>3734</v>
      </c>
      <c r="K1166" s="60"/>
      <c r="L1166" s="10" t="s">
        <v>20</v>
      </c>
      <c r="M1166" s="55">
        <v>45257.0</v>
      </c>
      <c r="N1166" s="77" t="str">
        <f t="shared" si="1"/>
        <v>setembro</v>
      </c>
    </row>
    <row r="1167">
      <c r="A1167" s="25" t="s">
        <v>3735</v>
      </c>
      <c r="B1167" s="59">
        <v>45174.40407346065</v>
      </c>
      <c r="C1167" s="25" t="s">
        <v>339</v>
      </c>
      <c r="D1167" s="25">
        <v>7.7999477415E10</v>
      </c>
      <c r="E1167" s="25" t="s">
        <v>621</v>
      </c>
      <c r="F1167" s="25" t="s">
        <v>86</v>
      </c>
      <c r="G1167" s="25" t="s">
        <v>3736</v>
      </c>
      <c r="H1167" s="25" t="s">
        <v>79</v>
      </c>
      <c r="I1167" s="25"/>
      <c r="J1167" s="25" t="s">
        <v>3737</v>
      </c>
      <c r="K1167" s="25"/>
      <c r="L1167" s="26" t="s">
        <v>20</v>
      </c>
      <c r="M1167" s="64">
        <v>45201.0</v>
      </c>
      <c r="N1167" s="77" t="str">
        <f t="shared" si="1"/>
        <v>setembro</v>
      </c>
    </row>
    <row r="1168">
      <c r="A1168" s="25" t="s">
        <v>3738</v>
      </c>
      <c r="B1168" s="59">
        <v>45175.38516233796</v>
      </c>
      <c r="C1168" s="25" t="s">
        <v>512</v>
      </c>
      <c r="D1168" s="25">
        <v>5340.0</v>
      </c>
      <c r="E1168" s="25" t="s">
        <v>70</v>
      </c>
      <c r="F1168" s="25" t="s">
        <v>347</v>
      </c>
      <c r="G1168" s="25" t="s">
        <v>3739</v>
      </c>
      <c r="H1168" s="25" t="s">
        <v>79</v>
      </c>
      <c r="I1168" s="25"/>
      <c r="J1168" s="25" t="s">
        <v>3740</v>
      </c>
      <c r="K1168" s="25"/>
      <c r="L1168" s="26" t="s">
        <v>20</v>
      </c>
      <c r="M1168" s="64">
        <v>45175.0</v>
      </c>
      <c r="N1168" s="77" t="str">
        <f t="shared" si="1"/>
        <v>setembro</v>
      </c>
    </row>
    <row r="1169">
      <c r="A1169" s="25" t="s">
        <v>3741</v>
      </c>
      <c r="B1169" s="59">
        <v>45175.38777864583</v>
      </c>
      <c r="C1169" s="25" t="s">
        <v>3665</v>
      </c>
      <c r="D1169" s="25">
        <v>5340.0</v>
      </c>
      <c r="E1169" s="25" t="s">
        <v>70</v>
      </c>
      <c r="F1169" s="25" t="s">
        <v>3742</v>
      </c>
      <c r="G1169" s="25" t="s">
        <v>3743</v>
      </c>
      <c r="H1169" s="25" t="s">
        <v>79</v>
      </c>
      <c r="I1169" s="25"/>
      <c r="J1169" s="25" t="s">
        <v>3744</v>
      </c>
      <c r="K1169" s="25"/>
      <c r="L1169" s="26" t="s">
        <v>20</v>
      </c>
      <c r="M1169" s="64">
        <v>45226.0</v>
      </c>
      <c r="N1169" s="77" t="str">
        <f t="shared" si="1"/>
        <v>setembro</v>
      </c>
    </row>
    <row r="1170">
      <c r="A1170" s="25" t="s">
        <v>3745</v>
      </c>
      <c r="B1170" s="59">
        <v>45175.47596802084</v>
      </c>
      <c r="C1170" s="25" t="s">
        <v>512</v>
      </c>
      <c r="D1170" s="25">
        <v>5340.0</v>
      </c>
      <c r="E1170" s="25" t="s">
        <v>70</v>
      </c>
      <c r="F1170" s="25" t="s">
        <v>3746</v>
      </c>
      <c r="G1170" s="25" t="s">
        <v>3746</v>
      </c>
      <c r="H1170" s="25" t="s">
        <v>79</v>
      </c>
      <c r="I1170" s="25"/>
      <c r="J1170" s="25" t="s">
        <v>3747</v>
      </c>
      <c r="K1170" s="25"/>
      <c r="L1170" s="26" t="s">
        <v>20</v>
      </c>
      <c r="M1170" s="64">
        <v>45175.0</v>
      </c>
      <c r="N1170" s="77" t="str">
        <f t="shared" si="1"/>
        <v>setembro</v>
      </c>
    </row>
    <row r="1171">
      <c r="A1171" s="25" t="s">
        <v>3748</v>
      </c>
      <c r="B1171" s="59">
        <v>45175.60644364583</v>
      </c>
      <c r="C1171" s="25" t="s">
        <v>531</v>
      </c>
      <c r="D1171" s="25">
        <v>5341.0</v>
      </c>
      <c r="E1171" s="25" t="s">
        <v>532</v>
      </c>
      <c r="F1171" s="25" t="s">
        <v>393</v>
      </c>
      <c r="G1171" s="25" t="s">
        <v>513</v>
      </c>
      <c r="H1171" s="25" t="s">
        <v>764</v>
      </c>
      <c r="I1171" s="25"/>
      <c r="J1171" s="25" t="s">
        <v>3749</v>
      </c>
      <c r="K1171" s="25"/>
      <c r="L1171" s="26" t="s">
        <v>20</v>
      </c>
      <c r="M1171" s="64">
        <v>45201.0</v>
      </c>
      <c r="N1171" s="77" t="str">
        <f t="shared" si="1"/>
        <v>setembro</v>
      </c>
    </row>
    <row r="1172">
      <c r="A1172" s="25" t="s">
        <v>3750</v>
      </c>
      <c r="B1172" s="59">
        <v>45178.27185549769</v>
      </c>
      <c r="C1172" s="25" t="s">
        <v>169</v>
      </c>
      <c r="D1172" s="25">
        <v>5318.0</v>
      </c>
      <c r="E1172" s="25" t="s">
        <v>15</v>
      </c>
      <c r="F1172" s="25" t="s">
        <v>3281</v>
      </c>
      <c r="G1172" s="25" t="s">
        <v>3751</v>
      </c>
      <c r="H1172" s="25" t="s">
        <v>18</v>
      </c>
      <c r="I1172" s="25"/>
      <c r="J1172" s="25" t="s">
        <v>3752</v>
      </c>
      <c r="K1172" s="25"/>
      <c r="L1172" s="26" t="s">
        <v>20</v>
      </c>
      <c r="M1172" s="64">
        <v>45181.0</v>
      </c>
      <c r="N1172" s="77" t="str">
        <f t="shared" si="1"/>
        <v>setembro</v>
      </c>
    </row>
    <row r="1173">
      <c r="A1173" s="25" t="s">
        <v>3753</v>
      </c>
      <c r="B1173" s="59">
        <v>45178.2732456713</v>
      </c>
      <c r="C1173" s="25" t="s">
        <v>169</v>
      </c>
      <c r="D1173" s="25">
        <v>5318.0</v>
      </c>
      <c r="E1173" s="25" t="s">
        <v>15</v>
      </c>
      <c r="F1173" s="25" t="s">
        <v>86</v>
      </c>
      <c r="G1173" s="25" t="s">
        <v>3390</v>
      </c>
      <c r="H1173" s="25" t="s">
        <v>18</v>
      </c>
      <c r="I1173" s="25"/>
      <c r="J1173" s="25" t="s">
        <v>3754</v>
      </c>
      <c r="K1173" s="25"/>
      <c r="L1173" s="26" t="s">
        <v>20</v>
      </c>
      <c r="M1173" s="64">
        <v>45181.0</v>
      </c>
      <c r="N1173" s="77" t="str">
        <f t="shared" si="1"/>
        <v>setembro</v>
      </c>
    </row>
    <row r="1174">
      <c r="A1174" s="25" t="s">
        <v>3755</v>
      </c>
      <c r="B1174" s="59">
        <v>45180.357968854165</v>
      </c>
      <c r="C1174" s="25" t="s">
        <v>3756</v>
      </c>
      <c r="D1174" s="25">
        <v>5363.0</v>
      </c>
      <c r="E1174" s="25" t="s">
        <v>261</v>
      </c>
      <c r="F1174" s="25" t="s">
        <v>82</v>
      </c>
      <c r="G1174" s="25">
        <v>116.0</v>
      </c>
      <c r="H1174" s="25" t="s">
        <v>18</v>
      </c>
      <c r="I1174" s="25"/>
      <c r="J1174" s="25" t="s">
        <v>3757</v>
      </c>
      <c r="K1174" s="25"/>
      <c r="L1174" s="26" t="s">
        <v>20</v>
      </c>
      <c r="M1174" s="64">
        <v>45183.0</v>
      </c>
      <c r="N1174" s="77" t="str">
        <f t="shared" si="1"/>
        <v>setembro</v>
      </c>
    </row>
    <row r="1175">
      <c r="A1175" s="25" t="s">
        <v>3758</v>
      </c>
      <c r="B1175" s="59">
        <v>45180.39199076389</v>
      </c>
      <c r="C1175" s="25" t="s">
        <v>3665</v>
      </c>
      <c r="D1175" s="25">
        <v>5340.0</v>
      </c>
      <c r="E1175" s="25" t="s">
        <v>70</v>
      </c>
      <c r="F1175" s="25" t="s">
        <v>3759</v>
      </c>
      <c r="G1175" s="25" t="s">
        <v>3760</v>
      </c>
      <c r="H1175" s="25" t="s">
        <v>764</v>
      </c>
      <c r="I1175" s="25"/>
      <c r="J1175" s="25" t="s">
        <v>3761</v>
      </c>
      <c r="K1175" s="25"/>
      <c r="L1175" s="26" t="s">
        <v>20</v>
      </c>
      <c r="M1175" s="64">
        <v>45201.0</v>
      </c>
      <c r="N1175" s="77" t="str">
        <f t="shared" si="1"/>
        <v>setembro</v>
      </c>
    </row>
    <row r="1176">
      <c r="A1176" s="25" t="s">
        <v>3762</v>
      </c>
      <c r="B1176" s="59">
        <v>45180.402815740745</v>
      </c>
      <c r="C1176" s="25" t="s">
        <v>3665</v>
      </c>
      <c r="D1176" s="25">
        <v>5340.0</v>
      </c>
      <c r="E1176" s="25" t="s">
        <v>70</v>
      </c>
      <c r="F1176" s="25" t="s">
        <v>347</v>
      </c>
      <c r="G1176" s="25" t="s">
        <v>3763</v>
      </c>
      <c r="H1176" s="25" t="s">
        <v>79</v>
      </c>
      <c r="I1176" s="25"/>
      <c r="J1176" s="25" t="s">
        <v>3764</v>
      </c>
      <c r="K1176" s="25"/>
      <c r="L1176" s="26" t="s">
        <v>20</v>
      </c>
      <c r="M1176" s="64">
        <v>45201.0</v>
      </c>
      <c r="N1176" s="77" t="str">
        <f t="shared" si="1"/>
        <v>setembro</v>
      </c>
    </row>
    <row r="1177">
      <c r="A1177" s="25" t="s">
        <v>3765</v>
      </c>
      <c r="B1177" s="59">
        <v>45181.39130048611</v>
      </c>
      <c r="C1177" s="25" t="s">
        <v>3766</v>
      </c>
      <c r="D1177" s="25" t="s">
        <v>3767</v>
      </c>
      <c r="E1177" s="25" t="s">
        <v>580</v>
      </c>
      <c r="F1177" s="25" t="s">
        <v>3768</v>
      </c>
      <c r="G1177" s="25" t="s">
        <v>1073</v>
      </c>
      <c r="H1177" s="25" t="s">
        <v>1734</v>
      </c>
      <c r="I1177" s="25"/>
      <c r="J1177" s="25" t="s">
        <v>3769</v>
      </c>
      <c r="K1177" s="25" t="s">
        <v>3770</v>
      </c>
      <c r="L1177" s="26" t="s">
        <v>20</v>
      </c>
      <c r="M1177" s="64">
        <v>45182.0</v>
      </c>
      <c r="N1177" s="77" t="str">
        <f t="shared" si="1"/>
        <v>setembro</v>
      </c>
    </row>
    <row r="1178">
      <c r="A1178" s="7" t="s">
        <v>3771</v>
      </c>
      <c r="B1178" s="8">
        <v>45181.41589127315</v>
      </c>
      <c r="C1178" s="7" t="s">
        <v>3665</v>
      </c>
      <c r="D1178" s="7">
        <v>5340.0</v>
      </c>
      <c r="E1178" s="25" t="s">
        <v>70</v>
      </c>
      <c r="F1178" s="25" t="s">
        <v>142</v>
      </c>
      <c r="G1178" s="9" t="s">
        <v>3772</v>
      </c>
      <c r="H1178" s="7" t="s">
        <v>1734</v>
      </c>
      <c r="I1178" s="7"/>
      <c r="J1178" s="60" t="s">
        <v>3773</v>
      </c>
      <c r="K1178" s="60"/>
      <c r="L1178" s="10" t="s">
        <v>20</v>
      </c>
      <c r="M1178" s="55">
        <v>45182.0</v>
      </c>
      <c r="N1178" s="77" t="str">
        <f t="shared" si="1"/>
        <v>setembro</v>
      </c>
    </row>
    <row r="1179">
      <c r="A1179" s="25" t="s">
        <v>3774</v>
      </c>
      <c r="B1179" s="59">
        <v>45181.46509525463</v>
      </c>
      <c r="C1179" s="25" t="s">
        <v>3665</v>
      </c>
      <c r="D1179" s="25">
        <v>5340.0</v>
      </c>
      <c r="E1179" s="25" t="s">
        <v>70</v>
      </c>
      <c r="F1179" s="25" t="s">
        <v>90</v>
      </c>
      <c r="G1179" s="25" t="s">
        <v>3775</v>
      </c>
      <c r="H1179" s="25" t="s">
        <v>129</v>
      </c>
      <c r="I1179" s="25"/>
      <c r="J1179" s="25" t="s">
        <v>3776</v>
      </c>
      <c r="K1179" s="25"/>
      <c r="L1179" s="26" t="s">
        <v>20</v>
      </c>
      <c r="M1179" s="64">
        <v>45184.0</v>
      </c>
      <c r="N1179" s="77" t="str">
        <f t="shared" si="1"/>
        <v>setembro</v>
      </c>
    </row>
    <row r="1180">
      <c r="A1180" s="25" t="s">
        <v>3777</v>
      </c>
      <c r="B1180" s="59">
        <v>45182.403843113425</v>
      </c>
      <c r="C1180" s="25" t="s">
        <v>3778</v>
      </c>
      <c r="D1180" s="25" t="s">
        <v>3779</v>
      </c>
      <c r="E1180" s="25" t="s">
        <v>261</v>
      </c>
      <c r="F1180" s="25" t="s">
        <v>3780</v>
      </c>
      <c r="G1180" s="25" t="s">
        <v>3781</v>
      </c>
      <c r="H1180" s="25" t="s">
        <v>1734</v>
      </c>
      <c r="I1180" s="25"/>
      <c r="J1180" s="25" t="s">
        <v>3782</v>
      </c>
      <c r="K1180" s="25"/>
      <c r="L1180" s="26" t="s">
        <v>20</v>
      </c>
      <c r="M1180" s="64">
        <v>45183.0</v>
      </c>
      <c r="N1180" s="77" t="str">
        <f t="shared" si="1"/>
        <v>setembro</v>
      </c>
    </row>
    <row r="1181">
      <c r="A1181" s="25" t="s">
        <v>3783</v>
      </c>
      <c r="B1181" s="59">
        <v>45182.41037621528</v>
      </c>
      <c r="C1181" s="25" t="s">
        <v>3778</v>
      </c>
      <c r="D1181" s="25">
        <v>5309.0</v>
      </c>
      <c r="E1181" s="25" t="s">
        <v>580</v>
      </c>
      <c r="F1181" s="25" t="s">
        <v>3784</v>
      </c>
      <c r="G1181" s="25" t="s">
        <v>3785</v>
      </c>
      <c r="H1181" s="25" t="s">
        <v>1734</v>
      </c>
      <c r="I1181" s="25"/>
      <c r="J1181" s="25" t="s">
        <v>3786</v>
      </c>
      <c r="K1181" s="25"/>
      <c r="L1181" s="26" t="s">
        <v>20</v>
      </c>
      <c r="M1181" s="64">
        <v>45183.0</v>
      </c>
      <c r="N1181" s="77" t="str">
        <f t="shared" si="1"/>
        <v>setembro</v>
      </c>
    </row>
    <row r="1182">
      <c r="A1182" s="25" t="s">
        <v>3787</v>
      </c>
      <c r="B1182" s="59">
        <v>45182.43335943287</v>
      </c>
      <c r="C1182" s="25" t="s">
        <v>422</v>
      </c>
      <c r="D1182" s="25">
        <v>5346.0</v>
      </c>
      <c r="E1182" s="25" t="s">
        <v>423</v>
      </c>
      <c r="F1182" s="25" t="s">
        <v>82</v>
      </c>
      <c r="G1182" s="25">
        <v>16.0</v>
      </c>
      <c r="H1182" s="25" t="s">
        <v>1734</v>
      </c>
      <c r="I1182" s="25"/>
      <c r="J1182" s="25" t="s">
        <v>3788</v>
      </c>
      <c r="K1182" s="25"/>
      <c r="L1182" s="26" t="s">
        <v>20</v>
      </c>
      <c r="M1182" s="64">
        <v>45184.0</v>
      </c>
      <c r="N1182" s="77" t="str">
        <f t="shared" si="1"/>
        <v>setembro</v>
      </c>
    </row>
    <row r="1183">
      <c r="A1183" s="25" t="s">
        <v>3789</v>
      </c>
      <c r="B1183" s="59">
        <v>45182.55451677083</v>
      </c>
      <c r="C1183" s="25" t="s">
        <v>53</v>
      </c>
      <c r="D1183" s="25">
        <v>5357.0</v>
      </c>
      <c r="E1183" s="20" t="s">
        <v>288</v>
      </c>
      <c r="F1183" s="25" t="s">
        <v>55</v>
      </c>
      <c r="G1183" s="25" t="s">
        <v>3790</v>
      </c>
      <c r="H1183" s="25" t="s">
        <v>79</v>
      </c>
      <c r="I1183" s="25"/>
      <c r="J1183" s="25" t="s">
        <v>3791</v>
      </c>
      <c r="K1183" s="25"/>
      <c r="L1183" s="26" t="s">
        <v>20</v>
      </c>
      <c r="M1183" s="64">
        <v>45201.0</v>
      </c>
      <c r="N1183" s="77" t="str">
        <f t="shared" si="1"/>
        <v>setembro</v>
      </c>
    </row>
    <row r="1184">
      <c r="A1184" s="25" t="s">
        <v>3792</v>
      </c>
      <c r="B1184" s="59">
        <v>45182.56062618055</v>
      </c>
      <c r="C1184" s="25" t="s">
        <v>53</v>
      </c>
      <c r="D1184" s="25">
        <v>5357.0</v>
      </c>
      <c r="E1184" s="20" t="s">
        <v>288</v>
      </c>
      <c r="F1184" s="25" t="s">
        <v>55</v>
      </c>
      <c r="G1184" s="25" t="s">
        <v>3518</v>
      </c>
      <c r="H1184" s="25" t="s">
        <v>79</v>
      </c>
      <c r="I1184" s="25"/>
      <c r="J1184" s="25" t="s">
        <v>3793</v>
      </c>
      <c r="K1184" s="25"/>
      <c r="L1184" s="26" t="s">
        <v>20</v>
      </c>
      <c r="M1184" s="64">
        <v>45184.0</v>
      </c>
      <c r="N1184" s="77" t="str">
        <f t="shared" si="1"/>
        <v>setembro</v>
      </c>
    </row>
    <row r="1185">
      <c r="A1185" s="25" t="s">
        <v>3794</v>
      </c>
      <c r="B1185" s="59">
        <v>45182.59899616898</v>
      </c>
      <c r="C1185" s="25" t="s">
        <v>3387</v>
      </c>
      <c r="D1185" s="25">
        <v>5340.0</v>
      </c>
      <c r="E1185" s="25" t="s">
        <v>70</v>
      </c>
      <c r="F1185" s="25" t="s">
        <v>3708</v>
      </c>
      <c r="G1185" s="25" t="s">
        <v>3795</v>
      </c>
      <c r="H1185" s="25" t="s">
        <v>764</v>
      </c>
      <c r="I1185" s="25"/>
      <c r="J1185" s="25" t="s">
        <v>3796</v>
      </c>
      <c r="K1185" s="25"/>
      <c r="L1185" s="26" t="s">
        <v>20</v>
      </c>
      <c r="M1185" s="64">
        <v>45201.0</v>
      </c>
      <c r="N1185" s="77" t="str">
        <f t="shared" si="1"/>
        <v>setembro</v>
      </c>
    </row>
    <row r="1186">
      <c r="A1186" s="25" t="s">
        <v>3797</v>
      </c>
      <c r="B1186" s="59">
        <v>45182.61333766204</v>
      </c>
      <c r="C1186" s="25" t="s">
        <v>215</v>
      </c>
      <c r="D1186" s="25">
        <v>5333.0</v>
      </c>
      <c r="E1186" s="25" t="s">
        <v>41</v>
      </c>
      <c r="F1186" s="25" t="s">
        <v>42</v>
      </c>
      <c r="G1186" s="25" t="s">
        <v>1816</v>
      </c>
      <c r="H1186" s="25" t="s">
        <v>162</v>
      </c>
      <c r="I1186" s="25"/>
      <c r="J1186" s="25" t="s">
        <v>3798</v>
      </c>
      <c r="K1186" s="25"/>
      <c r="L1186" s="26" t="s">
        <v>20</v>
      </c>
      <c r="M1186" s="64">
        <v>45229.0</v>
      </c>
      <c r="N1186" s="77" t="str">
        <f t="shared" si="1"/>
        <v>setembro</v>
      </c>
    </row>
    <row r="1187">
      <c r="A1187" s="25" t="s">
        <v>3799</v>
      </c>
      <c r="B1187" s="59">
        <v>45182.61447366898</v>
      </c>
      <c r="C1187" s="25" t="s">
        <v>215</v>
      </c>
      <c r="D1187" s="25">
        <v>5333.0</v>
      </c>
      <c r="E1187" s="25" t="s">
        <v>41</v>
      </c>
      <c r="F1187" s="25" t="s">
        <v>42</v>
      </c>
      <c r="G1187" s="25" t="s">
        <v>3800</v>
      </c>
      <c r="H1187" s="25" t="s">
        <v>44</v>
      </c>
      <c r="I1187" s="25" t="s">
        <v>3801</v>
      </c>
      <c r="J1187" s="25" t="s">
        <v>3802</v>
      </c>
      <c r="K1187" s="25"/>
      <c r="L1187" s="26" t="s">
        <v>20</v>
      </c>
      <c r="M1187" s="64">
        <v>45189.0</v>
      </c>
      <c r="N1187" s="77" t="str">
        <f t="shared" si="1"/>
        <v>setembro</v>
      </c>
    </row>
    <row r="1188">
      <c r="A1188" s="25" t="s">
        <v>3803</v>
      </c>
      <c r="B1188" s="59">
        <v>45182.62033784723</v>
      </c>
      <c r="C1188" s="25" t="s">
        <v>522</v>
      </c>
      <c r="D1188" s="25">
        <v>5333.0</v>
      </c>
      <c r="E1188" s="25" t="s">
        <v>41</v>
      </c>
      <c r="F1188" s="25" t="s">
        <v>42</v>
      </c>
      <c r="G1188" s="25" t="s">
        <v>1132</v>
      </c>
      <c r="H1188" s="25" t="s">
        <v>79</v>
      </c>
      <c r="I1188" s="25"/>
      <c r="J1188" s="25" t="s">
        <v>3804</v>
      </c>
      <c r="K1188" s="25"/>
      <c r="L1188" s="26" t="s">
        <v>20</v>
      </c>
      <c r="M1188" s="64">
        <v>45226.0</v>
      </c>
      <c r="N1188" s="77" t="str">
        <f t="shared" si="1"/>
        <v>setembro</v>
      </c>
    </row>
    <row r="1189">
      <c r="A1189" s="25" t="s">
        <v>3805</v>
      </c>
      <c r="B1189" s="59">
        <v>45182.72903534722</v>
      </c>
      <c r="C1189" s="25" t="s">
        <v>215</v>
      </c>
      <c r="D1189" s="25">
        <v>5333.0</v>
      </c>
      <c r="E1189" s="25" t="s">
        <v>41</v>
      </c>
      <c r="F1189" s="25" t="s">
        <v>42</v>
      </c>
      <c r="G1189" s="25" t="s">
        <v>2213</v>
      </c>
      <c r="H1189" s="25" t="s">
        <v>79</v>
      </c>
      <c r="I1189" s="25"/>
      <c r="J1189" s="25" t="s">
        <v>3806</v>
      </c>
      <c r="K1189" s="25"/>
      <c r="L1189" s="26" t="s">
        <v>20</v>
      </c>
      <c r="M1189" s="64">
        <v>45226.0</v>
      </c>
      <c r="N1189" s="77" t="str">
        <f t="shared" si="1"/>
        <v>setembro</v>
      </c>
    </row>
    <row r="1190">
      <c r="A1190" s="25" t="s">
        <v>3807</v>
      </c>
      <c r="B1190" s="59">
        <v>45183.311843194446</v>
      </c>
      <c r="C1190" s="25" t="s">
        <v>2870</v>
      </c>
      <c r="D1190" s="25">
        <v>5315.0</v>
      </c>
      <c r="E1190" s="25" t="s">
        <v>116</v>
      </c>
      <c r="F1190" s="25" t="s">
        <v>82</v>
      </c>
      <c r="G1190" s="25" t="s">
        <v>3808</v>
      </c>
      <c r="H1190" s="25" t="s">
        <v>79</v>
      </c>
      <c r="I1190" s="25"/>
      <c r="J1190" s="25" t="s">
        <v>3809</v>
      </c>
      <c r="K1190" s="25"/>
      <c r="L1190" s="26" t="s">
        <v>20</v>
      </c>
      <c r="M1190" s="64">
        <v>45201.0</v>
      </c>
      <c r="N1190" s="77" t="str">
        <f t="shared" si="1"/>
        <v>setembro</v>
      </c>
    </row>
    <row r="1191">
      <c r="A1191" s="25" t="s">
        <v>3810</v>
      </c>
      <c r="B1191" s="59">
        <v>45183.350092650464</v>
      </c>
      <c r="C1191" s="25" t="s">
        <v>3665</v>
      </c>
      <c r="D1191" s="25">
        <v>5340.0</v>
      </c>
      <c r="E1191" s="25" t="s">
        <v>70</v>
      </c>
      <c r="F1191" s="25" t="s">
        <v>82</v>
      </c>
      <c r="G1191" s="25" t="s">
        <v>3811</v>
      </c>
      <c r="H1191" s="25" t="s">
        <v>79</v>
      </c>
      <c r="I1191" s="25"/>
      <c r="J1191" s="25" t="s">
        <v>3812</v>
      </c>
      <c r="K1191" s="25"/>
      <c r="L1191" s="26" t="s">
        <v>20</v>
      </c>
      <c r="M1191" s="64">
        <v>45201.0</v>
      </c>
      <c r="N1191" s="77" t="str">
        <f t="shared" si="1"/>
        <v>setembro</v>
      </c>
    </row>
    <row r="1192">
      <c r="A1192" s="25" t="s">
        <v>3813</v>
      </c>
      <c r="B1192" s="59">
        <v>45183.62319356481</v>
      </c>
      <c r="C1192" s="25" t="s">
        <v>3088</v>
      </c>
      <c r="D1192" s="25">
        <v>5343.0</v>
      </c>
      <c r="E1192" s="25" t="s">
        <v>116</v>
      </c>
      <c r="F1192" s="25" t="s">
        <v>82</v>
      </c>
      <c r="G1192" s="25" t="s">
        <v>3814</v>
      </c>
      <c r="H1192" s="25" t="s">
        <v>79</v>
      </c>
      <c r="I1192" s="25"/>
      <c r="J1192" s="25" t="s">
        <v>3815</v>
      </c>
      <c r="K1192" s="25"/>
      <c r="L1192" s="26" t="s">
        <v>20</v>
      </c>
      <c r="M1192" s="64">
        <v>45201.0</v>
      </c>
      <c r="N1192" s="77" t="str">
        <f t="shared" si="1"/>
        <v>setembro</v>
      </c>
    </row>
    <row r="1193">
      <c r="A1193" s="25" t="s">
        <v>3816</v>
      </c>
      <c r="B1193" s="59">
        <v>45183.66949674769</v>
      </c>
      <c r="C1193" s="25" t="s">
        <v>3817</v>
      </c>
      <c r="D1193" s="25" t="s">
        <v>3818</v>
      </c>
      <c r="E1193" s="7" t="s">
        <v>246</v>
      </c>
      <c r="F1193" s="25" t="s">
        <v>178</v>
      </c>
      <c r="G1193" s="25" t="s">
        <v>3819</v>
      </c>
      <c r="H1193" s="25" t="s">
        <v>1734</v>
      </c>
      <c r="I1193" s="25"/>
      <c r="J1193" s="25" t="s">
        <v>3820</v>
      </c>
      <c r="K1193" s="25"/>
      <c r="L1193" s="26" t="s">
        <v>20</v>
      </c>
      <c r="M1193" s="64">
        <v>45203.0</v>
      </c>
      <c r="N1193" s="77" t="str">
        <f t="shared" si="1"/>
        <v>setembro</v>
      </c>
    </row>
    <row r="1194">
      <c r="A1194" s="25" t="s">
        <v>3821</v>
      </c>
      <c r="B1194" s="59">
        <v>45184.23726391204</v>
      </c>
      <c r="C1194" s="25" t="s">
        <v>169</v>
      </c>
      <c r="D1194" s="25">
        <v>5318.0</v>
      </c>
      <c r="E1194" s="25" t="s">
        <v>15</v>
      </c>
      <c r="F1194" s="25" t="s">
        <v>2592</v>
      </c>
      <c r="G1194" s="25" t="s">
        <v>3822</v>
      </c>
      <c r="H1194" s="25" t="s">
        <v>18</v>
      </c>
      <c r="I1194" s="25"/>
      <c r="J1194" s="25" t="s">
        <v>3823</v>
      </c>
      <c r="K1194" s="25"/>
      <c r="L1194" s="26" t="s">
        <v>20</v>
      </c>
      <c r="M1194" s="64">
        <v>45184.0</v>
      </c>
      <c r="N1194" s="77" t="str">
        <f t="shared" si="1"/>
        <v>setembro</v>
      </c>
    </row>
    <row r="1195">
      <c r="A1195" s="25" t="s">
        <v>3824</v>
      </c>
      <c r="B1195" s="59">
        <v>45184.4366074537</v>
      </c>
      <c r="C1195" s="25" t="s">
        <v>2870</v>
      </c>
      <c r="D1195" s="25">
        <v>5315.0</v>
      </c>
      <c r="E1195" s="25" t="s">
        <v>116</v>
      </c>
      <c r="F1195" s="25" t="s">
        <v>82</v>
      </c>
      <c r="G1195" s="25" t="s">
        <v>3825</v>
      </c>
      <c r="H1195" s="25" t="s">
        <v>1734</v>
      </c>
      <c r="I1195" s="25"/>
      <c r="J1195" s="25" t="s">
        <v>3826</v>
      </c>
      <c r="K1195" s="25"/>
      <c r="L1195" s="26" t="s">
        <v>20</v>
      </c>
      <c r="M1195" s="64">
        <v>45184.0</v>
      </c>
      <c r="N1195" s="77" t="str">
        <f t="shared" si="1"/>
        <v>setembro</v>
      </c>
    </row>
    <row r="1196">
      <c r="A1196" s="25" t="s">
        <v>3827</v>
      </c>
      <c r="B1196" s="59">
        <v>45184.50928033565</v>
      </c>
      <c r="C1196" s="25" t="s">
        <v>3828</v>
      </c>
      <c r="D1196" s="25">
        <v>5346.0</v>
      </c>
      <c r="E1196" s="25" t="s">
        <v>423</v>
      </c>
      <c r="F1196" s="25" t="s">
        <v>82</v>
      </c>
      <c r="G1196" s="25">
        <v>16.0</v>
      </c>
      <c r="H1196" s="25" t="s">
        <v>1734</v>
      </c>
      <c r="I1196" s="25"/>
      <c r="J1196" s="25" t="s">
        <v>3829</v>
      </c>
      <c r="K1196" s="25"/>
      <c r="L1196" s="26" t="s">
        <v>20</v>
      </c>
      <c r="M1196" s="64">
        <v>45187.0</v>
      </c>
      <c r="N1196" s="77" t="str">
        <f t="shared" si="1"/>
        <v>setembro</v>
      </c>
    </row>
    <row r="1197">
      <c r="A1197" s="25" t="s">
        <v>3830</v>
      </c>
      <c r="B1197" s="59">
        <v>45185.04124494213</v>
      </c>
      <c r="C1197" s="25" t="s">
        <v>65</v>
      </c>
      <c r="D1197" s="25">
        <v>5318.0</v>
      </c>
      <c r="E1197" s="25" t="s">
        <v>15</v>
      </c>
      <c r="F1197" s="25" t="s">
        <v>178</v>
      </c>
      <c r="G1197" s="25" t="s">
        <v>3831</v>
      </c>
      <c r="H1197" s="25" t="s">
        <v>18</v>
      </c>
      <c r="I1197" s="25"/>
      <c r="J1197" s="25" t="s">
        <v>3832</v>
      </c>
      <c r="K1197" s="25"/>
      <c r="L1197" s="26" t="s">
        <v>20</v>
      </c>
      <c r="M1197" s="64">
        <v>45194.0</v>
      </c>
      <c r="N1197" s="77" t="str">
        <f t="shared" si="1"/>
        <v>setembro</v>
      </c>
    </row>
    <row r="1198">
      <c r="A1198" s="25" t="s">
        <v>3833</v>
      </c>
      <c r="B1198" s="59">
        <v>45185.043035625</v>
      </c>
      <c r="C1198" s="25" t="s">
        <v>65</v>
      </c>
      <c r="D1198" s="25">
        <v>5318.0</v>
      </c>
      <c r="E1198" s="25" t="s">
        <v>15</v>
      </c>
      <c r="F1198" s="25" t="s">
        <v>49</v>
      </c>
      <c r="G1198" s="25" t="s">
        <v>3834</v>
      </c>
      <c r="H1198" s="25" t="s">
        <v>18</v>
      </c>
      <c r="I1198" s="25"/>
      <c r="J1198" s="25" t="s">
        <v>3835</v>
      </c>
      <c r="K1198" s="25"/>
      <c r="L1198" s="26" t="s">
        <v>20</v>
      </c>
      <c r="M1198" s="64">
        <v>45194.0</v>
      </c>
      <c r="N1198" s="77" t="str">
        <f t="shared" si="1"/>
        <v>setembro</v>
      </c>
    </row>
    <row r="1199">
      <c r="A1199" s="7" t="s">
        <v>3836</v>
      </c>
      <c r="B1199" s="8">
        <v>45185.04415534722</v>
      </c>
      <c r="C1199" s="7" t="s">
        <v>65</v>
      </c>
      <c r="D1199" s="7">
        <v>5318.0</v>
      </c>
      <c r="E1199" s="25" t="s">
        <v>15</v>
      </c>
      <c r="F1199" s="7" t="s">
        <v>3837</v>
      </c>
      <c r="G1199" s="9" t="s">
        <v>3837</v>
      </c>
      <c r="H1199" s="7" t="s">
        <v>18</v>
      </c>
      <c r="I1199" s="7"/>
      <c r="J1199" s="60" t="s">
        <v>3838</v>
      </c>
      <c r="K1199" s="60"/>
      <c r="L1199" s="10" t="s">
        <v>20</v>
      </c>
      <c r="M1199" s="55">
        <v>45253.0</v>
      </c>
      <c r="N1199" s="77" t="str">
        <f t="shared" si="1"/>
        <v>setembro</v>
      </c>
    </row>
    <row r="1200">
      <c r="A1200" s="25" t="s">
        <v>3839</v>
      </c>
      <c r="B1200" s="59">
        <v>45185.045533067125</v>
      </c>
      <c r="C1200" s="25" t="s">
        <v>65</v>
      </c>
      <c r="D1200" s="25">
        <v>5318.0</v>
      </c>
      <c r="E1200" s="25" t="s">
        <v>15</v>
      </c>
      <c r="F1200" s="25" t="s">
        <v>49</v>
      </c>
      <c r="G1200" s="25" t="s">
        <v>3840</v>
      </c>
      <c r="H1200" s="25" t="s">
        <v>18</v>
      </c>
      <c r="I1200" s="25"/>
      <c r="J1200" s="25" t="s">
        <v>3841</v>
      </c>
      <c r="K1200" s="25"/>
      <c r="L1200" s="26" t="s">
        <v>20</v>
      </c>
      <c r="M1200" s="64">
        <v>45194.0</v>
      </c>
      <c r="N1200" s="77" t="str">
        <f t="shared" si="1"/>
        <v>setembro</v>
      </c>
    </row>
    <row r="1201">
      <c r="A1201" s="25" t="s">
        <v>3842</v>
      </c>
      <c r="B1201" s="59">
        <v>45185.047153402775</v>
      </c>
      <c r="C1201" s="25" t="s">
        <v>65</v>
      </c>
      <c r="D1201" s="25">
        <v>5318.0</v>
      </c>
      <c r="E1201" s="25" t="s">
        <v>15</v>
      </c>
      <c r="F1201" s="25" t="s">
        <v>393</v>
      </c>
      <c r="G1201" s="25" t="s">
        <v>3843</v>
      </c>
      <c r="H1201" s="25" t="s">
        <v>18</v>
      </c>
      <c r="I1201" s="25"/>
      <c r="J1201" s="25" t="s">
        <v>3844</v>
      </c>
      <c r="K1201" s="25"/>
      <c r="L1201" s="26" t="s">
        <v>20</v>
      </c>
      <c r="M1201" s="64">
        <v>45194.0</v>
      </c>
      <c r="N1201" s="77" t="str">
        <f t="shared" si="1"/>
        <v>setembro</v>
      </c>
    </row>
    <row r="1202">
      <c r="A1202" s="25" t="s">
        <v>3845</v>
      </c>
      <c r="B1202" s="59">
        <v>45185.05269408565</v>
      </c>
      <c r="C1202" s="25" t="s">
        <v>65</v>
      </c>
      <c r="D1202" s="25">
        <v>5318.0</v>
      </c>
      <c r="E1202" s="25" t="s">
        <v>15</v>
      </c>
      <c r="F1202" s="25" t="s">
        <v>3846</v>
      </c>
      <c r="G1202" s="25" t="s">
        <v>3847</v>
      </c>
      <c r="H1202" s="25" t="s">
        <v>18</v>
      </c>
      <c r="I1202" s="25"/>
      <c r="J1202" s="25" t="s">
        <v>3848</v>
      </c>
      <c r="K1202" s="25"/>
      <c r="L1202" s="26" t="s">
        <v>20</v>
      </c>
      <c r="M1202" s="64">
        <v>45194.0</v>
      </c>
      <c r="N1202" s="77" t="str">
        <f t="shared" si="1"/>
        <v>setembro</v>
      </c>
    </row>
    <row r="1203">
      <c r="A1203" s="7" t="s">
        <v>3849</v>
      </c>
      <c r="B1203" s="8">
        <v>45185.12101645833</v>
      </c>
      <c r="C1203" s="7" t="s">
        <v>65</v>
      </c>
      <c r="D1203" s="7">
        <v>5318.0</v>
      </c>
      <c r="E1203" s="25" t="s">
        <v>15</v>
      </c>
      <c r="F1203" s="25" t="s">
        <v>142</v>
      </c>
      <c r="G1203" s="9" t="s">
        <v>3850</v>
      </c>
      <c r="H1203" s="7" t="s">
        <v>1734</v>
      </c>
      <c r="I1203" s="7"/>
      <c r="J1203" s="60" t="s">
        <v>3851</v>
      </c>
      <c r="K1203" s="60"/>
      <c r="L1203" s="10" t="s">
        <v>20</v>
      </c>
      <c r="M1203" s="55">
        <v>45247.0</v>
      </c>
      <c r="N1203" s="77" t="str">
        <f t="shared" si="1"/>
        <v>setembro</v>
      </c>
    </row>
    <row r="1204">
      <c r="A1204" s="25" t="s">
        <v>3852</v>
      </c>
      <c r="B1204" s="59">
        <v>45187.30431528935</v>
      </c>
      <c r="C1204" s="25" t="s">
        <v>3853</v>
      </c>
      <c r="D1204" s="25">
        <v>5370.0</v>
      </c>
      <c r="E1204" s="20" t="s">
        <v>987</v>
      </c>
      <c r="F1204" s="25" t="s">
        <v>82</v>
      </c>
      <c r="G1204" s="25" t="s">
        <v>3854</v>
      </c>
      <c r="H1204" s="25" t="s">
        <v>1734</v>
      </c>
      <c r="I1204" s="25"/>
      <c r="J1204" s="25" t="s">
        <v>3855</v>
      </c>
      <c r="K1204" s="25"/>
      <c r="L1204" s="26" t="s">
        <v>20</v>
      </c>
      <c r="M1204" s="64">
        <v>45188.0</v>
      </c>
      <c r="N1204" s="77" t="str">
        <f t="shared" si="1"/>
        <v>setembro</v>
      </c>
    </row>
    <row r="1205">
      <c r="A1205" s="7" t="s">
        <v>3856</v>
      </c>
      <c r="B1205" s="8">
        <v>45187.4540903125</v>
      </c>
      <c r="C1205" s="7" t="s">
        <v>3857</v>
      </c>
      <c r="D1205" s="7">
        <v>5323.0</v>
      </c>
      <c r="E1205" s="25" t="s">
        <v>251</v>
      </c>
      <c r="F1205" s="25" t="s">
        <v>100</v>
      </c>
      <c r="G1205" s="9" t="s">
        <v>3858</v>
      </c>
      <c r="H1205" s="7" t="s">
        <v>1734</v>
      </c>
      <c r="I1205" s="7"/>
      <c r="J1205" s="60" t="s">
        <v>3859</v>
      </c>
      <c r="K1205" s="60"/>
      <c r="L1205" s="10" t="s">
        <v>20</v>
      </c>
      <c r="M1205" s="55">
        <v>45247.0</v>
      </c>
      <c r="N1205" s="77" t="str">
        <f t="shared" si="1"/>
        <v>setembro</v>
      </c>
    </row>
    <row r="1206">
      <c r="A1206" s="7" t="s">
        <v>3860</v>
      </c>
      <c r="B1206" s="8">
        <v>45187.45609</v>
      </c>
      <c r="C1206" s="7" t="s">
        <v>3857</v>
      </c>
      <c r="D1206" s="7">
        <v>5323.0</v>
      </c>
      <c r="E1206" s="7" t="s">
        <v>246</v>
      </c>
      <c r="F1206" s="7" t="s">
        <v>178</v>
      </c>
      <c r="G1206" s="9" t="s">
        <v>247</v>
      </c>
      <c r="H1206" s="7" t="s">
        <v>1734</v>
      </c>
      <c r="I1206" s="7"/>
      <c r="J1206" s="60" t="s">
        <v>3861</v>
      </c>
      <c r="K1206" s="60"/>
      <c r="L1206" s="10" t="s">
        <v>20</v>
      </c>
      <c r="M1206" s="55">
        <v>45259.0</v>
      </c>
      <c r="N1206" s="77" t="str">
        <f t="shared" si="1"/>
        <v>setembro</v>
      </c>
    </row>
    <row r="1207">
      <c r="A1207" s="7" t="s">
        <v>3862</v>
      </c>
      <c r="B1207" s="8">
        <v>45187.601965625</v>
      </c>
      <c r="C1207" s="7" t="s">
        <v>3665</v>
      </c>
      <c r="D1207" s="7">
        <v>5340.0</v>
      </c>
      <c r="E1207" s="25" t="s">
        <v>70</v>
      </c>
      <c r="F1207" s="7" t="s">
        <v>1375</v>
      </c>
      <c r="G1207" s="9" t="s">
        <v>3863</v>
      </c>
      <c r="H1207" s="7" t="s">
        <v>3444</v>
      </c>
      <c r="I1207" s="7"/>
      <c r="J1207" s="60" t="s">
        <v>3864</v>
      </c>
      <c r="K1207" s="54"/>
      <c r="L1207" s="10" t="s">
        <v>738</v>
      </c>
      <c r="M1207" s="43"/>
      <c r="N1207" s="77" t="str">
        <f t="shared" si="1"/>
        <v>setembro</v>
      </c>
    </row>
    <row r="1208">
      <c r="A1208" s="25" t="s">
        <v>3865</v>
      </c>
      <c r="B1208" s="59">
        <v>45188.4044296412</v>
      </c>
      <c r="C1208" s="25" t="s">
        <v>2619</v>
      </c>
      <c r="D1208" s="25">
        <v>5360.0</v>
      </c>
      <c r="E1208" s="25" t="s">
        <v>371</v>
      </c>
      <c r="F1208" s="25" t="s">
        <v>49</v>
      </c>
      <c r="G1208" s="25" t="s">
        <v>3866</v>
      </c>
      <c r="H1208" s="25" t="s">
        <v>1734</v>
      </c>
      <c r="I1208" s="25"/>
      <c r="J1208" s="25" t="s">
        <v>3867</v>
      </c>
      <c r="K1208" s="25"/>
      <c r="L1208" s="26" t="s">
        <v>20</v>
      </c>
      <c r="M1208" s="64">
        <v>45189.0</v>
      </c>
      <c r="N1208" s="77" t="str">
        <f t="shared" si="1"/>
        <v>setembro</v>
      </c>
    </row>
    <row r="1209">
      <c r="A1209" s="25" t="s">
        <v>3868</v>
      </c>
      <c r="B1209" s="59">
        <v>45188.57078267361</v>
      </c>
      <c r="C1209" s="25" t="s">
        <v>2455</v>
      </c>
      <c r="D1209" s="25">
        <v>5318.0</v>
      </c>
      <c r="E1209" s="25" t="s">
        <v>15</v>
      </c>
      <c r="F1209" s="25" t="s">
        <v>49</v>
      </c>
      <c r="G1209" s="25" t="s">
        <v>3869</v>
      </c>
      <c r="H1209" s="25" t="s">
        <v>18</v>
      </c>
      <c r="I1209" s="25"/>
      <c r="J1209" s="25" t="s">
        <v>3870</v>
      </c>
      <c r="K1209" s="25"/>
      <c r="L1209" s="26" t="s">
        <v>20</v>
      </c>
      <c r="M1209" s="64">
        <v>45188.0</v>
      </c>
      <c r="N1209" s="77" t="str">
        <f t="shared" si="1"/>
        <v>setembro</v>
      </c>
    </row>
    <row r="1210">
      <c r="A1210" s="25" t="s">
        <v>3871</v>
      </c>
      <c r="B1210" s="59">
        <v>45188.74088138889</v>
      </c>
      <c r="C1210" s="25" t="s">
        <v>673</v>
      </c>
      <c r="D1210" s="25">
        <v>5332.0</v>
      </c>
      <c r="E1210" s="25" t="s">
        <v>728</v>
      </c>
      <c r="F1210" s="25" t="s">
        <v>3872</v>
      </c>
      <c r="G1210" s="25" t="s">
        <v>3873</v>
      </c>
      <c r="H1210" s="25" t="s">
        <v>764</v>
      </c>
      <c r="I1210" s="25"/>
      <c r="J1210" s="25" t="s">
        <v>3874</v>
      </c>
      <c r="K1210" s="25"/>
      <c r="L1210" s="26" t="s">
        <v>20</v>
      </c>
      <c r="M1210" s="64">
        <v>45226.0</v>
      </c>
      <c r="N1210" s="77" t="str">
        <f t="shared" si="1"/>
        <v>setembro</v>
      </c>
    </row>
    <row r="1211">
      <c r="A1211" s="7" t="s">
        <v>3875</v>
      </c>
      <c r="B1211" s="8">
        <v>45190.234236331016</v>
      </c>
      <c r="C1211" s="7" t="s">
        <v>169</v>
      </c>
      <c r="D1211" s="7">
        <v>5318.0</v>
      </c>
      <c r="E1211" s="25" t="s">
        <v>15</v>
      </c>
      <c r="F1211" s="7" t="s">
        <v>755</v>
      </c>
      <c r="G1211" s="9" t="s">
        <v>3876</v>
      </c>
      <c r="H1211" s="7" t="s">
        <v>18</v>
      </c>
      <c r="I1211" s="7"/>
      <c r="J1211" s="60" t="s">
        <v>3877</v>
      </c>
      <c r="K1211" s="60"/>
      <c r="L1211" s="10" t="s">
        <v>20</v>
      </c>
      <c r="M1211" s="55">
        <v>45253.0</v>
      </c>
      <c r="N1211" s="77" t="str">
        <f t="shared" si="1"/>
        <v>setembro</v>
      </c>
    </row>
    <row r="1212">
      <c r="A1212" s="25" t="s">
        <v>3878</v>
      </c>
      <c r="B1212" s="59">
        <v>45190.36100821759</v>
      </c>
      <c r="C1212" s="25" t="s">
        <v>225</v>
      </c>
      <c r="D1212" s="25">
        <v>5365.0</v>
      </c>
      <c r="E1212" s="20" t="s">
        <v>226</v>
      </c>
      <c r="F1212" s="25" t="s">
        <v>61</v>
      </c>
      <c r="G1212" s="25" t="s">
        <v>227</v>
      </c>
      <c r="H1212" s="25" t="s">
        <v>1734</v>
      </c>
      <c r="I1212" s="25"/>
      <c r="J1212" s="25" t="s">
        <v>3879</v>
      </c>
      <c r="K1212" s="25"/>
      <c r="L1212" s="26" t="s">
        <v>20</v>
      </c>
      <c r="M1212" s="64">
        <v>45201.0</v>
      </c>
      <c r="N1212" s="77" t="str">
        <f t="shared" si="1"/>
        <v>setembro</v>
      </c>
    </row>
    <row r="1213">
      <c r="A1213" s="25" t="s">
        <v>3880</v>
      </c>
      <c r="B1213" s="59">
        <v>45190.364681747684</v>
      </c>
      <c r="C1213" s="25" t="s">
        <v>3665</v>
      </c>
      <c r="D1213" s="25">
        <v>5340.0</v>
      </c>
      <c r="E1213" s="25" t="s">
        <v>70</v>
      </c>
      <c r="F1213" s="25" t="s">
        <v>3881</v>
      </c>
      <c r="G1213" s="25" t="s">
        <v>3882</v>
      </c>
      <c r="H1213" s="25" t="s">
        <v>1734</v>
      </c>
      <c r="I1213" s="25"/>
      <c r="J1213" s="25" t="s">
        <v>3883</v>
      </c>
      <c r="K1213" s="25"/>
      <c r="L1213" s="26" t="s">
        <v>74</v>
      </c>
      <c r="M1213" s="64">
        <v>45190.0</v>
      </c>
      <c r="N1213" s="77" t="str">
        <f t="shared" si="1"/>
        <v>setembro</v>
      </c>
    </row>
    <row r="1214">
      <c r="A1214" s="25" t="s">
        <v>3884</v>
      </c>
      <c r="B1214" s="59">
        <v>45190.36672996527</v>
      </c>
      <c r="C1214" s="25" t="s">
        <v>3665</v>
      </c>
      <c r="D1214" s="25">
        <v>5340.0</v>
      </c>
      <c r="E1214" s="25" t="s">
        <v>70</v>
      </c>
      <c r="F1214" s="25" t="s">
        <v>3759</v>
      </c>
      <c r="G1214" s="25" t="s">
        <v>3885</v>
      </c>
      <c r="H1214" s="25" t="s">
        <v>1734</v>
      </c>
      <c r="I1214" s="25"/>
      <c r="J1214" s="25" t="s">
        <v>3886</v>
      </c>
      <c r="K1214" s="25"/>
      <c r="L1214" s="26" t="s">
        <v>20</v>
      </c>
      <c r="M1214" s="64">
        <v>45194.0</v>
      </c>
      <c r="N1214" s="77" t="str">
        <f t="shared" si="1"/>
        <v>setembro</v>
      </c>
    </row>
    <row r="1215">
      <c r="A1215" s="7" t="s">
        <v>3887</v>
      </c>
      <c r="B1215" s="8">
        <v>45190.69285576389</v>
      </c>
      <c r="C1215" s="7" t="s">
        <v>3857</v>
      </c>
      <c r="D1215" s="7">
        <v>5323.0</v>
      </c>
      <c r="E1215" s="7" t="s">
        <v>246</v>
      </c>
      <c r="F1215" s="25" t="s">
        <v>61</v>
      </c>
      <c r="G1215" s="9">
        <v>313.0</v>
      </c>
      <c r="H1215" s="7" t="s">
        <v>3444</v>
      </c>
      <c r="I1215" s="7"/>
      <c r="J1215" s="60" t="s">
        <v>3888</v>
      </c>
      <c r="K1215" s="60"/>
      <c r="L1215" s="10" t="s">
        <v>20</v>
      </c>
      <c r="M1215" s="55">
        <v>45251.0</v>
      </c>
      <c r="N1215" s="77" t="str">
        <f t="shared" si="1"/>
        <v>setembro</v>
      </c>
    </row>
    <row r="1216">
      <c r="A1216" s="7" t="s">
        <v>3889</v>
      </c>
      <c r="B1216" s="8">
        <v>45190.69738545139</v>
      </c>
      <c r="C1216" s="7" t="s">
        <v>3857</v>
      </c>
      <c r="D1216" s="7">
        <v>5323.0</v>
      </c>
      <c r="E1216" s="7" t="s">
        <v>246</v>
      </c>
      <c r="F1216" s="7" t="s">
        <v>178</v>
      </c>
      <c r="G1216" s="9" t="s">
        <v>3890</v>
      </c>
      <c r="H1216" s="7" t="s">
        <v>764</v>
      </c>
      <c r="I1216" s="7"/>
      <c r="J1216" s="60" t="s">
        <v>3891</v>
      </c>
      <c r="K1216" s="60"/>
      <c r="L1216" s="10" t="s">
        <v>20</v>
      </c>
      <c r="M1216" s="55">
        <v>45238.0</v>
      </c>
      <c r="N1216" s="77" t="str">
        <f t="shared" si="1"/>
        <v>setembro</v>
      </c>
    </row>
    <row r="1217">
      <c r="A1217" s="25" t="s">
        <v>3892</v>
      </c>
      <c r="B1217" s="59">
        <v>45191.61026945602</v>
      </c>
      <c r="C1217" s="25" t="s">
        <v>194</v>
      </c>
      <c r="D1217" s="25">
        <v>3.4417601E7</v>
      </c>
      <c r="E1217" s="25" t="s">
        <v>195</v>
      </c>
      <c r="F1217" s="25" t="s">
        <v>755</v>
      </c>
      <c r="G1217" s="25" t="s">
        <v>3893</v>
      </c>
      <c r="H1217" s="25" t="s">
        <v>1734</v>
      </c>
      <c r="I1217" s="25"/>
      <c r="J1217" s="25" t="s">
        <v>3894</v>
      </c>
      <c r="K1217" s="25"/>
      <c r="L1217" s="26" t="s">
        <v>20</v>
      </c>
      <c r="M1217" s="64">
        <v>45195.0</v>
      </c>
      <c r="N1217" s="77" t="str">
        <f t="shared" si="1"/>
        <v>setembro</v>
      </c>
    </row>
    <row r="1218">
      <c r="A1218" s="25" t="s">
        <v>3895</v>
      </c>
      <c r="B1218" s="59">
        <v>45193.72430028935</v>
      </c>
      <c r="C1218" s="25" t="s">
        <v>553</v>
      </c>
      <c r="D1218" s="25">
        <v>5318.0</v>
      </c>
      <c r="E1218" s="25" t="s">
        <v>15</v>
      </c>
      <c r="F1218" s="25" t="s">
        <v>86</v>
      </c>
      <c r="G1218" s="25" t="s">
        <v>3896</v>
      </c>
      <c r="H1218" s="25" t="s">
        <v>18</v>
      </c>
      <c r="I1218" s="25"/>
      <c r="J1218" s="25" t="s">
        <v>3897</v>
      </c>
      <c r="K1218" s="25"/>
      <c r="L1218" s="26" t="s">
        <v>20</v>
      </c>
      <c r="M1218" s="64">
        <v>45194.0</v>
      </c>
      <c r="N1218" s="77" t="str">
        <f t="shared" si="1"/>
        <v>setembro</v>
      </c>
    </row>
    <row r="1219">
      <c r="A1219" s="25" t="s">
        <v>3898</v>
      </c>
      <c r="B1219" s="59">
        <v>45194.47860091436</v>
      </c>
      <c r="C1219" s="25" t="s">
        <v>1272</v>
      </c>
      <c r="D1219" s="25">
        <v>5360.0</v>
      </c>
      <c r="E1219" s="25" t="s">
        <v>371</v>
      </c>
      <c r="F1219" s="25" t="s">
        <v>49</v>
      </c>
      <c r="G1219" s="25" t="s">
        <v>3899</v>
      </c>
      <c r="H1219" s="25" t="s">
        <v>1734</v>
      </c>
      <c r="I1219" s="25"/>
      <c r="J1219" s="25" t="s">
        <v>3900</v>
      </c>
      <c r="K1219" s="25"/>
      <c r="L1219" s="26" t="s">
        <v>20</v>
      </c>
      <c r="M1219" s="64">
        <v>45201.0</v>
      </c>
      <c r="N1219" s="77" t="str">
        <f t="shared" si="1"/>
        <v>setembro</v>
      </c>
    </row>
    <row r="1220">
      <c r="A1220" s="25" t="s">
        <v>3901</v>
      </c>
      <c r="B1220" s="59">
        <v>45194.63017773148</v>
      </c>
      <c r="C1220" s="25" t="s">
        <v>3902</v>
      </c>
      <c r="D1220" s="25">
        <v>5325.0</v>
      </c>
      <c r="E1220" s="25" t="s">
        <v>853</v>
      </c>
      <c r="F1220" s="25" t="s">
        <v>3903</v>
      </c>
      <c r="G1220" s="25" t="s">
        <v>3904</v>
      </c>
      <c r="H1220" s="25" t="s">
        <v>1734</v>
      </c>
      <c r="I1220" s="25"/>
      <c r="J1220" s="25" t="s">
        <v>3905</v>
      </c>
      <c r="K1220" s="25"/>
      <c r="L1220" s="26" t="s">
        <v>20</v>
      </c>
      <c r="M1220" s="64">
        <v>45195.0</v>
      </c>
      <c r="N1220" s="77" t="str">
        <f t="shared" si="1"/>
        <v>setembro</v>
      </c>
    </row>
    <row r="1221">
      <c r="A1221" s="7" t="s">
        <v>3906</v>
      </c>
      <c r="B1221" s="8">
        <v>45194.66388284722</v>
      </c>
      <c r="C1221" s="7" t="s">
        <v>194</v>
      </c>
      <c r="D1221" s="7" t="s">
        <v>740</v>
      </c>
      <c r="E1221" s="25" t="s">
        <v>195</v>
      </c>
      <c r="F1221" s="7" t="s">
        <v>1291</v>
      </c>
      <c r="G1221" s="9" t="s">
        <v>3907</v>
      </c>
      <c r="H1221" s="7" t="s">
        <v>1734</v>
      </c>
      <c r="I1221" s="7"/>
      <c r="J1221" s="60" t="s">
        <v>3908</v>
      </c>
      <c r="K1221" s="60"/>
      <c r="L1221" s="10" t="s">
        <v>20</v>
      </c>
      <c r="M1221" s="55">
        <v>45279.0</v>
      </c>
      <c r="N1221" s="77" t="str">
        <f t="shared" si="1"/>
        <v>setembro</v>
      </c>
    </row>
    <row r="1222">
      <c r="A1222" s="25" t="s">
        <v>3909</v>
      </c>
      <c r="B1222" s="59">
        <v>45194.83192189815</v>
      </c>
      <c r="C1222" s="25" t="s">
        <v>522</v>
      </c>
      <c r="D1222" s="25">
        <v>5333.0</v>
      </c>
      <c r="E1222" s="25" t="s">
        <v>41</v>
      </c>
      <c r="F1222" s="25" t="s">
        <v>42</v>
      </c>
      <c r="G1222" s="25" t="s">
        <v>584</v>
      </c>
      <c r="H1222" s="25" t="s">
        <v>1734</v>
      </c>
      <c r="I1222" s="25"/>
      <c r="J1222" s="25" t="s">
        <v>3910</v>
      </c>
      <c r="K1222" s="25"/>
      <c r="L1222" s="26" t="s">
        <v>20</v>
      </c>
      <c r="M1222" s="64">
        <v>45217.0</v>
      </c>
      <c r="N1222" s="77" t="str">
        <f t="shared" si="1"/>
        <v>setembro</v>
      </c>
    </row>
    <row r="1223">
      <c r="A1223" s="25" t="s">
        <v>3911</v>
      </c>
      <c r="B1223" s="59">
        <v>45195.45195928241</v>
      </c>
      <c r="C1223" s="25" t="s">
        <v>3665</v>
      </c>
      <c r="D1223" s="25">
        <v>5340.0</v>
      </c>
      <c r="E1223" s="25" t="s">
        <v>70</v>
      </c>
      <c r="F1223" s="25" t="s">
        <v>61</v>
      </c>
      <c r="G1223" s="25" t="s">
        <v>3912</v>
      </c>
      <c r="H1223" s="25" t="s">
        <v>1734</v>
      </c>
      <c r="I1223" s="25"/>
      <c r="J1223" s="25" t="s">
        <v>3913</v>
      </c>
      <c r="K1223" s="25"/>
      <c r="L1223" s="26" t="s">
        <v>74</v>
      </c>
      <c r="M1223" s="64">
        <v>45195.0</v>
      </c>
      <c r="N1223" s="77" t="str">
        <f t="shared" si="1"/>
        <v>setembro</v>
      </c>
    </row>
    <row r="1224">
      <c r="A1224" s="25" t="s">
        <v>3914</v>
      </c>
      <c r="B1224" s="59">
        <v>45195.57696305556</v>
      </c>
      <c r="C1224" s="25" t="s">
        <v>292</v>
      </c>
      <c r="D1224" s="25">
        <v>5356.0</v>
      </c>
      <c r="E1224" s="25" t="s">
        <v>1097</v>
      </c>
      <c r="F1224" s="25" t="s">
        <v>2882</v>
      </c>
      <c r="G1224" s="25">
        <v>2.0</v>
      </c>
      <c r="H1224" s="25" t="s">
        <v>1734</v>
      </c>
      <c r="I1224" s="25"/>
      <c r="J1224" s="25" t="s">
        <v>3915</v>
      </c>
      <c r="K1224" s="25"/>
      <c r="L1224" s="26" t="s">
        <v>74</v>
      </c>
      <c r="M1224" s="64">
        <v>45196.0</v>
      </c>
      <c r="N1224" s="77" t="str">
        <f t="shared" si="1"/>
        <v>setembro</v>
      </c>
    </row>
    <row r="1225">
      <c r="A1225" s="25" t="s">
        <v>3916</v>
      </c>
      <c r="B1225" s="59">
        <v>45196.246031504634</v>
      </c>
      <c r="C1225" s="25" t="s">
        <v>169</v>
      </c>
      <c r="D1225" s="25">
        <v>5318.0</v>
      </c>
      <c r="E1225" s="25" t="s">
        <v>15</v>
      </c>
      <c r="F1225" s="25" t="s">
        <v>86</v>
      </c>
      <c r="G1225" s="25" t="s">
        <v>3390</v>
      </c>
      <c r="H1225" s="25" t="s">
        <v>18</v>
      </c>
      <c r="I1225" s="25"/>
      <c r="J1225" s="25" t="s">
        <v>3917</v>
      </c>
      <c r="K1225" s="25"/>
      <c r="L1225" s="26" t="s">
        <v>20</v>
      </c>
      <c r="M1225" s="64">
        <v>45201.0</v>
      </c>
      <c r="N1225" s="77" t="str">
        <f t="shared" si="1"/>
        <v>setembro</v>
      </c>
    </row>
    <row r="1226">
      <c r="A1226" s="25" t="s">
        <v>3918</v>
      </c>
      <c r="B1226" s="59">
        <v>45196.38974596065</v>
      </c>
      <c r="C1226" s="25" t="s">
        <v>40</v>
      </c>
      <c r="D1226" s="25" t="s">
        <v>3919</v>
      </c>
      <c r="E1226" s="25" t="s">
        <v>70</v>
      </c>
      <c r="F1226" s="25" t="s">
        <v>42</v>
      </c>
      <c r="G1226" s="25" t="s">
        <v>3920</v>
      </c>
      <c r="H1226" s="25" t="s">
        <v>129</v>
      </c>
      <c r="I1226" s="25"/>
      <c r="J1226" s="25" t="s">
        <v>3921</v>
      </c>
      <c r="K1226" s="25"/>
      <c r="L1226" s="26" t="s">
        <v>20</v>
      </c>
      <c r="M1226" s="64">
        <v>45217.0</v>
      </c>
      <c r="N1226" s="77" t="str">
        <f t="shared" si="1"/>
        <v>setembro</v>
      </c>
    </row>
    <row r="1227">
      <c r="A1227" s="25" t="s">
        <v>3922</v>
      </c>
      <c r="B1227" s="59">
        <v>45196.475146365745</v>
      </c>
      <c r="C1227" s="25" t="s">
        <v>3923</v>
      </c>
      <c r="D1227" s="25" t="s">
        <v>3924</v>
      </c>
      <c r="E1227" s="25" t="s">
        <v>187</v>
      </c>
      <c r="F1227" s="25" t="s">
        <v>188</v>
      </c>
      <c r="G1227" s="25" t="s">
        <v>3925</v>
      </c>
      <c r="H1227" s="25" t="s">
        <v>1734</v>
      </c>
      <c r="I1227" s="25"/>
      <c r="J1227" s="25" t="s">
        <v>3926</v>
      </c>
      <c r="K1227" s="25"/>
      <c r="L1227" s="26" t="s">
        <v>20</v>
      </c>
      <c r="M1227" s="64">
        <v>45201.0</v>
      </c>
      <c r="N1227" s="77" t="str">
        <f t="shared" si="1"/>
        <v>setembro</v>
      </c>
    </row>
    <row r="1228">
      <c r="A1228" s="25" t="s">
        <v>3927</v>
      </c>
      <c r="B1228" s="59">
        <v>45196.58665887731</v>
      </c>
      <c r="C1228" s="25" t="s">
        <v>3387</v>
      </c>
      <c r="D1228" s="25">
        <v>5340.0</v>
      </c>
      <c r="E1228" s="25" t="s">
        <v>70</v>
      </c>
      <c r="F1228" s="25" t="s">
        <v>86</v>
      </c>
      <c r="G1228" s="25" t="s">
        <v>3928</v>
      </c>
      <c r="H1228" s="25" t="s">
        <v>129</v>
      </c>
      <c r="I1228" s="25"/>
      <c r="J1228" s="25" t="s">
        <v>3929</v>
      </c>
      <c r="K1228" s="25"/>
      <c r="L1228" s="26" t="s">
        <v>20</v>
      </c>
      <c r="M1228" s="64">
        <v>45201.0</v>
      </c>
      <c r="N1228" s="77" t="str">
        <f t="shared" si="1"/>
        <v>setembro</v>
      </c>
    </row>
    <row r="1229">
      <c r="A1229" s="25" t="s">
        <v>3930</v>
      </c>
      <c r="B1229" s="59">
        <v>45196.58716930555</v>
      </c>
      <c r="C1229" s="25" t="s">
        <v>3931</v>
      </c>
      <c r="D1229" s="25">
        <v>7609.0</v>
      </c>
      <c r="E1229" s="25" t="s">
        <v>2311</v>
      </c>
      <c r="F1229" s="25" t="s">
        <v>313</v>
      </c>
      <c r="G1229" s="25" t="s">
        <v>2992</v>
      </c>
      <c r="H1229" s="25" t="s">
        <v>129</v>
      </c>
      <c r="I1229" s="25"/>
      <c r="J1229" s="25" t="s">
        <v>3932</v>
      </c>
      <c r="K1229" s="25"/>
      <c r="L1229" s="26" t="s">
        <v>20</v>
      </c>
      <c r="M1229" s="64">
        <v>45201.0</v>
      </c>
      <c r="N1229" s="77" t="str">
        <f t="shared" si="1"/>
        <v>setembro</v>
      </c>
    </row>
    <row r="1230">
      <c r="A1230" s="25" t="s">
        <v>3933</v>
      </c>
      <c r="B1230" s="59">
        <v>45196.61858545139</v>
      </c>
      <c r="C1230" s="25" t="s">
        <v>260</v>
      </c>
      <c r="D1230" s="25">
        <v>3.4415337E7</v>
      </c>
      <c r="E1230" s="25" t="s">
        <v>262</v>
      </c>
      <c r="F1230" s="25" t="s">
        <v>3934</v>
      </c>
      <c r="G1230" s="25" t="s">
        <v>3935</v>
      </c>
      <c r="H1230" s="25" t="s">
        <v>1734</v>
      </c>
      <c r="I1230" s="25"/>
      <c r="J1230" s="25" t="s">
        <v>3936</v>
      </c>
      <c r="K1230" s="25"/>
      <c r="L1230" s="26" t="s">
        <v>20</v>
      </c>
      <c r="M1230" s="64">
        <v>45205.0</v>
      </c>
      <c r="N1230" s="77" t="str">
        <f t="shared" si="1"/>
        <v>setembro</v>
      </c>
    </row>
    <row r="1231">
      <c r="A1231" s="25" t="s">
        <v>3937</v>
      </c>
      <c r="B1231" s="59">
        <v>45196.62468331019</v>
      </c>
      <c r="C1231" s="25" t="s">
        <v>3938</v>
      </c>
      <c r="D1231" s="25">
        <v>3.4415349E7</v>
      </c>
      <c r="E1231" s="25" t="s">
        <v>60</v>
      </c>
      <c r="F1231" s="25" t="s">
        <v>61</v>
      </c>
      <c r="G1231" s="25" t="s">
        <v>3939</v>
      </c>
      <c r="H1231" s="25" t="s">
        <v>79</v>
      </c>
      <c r="I1231" s="25"/>
      <c r="J1231" s="25" t="s">
        <v>3940</v>
      </c>
      <c r="K1231" s="25"/>
      <c r="L1231" s="26" t="s">
        <v>20</v>
      </c>
      <c r="M1231" s="64">
        <v>45197.0</v>
      </c>
      <c r="N1231" s="77" t="str">
        <f t="shared" si="1"/>
        <v>setembro</v>
      </c>
    </row>
    <row r="1232">
      <c r="A1232" s="25" t="s">
        <v>3941</v>
      </c>
      <c r="B1232" s="59">
        <v>45196.70422858796</v>
      </c>
      <c r="C1232" s="25" t="s">
        <v>1422</v>
      </c>
      <c r="D1232" s="25">
        <v>5359.0</v>
      </c>
      <c r="E1232" s="25" t="s">
        <v>423</v>
      </c>
      <c r="F1232" s="25" t="s">
        <v>82</v>
      </c>
      <c r="G1232" s="25">
        <v>18.0</v>
      </c>
      <c r="H1232" s="25" t="s">
        <v>1734</v>
      </c>
      <c r="I1232" s="25"/>
      <c r="J1232" s="25" t="s">
        <v>3942</v>
      </c>
      <c r="K1232" s="25"/>
      <c r="L1232" s="26" t="s">
        <v>20</v>
      </c>
      <c r="M1232" s="64">
        <v>45197.0</v>
      </c>
      <c r="N1232" s="77" t="str">
        <f t="shared" si="1"/>
        <v>setembro</v>
      </c>
    </row>
    <row r="1233">
      <c r="A1233" s="7" t="s">
        <v>3943</v>
      </c>
      <c r="B1233" s="8">
        <v>45196.70663148148</v>
      </c>
      <c r="C1233" s="7" t="s">
        <v>1422</v>
      </c>
      <c r="D1233" s="7">
        <v>5359.0</v>
      </c>
      <c r="E1233" s="7" t="s">
        <v>423</v>
      </c>
      <c r="F1233" s="25" t="s">
        <v>82</v>
      </c>
      <c r="G1233" s="9" t="s">
        <v>3944</v>
      </c>
      <c r="H1233" s="7" t="s">
        <v>162</v>
      </c>
      <c r="I1233" s="7"/>
      <c r="J1233" s="60" t="s">
        <v>3945</v>
      </c>
      <c r="K1233" s="54"/>
      <c r="L1233" s="91" t="s">
        <v>20</v>
      </c>
      <c r="M1233" s="55">
        <v>45302.0</v>
      </c>
      <c r="N1233" s="77" t="str">
        <f t="shared" si="1"/>
        <v>setembro</v>
      </c>
    </row>
    <row r="1234">
      <c r="A1234" s="25" t="s">
        <v>3946</v>
      </c>
      <c r="B1234" s="59">
        <v>45197.33861556713</v>
      </c>
      <c r="C1234" s="25" t="s">
        <v>2805</v>
      </c>
      <c r="D1234" s="25">
        <v>5398.0</v>
      </c>
      <c r="E1234" s="25" t="s">
        <v>540</v>
      </c>
      <c r="F1234" s="25" t="s">
        <v>82</v>
      </c>
      <c r="G1234" s="25" t="s">
        <v>3947</v>
      </c>
      <c r="H1234" s="25" t="s">
        <v>764</v>
      </c>
      <c r="I1234" s="25"/>
      <c r="J1234" s="25" t="s">
        <v>3948</v>
      </c>
      <c r="K1234" s="25"/>
      <c r="L1234" s="26" t="s">
        <v>20</v>
      </c>
      <c r="M1234" s="64">
        <v>45197.0</v>
      </c>
      <c r="N1234" s="77" t="str">
        <f t="shared" si="1"/>
        <v>setembro</v>
      </c>
    </row>
    <row r="1235">
      <c r="A1235" s="25" t="s">
        <v>3949</v>
      </c>
      <c r="B1235" s="59">
        <v>45197.379997233795</v>
      </c>
      <c r="C1235" s="25" t="s">
        <v>2369</v>
      </c>
      <c r="D1235" s="25">
        <v>5335.0</v>
      </c>
      <c r="E1235" s="25" t="s">
        <v>674</v>
      </c>
      <c r="F1235" s="25" t="s">
        <v>82</v>
      </c>
      <c r="G1235" s="25" t="s">
        <v>3950</v>
      </c>
      <c r="H1235" s="25" t="s">
        <v>3444</v>
      </c>
      <c r="I1235" s="25"/>
      <c r="J1235" s="25" t="s">
        <v>3951</v>
      </c>
      <c r="K1235" s="25"/>
      <c r="L1235" s="26" t="s">
        <v>20</v>
      </c>
      <c r="M1235" s="64">
        <v>45218.0</v>
      </c>
      <c r="N1235" s="77" t="str">
        <f t="shared" si="1"/>
        <v>setembro</v>
      </c>
    </row>
    <row r="1236">
      <c r="A1236" s="25" t="s">
        <v>3952</v>
      </c>
      <c r="B1236" s="59">
        <v>45197.402083587964</v>
      </c>
      <c r="C1236" s="25" t="s">
        <v>3665</v>
      </c>
      <c r="D1236" s="25">
        <v>5340.0</v>
      </c>
      <c r="E1236" s="25" t="s">
        <v>70</v>
      </c>
      <c r="F1236" s="25" t="s">
        <v>3672</v>
      </c>
      <c r="G1236" s="25" t="s">
        <v>3953</v>
      </c>
      <c r="H1236" s="25" t="s">
        <v>129</v>
      </c>
      <c r="I1236" s="25"/>
      <c r="J1236" s="25" t="s">
        <v>3954</v>
      </c>
      <c r="K1236" s="25"/>
      <c r="L1236" s="26" t="s">
        <v>20</v>
      </c>
      <c r="M1236" s="64">
        <v>45201.0</v>
      </c>
      <c r="N1236" s="77" t="str">
        <f t="shared" si="1"/>
        <v>setembro</v>
      </c>
    </row>
    <row r="1237">
      <c r="A1237" s="25" t="s">
        <v>3955</v>
      </c>
      <c r="B1237" s="59">
        <v>45197.416793993056</v>
      </c>
      <c r="C1237" s="25" t="s">
        <v>194</v>
      </c>
      <c r="D1237" s="25">
        <v>3.4417601E7</v>
      </c>
      <c r="E1237" s="25" t="s">
        <v>195</v>
      </c>
      <c r="F1237" s="25" t="s">
        <v>3956</v>
      </c>
      <c r="G1237" s="25" t="s">
        <v>3957</v>
      </c>
      <c r="H1237" s="25" t="s">
        <v>764</v>
      </c>
      <c r="I1237" s="25"/>
      <c r="J1237" s="25" t="s">
        <v>3958</v>
      </c>
      <c r="K1237" s="25"/>
      <c r="L1237" s="26" t="s">
        <v>20</v>
      </c>
      <c r="M1237" s="64">
        <v>45201.0</v>
      </c>
      <c r="N1237" s="77" t="str">
        <f t="shared" si="1"/>
        <v>setembro</v>
      </c>
    </row>
    <row r="1238">
      <c r="A1238" s="25" t="s">
        <v>3959</v>
      </c>
      <c r="B1238" s="59">
        <v>45197.52590869213</v>
      </c>
      <c r="C1238" s="25" t="s">
        <v>3960</v>
      </c>
      <c r="D1238" s="25">
        <v>3.4415349E7</v>
      </c>
      <c r="E1238" s="25" t="s">
        <v>60</v>
      </c>
      <c r="F1238" s="25" t="s">
        <v>61</v>
      </c>
      <c r="G1238" s="25" t="s">
        <v>3961</v>
      </c>
      <c r="H1238" s="25" t="s">
        <v>764</v>
      </c>
      <c r="I1238" s="25"/>
      <c r="J1238" s="25" t="s">
        <v>3962</v>
      </c>
      <c r="K1238" s="25"/>
      <c r="L1238" s="26" t="s">
        <v>74</v>
      </c>
      <c r="M1238" s="64">
        <v>45201.0</v>
      </c>
      <c r="N1238" s="77" t="str">
        <f t="shared" si="1"/>
        <v>setembro</v>
      </c>
    </row>
    <row r="1239">
      <c r="A1239" s="25" t="s">
        <v>3963</v>
      </c>
      <c r="B1239" s="59">
        <v>45197.0</v>
      </c>
      <c r="C1239" s="25" t="s">
        <v>3964</v>
      </c>
      <c r="D1239" s="25" t="s">
        <v>3965</v>
      </c>
      <c r="E1239" s="25" t="s">
        <v>34</v>
      </c>
      <c r="F1239" s="25" t="s">
        <v>61</v>
      </c>
      <c r="G1239" s="25" t="s">
        <v>3966</v>
      </c>
      <c r="H1239" s="25" t="s">
        <v>30</v>
      </c>
      <c r="I1239" s="25"/>
      <c r="J1239" s="25" t="s">
        <v>3967</v>
      </c>
      <c r="K1239" s="25"/>
      <c r="L1239" s="26" t="s">
        <v>74</v>
      </c>
      <c r="M1239" s="64">
        <v>45216.0</v>
      </c>
      <c r="N1239" s="77" t="str">
        <f t="shared" si="1"/>
        <v>setembro</v>
      </c>
    </row>
    <row r="1240">
      <c r="A1240" s="25" t="s">
        <v>3968</v>
      </c>
      <c r="B1240" s="59">
        <v>45197.572845891205</v>
      </c>
      <c r="C1240" s="25" t="s">
        <v>215</v>
      </c>
      <c r="D1240" s="25">
        <v>5333.0</v>
      </c>
      <c r="E1240" s="25" t="s">
        <v>41</v>
      </c>
      <c r="F1240" s="25" t="s">
        <v>42</v>
      </c>
      <c r="G1240" s="25" t="s">
        <v>873</v>
      </c>
      <c r="H1240" s="25" t="s">
        <v>1734</v>
      </c>
      <c r="I1240" s="25"/>
      <c r="J1240" s="25" t="s">
        <v>3969</v>
      </c>
      <c r="K1240" s="25"/>
      <c r="L1240" s="26" t="s">
        <v>20</v>
      </c>
      <c r="M1240" s="64">
        <v>45217.0</v>
      </c>
      <c r="N1240" s="77" t="str">
        <f t="shared" si="1"/>
        <v>setembro</v>
      </c>
    </row>
    <row r="1241">
      <c r="A1241" s="7" t="s">
        <v>3970</v>
      </c>
      <c r="B1241" s="8">
        <v>45197.701452905094</v>
      </c>
      <c r="C1241" s="7" t="s">
        <v>3960</v>
      </c>
      <c r="D1241" s="7">
        <v>5349.0</v>
      </c>
      <c r="E1241" s="25" t="s">
        <v>60</v>
      </c>
      <c r="F1241" s="25" t="s">
        <v>61</v>
      </c>
      <c r="G1241" s="9" t="s">
        <v>598</v>
      </c>
      <c r="H1241" s="7" t="s">
        <v>764</v>
      </c>
      <c r="I1241" s="7"/>
      <c r="J1241" s="60" t="s">
        <v>3971</v>
      </c>
      <c r="K1241" s="54"/>
      <c r="L1241" s="91" t="s">
        <v>3972</v>
      </c>
      <c r="M1241" s="43"/>
      <c r="N1241" s="77" t="str">
        <f t="shared" si="1"/>
        <v>setembro</v>
      </c>
    </row>
    <row r="1242">
      <c r="A1242" s="25" t="s">
        <v>3973</v>
      </c>
      <c r="B1242" s="59">
        <v>45201.324101562495</v>
      </c>
      <c r="C1242" s="25" t="s">
        <v>512</v>
      </c>
      <c r="D1242" s="25">
        <v>5340.0</v>
      </c>
      <c r="E1242" s="25" t="s">
        <v>70</v>
      </c>
      <c r="F1242" s="25" t="s">
        <v>82</v>
      </c>
      <c r="G1242" s="25" t="s">
        <v>3974</v>
      </c>
      <c r="H1242" s="25" t="s">
        <v>1734</v>
      </c>
      <c r="I1242" s="25"/>
      <c r="J1242" s="25" t="s">
        <v>3975</v>
      </c>
      <c r="K1242" s="25"/>
      <c r="L1242" s="26" t="s">
        <v>20</v>
      </c>
      <c r="M1242" s="64">
        <v>45201.0</v>
      </c>
      <c r="N1242" s="77" t="str">
        <f t="shared" si="1"/>
        <v>outubro</v>
      </c>
    </row>
    <row r="1243">
      <c r="A1243" s="25" t="s">
        <v>3976</v>
      </c>
      <c r="B1243" s="59">
        <v>45201.44356407407</v>
      </c>
      <c r="C1243" s="25" t="s">
        <v>512</v>
      </c>
      <c r="D1243" s="25">
        <v>5340.0</v>
      </c>
      <c r="E1243" s="25" t="s">
        <v>70</v>
      </c>
      <c r="F1243" s="25" t="s">
        <v>3977</v>
      </c>
      <c r="G1243" s="25" t="s">
        <v>3978</v>
      </c>
      <c r="H1243" s="25" t="s">
        <v>129</v>
      </c>
      <c r="I1243" s="25"/>
      <c r="J1243" s="25" t="s">
        <v>3979</v>
      </c>
      <c r="K1243" s="25"/>
      <c r="L1243" s="26" t="s">
        <v>20</v>
      </c>
      <c r="M1243" s="64">
        <v>45203.0</v>
      </c>
      <c r="N1243" s="77" t="str">
        <f t="shared" si="1"/>
        <v>outubro</v>
      </c>
    </row>
    <row r="1244">
      <c r="A1244" s="25" t="s">
        <v>3980</v>
      </c>
      <c r="B1244" s="59">
        <v>45201.572590613425</v>
      </c>
      <c r="C1244" s="25" t="s">
        <v>2870</v>
      </c>
      <c r="D1244" s="25" t="s">
        <v>3981</v>
      </c>
      <c r="E1244" s="25" t="s">
        <v>116</v>
      </c>
      <c r="F1244" s="25" t="s">
        <v>3982</v>
      </c>
      <c r="G1244" s="25" t="s">
        <v>3983</v>
      </c>
      <c r="H1244" s="25" t="s">
        <v>79</v>
      </c>
      <c r="I1244" s="25"/>
      <c r="J1244" s="25" t="s">
        <v>3984</v>
      </c>
      <c r="K1244" s="25"/>
      <c r="L1244" s="26" t="s">
        <v>20</v>
      </c>
      <c r="M1244" s="64">
        <v>45201.0</v>
      </c>
      <c r="N1244" s="77" t="str">
        <f t="shared" si="1"/>
        <v>outubro</v>
      </c>
    </row>
    <row r="1245">
      <c r="A1245" s="25" t="s">
        <v>3985</v>
      </c>
      <c r="B1245" s="59">
        <v>45201.60131578703</v>
      </c>
      <c r="C1245" s="25" t="s">
        <v>3986</v>
      </c>
      <c r="D1245" s="25">
        <v>3.4999071369E10</v>
      </c>
      <c r="E1245" s="20" t="s">
        <v>308</v>
      </c>
      <c r="F1245" s="25" t="s">
        <v>783</v>
      </c>
      <c r="G1245" s="25">
        <v>151.0</v>
      </c>
      <c r="H1245" s="25" t="s">
        <v>18</v>
      </c>
      <c r="I1245" s="25"/>
      <c r="J1245" s="25" t="s">
        <v>3987</v>
      </c>
      <c r="K1245" s="25"/>
      <c r="L1245" s="26" t="s">
        <v>20</v>
      </c>
      <c r="M1245" s="64">
        <v>45215.0</v>
      </c>
      <c r="N1245" s="77" t="str">
        <f t="shared" si="1"/>
        <v>outubro</v>
      </c>
    </row>
    <row r="1246">
      <c r="A1246" s="25" t="s">
        <v>3988</v>
      </c>
      <c r="B1246" s="59">
        <v>45201.642688113425</v>
      </c>
      <c r="C1246" s="25" t="s">
        <v>3989</v>
      </c>
      <c r="D1246" s="25">
        <v>6.2982410124E10</v>
      </c>
      <c r="E1246" s="25" t="s">
        <v>621</v>
      </c>
      <c r="F1246" s="25" t="s">
        <v>86</v>
      </c>
      <c r="G1246" s="25" t="s">
        <v>3990</v>
      </c>
      <c r="H1246" s="25" t="s">
        <v>79</v>
      </c>
      <c r="I1246" s="25"/>
      <c r="J1246" s="25" t="s">
        <v>3991</v>
      </c>
      <c r="K1246" s="25"/>
      <c r="L1246" s="26" t="s">
        <v>20</v>
      </c>
      <c r="M1246" s="64">
        <v>45201.0</v>
      </c>
      <c r="N1246" s="77" t="str">
        <f t="shared" si="1"/>
        <v>outubro</v>
      </c>
    </row>
    <row r="1247">
      <c r="A1247" s="7" t="s">
        <v>3992</v>
      </c>
      <c r="B1247" s="8">
        <v>45202.37300112269</v>
      </c>
      <c r="C1247" s="7" t="s">
        <v>3665</v>
      </c>
      <c r="D1247" s="7">
        <v>5340.0</v>
      </c>
      <c r="E1247" s="25" t="s">
        <v>70</v>
      </c>
      <c r="F1247" s="25" t="s">
        <v>82</v>
      </c>
      <c r="G1247" s="9" t="s">
        <v>3993</v>
      </c>
      <c r="H1247" s="7" t="s">
        <v>764</v>
      </c>
      <c r="I1247" s="7"/>
      <c r="J1247" s="60" t="s">
        <v>3994</v>
      </c>
      <c r="K1247" s="7" t="s">
        <v>3995</v>
      </c>
      <c r="L1247" s="91" t="s">
        <v>20</v>
      </c>
      <c r="M1247" s="55">
        <v>45253.0</v>
      </c>
      <c r="N1247" s="77" t="str">
        <f t="shared" si="1"/>
        <v>outubro</v>
      </c>
    </row>
    <row r="1248">
      <c r="A1248" s="25" t="s">
        <v>3996</v>
      </c>
      <c r="B1248" s="59">
        <v>45202.58961650463</v>
      </c>
      <c r="C1248" s="25" t="s">
        <v>346</v>
      </c>
      <c r="D1248" s="25">
        <v>6.4996990617E10</v>
      </c>
      <c r="E1248" s="25" t="s">
        <v>34</v>
      </c>
      <c r="F1248" s="25" t="s">
        <v>347</v>
      </c>
      <c r="G1248" s="25" t="s">
        <v>595</v>
      </c>
      <c r="H1248" s="25" t="s">
        <v>1734</v>
      </c>
      <c r="I1248" s="25"/>
      <c r="J1248" s="25" t="s">
        <v>3997</v>
      </c>
      <c r="K1248" s="25"/>
      <c r="L1248" s="26" t="s">
        <v>20</v>
      </c>
      <c r="M1248" s="64">
        <v>45209.0</v>
      </c>
      <c r="N1248" s="77" t="str">
        <f t="shared" si="1"/>
        <v>outubro</v>
      </c>
    </row>
    <row r="1249">
      <c r="A1249" s="25" t="s">
        <v>3998</v>
      </c>
      <c r="B1249" s="59">
        <v>45202.64936887732</v>
      </c>
      <c r="C1249" s="25" t="s">
        <v>1302</v>
      </c>
      <c r="D1249" s="25">
        <v>5376.0</v>
      </c>
      <c r="E1249" s="25" t="s">
        <v>853</v>
      </c>
      <c r="F1249" s="25" t="s">
        <v>86</v>
      </c>
      <c r="G1249" s="25" t="s">
        <v>3999</v>
      </c>
      <c r="H1249" s="25" t="s">
        <v>79</v>
      </c>
      <c r="I1249" s="25"/>
      <c r="J1249" s="25" t="s">
        <v>4000</v>
      </c>
      <c r="K1249" s="25"/>
      <c r="L1249" s="26" t="s">
        <v>20</v>
      </c>
      <c r="M1249" s="64">
        <v>45204.0</v>
      </c>
      <c r="N1249" s="77" t="str">
        <f t="shared" si="1"/>
        <v>outubro</v>
      </c>
    </row>
    <row r="1250">
      <c r="A1250" s="25" t="s">
        <v>4001</v>
      </c>
      <c r="B1250" s="59">
        <v>45202.65247148148</v>
      </c>
      <c r="C1250" s="25" t="s">
        <v>40</v>
      </c>
      <c r="D1250" s="25">
        <v>5333.0</v>
      </c>
      <c r="E1250" s="25" t="s">
        <v>41</v>
      </c>
      <c r="F1250" s="25" t="s">
        <v>42</v>
      </c>
      <c r="G1250" s="25" t="s">
        <v>1020</v>
      </c>
      <c r="H1250" s="25" t="s">
        <v>79</v>
      </c>
      <c r="I1250" s="25"/>
      <c r="J1250" s="25" t="s">
        <v>4002</v>
      </c>
      <c r="K1250" s="25"/>
      <c r="L1250" s="26" t="s">
        <v>20</v>
      </c>
      <c r="M1250" s="64">
        <v>45217.0</v>
      </c>
      <c r="N1250" s="77" t="str">
        <f t="shared" si="1"/>
        <v>outubro</v>
      </c>
    </row>
    <row r="1251">
      <c r="A1251" s="7" t="s">
        <v>4003</v>
      </c>
      <c r="B1251" s="8">
        <v>45202.65344962963</v>
      </c>
      <c r="C1251" s="7" t="s">
        <v>40</v>
      </c>
      <c r="D1251" s="7">
        <v>5333.0</v>
      </c>
      <c r="E1251" s="7" t="s">
        <v>41</v>
      </c>
      <c r="F1251" s="25" t="s">
        <v>42</v>
      </c>
      <c r="G1251" s="9" t="s">
        <v>3304</v>
      </c>
      <c r="H1251" s="7" t="s">
        <v>79</v>
      </c>
      <c r="I1251" s="7"/>
      <c r="J1251" s="60" t="s">
        <v>4004</v>
      </c>
      <c r="K1251" s="60"/>
      <c r="L1251" s="91" t="s">
        <v>20</v>
      </c>
      <c r="M1251" s="55">
        <v>45236.0</v>
      </c>
      <c r="N1251" s="77" t="str">
        <f t="shared" si="1"/>
        <v>outubro</v>
      </c>
    </row>
    <row r="1252">
      <c r="A1252" s="7" t="s">
        <v>4005</v>
      </c>
      <c r="B1252" s="8">
        <v>45202.712050856484</v>
      </c>
      <c r="C1252" s="7" t="s">
        <v>4006</v>
      </c>
      <c r="D1252" s="7">
        <v>6.2982410124E10</v>
      </c>
      <c r="E1252" s="25" t="s">
        <v>621</v>
      </c>
      <c r="F1252" s="25" t="s">
        <v>86</v>
      </c>
      <c r="G1252" s="9" t="s">
        <v>4007</v>
      </c>
      <c r="H1252" s="7" t="s">
        <v>18</v>
      </c>
      <c r="I1252" s="7"/>
      <c r="J1252" s="60" t="s">
        <v>4008</v>
      </c>
      <c r="K1252" s="10" t="s">
        <v>4009</v>
      </c>
      <c r="L1252" s="91" t="s">
        <v>738</v>
      </c>
      <c r="M1252" s="43"/>
      <c r="N1252" s="77" t="str">
        <f t="shared" si="1"/>
        <v>outubro</v>
      </c>
    </row>
    <row r="1253">
      <c r="A1253" s="7" t="s">
        <v>4010</v>
      </c>
      <c r="B1253" s="8">
        <v>45203.3702916551</v>
      </c>
      <c r="C1253" s="7" t="s">
        <v>1438</v>
      </c>
      <c r="D1253" s="7" t="s">
        <v>3554</v>
      </c>
      <c r="E1253" s="25" t="s">
        <v>251</v>
      </c>
      <c r="F1253" s="25" t="s">
        <v>100</v>
      </c>
      <c r="G1253" s="9" t="s">
        <v>4011</v>
      </c>
      <c r="H1253" s="25" t="s">
        <v>44</v>
      </c>
      <c r="I1253" s="7"/>
      <c r="J1253" s="60" t="s">
        <v>4012</v>
      </c>
      <c r="K1253" s="54"/>
      <c r="L1253" s="91" t="s">
        <v>20</v>
      </c>
      <c r="M1253" s="55">
        <v>45301.0</v>
      </c>
      <c r="N1253" s="77" t="str">
        <f t="shared" si="1"/>
        <v>outubro</v>
      </c>
    </row>
    <row r="1254">
      <c r="A1254" s="25" t="s">
        <v>4013</v>
      </c>
      <c r="B1254" s="59">
        <v>45203.451448472224</v>
      </c>
      <c r="C1254" s="25" t="s">
        <v>4014</v>
      </c>
      <c r="D1254" s="25" t="s">
        <v>4015</v>
      </c>
      <c r="E1254" s="7" t="s">
        <v>199</v>
      </c>
      <c r="F1254" s="25" t="s">
        <v>86</v>
      </c>
      <c r="G1254" s="25" t="s">
        <v>4016</v>
      </c>
      <c r="H1254" s="25" t="s">
        <v>1734</v>
      </c>
      <c r="I1254" s="25"/>
      <c r="J1254" s="25" t="s">
        <v>4017</v>
      </c>
      <c r="K1254" s="25"/>
      <c r="L1254" s="26" t="s">
        <v>20</v>
      </c>
      <c r="M1254" s="64">
        <v>45215.0</v>
      </c>
      <c r="N1254" s="77" t="str">
        <f t="shared" si="1"/>
        <v>outubro</v>
      </c>
    </row>
    <row r="1255">
      <c r="A1255" s="25" t="s">
        <v>4018</v>
      </c>
      <c r="B1255" s="59">
        <v>45203.526567974535</v>
      </c>
      <c r="C1255" s="25" t="s">
        <v>451</v>
      </c>
      <c r="D1255" s="25">
        <v>5304.0</v>
      </c>
      <c r="E1255" s="25" t="s">
        <v>1097</v>
      </c>
      <c r="F1255" s="25" t="s">
        <v>2882</v>
      </c>
      <c r="G1255" s="25">
        <v>7.0</v>
      </c>
      <c r="H1255" s="25" t="s">
        <v>764</v>
      </c>
      <c r="I1255" s="25"/>
      <c r="J1255" s="25" t="s">
        <v>4019</v>
      </c>
      <c r="K1255" s="25"/>
      <c r="L1255" s="26" t="s">
        <v>20</v>
      </c>
      <c r="M1255" s="64">
        <v>45216.0</v>
      </c>
      <c r="N1255" s="77" t="str">
        <f t="shared" si="1"/>
        <v>outubro</v>
      </c>
    </row>
    <row r="1256">
      <c r="A1256" s="7" t="s">
        <v>4020</v>
      </c>
      <c r="B1256" s="8">
        <v>45203.548859456016</v>
      </c>
      <c r="C1256" s="7" t="s">
        <v>335</v>
      </c>
      <c r="D1256" s="7" t="s">
        <v>4021</v>
      </c>
      <c r="E1256" s="20" t="s">
        <v>308</v>
      </c>
      <c r="F1256" s="25" t="s">
        <v>61</v>
      </c>
      <c r="G1256" s="9">
        <v>151.0</v>
      </c>
      <c r="H1256" s="7" t="s">
        <v>162</v>
      </c>
      <c r="I1256" s="7"/>
      <c r="J1256" s="60" t="s">
        <v>4022</v>
      </c>
      <c r="K1256" s="54"/>
      <c r="L1256" s="91" t="s">
        <v>20</v>
      </c>
      <c r="M1256" s="55">
        <v>45301.0</v>
      </c>
      <c r="N1256" s="77" t="str">
        <f t="shared" si="1"/>
        <v>outubro</v>
      </c>
    </row>
    <row r="1257">
      <c r="A1257" s="7" t="s">
        <v>4023</v>
      </c>
      <c r="B1257" s="8">
        <v>45203.64964640046</v>
      </c>
      <c r="C1257" s="7" t="s">
        <v>4024</v>
      </c>
      <c r="D1257" s="7">
        <v>5333.0</v>
      </c>
      <c r="E1257" s="7" t="s">
        <v>41</v>
      </c>
      <c r="F1257" s="25" t="s">
        <v>42</v>
      </c>
      <c r="G1257" s="9" t="s">
        <v>837</v>
      </c>
      <c r="H1257" s="7" t="s">
        <v>1734</v>
      </c>
      <c r="I1257" s="7"/>
      <c r="J1257" s="60" t="s">
        <v>4025</v>
      </c>
      <c r="K1257" s="60"/>
      <c r="L1257" s="91" t="s">
        <v>20</v>
      </c>
      <c r="M1257" s="55">
        <v>45236.0</v>
      </c>
      <c r="N1257" s="77" t="str">
        <f t="shared" si="1"/>
        <v>outubro</v>
      </c>
    </row>
    <row r="1258">
      <c r="A1258" s="7" t="s">
        <v>4026</v>
      </c>
      <c r="B1258" s="8">
        <v>45203.781172233794</v>
      </c>
      <c r="C1258" s="7" t="s">
        <v>4027</v>
      </c>
      <c r="D1258" s="7" t="s">
        <v>4028</v>
      </c>
      <c r="E1258" s="25" t="s">
        <v>183</v>
      </c>
      <c r="F1258" s="25" t="s">
        <v>142</v>
      </c>
      <c r="G1258" s="9" t="s">
        <v>915</v>
      </c>
      <c r="H1258" s="7" t="s">
        <v>1734</v>
      </c>
      <c r="I1258" s="7"/>
      <c r="J1258" s="60" t="s">
        <v>4029</v>
      </c>
      <c r="K1258" s="60"/>
      <c r="L1258" s="91" t="s">
        <v>20</v>
      </c>
      <c r="M1258" s="55">
        <v>45244.0</v>
      </c>
      <c r="N1258" s="77" t="str">
        <f t="shared" si="1"/>
        <v>outubro</v>
      </c>
    </row>
    <row r="1259">
      <c r="A1259" s="25" t="s">
        <v>4030</v>
      </c>
      <c r="B1259" s="59">
        <v>45204.25244496528</v>
      </c>
      <c r="C1259" s="25" t="s">
        <v>169</v>
      </c>
      <c r="D1259" s="25">
        <v>5318.0</v>
      </c>
      <c r="E1259" s="25" t="s">
        <v>15</v>
      </c>
      <c r="F1259" s="25" t="s">
        <v>86</v>
      </c>
      <c r="G1259" s="25" t="s">
        <v>3390</v>
      </c>
      <c r="H1259" s="25" t="s">
        <v>18</v>
      </c>
      <c r="I1259" s="25"/>
      <c r="J1259" s="25" t="s">
        <v>4031</v>
      </c>
      <c r="K1259" s="25"/>
      <c r="L1259" s="26" t="s">
        <v>20</v>
      </c>
      <c r="M1259" s="64">
        <v>45209.0</v>
      </c>
      <c r="N1259" s="77" t="str">
        <f t="shared" si="1"/>
        <v>outubro</v>
      </c>
    </row>
    <row r="1260">
      <c r="A1260" s="25" t="s">
        <v>4032</v>
      </c>
      <c r="B1260" s="59">
        <v>45204.3505652662</v>
      </c>
      <c r="C1260" s="25" t="s">
        <v>1101</v>
      </c>
      <c r="D1260" s="25" t="s">
        <v>4033</v>
      </c>
      <c r="E1260" s="25" t="s">
        <v>60</v>
      </c>
      <c r="F1260" s="25" t="s">
        <v>61</v>
      </c>
      <c r="G1260" s="25" t="s">
        <v>4034</v>
      </c>
      <c r="H1260" s="25" t="s">
        <v>1734</v>
      </c>
      <c r="I1260" s="25"/>
      <c r="J1260" s="25" t="s">
        <v>4035</v>
      </c>
      <c r="K1260" s="25"/>
      <c r="L1260" s="26" t="s">
        <v>74</v>
      </c>
      <c r="M1260" s="64">
        <v>45216.0</v>
      </c>
      <c r="N1260" s="77" t="str">
        <f t="shared" si="1"/>
        <v>outubro</v>
      </c>
    </row>
    <row r="1261">
      <c r="A1261" s="25" t="s">
        <v>4036</v>
      </c>
      <c r="B1261" s="59">
        <v>45204.48299621527</v>
      </c>
      <c r="C1261" s="25" t="s">
        <v>3665</v>
      </c>
      <c r="D1261" s="25">
        <v>5340.0</v>
      </c>
      <c r="E1261" s="25" t="s">
        <v>70</v>
      </c>
      <c r="F1261" s="25" t="s">
        <v>3672</v>
      </c>
      <c r="G1261" s="25" t="s">
        <v>4037</v>
      </c>
      <c r="H1261" s="25" t="s">
        <v>79</v>
      </c>
      <c r="I1261" s="25"/>
      <c r="J1261" s="25" t="s">
        <v>4038</v>
      </c>
      <c r="K1261" s="25"/>
      <c r="L1261" s="26" t="s">
        <v>20</v>
      </c>
      <c r="M1261" s="64">
        <v>45201.0</v>
      </c>
      <c r="N1261" s="77" t="str">
        <f t="shared" si="1"/>
        <v>outubro</v>
      </c>
    </row>
    <row r="1262">
      <c r="A1262" s="7" t="s">
        <v>4039</v>
      </c>
      <c r="B1262" s="8">
        <v>45204.48767371528</v>
      </c>
      <c r="C1262" s="7" t="s">
        <v>3665</v>
      </c>
      <c r="D1262" s="7">
        <v>5340.0</v>
      </c>
      <c r="E1262" s="25" t="s">
        <v>70</v>
      </c>
      <c r="F1262" s="7" t="s">
        <v>4040</v>
      </c>
      <c r="G1262" s="9" t="s">
        <v>4041</v>
      </c>
      <c r="H1262" s="7" t="s">
        <v>129</v>
      </c>
      <c r="I1262" s="7"/>
      <c r="J1262" s="60" t="s">
        <v>4042</v>
      </c>
      <c r="K1262" s="60"/>
      <c r="L1262" s="91" t="s">
        <v>20</v>
      </c>
      <c r="M1262" s="55">
        <v>45254.0</v>
      </c>
      <c r="N1262" s="77" t="str">
        <f t="shared" si="1"/>
        <v>outubro</v>
      </c>
    </row>
    <row r="1263">
      <c r="A1263" s="25" t="s">
        <v>4043</v>
      </c>
      <c r="B1263" s="59">
        <v>45204.598433437495</v>
      </c>
      <c r="C1263" s="25" t="s">
        <v>4044</v>
      </c>
      <c r="D1263" s="85" t="s">
        <v>959</v>
      </c>
      <c r="E1263" s="25" t="s">
        <v>195</v>
      </c>
      <c r="F1263" s="25" t="s">
        <v>35</v>
      </c>
      <c r="G1263" s="25" t="s">
        <v>4045</v>
      </c>
      <c r="H1263" s="25" t="s">
        <v>79</v>
      </c>
      <c r="I1263" s="25"/>
      <c r="J1263" s="25" t="s">
        <v>4046</v>
      </c>
      <c r="K1263" s="25"/>
      <c r="L1263" s="26" t="s">
        <v>20</v>
      </c>
      <c r="M1263" s="64">
        <v>45226.0</v>
      </c>
      <c r="N1263" s="77" t="str">
        <f t="shared" si="1"/>
        <v>outubro</v>
      </c>
    </row>
    <row r="1264">
      <c r="A1264" s="25" t="s">
        <v>4047</v>
      </c>
      <c r="B1264" s="59">
        <v>45204.60049092592</v>
      </c>
      <c r="C1264" s="25" t="s">
        <v>4044</v>
      </c>
      <c r="D1264" s="85" t="s">
        <v>959</v>
      </c>
      <c r="E1264" s="25" t="s">
        <v>195</v>
      </c>
      <c r="F1264" s="25" t="s">
        <v>35</v>
      </c>
      <c r="G1264" s="25" t="s">
        <v>4048</v>
      </c>
      <c r="H1264" s="25" t="s">
        <v>79</v>
      </c>
      <c r="I1264" s="25"/>
      <c r="J1264" s="25" t="s">
        <v>4049</v>
      </c>
      <c r="K1264" s="25"/>
      <c r="L1264" s="26" t="s">
        <v>20</v>
      </c>
      <c r="M1264" s="64">
        <v>45205.0</v>
      </c>
      <c r="N1264" s="77" t="str">
        <f t="shared" si="1"/>
        <v>outubro</v>
      </c>
    </row>
    <row r="1265">
      <c r="A1265" s="7" t="s">
        <v>4050</v>
      </c>
      <c r="B1265" s="8">
        <v>45204.60245663194</v>
      </c>
      <c r="C1265" s="7" t="s">
        <v>76</v>
      </c>
      <c r="D1265" s="7">
        <v>5340.0</v>
      </c>
      <c r="E1265" s="25" t="s">
        <v>70</v>
      </c>
      <c r="F1265" s="20" t="s">
        <v>1220</v>
      </c>
      <c r="G1265" s="9" t="s">
        <v>1180</v>
      </c>
      <c r="H1265" s="7" t="s">
        <v>162</v>
      </c>
      <c r="I1265" s="7"/>
      <c r="J1265" s="60" t="s">
        <v>4051</v>
      </c>
      <c r="K1265" s="60"/>
      <c r="L1265" s="91" t="s">
        <v>20</v>
      </c>
      <c r="M1265" s="55">
        <v>45238.0</v>
      </c>
      <c r="N1265" s="77" t="str">
        <f t="shared" si="1"/>
        <v>outubro</v>
      </c>
    </row>
    <row r="1266">
      <c r="A1266" s="7" t="s">
        <v>4052</v>
      </c>
      <c r="B1266" s="8">
        <v>45204.60487866898</v>
      </c>
      <c r="C1266" s="7" t="s">
        <v>4044</v>
      </c>
      <c r="D1266" s="89" t="s">
        <v>959</v>
      </c>
      <c r="E1266" s="25" t="s">
        <v>195</v>
      </c>
      <c r="F1266" s="7" t="s">
        <v>35</v>
      </c>
      <c r="G1266" s="9" t="s">
        <v>4053</v>
      </c>
      <c r="H1266" s="7" t="s">
        <v>79</v>
      </c>
      <c r="I1266" s="7"/>
      <c r="J1266" s="60" t="s">
        <v>4054</v>
      </c>
      <c r="K1266" s="60"/>
      <c r="L1266" s="91" t="s">
        <v>20</v>
      </c>
      <c r="M1266" s="55">
        <v>45253.0</v>
      </c>
      <c r="N1266" s="77" t="str">
        <f t="shared" si="1"/>
        <v>outubro</v>
      </c>
    </row>
    <row r="1267">
      <c r="A1267" s="7" t="s">
        <v>4055</v>
      </c>
      <c r="B1267" s="8">
        <v>45204.60885609954</v>
      </c>
      <c r="C1267" s="7" t="s">
        <v>4044</v>
      </c>
      <c r="D1267" s="89" t="s">
        <v>959</v>
      </c>
      <c r="E1267" s="25" t="s">
        <v>195</v>
      </c>
      <c r="F1267" s="7" t="s">
        <v>35</v>
      </c>
      <c r="G1267" s="9" t="s">
        <v>4056</v>
      </c>
      <c r="H1267" s="7" t="s">
        <v>129</v>
      </c>
      <c r="I1267" s="7"/>
      <c r="J1267" s="60" t="s">
        <v>4057</v>
      </c>
      <c r="K1267" s="54"/>
      <c r="L1267" s="91" t="s">
        <v>738</v>
      </c>
      <c r="M1267" s="43"/>
      <c r="N1267" s="77" t="str">
        <f t="shared" si="1"/>
        <v>outubro</v>
      </c>
    </row>
    <row r="1268">
      <c r="A1268" s="25" t="s">
        <v>4058</v>
      </c>
      <c r="B1268" s="59">
        <v>45204.614707037035</v>
      </c>
      <c r="C1268" s="25" t="s">
        <v>1302</v>
      </c>
      <c r="D1268" s="25">
        <v>5376.0</v>
      </c>
      <c r="E1268" s="25" t="s">
        <v>853</v>
      </c>
      <c r="F1268" s="25" t="s">
        <v>86</v>
      </c>
      <c r="G1268" s="25" t="s">
        <v>4059</v>
      </c>
      <c r="H1268" s="25" t="s">
        <v>764</v>
      </c>
      <c r="I1268" s="25"/>
      <c r="J1268" s="25" t="s">
        <v>4060</v>
      </c>
      <c r="K1268" s="25"/>
      <c r="L1268" s="26" t="s">
        <v>20</v>
      </c>
      <c r="M1268" s="64">
        <v>45204.0</v>
      </c>
      <c r="N1268" s="77" t="str">
        <f t="shared" si="1"/>
        <v>outubro</v>
      </c>
    </row>
    <row r="1269">
      <c r="A1269" s="7" t="s">
        <v>4061</v>
      </c>
      <c r="B1269" s="8">
        <v>45204.67613923611</v>
      </c>
      <c r="C1269" s="7" t="s">
        <v>4014</v>
      </c>
      <c r="D1269" s="7" t="s">
        <v>4062</v>
      </c>
      <c r="E1269" s="7" t="s">
        <v>199</v>
      </c>
      <c r="F1269" s="25" t="s">
        <v>86</v>
      </c>
      <c r="G1269" s="9" t="s">
        <v>4063</v>
      </c>
      <c r="H1269" s="7" t="s">
        <v>79</v>
      </c>
      <c r="I1269" s="7"/>
      <c r="J1269" s="60" t="s">
        <v>4064</v>
      </c>
      <c r="K1269" s="60"/>
      <c r="L1269" s="91" t="s">
        <v>20</v>
      </c>
      <c r="M1269" s="55">
        <v>45239.0</v>
      </c>
      <c r="N1269" s="77" t="str">
        <f t="shared" si="1"/>
        <v>outubro</v>
      </c>
    </row>
    <row r="1270">
      <c r="A1270" s="7" t="s">
        <v>4065</v>
      </c>
      <c r="B1270" s="8">
        <v>45205.36647474537</v>
      </c>
      <c r="C1270" s="7" t="s">
        <v>2870</v>
      </c>
      <c r="D1270" s="7">
        <v>5315.0</v>
      </c>
      <c r="E1270" s="25" t="s">
        <v>116</v>
      </c>
      <c r="F1270" s="25" t="s">
        <v>82</v>
      </c>
      <c r="G1270" s="9" t="s">
        <v>4066</v>
      </c>
      <c r="H1270" s="7" t="s">
        <v>1853</v>
      </c>
      <c r="I1270" s="7"/>
      <c r="J1270" s="60" t="s">
        <v>4067</v>
      </c>
      <c r="K1270" s="60"/>
      <c r="L1270" s="91" t="s">
        <v>20</v>
      </c>
      <c r="M1270" s="55">
        <v>45264.0</v>
      </c>
      <c r="N1270" s="77" t="str">
        <f t="shared" si="1"/>
        <v>outubro</v>
      </c>
    </row>
    <row r="1271">
      <c r="A1271" s="25" t="s">
        <v>4068</v>
      </c>
      <c r="B1271" s="59">
        <v>45205.37430652778</v>
      </c>
      <c r="C1271" s="25" t="s">
        <v>76</v>
      </c>
      <c r="D1271" s="25">
        <v>5340.0</v>
      </c>
      <c r="E1271" s="25" t="s">
        <v>70</v>
      </c>
      <c r="F1271" s="25" t="s">
        <v>3683</v>
      </c>
      <c r="G1271" s="25" t="s">
        <v>4069</v>
      </c>
      <c r="H1271" s="25" t="s">
        <v>79</v>
      </c>
      <c r="I1271" s="25"/>
      <c r="J1271" s="25" t="s">
        <v>4070</v>
      </c>
      <c r="K1271" s="25"/>
      <c r="L1271" s="26" t="s">
        <v>20</v>
      </c>
      <c r="M1271" s="64">
        <v>45216.0</v>
      </c>
      <c r="N1271" s="77" t="str">
        <f t="shared" si="1"/>
        <v>outubro</v>
      </c>
    </row>
    <row r="1272">
      <c r="A1272" s="25" t="s">
        <v>4071</v>
      </c>
      <c r="B1272" s="59">
        <v>45205.379623113426</v>
      </c>
      <c r="C1272" s="25" t="s">
        <v>512</v>
      </c>
      <c r="D1272" s="25">
        <v>5340.0</v>
      </c>
      <c r="E1272" s="25" t="s">
        <v>70</v>
      </c>
      <c r="F1272" s="25" t="s">
        <v>35</v>
      </c>
      <c r="G1272" s="25" t="s">
        <v>1186</v>
      </c>
      <c r="H1272" s="25" t="s">
        <v>1734</v>
      </c>
      <c r="I1272" s="25"/>
      <c r="J1272" s="25" t="s">
        <v>4072</v>
      </c>
      <c r="K1272" s="25"/>
      <c r="L1272" s="26" t="s">
        <v>20</v>
      </c>
      <c r="M1272" s="64">
        <v>45204.0</v>
      </c>
      <c r="N1272" s="77" t="str">
        <f t="shared" si="1"/>
        <v>outubro</v>
      </c>
    </row>
    <row r="1273">
      <c r="A1273" s="25" t="s">
        <v>4073</v>
      </c>
      <c r="B1273" s="59">
        <v>45205.385699756946</v>
      </c>
      <c r="C1273" s="25" t="s">
        <v>3665</v>
      </c>
      <c r="D1273" s="25">
        <v>5340.0</v>
      </c>
      <c r="E1273" s="25" t="s">
        <v>70</v>
      </c>
      <c r="F1273" s="25" t="s">
        <v>4074</v>
      </c>
      <c r="G1273" s="25" t="s">
        <v>4074</v>
      </c>
      <c r="H1273" s="25" t="s">
        <v>162</v>
      </c>
      <c r="I1273" s="25"/>
      <c r="J1273" s="25" t="s">
        <v>4075</v>
      </c>
      <c r="K1273" s="25"/>
      <c r="L1273" s="26" t="s">
        <v>20</v>
      </c>
      <c r="M1273" s="64">
        <v>45226.0</v>
      </c>
      <c r="N1273" s="77" t="str">
        <f t="shared" si="1"/>
        <v>outubro</v>
      </c>
    </row>
    <row r="1274">
      <c r="A1274" s="25" t="s">
        <v>4076</v>
      </c>
      <c r="B1274" s="59">
        <v>45205.38999555555</v>
      </c>
      <c r="C1274" s="25" t="s">
        <v>4024</v>
      </c>
      <c r="D1274" s="25">
        <v>5333.0</v>
      </c>
      <c r="E1274" s="25" t="s">
        <v>41</v>
      </c>
      <c r="F1274" s="25" t="s">
        <v>42</v>
      </c>
      <c r="G1274" s="25" t="s">
        <v>3304</v>
      </c>
      <c r="H1274" s="25" t="s">
        <v>79</v>
      </c>
      <c r="I1274" s="25"/>
      <c r="J1274" s="25" t="s">
        <v>4077</v>
      </c>
      <c r="K1274" s="25"/>
      <c r="L1274" s="26" t="s">
        <v>20</v>
      </c>
      <c r="M1274" s="64">
        <v>45217.0</v>
      </c>
      <c r="N1274" s="77" t="str">
        <f t="shared" si="1"/>
        <v>outubro</v>
      </c>
    </row>
    <row r="1275">
      <c r="A1275" s="25" t="s">
        <v>4078</v>
      </c>
      <c r="B1275" s="59">
        <v>45205.393023020835</v>
      </c>
      <c r="C1275" s="25" t="s">
        <v>4024</v>
      </c>
      <c r="D1275" s="25">
        <v>5333.0</v>
      </c>
      <c r="E1275" s="25" t="s">
        <v>41</v>
      </c>
      <c r="F1275" s="25" t="s">
        <v>42</v>
      </c>
      <c r="G1275" s="25" t="s">
        <v>1051</v>
      </c>
      <c r="H1275" s="25" t="s">
        <v>79</v>
      </c>
      <c r="I1275" s="25"/>
      <c r="J1275" s="25" t="s">
        <v>4079</v>
      </c>
      <c r="K1275" s="25"/>
      <c r="L1275" s="26" t="s">
        <v>20</v>
      </c>
      <c r="M1275" s="64">
        <v>45217.0</v>
      </c>
      <c r="N1275" s="77" t="str">
        <f t="shared" si="1"/>
        <v>outubro</v>
      </c>
    </row>
    <row r="1276">
      <c r="A1276" s="25" t="s">
        <v>4080</v>
      </c>
      <c r="B1276" s="59">
        <v>45205.41636021991</v>
      </c>
      <c r="C1276" s="25" t="s">
        <v>3665</v>
      </c>
      <c r="D1276" s="25">
        <v>5340.0</v>
      </c>
      <c r="E1276" s="25" t="s">
        <v>70</v>
      </c>
      <c r="F1276" s="25" t="s">
        <v>3881</v>
      </c>
      <c r="G1276" s="25" t="s">
        <v>4081</v>
      </c>
      <c r="H1276" s="25" t="s">
        <v>764</v>
      </c>
      <c r="I1276" s="25"/>
      <c r="J1276" s="25" t="s">
        <v>4082</v>
      </c>
      <c r="K1276" s="25"/>
      <c r="L1276" s="26" t="s">
        <v>20</v>
      </c>
      <c r="M1276" s="64">
        <v>45216.0</v>
      </c>
      <c r="N1276" s="77" t="str">
        <f t="shared" si="1"/>
        <v>outubro</v>
      </c>
    </row>
    <row r="1277">
      <c r="A1277" s="25" t="s">
        <v>4083</v>
      </c>
      <c r="B1277" s="59">
        <v>45206.4626918287</v>
      </c>
      <c r="C1277" s="25" t="s">
        <v>4024</v>
      </c>
      <c r="D1277" s="25">
        <v>5333.0</v>
      </c>
      <c r="E1277" s="25" t="s">
        <v>41</v>
      </c>
      <c r="F1277" s="25" t="s">
        <v>42</v>
      </c>
      <c r="G1277" s="25" t="s">
        <v>3304</v>
      </c>
      <c r="H1277" s="25" t="s">
        <v>764</v>
      </c>
      <c r="I1277" s="25"/>
      <c r="J1277" s="25" t="s">
        <v>4084</v>
      </c>
      <c r="K1277" s="25"/>
      <c r="L1277" s="26" t="s">
        <v>20</v>
      </c>
      <c r="M1277" s="64">
        <v>45217.0</v>
      </c>
      <c r="N1277" s="77" t="str">
        <f t="shared" si="1"/>
        <v>outubro</v>
      </c>
    </row>
    <row r="1278">
      <c r="A1278" s="25" t="s">
        <v>4085</v>
      </c>
      <c r="B1278" s="59">
        <v>45206.463893252316</v>
      </c>
      <c r="C1278" s="25" t="s">
        <v>4024</v>
      </c>
      <c r="D1278" s="25">
        <v>5333.0</v>
      </c>
      <c r="E1278" s="25" t="s">
        <v>41</v>
      </c>
      <c r="F1278" s="25" t="s">
        <v>42</v>
      </c>
      <c r="G1278" s="25" t="s">
        <v>3429</v>
      </c>
      <c r="H1278" s="25" t="s">
        <v>764</v>
      </c>
      <c r="I1278" s="25"/>
      <c r="J1278" s="25" t="s">
        <v>4086</v>
      </c>
      <c r="K1278" s="25"/>
      <c r="L1278" s="26" t="s">
        <v>20</v>
      </c>
      <c r="M1278" s="64">
        <v>45217.0</v>
      </c>
      <c r="N1278" s="77" t="str">
        <f t="shared" si="1"/>
        <v>outubro</v>
      </c>
    </row>
    <row r="1279">
      <c r="A1279" s="25" t="s">
        <v>4087</v>
      </c>
      <c r="B1279" s="59">
        <v>45207.05885403935</v>
      </c>
      <c r="C1279" s="25" t="s">
        <v>65</v>
      </c>
      <c r="D1279" s="25">
        <v>5318.0</v>
      </c>
      <c r="E1279" s="25" t="s">
        <v>15</v>
      </c>
      <c r="F1279" s="25" t="s">
        <v>86</v>
      </c>
      <c r="G1279" s="25" t="s">
        <v>86</v>
      </c>
      <c r="H1279" s="25" t="s">
        <v>18</v>
      </c>
      <c r="I1279" s="25"/>
      <c r="J1279" s="25" t="s">
        <v>4088</v>
      </c>
      <c r="K1279" s="25"/>
      <c r="L1279" s="26" t="s">
        <v>20</v>
      </c>
      <c r="M1279" s="64">
        <v>45215.0</v>
      </c>
      <c r="N1279" s="77" t="str">
        <f t="shared" si="1"/>
        <v>outubro</v>
      </c>
    </row>
    <row r="1280">
      <c r="A1280" s="25" t="s">
        <v>4089</v>
      </c>
      <c r="B1280" s="59">
        <v>45208.26708247685</v>
      </c>
      <c r="C1280" s="25" t="s">
        <v>4090</v>
      </c>
      <c r="D1280" s="25">
        <v>5318.0</v>
      </c>
      <c r="E1280" s="25" t="s">
        <v>15</v>
      </c>
      <c r="F1280" s="25" t="s">
        <v>3281</v>
      </c>
      <c r="G1280" s="25" t="s">
        <v>4091</v>
      </c>
      <c r="H1280" s="25" t="s">
        <v>18</v>
      </c>
      <c r="I1280" s="25"/>
      <c r="J1280" s="25" t="s">
        <v>4092</v>
      </c>
      <c r="K1280" s="25"/>
      <c r="L1280" s="26" t="s">
        <v>20</v>
      </c>
      <c r="M1280" s="64">
        <v>45215.0</v>
      </c>
      <c r="N1280" s="77" t="str">
        <f t="shared" si="1"/>
        <v>outubro</v>
      </c>
    </row>
    <row r="1281">
      <c r="A1281" s="25" t="s">
        <v>4093</v>
      </c>
      <c r="B1281" s="59">
        <v>45208.26992450231</v>
      </c>
      <c r="C1281" s="25" t="s">
        <v>4090</v>
      </c>
      <c r="D1281" s="25">
        <v>5318.0</v>
      </c>
      <c r="E1281" s="25" t="s">
        <v>15</v>
      </c>
      <c r="F1281" s="25" t="s">
        <v>1529</v>
      </c>
      <c r="G1281" s="25" t="s">
        <v>4094</v>
      </c>
      <c r="H1281" s="25" t="s">
        <v>18</v>
      </c>
      <c r="I1281" s="25"/>
      <c r="J1281" s="25" t="s">
        <v>4095</v>
      </c>
      <c r="K1281" s="25"/>
      <c r="L1281" s="26" t="s">
        <v>20</v>
      </c>
      <c r="M1281" s="64">
        <v>45215.0</v>
      </c>
      <c r="N1281" s="77" t="str">
        <f t="shared" si="1"/>
        <v>outubro</v>
      </c>
    </row>
    <row r="1282">
      <c r="A1282" s="25" t="s">
        <v>4096</v>
      </c>
      <c r="B1282" s="59">
        <v>45209.38409034722</v>
      </c>
      <c r="C1282" s="25" t="s">
        <v>3665</v>
      </c>
      <c r="D1282" s="25">
        <v>5340.0</v>
      </c>
      <c r="E1282" s="25" t="s">
        <v>70</v>
      </c>
      <c r="F1282" s="25" t="s">
        <v>61</v>
      </c>
      <c r="G1282" s="25" t="s">
        <v>4097</v>
      </c>
      <c r="H1282" s="25" t="s">
        <v>764</v>
      </c>
      <c r="I1282" s="25"/>
      <c r="J1282" s="25" t="s">
        <v>4098</v>
      </c>
      <c r="K1282" s="25"/>
      <c r="L1282" s="26" t="s">
        <v>20</v>
      </c>
      <c r="M1282" s="64">
        <v>45215.0</v>
      </c>
      <c r="N1282" s="77" t="str">
        <f t="shared" si="1"/>
        <v>outubro</v>
      </c>
    </row>
    <row r="1283">
      <c r="A1283" s="25" t="s">
        <v>4099</v>
      </c>
      <c r="B1283" s="59">
        <v>45209.38684155092</v>
      </c>
      <c r="C1283" s="25" t="s">
        <v>3665</v>
      </c>
      <c r="D1283" s="25">
        <v>5340.0</v>
      </c>
      <c r="E1283" s="25" t="s">
        <v>70</v>
      </c>
      <c r="F1283" s="25" t="s">
        <v>61</v>
      </c>
      <c r="G1283" s="25" t="s">
        <v>4100</v>
      </c>
      <c r="H1283" s="25" t="s">
        <v>764</v>
      </c>
      <c r="I1283" s="25"/>
      <c r="J1283" s="25" t="s">
        <v>4101</v>
      </c>
      <c r="K1283" s="25"/>
      <c r="L1283" s="26" t="s">
        <v>20</v>
      </c>
      <c r="M1283" s="64">
        <v>45215.0</v>
      </c>
      <c r="N1283" s="77" t="str">
        <f t="shared" si="1"/>
        <v>outubro</v>
      </c>
    </row>
    <row r="1284">
      <c r="A1284" s="25" t="s">
        <v>4102</v>
      </c>
      <c r="B1284" s="59">
        <v>45209.39014265046</v>
      </c>
      <c r="C1284" s="25" t="s">
        <v>4103</v>
      </c>
      <c r="D1284" s="25" t="s">
        <v>4104</v>
      </c>
      <c r="E1284" s="25" t="s">
        <v>41</v>
      </c>
      <c r="F1284" s="25" t="s">
        <v>82</v>
      </c>
      <c r="G1284" s="25" t="s">
        <v>41</v>
      </c>
      <c r="H1284" s="25" t="s">
        <v>1734</v>
      </c>
      <c r="I1284" s="25"/>
      <c r="J1284" s="25" t="s">
        <v>4105</v>
      </c>
      <c r="K1284" s="25"/>
      <c r="L1284" s="26" t="s">
        <v>20</v>
      </c>
      <c r="M1284" s="64">
        <v>45209.0</v>
      </c>
      <c r="N1284" s="77" t="str">
        <f t="shared" si="1"/>
        <v>outubro</v>
      </c>
    </row>
    <row r="1285">
      <c r="A1285" s="25" t="s">
        <v>4106</v>
      </c>
      <c r="B1285" s="59">
        <v>45209.40602581018</v>
      </c>
      <c r="C1285" s="25" t="s">
        <v>3665</v>
      </c>
      <c r="D1285" s="25">
        <v>5340.0</v>
      </c>
      <c r="E1285" s="25" t="s">
        <v>70</v>
      </c>
      <c r="F1285" s="25" t="s">
        <v>4107</v>
      </c>
      <c r="G1285" s="25" t="s">
        <v>4108</v>
      </c>
      <c r="H1285" s="25" t="s">
        <v>1734</v>
      </c>
      <c r="I1285" s="25"/>
      <c r="J1285" s="25" t="s">
        <v>4109</v>
      </c>
      <c r="K1285" s="25"/>
      <c r="L1285" s="26" t="s">
        <v>20</v>
      </c>
      <c r="M1285" s="64">
        <v>45209.0</v>
      </c>
      <c r="N1285" s="77" t="str">
        <f t="shared" si="1"/>
        <v>outubro</v>
      </c>
    </row>
    <row r="1286">
      <c r="A1286" s="25" t="s">
        <v>4110</v>
      </c>
      <c r="B1286" s="59">
        <v>45209.414963055555</v>
      </c>
      <c r="C1286" s="25" t="s">
        <v>3665</v>
      </c>
      <c r="D1286" s="25">
        <v>5340.0</v>
      </c>
      <c r="E1286" s="25" t="s">
        <v>70</v>
      </c>
      <c r="F1286" s="25" t="s">
        <v>82</v>
      </c>
      <c r="G1286" s="25" t="s">
        <v>4111</v>
      </c>
      <c r="H1286" s="25" t="s">
        <v>764</v>
      </c>
      <c r="I1286" s="25"/>
      <c r="J1286" s="25" t="s">
        <v>4112</v>
      </c>
      <c r="K1286" s="25"/>
      <c r="L1286" s="26" t="s">
        <v>20</v>
      </c>
      <c r="M1286" s="64">
        <v>45216.0</v>
      </c>
      <c r="N1286" s="77" t="str">
        <f t="shared" si="1"/>
        <v>outubro</v>
      </c>
    </row>
    <row r="1287">
      <c r="A1287" s="25" t="s">
        <v>4113</v>
      </c>
      <c r="B1287" s="59">
        <v>45209.457471898146</v>
      </c>
      <c r="C1287" s="25" t="s">
        <v>4114</v>
      </c>
      <c r="D1287" s="25">
        <v>6.4981276503E10</v>
      </c>
      <c r="E1287" s="7" t="s">
        <v>246</v>
      </c>
      <c r="F1287" s="25" t="s">
        <v>61</v>
      </c>
      <c r="G1287" s="25" t="s">
        <v>4115</v>
      </c>
      <c r="H1287" s="25" t="s">
        <v>18</v>
      </c>
      <c r="I1287" s="25"/>
      <c r="J1287" s="25" t="s">
        <v>4116</v>
      </c>
      <c r="K1287" s="25"/>
      <c r="L1287" s="26" t="s">
        <v>20</v>
      </c>
      <c r="M1287" s="64">
        <v>45215.0</v>
      </c>
      <c r="N1287" s="77" t="str">
        <f t="shared" si="1"/>
        <v>outubro</v>
      </c>
    </row>
    <row r="1288">
      <c r="A1288" s="25" t="s">
        <v>4117</v>
      </c>
      <c r="B1288" s="59">
        <v>45209.45889771991</v>
      </c>
      <c r="C1288" s="25" t="s">
        <v>1272</v>
      </c>
      <c r="D1288" s="25">
        <v>5660.0</v>
      </c>
      <c r="E1288" s="25" t="s">
        <v>371</v>
      </c>
      <c r="F1288" s="25" t="s">
        <v>49</v>
      </c>
      <c r="G1288" s="25" t="s">
        <v>4118</v>
      </c>
      <c r="H1288" s="25" t="s">
        <v>1734</v>
      </c>
      <c r="I1288" s="25"/>
      <c r="J1288" s="25" t="s">
        <v>4119</v>
      </c>
      <c r="K1288" s="25"/>
      <c r="L1288" s="26" t="s">
        <v>20</v>
      </c>
      <c r="M1288" s="64">
        <v>45215.0</v>
      </c>
      <c r="N1288" s="77" t="str">
        <f t="shared" si="1"/>
        <v>outubro</v>
      </c>
    </row>
    <row r="1289">
      <c r="A1289" s="25" t="s">
        <v>4120</v>
      </c>
      <c r="B1289" s="59">
        <v>45209.57938922454</v>
      </c>
      <c r="C1289" s="25" t="s">
        <v>2870</v>
      </c>
      <c r="D1289" s="25">
        <v>5315.0</v>
      </c>
      <c r="E1289" s="25" t="s">
        <v>116</v>
      </c>
      <c r="F1289" s="25" t="s">
        <v>82</v>
      </c>
      <c r="G1289" s="25" t="s">
        <v>1180</v>
      </c>
      <c r="H1289" s="25" t="s">
        <v>79</v>
      </c>
      <c r="I1289" s="25"/>
      <c r="J1289" s="25" t="s">
        <v>378</v>
      </c>
      <c r="K1289" s="25"/>
      <c r="L1289" s="26" t="s">
        <v>20</v>
      </c>
      <c r="M1289" s="64">
        <v>45209.0</v>
      </c>
      <c r="N1289" s="77" t="str">
        <f t="shared" si="1"/>
        <v>outubro</v>
      </c>
    </row>
    <row r="1290">
      <c r="A1290" s="25" t="s">
        <v>4121</v>
      </c>
      <c r="B1290" s="59">
        <v>45209.59556677083</v>
      </c>
      <c r="C1290" s="25" t="s">
        <v>4122</v>
      </c>
      <c r="D1290" s="25" t="s">
        <v>4123</v>
      </c>
      <c r="E1290" s="25" t="s">
        <v>2560</v>
      </c>
      <c r="F1290" s="25" t="s">
        <v>783</v>
      </c>
      <c r="G1290" s="25">
        <v>265.0</v>
      </c>
      <c r="H1290" s="25" t="s">
        <v>764</v>
      </c>
      <c r="I1290" s="25"/>
      <c r="J1290" s="25" t="s">
        <v>4124</v>
      </c>
      <c r="K1290" s="25"/>
      <c r="L1290" s="26" t="s">
        <v>20</v>
      </c>
      <c r="M1290" s="64">
        <v>45215.0</v>
      </c>
      <c r="N1290" s="77" t="str">
        <f t="shared" si="1"/>
        <v>outubro</v>
      </c>
    </row>
    <row r="1291">
      <c r="A1291" s="25" t="s">
        <v>4125</v>
      </c>
      <c r="B1291" s="59">
        <v>45209.66246774305</v>
      </c>
      <c r="C1291" s="25" t="s">
        <v>4126</v>
      </c>
      <c r="D1291" s="25">
        <v>6.4981121978E10</v>
      </c>
      <c r="E1291" s="7" t="s">
        <v>246</v>
      </c>
      <c r="F1291" s="25" t="s">
        <v>61</v>
      </c>
      <c r="G1291" s="25">
        <v>309.0</v>
      </c>
      <c r="H1291" s="25" t="s">
        <v>18</v>
      </c>
      <c r="I1291" s="25"/>
      <c r="J1291" s="25" t="s">
        <v>4127</v>
      </c>
      <c r="K1291" s="25"/>
      <c r="L1291" s="26" t="s">
        <v>20</v>
      </c>
      <c r="M1291" s="64">
        <v>45215.0</v>
      </c>
      <c r="N1291" s="77" t="str">
        <f t="shared" si="1"/>
        <v>outubro</v>
      </c>
    </row>
    <row r="1292">
      <c r="A1292" s="7" t="s">
        <v>4128</v>
      </c>
      <c r="B1292" s="8">
        <v>45209.742690127314</v>
      </c>
      <c r="C1292" s="7" t="s">
        <v>553</v>
      </c>
      <c r="D1292" s="7">
        <v>5318.0</v>
      </c>
      <c r="E1292" s="25" t="s">
        <v>15</v>
      </c>
      <c r="F1292" s="7" t="s">
        <v>313</v>
      </c>
      <c r="G1292" s="9" t="s">
        <v>4129</v>
      </c>
      <c r="H1292" s="7" t="s">
        <v>18</v>
      </c>
      <c r="I1292" s="7"/>
      <c r="J1292" s="60" t="s">
        <v>4130</v>
      </c>
      <c r="K1292" s="60"/>
      <c r="L1292" s="91" t="s">
        <v>20</v>
      </c>
      <c r="M1292" s="55">
        <v>45247.0</v>
      </c>
      <c r="N1292" s="77" t="str">
        <f t="shared" si="1"/>
        <v>outubro</v>
      </c>
    </row>
    <row r="1293">
      <c r="A1293" s="25" t="s">
        <v>4131</v>
      </c>
      <c r="B1293" s="59">
        <v>45209.74326449074</v>
      </c>
      <c r="C1293" s="25" t="s">
        <v>522</v>
      </c>
      <c r="D1293" s="25">
        <v>5333.0</v>
      </c>
      <c r="E1293" s="25" t="s">
        <v>41</v>
      </c>
      <c r="F1293" s="25" t="s">
        <v>42</v>
      </c>
      <c r="G1293" s="25" t="s">
        <v>4132</v>
      </c>
      <c r="H1293" s="25" t="s">
        <v>79</v>
      </c>
      <c r="I1293" s="25"/>
      <c r="J1293" s="25" t="s">
        <v>4133</v>
      </c>
      <c r="K1293" s="25"/>
      <c r="L1293" s="26" t="s">
        <v>20</v>
      </c>
      <c r="M1293" s="64">
        <v>45217.0</v>
      </c>
      <c r="N1293" s="77" t="str">
        <f t="shared" si="1"/>
        <v>outubro</v>
      </c>
    </row>
    <row r="1294">
      <c r="A1294" s="25" t="s">
        <v>4134</v>
      </c>
      <c r="B1294" s="59">
        <v>45209.74453642361</v>
      </c>
      <c r="C1294" s="25" t="s">
        <v>215</v>
      </c>
      <c r="D1294" s="25">
        <v>5333.0</v>
      </c>
      <c r="E1294" s="25" t="s">
        <v>41</v>
      </c>
      <c r="F1294" s="25" t="s">
        <v>42</v>
      </c>
      <c r="G1294" s="25" t="s">
        <v>4135</v>
      </c>
      <c r="H1294" s="25" t="s">
        <v>1734</v>
      </c>
      <c r="I1294" s="25"/>
      <c r="J1294" s="25" t="s">
        <v>4136</v>
      </c>
      <c r="K1294" s="25"/>
      <c r="L1294" s="26" t="s">
        <v>20</v>
      </c>
      <c r="M1294" s="64">
        <v>45217.0</v>
      </c>
      <c r="N1294" s="77" t="str">
        <f t="shared" si="1"/>
        <v>outubro</v>
      </c>
    </row>
    <row r="1295">
      <c r="A1295" s="25" t="s">
        <v>4137</v>
      </c>
      <c r="B1295" s="59">
        <v>45210.2660008449</v>
      </c>
      <c r="C1295" s="25" t="s">
        <v>169</v>
      </c>
      <c r="D1295" s="25">
        <v>5318.0</v>
      </c>
      <c r="E1295" s="25" t="s">
        <v>15</v>
      </c>
      <c r="F1295" s="25" t="s">
        <v>82</v>
      </c>
      <c r="G1295" s="25" t="s">
        <v>4138</v>
      </c>
      <c r="H1295" s="25" t="s">
        <v>18</v>
      </c>
      <c r="I1295" s="25"/>
      <c r="J1295" s="25" t="s">
        <v>4139</v>
      </c>
      <c r="K1295" s="25"/>
      <c r="L1295" s="26" t="s">
        <v>20</v>
      </c>
      <c r="M1295" s="64">
        <v>45217.0</v>
      </c>
      <c r="N1295" s="77" t="str">
        <f t="shared" si="1"/>
        <v>outubro</v>
      </c>
    </row>
    <row r="1296">
      <c r="A1296" s="7" t="s">
        <v>4140</v>
      </c>
      <c r="B1296" s="8">
        <v>45210.30717622685</v>
      </c>
      <c r="C1296" s="7" t="s">
        <v>4141</v>
      </c>
      <c r="D1296" s="7" t="s">
        <v>4142</v>
      </c>
      <c r="E1296" s="7" t="s">
        <v>2560</v>
      </c>
      <c r="F1296" s="7" t="s">
        <v>763</v>
      </c>
      <c r="G1296" s="9" t="s">
        <v>4143</v>
      </c>
      <c r="H1296" s="7" t="s">
        <v>1734</v>
      </c>
      <c r="I1296" s="7"/>
      <c r="J1296" s="60" t="s">
        <v>4144</v>
      </c>
      <c r="K1296" s="7" t="s">
        <v>4145</v>
      </c>
      <c r="L1296" s="91" t="s">
        <v>20</v>
      </c>
      <c r="M1296" s="55">
        <v>45275.0</v>
      </c>
      <c r="N1296" s="77" t="str">
        <f t="shared" si="1"/>
        <v>outubro</v>
      </c>
    </row>
    <row r="1297">
      <c r="A1297" s="7" t="s">
        <v>4146</v>
      </c>
      <c r="B1297" s="8">
        <v>45210.335096180555</v>
      </c>
      <c r="C1297" s="7" t="s">
        <v>4147</v>
      </c>
      <c r="D1297" s="7" t="s">
        <v>4148</v>
      </c>
      <c r="E1297" s="7" t="s">
        <v>2560</v>
      </c>
      <c r="F1297" s="7" t="s">
        <v>763</v>
      </c>
      <c r="G1297" s="9" t="s">
        <v>4143</v>
      </c>
      <c r="H1297" s="7" t="s">
        <v>764</v>
      </c>
      <c r="I1297" s="7"/>
      <c r="J1297" s="7" t="s">
        <v>4149</v>
      </c>
      <c r="K1297" s="10" t="s">
        <v>4150</v>
      </c>
      <c r="L1297" s="91" t="s">
        <v>738</v>
      </c>
      <c r="M1297" s="43"/>
      <c r="N1297" s="77" t="str">
        <f t="shared" si="1"/>
        <v>outubro</v>
      </c>
    </row>
    <row r="1298">
      <c r="A1298" s="7" t="s">
        <v>4151</v>
      </c>
      <c r="B1298" s="8">
        <v>45210.38685369213</v>
      </c>
      <c r="C1298" s="7" t="s">
        <v>4152</v>
      </c>
      <c r="D1298" s="7">
        <v>5344.0</v>
      </c>
      <c r="E1298" s="7" t="s">
        <v>666</v>
      </c>
      <c r="F1298" s="25" t="s">
        <v>82</v>
      </c>
      <c r="G1298" s="9" t="s">
        <v>4153</v>
      </c>
      <c r="H1298" s="7" t="s">
        <v>129</v>
      </c>
      <c r="I1298" s="7"/>
      <c r="J1298" s="7" t="s">
        <v>4154</v>
      </c>
      <c r="K1298" s="32"/>
      <c r="L1298" s="91" t="s">
        <v>20</v>
      </c>
      <c r="M1298" s="55">
        <v>45264.0</v>
      </c>
      <c r="N1298" s="77" t="str">
        <f t="shared" si="1"/>
        <v>outubro</v>
      </c>
    </row>
    <row r="1299">
      <c r="A1299" s="7" t="s">
        <v>4155</v>
      </c>
      <c r="B1299" s="8">
        <v>45210.38903348379</v>
      </c>
      <c r="C1299" s="7" t="s">
        <v>4156</v>
      </c>
      <c r="D1299" s="7" t="s">
        <v>4104</v>
      </c>
      <c r="E1299" s="7" t="s">
        <v>41</v>
      </c>
      <c r="F1299" s="25" t="s">
        <v>82</v>
      </c>
      <c r="G1299" s="9" t="s">
        <v>4157</v>
      </c>
      <c r="H1299" s="7" t="s">
        <v>1734</v>
      </c>
      <c r="I1299" s="7"/>
      <c r="J1299" s="7" t="s">
        <v>4158</v>
      </c>
      <c r="K1299" s="32"/>
      <c r="L1299" s="91" t="s">
        <v>20</v>
      </c>
      <c r="M1299" s="55">
        <v>45264.0</v>
      </c>
      <c r="N1299" s="77" t="str">
        <f t="shared" si="1"/>
        <v>outubro</v>
      </c>
    </row>
    <row r="1300">
      <c r="A1300" s="25" t="s">
        <v>4159</v>
      </c>
      <c r="B1300" s="59">
        <v>45210.39418167824</v>
      </c>
      <c r="C1300" s="25" t="s">
        <v>3347</v>
      </c>
      <c r="D1300" s="25">
        <v>5308.0</v>
      </c>
      <c r="E1300" s="25" t="s">
        <v>1372</v>
      </c>
      <c r="F1300" s="25" t="s">
        <v>4160</v>
      </c>
      <c r="G1300" s="25" t="s">
        <v>3348</v>
      </c>
      <c r="H1300" s="25" t="s">
        <v>1734</v>
      </c>
      <c r="I1300" s="25"/>
      <c r="J1300" s="25" t="s">
        <v>4161</v>
      </c>
      <c r="K1300" s="25"/>
      <c r="L1300" s="26" t="s">
        <v>20</v>
      </c>
      <c r="M1300" s="64">
        <v>45215.0</v>
      </c>
      <c r="N1300" s="77" t="str">
        <f t="shared" si="1"/>
        <v>outubro</v>
      </c>
    </row>
    <row r="1301">
      <c r="A1301" s="25" t="s">
        <v>4162</v>
      </c>
      <c r="B1301" s="59">
        <v>45210.423504363425</v>
      </c>
      <c r="C1301" s="25" t="s">
        <v>205</v>
      </c>
      <c r="D1301" s="25">
        <v>6.4981619931E10</v>
      </c>
      <c r="E1301" s="20" t="s">
        <v>206</v>
      </c>
      <c r="F1301" s="25" t="s">
        <v>783</v>
      </c>
      <c r="G1301" s="25">
        <v>356.0</v>
      </c>
      <c r="H1301" s="25" t="s">
        <v>1734</v>
      </c>
      <c r="I1301" s="25"/>
      <c r="J1301" s="25" t="s">
        <v>4163</v>
      </c>
      <c r="K1301" s="25"/>
      <c r="L1301" s="26" t="s">
        <v>20</v>
      </c>
      <c r="M1301" s="64">
        <v>45216.0</v>
      </c>
      <c r="N1301" s="77" t="str">
        <f t="shared" si="1"/>
        <v>outubro</v>
      </c>
    </row>
    <row r="1302">
      <c r="A1302" s="7" t="s">
        <v>4164</v>
      </c>
      <c r="B1302" s="8">
        <v>45210.44868053241</v>
      </c>
      <c r="C1302" s="7" t="s">
        <v>4114</v>
      </c>
      <c r="D1302" s="7">
        <v>6.4981276503E10</v>
      </c>
      <c r="E1302" s="7" t="s">
        <v>246</v>
      </c>
      <c r="F1302" s="7" t="s">
        <v>1789</v>
      </c>
      <c r="G1302" s="9" t="s">
        <v>4165</v>
      </c>
      <c r="H1302" s="7" t="s">
        <v>129</v>
      </c>
      <c r="I1302" s="7"/>
      <c r="J1302" s="7" t="s">
        <v>4166</v>
      </c>
      <c r="K1302" s="32"/>
      <c r="L1302" s="91" t="s">
        <v>20</v>
      </c>
      <c r="M1302" s="55">
        <v>45247.0</v>
      </c>
      <c r="N1302" s="77" t="str">
        <f t="shared" si="1"/>
        <v>outubro</v>
      </c>
    </row>
    <row r="1303">
      <c r="A1303" s="25" t="s">
        <v>4167</v>
      </c>
      <c r="B1303" s="59">
        <v>45215.34703209491</v>
      </c>
      <c r="C1303" s="25" t="s">
        <v>697</v>
      </c>
      <c r="D1303" s="25">
        <v>5347.0</v>
      </c>
      <c r="E1303" s="25" t="s">
        <v>160</v>
      </c>
      <c r="F1303" s="25" t="s">
        <v>82</v>
      </c>
      <c r="G1303" s="25" t="s">
        <v>4168</v>
      </c>
      <c r="H1303" s="25" t="s">
        <v>1734</v>
      </c>
      <c r="I1303" s="25"/>
      <c r="J1303" s="25" t="s">
        <v>4169</v>
      </c>
      <c r="K1303" s="25"/>
      <c r="L1303" s="26" t="s">
        <v>20</v>
      </c>
      <c r="M1303" s="64">
        <v>45216.0</v>
      </c>
      <c r="N1303" s="77" t="str">
        <f t="shared" si="1"/>
        <v>outubro</v>
      </c>
    </row>
    <row r="1304">
      <c r="A1304" s="25" t="s">
        <v>4170</v>
      </c>
      <c r="B1304" s="59">
        <v>45215.36166248843</v>
      </c>
      <c r="C1304" s="25" t="s">
        <v>1068</v>
      </c>
      <c r="D1304" s="25">
        <v>5311.0</v>
      </c>
      <c r="E1304" s="25" t="s">
        <v>251</v>
      </c>
      <c r="F1304" s="25" t="s">
        <v>100</v>
      </c>
      <c r="G1304" s="25" t="s">
        <v>509</v>
      </c>
      <c r="H1304" s="25" t="s">
        <v>30</v>
      </c>
      <c r="I1304" s="25"/>
      <c r="J1304" s="25" t="s">
        <v>4171</v>
      </c>
      <c r="K1304" s="25"/>
      <c r="L1304" s="26" t="s">
        <v>20</v>
      </c>
      <c r="M1304" s="64">
        <v>45222.0</v>
      </c>
      <c r="N1304" s="77" t="str">
        <f t="shared" si="1"/>
        <v>outubro</v>
      </c>
    </row>
    <row r="1305">
      <c r="A1305" s="7" t="s">
        <v>4172</v>
      </c>
      <c r="B1305" s="8">
        <v>45215.367350381945</v>
      </c>
      <c r="C1305" s="7" t="s">
        <v>405</v>
      </c>
      <c r="D1305" s="7">
        <v>5320.0</v>
      </c>
      <c r="E1305" s="20" t="s">
        <v>206</v>
      </c>
      <c r="F1305" s="25" t="s">
        <v>61</v>
      </c>
      <c r="G1305" s="9" t="s">
        <v>4173</v>
      </c>
      <c r="H1305" s="7" t="s">
        <v>764</v>
      </c>
      <c r="I1305" s="7"/>
      <c r="J1305" s="7" t="s">
        <v>4174</v>
      </c>
      <c r="K1305" s="30"/>
      <c r="L1305" s="91" t="s">
        <v>738</v>
      </c>
      <c r="M1305" s="43"/>
      <c r="N1305" s="77" t="str">
        <f t="shared" si="1"/>
        <v>outubro</v>
      </c>
    </row>
    <row r="1306">
      <c r="A1306" s="25" t="s">
        <v>4175</v>
      </c>
      <c r="B1306" s="59">
        <v>45215.44743461805</v>
      </c>
      <c r="C1306" s="25" t="s">
        <v>4176</v>
      </c>
      <c r="D1306" s="25">
        <v>3.4999071369E10</v>
      </c>
      <c r="E1306" s="20" t="s">
        <v>308</v>
      </c>
      <c r="F1306" s="25" t="s">
        <v>1294</v>
      </c>
      <c r="G1306" s="25" t="s">
        <v>4177</v>
      </c>
      <c r="H1306" s="25" t="s">
        <v>79</v>
      </c>
      <c r="I1306" s="25"/>
      <c r="J1306" s="25" t="s">
        <v>4178</v>
      </c>
      <c r="K1306" s="25"/>
      <c r="L1306" s="26" t="s">
        <v>20</v>
      </c>
      <c r="M1306" s="64">
        <v>45216.0</v>
      </c>
      <c r="N1306" s="77" t="str">
        <f t="shared" si="1"/>
        <v>outubro</v>
      </c>
    </row>
    <row r="1307">
      <c r="A1307" s="25" t="s">
        <v>4179</v>
      </c>
      <c r="B1307" s="59">
        <v>45215.457578125</v>
      </c>
      <c r="C1307" s="25" t="s">
        <v>40</v>
      </c>
      <c r="D1307" s="25">
        <v>5333.0</v>
      </c>
      <c r="E1307" s="25" t="s">
        <v>41</v>
      </c>
      <c r="F1307" s="25" t="s">
        <v>42</v>
      </c>
      <c r="G1307" s="25" t="s">
        <v>3223</v>
      </c>
      <c r="H1307" s="25" t="s">
        <v>79</v>
      </c>
      <c r="I1307" s="25"/>
      <c r="J1307" s="25" t="s">
        <v>4180</v>
      </c>
      <c r="K1307" s="25"/>
      <c r="L1307" s="26" t="s">
        <v>20</v>
      </c>
      <c r="M1307" s="64">
        <v>45217.0</v>
      </c>
      <c r="N1307" s="77" t="str">
        <f t="shared" si="1"/>
        <v>outubro</v>
      </c>
    </row>
    <row r="1308">
      <c r="A1308" s="25" t="s">
        <v>4181</v>
      </c>
      <c r="B1308" s="59">
        <v>45215.461317291665</v>
      </c>
      <c r="C1308" s="25" t="s">
        <v>4024</v>
      </c>
      <c r="D1308" s="25">
        <v>5333.0</v>
      </c>
      <c r="E1308" s="25" t="s">
        <v>41</v>
      </c>
      <c r="F1308" s="25" t="s">
        <v>42</v>
      </c>
      <c r="G1308" s="25" t="s">
        <v>304</v>
      </c>
      <c r="H1308" s="25" t="s">
        <v>764</v>
      </c>
      <c r="I1308" s="25"/>
      <c r="J1308" s="25" t="s">
        <v>4182</v>
      </c>
      <c r="K1308" s="25"/>
      <c r="L1308" s="26" t="s">
        <v>20</v>
      </c>
      <c r="M1308" s="64">
        <v>45217.0</v>
      </c>
      <c r="N1308" s="77" t="str">
        <f t="shared" si="1"/>
        <v>outubro</v>
      </c>
    </row>
    <row r="1309">
      <c r="A1309" s="25" t="s">
        <v>4183</v>
      </c>
      <c r="B1309" s="59">
        <v>45215.469443009264</v>
      </c>
      <c r="C1309" s="25" t="s">
        <v>4024</v>
      </c>
      <c r="D1309" s="25">
        <v>5333.0</v>
      </c>
      <c r="E1309" s="25" t="s">
        <v>41</v>
      </c>
      <c r="F1309" s="25" t="s">
        <v>42</v>
      </c>
      <c r="G1309" s="25" t="s">
        <v>4184</v>
      </c>
      <c r="H1309" s="25" t="s">
        <v>764</v>
      </c>
      <c r="I1309" s="25"/>
      <c r="J1309" s="25" t="s">
        <v>4185</v>
      </c>
      <c r="K1309" s="25"/>
      <c r="L1309" s="26" t="s">
        <v>20</v>
      </c>
      <c r="M1309" s="64">
        <v>45217.0</v>
      </c>
      <c r="N1309" s="77" t="str">
        <f t="shared" si="1"/>
        <v>outubro</v>
      </c>
    </row>
    <row r="1310">
      <c r="A1310" s="7" t="s">
        <v>4186</v>
      </c>
      <c r="B1310" s="8">
        <v>45215.503398437504</v>
      </c>
      <c r="C1310" s="7" t="s">
        <v>4024</v>
      </c>
      <c r="D1310" s="7">
        <v>5333.0</v>
      </c>
      <c r="E1310" s="7" t="s">
        <v>41</v>
      </c>
      <c r="F1310" s="25" t="s">
        <v>42</v>
      </c>
      <c r="G1310" s="9" t="s">
        <v>2014</v>
      </c>
      <c r="H1310" s="25" t="s">
        <v>44</v>
      </c>
      <c r="I1310" s="7"/>
      <c r="J1310" s="7" t="s">
        <v>4187</v>
      </c>
      <c r="K1310" s="32"/>
      <c r="L1310" s="91" t="s">
        <v>20</v>
      </c>
      <c r="M1310" s="55">
        <v>45236.0</v>
      </c>
      <c r="N1310" s="77" t="str">
        <f t="shared" si="1"/>
        <v>outubro</v>
      </c>
    </row>
    <row r="1311">
      <c r="A1311" s="7" t="s">
        <v>4188</v>
      </c>
      <c r="B1311" s="8">
        <v>45215.609606875005</v>
      </c>
      <c r="C1311" s="7" t="s">
        <v>1068</v>
      </c>
      <c r="D1311" s="7">
        <v>5311.0</v>
      </c>
      <c r="E1311" s="25" t="s">
        <v>251</v>
      </c>
      <c r="F1311" s="25" t="s">
        <v>100</v>
      </c>
      <c r="G1311" s="9" t="s">
        <v>4189</v>
      </c>
      <c r="H1311" s="25" t="s">
        <v>30</v>
      </c>
      <c r="I1311" s="7"/>
      <c r="J1311" s="7" t="s">
        <v>4190</v>
      </c>
      <c r="K1311" s="30"/>
      <c r="L1311" s="91" t="s">
        <v>20</v>
      </c>
      <c r="M1311" s="55">
        <v>45364.0</v>
      </c>
      <c r="N1311" s="77" t="str">
        <f t="shared" si="1"/>
        <v>outubro</v>
      </c>
    </row>
    <row r="1312">
      <c r="A1312" s="25" t="s">
        <v>4191</v>
      </c>
      <c r="B1312" s="59">
        <v>45215.64461679399</v>
      </c>
      <c r="C1312" s="25" t="s">
        <v>4024</v>
      </c>
      <c r="D1312" s="25">
        <v>5333.0</v>
      </c>
      <c r="E1312" s="25" t="s">
        <v>41</v>
      </c>
      <c r="F1312" s="25" t="s">
        <v>42</v>
      </c>
      <c r="G1312" s="25" t="s">
        <v>441</v>
      </c>
      <c r="H1312" s="25" t="s">
        <v>764</v>
      </c>
      <c r="I1312" s="25"/>
      <c r="J1312" s="25" t="s">
        <v>4192</v>
      </c>
      <c r="K1312" s="25"/>
      <c r="L1312" s="26" t="s">
        <v>20</v>
      </c>
      <c r="M1312" s="64">
        <v>45217.0</v>
      </c>
      <c r="N1312" s="77" t="str">
        <f t="shared" si="1"/>
        <v>outubro</v>
      </c>
    </row>
    <row r="1313">
      <c r="A1313" s="25" t="s">
        <v>4193</v>
      </c>
      <c r="B1313" s="59">
        <v>45215.6576769213</v>
      </c>
      <c r="C1313" s="25" t="s">
        <v>3938</v>
      </c>
      <c r="D1313" s="25">
        <v>3.4415349E7</v>
      </c>
      <c r="E1313" s="25" t="s">
        <v>60</v>
      </c>
      <c r="F1313" s="25" t="s">
        <v>61</v>
      </c>
      <c r="G1313" s="25" t="s">
        <v>4194</v>
      </c>
      <c r="H1313" s="25" t="s">
        <v>79</v>
      </c>
      <c r="I1313" s="25"/>
      <c r="J1313" s="25" t="s">
        <v>4195</v>
      </c>
      <c r="K1313" s="25"/>
      <c r="L1313" s="26" t="s">
        <v>20</v>
      </c>
      <c r="M1313" s="64">
        <v>45216.0</v>
      </c>
      <c r="N1313" s="77" t="str">
        <f t="shared" si="1"/>
        <v>outubro</v>
      </c>
    </row>
    <row r="1314">
      <c r="A1314" s="25" t="s">
        <v>4196</v>
      </c>
      <c r="B1314" s="59">
        <v>45215.66445806713</v>
      </c>
      <c r="C1314" s="25" t="s">
        <v>3665</v>
      </c>
      <c r="D1314" s="25">
        <v>5340.0</v>
      </c>
      <c r="E1314" s="25" t="s">
        <v>70</v>
      </c>
      <c r="F1314" s="25" t="s">
        <v>61</v>
      </c>
      <c r="G1314" s="25" t="s">
        <v>4197</v>
      </c>
      <c r="H1314" s="25" t="s">
        <v>764</v>
      </c>
      <c r="I1314" s="25"/>
      <c r="J1314" s="25" t="s">
        <v>4198</v>
      </c>
      <c r="K1314" s="25"/>
      <c r="L1314" s="26" t="s">
        <v>20</v>
      </c>
      <c r="M1314" s="64">
        <v>45223.0</v>
      </c>
      <c r="N1314" s="77" t="str">
        <f t="shared" si="1"/>
        <v>outubro</v>
      </c>
    </row>
    <row r="1315">
      <c r="A1315" s="25" t="s">
        <v>4199</v>
      </c>
      <c r="B1315" s="59">
        <v>45215.66888167824</v>
      </c>
      <c r="C1315" s="25" t="s">
        <v>3665</v>
      </c>
      <c r="D1315" s="25">
        <v>5340.0</v>
      </c>
      <c r="E1315" s="25" t="s">
        <v>70</v>
      </c>
      <c r="F1315" s="25" t="s">
        <v>4200</v>
      </c>
      <c r="G1315" s="25" t="s">
        <v>4201</v>
      </c>
      <c r="H1315" s="25" t="s">
        <v>129</v>
      </c>
      <c r="I1315" s="25"/>
      <c r="J1315" s="25" t="s">
        <v>4202</v>
      </c>
      <c r="K1315" s="25"/>
      <c r="L1315" s="26" t="s">
        <v>20</v>
      </c>
      <c r="M1315" s="64">
        <v>45216.0</v>
      </c>
      <c r="N1315" s="77" t="str">
        <f t="shared" si="1"/>
        <v>outubro</v>
      </c>
    </row>
    <row r="1316">
      <c r="A1316" s="7" t="s">
        <v>4203</v>
      </c>
      <c r="B1316" s="8">
        <v>45215.67417644676</v>
      </c>
      <c r="C1316" s="7" t="s">
        <v>3665</v>
      </c>
      <c r="D1316" s="7">
        <v>5340.0</v>
      </c>
      <c r="E1316" s="25" t="s">
        <v>70</v>
      </c>
      <c r="F1316" s="25" t="s">
        <v>82</v>
      </c>
      <c r="G1316" s="9" t="s">
        <v>4204</v>
      </c>
      <c r="H1316" s="7" t="s">
        <v>764</v>
      </c>
      <c r="I1316" s="7"/>
      <c r="J1316" s="7" t="s">
        <v>4205</v>
      </c>
      <c r="K1316" s="7" t="s">
        <v>3995</v>
      </c>
      <c r="L1316" s="91" t="s">
        <v>20</v>
      </c>
      <c r="M1316" s="55">
        <v>45253.0</v>
      </c>
      <c r="N1316" s="77" t="str">
        <f t="shared" si="1"/>
        <v>outubro</v>
      </c>
    </row>
    <row r="1317">
      <c r="A1317" s="25" t="s">
        <v>4206</v>
      </c>
      <c r="B1317" s="59">
        <v>45215.67833787037</v>
      </c>
      <c r="C1317" s="25" t="s">
        <v>4207</v>
      </c>
      <c r="D1317" s="25">
        <v>5312.0</v>
      </c>
      <c r="E1317" s="25" t="s">
        <v>446</v>
      </c>
      <c r="F1317" s="25" t="s">
        <v>82</v>
      </c>
      <c r="G1317" s="25" t="s">
        <v>4208</v>
      </c>
      <c r="H1317" s="25" t="s">
        <v>764</v>
      </c>
      <c r="I1317" s="25"/>
      <c r="J1317" s="25" t="s">
        <v>4209</v>
      </c>
      <c r="K1317" s="25"/>
      <c r="L1317" s="26" t="s">
        <v>20</v>
      </c>
      <c r="M1317" s="64">
        <v>45223.0</v>
      </c>
      <c r="N1317" s="77" t="str">
        <f t="shared" si="1"/>
        <v>outubro</v>
      </c>
    </row>
    <row r="1318">
      <c r="A1318" s="7" t="s">
        <v>4210</v>
      </c>
      <c r="B1318" s="8">
        <v>45215.70659931713</v>
      </c>
      <c r="C1318" s="7" t="s">
        <v>4211</v>
      </c>
      <c r="D1318" s="7" t="s">
        <v>3397</v>
      </c>
      <c r="E1318" s="25" t="s">
        <v>34</v>
      </c>
      <c r="F1318" s="25" t="s">
        <v>61</v>
      </c>
      <c r="G1318" s="9">
        <v>305.0</v>
      </c>
      <c r="H1318" s="7" t="s">
        <v>764</v>
      </c>
      <c r="I1318" s="7"/>
      <c r="J1318" s="7" t="s">
        <v>4212</v>
      </c>
      <c r="K1318" s="32"/>
      <c r="L1318" s="91" t="s">
        <v>20</v>
      </c>
      <c r="M1318" s="55">
        <v>45237.0</v>
      </c>
      <c r="N1318" s="77" t="str">
        <f t="shared" si="1"/>
        <v>outubro</v>
      </c>
    </row>
    <row r="1319">
      <c r="A1319" s="7" t="s">
        <v>4213</v>
      </c>
      <c r="B1319" s="8">
        <v>45216.577869699075</v>
      </c>
      <c r="C1319" s="7" t="s">
        <v>4014</v>
      </c>
      <c r="D1319" s="7" t="s">
        <v>4015</v>
      </c>
      <c r="E1319" s="7" t="s">
        <v>199</v>
      </c>
      <c r="F1319" s="25" t="s">
        <v>86</v>
      </c>
      <c r="G1319" s="9" t="s">
        <v>4214</v>
      </c>
      <c r="H1319" s="7" t="s">
        <v>764</v>
      </c>
      <c r="I1319" s="7"/>
      <c r="J1319" s="7" t="s">
        <v>4215</v>
      </c>
      <c r="K1319" s="30"/>
      <c r="L1319" s="91" t="s">
        <v>20</v>
      </c>
      <c r="M1319" s="55">
        <v>45301.0</v>
      </c>
      <c r="N1319" s="77" t="str">
        <f t="shared" si="1"/>
        <v>outubro</v>
      </c>
    </row>
    <row r="1320">
      <c r="A1320" s="25" t="s">
        <v>4216</v>
      </c>
      <c r="B1320" s="59">
        <v>45216.604197152774</v>
      </c>
      <c r="C1320" s="25" t="s">
        <v>4024</v>
      </c>
      <c r="D1320" s="25">
        <v>3.4987004342E10</v>
      </c>
      <c r="E1320" s="25" t="s">
        <v>41</v>
      </c>
      <c r="F1320" s="25" t="s">
        <v>42</v>
      </c>
      <c r="G1320" s="25" t="s">
        <v>3429</v>
      </c>
      <c r="H1320" s="25" t="s">
        <v>764</v>
      </c>
      <c r="I1320" s="25"/>
      <c r="J1320" s="25" t="s">
        <v>4217</v>
      </c>
      <c r="K1320" s="25"/>
      <c r="L1320" s="26" t="s">
        <v>20</v>
      </c>
      <c r="M1320" s="64">
        <v>45217.0</v>
      </c>
      <c r="N1320" s="77" t="str">
        <f t="shared" si="1"/>
        <v>outubro</v>
      </c>
    </row>
    <row r="1321">
      <c r="A1321" s="25" t="s">
        <v>4218</v>
      </c>
      <c r="B1321" s="59">
        <v>45216.61311525463</v>
      </c>
      <c r="C1321" s="25" t="s">
        <v>1068</v>
      </c>
      <c r="D1321" s="25">
        <v>5311.0</v>
      </c>
      <c r="E1321" s="25" t="s">
        <v>251</v>
      </c>
      <c r="F1321" s="25" t="s">
        <v>100</v>
      </c>
      <c r="G1321" s="25" t="s">
        <v>4219</v>
      </c>
      <c r="H1321" s="25" t="s">
        <v>79</v>
      </c>
      <c r="I1321" s="25"/>
      <c r="J1321" s="25" t="s">
        <v>4220</v>
      </c>
      <c r="K1321" s="25"/>
      <c r="L1321" s="26" t="s">
        <v>20</v>
      </c>
      <c r="M1321" s="64">
        <v>45222.0</v>
      </c>
      <c r="N1321" s="77" t="str">
        <f t="shared" si="1"/>
        <v>outubro</v>
      </c>
    </row>
    <row r="1322">
      <c r="A1322" s="25" t="s">
        <v>4221</v>
      </c>
      <c r="B1322" s="59">
        <v>45216.61624239583</v>
      </c>
      <c r="C1322" s="25" t="s">
        <v>659</v>
      </c>
      <c r="D1322" s="25">
        <v>5340.0</v>
      </c>
      <c r="E1322" s="25" t="s">
        <v>70</v>
      </c>
      <c r="F1322" s="25" t="s">
        <v>4222</v>
      </c>
      <c r="G1322" s="25" t="s">
        <v>4223</v>
      </c>
      <c r="H1322" s="25" t="s">
        <v>1734</v>
      </c>
      <c r="I1322" s="25"/>
      <c r="J1322" s="25" t="s">
        <v>4224</v>
      </c>
      <c r="K1322" s="25"/>
      <c r="L1322" s="26" t="s">
        <v>20</v>
      </c>
      <c r="M1322" s="64">
        <v>45218.0</v>
      </c>
      <c r="N1322" s="77" t="str">
        <f t="shared" si="1"/>
        <v>outubro</v>
      </c>
    </row>
    <row r="1323">
      <c r="A1323" s="25" t="s">
        <v>4225</v>
      </c>
      <c r="B1323" s="59">
        <v>45216.61803795139</v>
      </c>
      <c r="C1323" s="25" t="s">
        <v>659</v>
      </c>
      <c r="D1323" s="25">
        <v>5340.0</v>
      </c>
      <c r="E1323" s="25" t="s">
        <v>70</v>
      </c>
      <c r="F1323" s="25" t="s">
        <v>4226</v>
      </c>
      <c r="G1323" s="25" t="s">
        <v>4227</v>
      </c>
      <c r="H1323" s="25" t="s">
        <v>1734</v>
      </c>
      <c r="I1323" s="25"/>
      <c r="J1323" s="25" t="s">
        <v>4228</v>
      </c>
      <c r="K1323" s="25"/>
      <c r="L1323" s="26" t="s">
        <v>20</v>
      </c>
      <c r="M1323" s="64">
        <v>45216.0</v>
      </c>
      <c r="N1323" s="77" t="str">
        <f t="shared" si="1"/>
        <v>outubro</v>
      </c>
    </row>
    <row r="1324">
      <c r="A1324" s="25" t="s">
        <v>4229</v>
      </c>
      <c r="B1324" s="59">
        <v>45216.64941405093</v>
      </c>
      <c r="C1324" s="25" t="s">
        <v>1068</v>
      </c>
      <c r="D1324" s="25">
        <v>5311.0</v>
      </c>
      <c r="E1324" s="25" t="s">
        <v>251</v>
      </c>
      <c r="F1324" s="25" t="s">
        <v>100</v>
      </c>
      <c r="G1324" s="25">
        <v>12.0</v>
      </c>
      <c r="H1324" s="25" t="s">
        <v>764</v>
      </c>
      <c r="I1324" s="25"/>
      <c r="J1324" s="25" t="s">
        <v>4230</v>
      </c>
      <c r="K1324" s="25"/>
      <c r="L1324" s="26" t="s">
        <v>20</v>
      </c>
      <c r="M1324" s="64">
        <v>45217.0</v>
      </c>
      <c r="N1324" s="77" t="str">
        <f t="shared" si="1"/>
        <v>outubro</v>
      </c>
    </row>
    <row r="1325">
      <c r="A1325" s="7" t="s">
        <v>4231</v>
      </c>
      <c r="B1325" s="8">
        <v>45217.42012841435</v>
      </c>
      <c r="C1325" s="7" t="s">
        <v>1302</v>
      </c>
      <c r="D1325" s="7">
        <v>5376.0</v>
      </c>
      <c r="E1325" s="25" t="s">
        <v>853</v>
      </c>
      <c r="F1325" s="25" t="s">
        <v>86</v>
      </c>
      <c r="G1325" s="9" t="s">
        <v>4232</v>
      </c>
      <c r="H1325" s="7" t="s">
        <v>1734</v>
      </c>
      <c r="I1325" s="7"/>
      <c r="J1325" s="7" t="s">
        <v>4233</v>
      </c>
      <c r="K1325" s="32"/>
      <c r="L1325" s="91" t="s">
        <v>20</v>
      </c>
      <c r="M1325" s="55">
        <v>45280.0</v>
      </c>
      <c r="N1325" s="77" t="str">
        <f t="shared" si="1"/>
        <v>outubro</v>
      </c>
    </row>
    <row r="1326">
      <c r="A1326" s="25" t="s">
        <v>4234</v>
      </c>
      <c r="B1326" s="59">
        <v>45217.60107826389</v>
      </c>
      <c r="C1326" s="25" t="s">
        <v>659</v>
      </c>
      <c r="D1326" s="25">
        <v>5340.0</v>
      </c>
      <c r="E1326" s="25" t="s">
        <v>70</v>
      </c>
      <c r="F1326" s="25" t="s">
        <v>4235</v>
      </c>
      <c r="G1326" s="25" t="s">
        <v>4223</v>
      </c>
      <c r="H1326" s="25" t="s">
        <v>79</v>
      </c>
      <c r="I1326" s="25"/>
      <c r="J1326" s="25" t="s">
        <v>4236</v>
      </c>
      <c r="K1326" s="25"/>
      <c r="L1326" s="26" t="s">
        <v>20</v>
      </c>
      <c r="M1326" s="64">
        <v>45217.0</v>
      </c>
      <c r="N1326" s="77" t="str">
        <f t="shared" si="1"/>
        <v>outubro</v>
      </c>
    </row>
    <row r="1327">
      <c r="A1327" s="25" t="s">
        <v>4237</v>
      </c>
      <c r="B1327" s="59">
        <v>45218.36962319445</v>
      </c>
      <c r="C1327" s="25" t="s">
        <v>4238</v>
      </c>
      <c r="D1327" s="25">
        <v>5347.0</v>
      </c>
      <c r="E1327" s="25" t="s">
        <v>160</v>
      </c>
      <c r="F1327" s="25" t="s">
        <v>4239</v>
      </c>
      <c r="G1327" s="25" t="s">
        <v>4240</v>
      </c>
      <c r="H1327" s="25" t="s">
        <v>1734</v>
      </c>
      <c r="I1327" s="25"/>
      <c r="J1327" s="25" t="s">
        <v>4241</v>
      </c>
      <c r="K1327" s="25"/>
      <c r="L1327" s="26" t="s">
        <v>20</v>
      </c>
      <c r="M1327" s="64">
        <v>45222.0</v>
      </c>
      <c r="N1327" s="77" t="str">
        <f t="shared" si="1"/>
        <v>outubro</v>
      </c>
    </row>
    <row r="1328">
      <c r="A1328" s="25" t="s">
        <v>4242</v>
      </c>
      <c r="B1328" s="59">
        <v>45218.37364961806</v>
      </c>
      <c r="C1328" s="25" t="s">
        <v>4238</v>
      </c>
      <c r="D1328" s="25">
        <v>5347.0</v>
      </c>
      <c r="E1328" s="25" t="s">
        <v>160</v>
      </c>
      <c r="F1328" s="25" t="s">
        <v>4243</v>
      </c>
      <c r="G1328" s="25" t="s">
        <v>4244</v>
      </c>
      <c r="H1328" s="25" t="s">
        <v>79</v>
      </c>
      <c r="I1328" s="25"/>
      <c r="J1328" s="25" t="s">
        <v>4245</v>
      </c>
      <c r="K1328" s="25"/>
      <c r="L1328" s="26" t="s">
        <v>20</v>
      </c>
      <c r="M1328" s="64">
        <v>45222.0</v>
      </c>
      <c r="N1328" s="77" t="str">
        <f t="shared" si="1"/>
        <v>outubro</v>
      </c>
    </row>
    <row r="1329">
      <c r="A1329" s="7" t="s">
        <v>4246</v>
      </c>
      <c r="B1329" s="8">
        <v>45218.55648597222</v>
      </c>
      <c r="C1329" s="7" t="s">
        <v>3960</v>
      </c>
      <c r="D1329" s="7">
        <v>3.4415349E7</v>
      </c>
      <c r="E1329" s="25" t="s">
        <v>60</v>
      </c>
      <c r="F1329" s="25" t="s">
        <v>61</v>
      </c>
      <c r="G1329" s="9" t="s">
        <v>2335</v>
      </c>
      <c r="H1329" s="7" t="s">
        <v>162</v>
      </c>
      <c r="I1329" s="7"/>
      <c r="J1329" s="7" t="s">
        <v>4247</v>
      </c>
      <c r="K1329" s="32"/>
      <c r="L1329" s="91" t="s">
        <v>20</v>
      </c>
      <c r="M1329" s="55">
        <v>45236.0</v>
      </c>
      <c r="N1329" s="77" t="str">
        <f t="shared" si="1"/>
        <v>outubro</v>
      </c>
    </row>
    <row r="1330">
      <c r="A1330" s="7" t="s">
        <v>4248</v>
      </c>
      <c r="B1330" s="8">
        <v>45218.583826608796</v>
      </c>
      <c r="C1330" s="7" t="s">
        <v>1704</v>
      </c>
      <c r="D1330" s="7">
        <v>5305.0</v>
      </c>
      <c r="E1330" s="25" t="s">
        <v>183</v>
      </c>
      <c r="F1330" s="7" t="s">
        <v>1083</v>
      </c>
      <c r="G1330" s="92" t="s">
        <v>4249</v>
      </c>
      <c r="H1330" s="7" t="s">
        <v>1734</v>
      </c>
      <c r="I1330" s="7"/>
      <c r="J1330" s="7" t="s">
        <v>4250</v>
      </c>
      <c r="K1330" s="32"/>
      <c r="L1330" s="91" t="s">
        <v>20</v>
      </c>
      <c r="M1330" s="55">
        <v>45239.0</v>
      </c>
      <c r="N1330" s="77" t="str">
        <f t="shared" si="1"/>
        <v>outubro</v>
      </c>
    </row>
    <row r="1331">
      <c r="A1331" s="7" t="s">
        <v>4251</v>
      </c>
      <c r="B1331" s="8">
        <v>45219.428712650464</v>
      </c>
      <c r="C1331" s="7" t="s">
        <v>1272</v>
      </c>
      <c r="D1331" s="7">
        <v>5360.0</v>
      </c>
      <c r="E1331" s="7" t="s">
        <v>371</v>
      </c>
      <c r="F1331" s="25" t="s">
        <v>49</v>
      </c>
      <c r="G1331" s="9" t="s">
        <v>4252</v>
      </c>
      <c r="H1331" s="7" t="s">
        <v>1853</v>
      </c>
      <c r="I1331" s="7"/>
      <c r="J1331" s="7" t="s">
        <v>4253</v>
      </c>
      <c r="K1331" s="32"/>
      <c r="L1331" s="91" t="s">
        <v>74</v>
      </c>
      <c r="M1331" s="55">
        <v>45260.0</v>
      </c>
      <c r="N1331" s="77" t="str">
        <f t="shared" si="1"/>
        <v>outubro</v>
      </c>
    </row>
    <row r="1332">
      <c r="A1332" s="25" t="s">
        <v>4254</v>
      </c>
      <c r="B1332" s="59">
        <v>45219.442252430556</v>
      </c>
      <c r="C1332" s="25" t="s">
        <v>4024</v>
      </c>
      <c r="D1332" s="25">
        <v>5333.0</v>
      </c>
      <c r="E1332" s="25" t="s">
        <v>41</v>
      </c>
      <c r="F1332" s="25" t="s">
        <v>42</v>
      </c>
      <c r="G1332" s="25" t="s">
        <v>1020</v>
      </c>
      <c r="H1332" s="25" t="s">
        <v>79</v>
      </c>
      <c r="I1332" s="25"/>
      <c r="J1332" s="25" t="s">
        <v>4255</v>
      </c>
      <c r="K1332" s="25"/>
      <c r="L1332" s="26" t="s">
        <v>20</v>
      </c>
      <c r="M1332" s="64">
        <v>45223.0</v>
      </c>
      <c r="N1332" s="77" t="str">
        <f t="shared" si="1"/>
        <v>outubro</v>
      </c>
    </row>
    <row r="1333">
      <c r="A1333" s="7" t="s">
        <v>4256</v>
      </c>
      <c r="B1333" s="8">
        <v>45219.460623125</v>
      </c>
      <c r="C1333" s="7" t="s">
        <v>3173</v>
      </c>
      <c r="D1333" s="7">
        <v>5314.0</v>
      </c>
      <c r="E1333" s="7" t="s">
        <v>261</v>
      </c>
      <c r="F1333" s="25" t="s">
        <v>49</v>
      </c>
      <c r="G1333" s="9" t="s">
        <v>2614</v>
      </c>
      <c r="H1333" s="7" t="s">
        <v>129</v>
      </c>
      <c r="I1333" s="7"/>
      <c r="J1333" s="7" t="s">
        <v>4257</v>
      </c>
      <c r="K1333" s="32"/>
      <c r="L1333" s="91" t="s">
        <v>20</v>
      </c>
      <c r="M1333" s="55">
        <v>45260.0</v>
      </c>
      <c r="N1333" s="77" t="str">
        <f t="shared" si="1"/>
        <v>outubro</v>
      </c>
    </row>
    <row r="1334">
      <c r="A1334" s="7" t="s">
        <v>4258</v>
      </c>
      <c r="B1334" s="8">
        <v>45219.47886998842</v>
      </c>
      <c r="C1334" s="7" t="s">
        <v>512</v>
      </c>
      <c r="D1334" s="7">
        <v>5340.0</v>
      </c>
      <c r="E1334" s="25" t="s">
        <v>70</v>
      </c>
      <c r="F1334" s="7" t="s">
        <v>1090</v>
      </c>
      <c r="G1334" s="9" t="s">
        <v>945</v>
      </c>
      <c r="H1334" s="7" t="s">
        <v>79</v>
      </c>
      <c r="I1334" s="7"/>
      <c r="J1334" s="7" t="s">
        <v>4259</v>
      </c>
      <c r="K1334" s="30"/>
      <c r="L1334" s="91" t="s">
        <v>20</v>
      </c>
      <c r="M1334" s="18">
        <v>45366.0</v>
      </c>
      <c r="N1334" s="77" t="str">
        <f t="shared" si="1"/>
        <v>outubro</v>
      </c>
    </row>
    <row r="1335">
      <c r="A1335" s="25" t="s">
        <v>4260</v>
      </c>
      <c r="B1335" s="59">
        <v>45219.64904150463</v>
      </c>
      <c r="C1335" s="25" t="s">
        <v>53</v>
      </c>
      <c r="D1335" s="25">
        <v>5357.0</v>
      </c>
      <c r="E1335" s="20" t="s">
        <v>288</v>
      </c>
      <c r="F1335" s="25" t="s">
        <v>55</v>
      </c>
      <c r="G1335" s="25" t="s">
        <v>1119</v>
      </c>
      <c r="H1335" s="25" t="s">
        <v>18</v>
      </c>
      <c r="I1335" s="25"/>
      <c r="J1335" s="25" t="s">
        <v>4261</v>
      </c>
      <c r="K1335" s="20" t="s">
        <v>4262</v>
      </c>
      <c r="L1335" s="26" t="s">
        <v>74</v>
      </c>
      <c r="M1335" s="64">
        <v>45223.0</v>
      </c>
      <c r="N1335" s="77" t="str">
        <f t="shared" si="1"/>
        <v>outubro</v>
      </c>
    </row>
    <row r="1336">
      <c r="A1336" s="25" t="s">
        <v>4263</v>
      </c>
      <c r="B1336" s="59">
        <v>45222.504453182875</v>
      </c>
      <c r="C1336" s="25" t="s">
        <v>4264</v>
      </c>
      <c r="D1336" s="25">
        <v>5360.0</v>
      </c>
      <c r="E1336" s="25" t="s">
        <v>371</v>
      </c>
      <c r="F1336" s="25" t="s">
        <v>49</v>
      </c>
      <c r="G1336" s="25" t="s">
        <v>375</v>
      </c>
      <c r="H1336" s="25" t="s">
        <v>162</v>
      </c>
      <c r="I1336" s="25"/>
      <c r="J1336" s="25" t="s">
        <v>4265</v>
      </c>
      <c r="K1336" s="25"/>
      <c r="L1336" s="26" t="s">
        <v>20</v>
      </c>
      <c r="M1336" s="64">
        <v>45224.0</v>
      </c>
      <c r="N1336" s="77" t="str">
        <f t="shared" si="1"/>
        <v>outubro</v>
      </c>
    </row>
    <row r="1337">
      <c r="A1337" s="7" t="s">
        <v>4266</v>
      </c>
      <c r="B1337" s="8">
        <v>45222.50781599537</v>
      </c>
      <c r="C1337" s="7" t="s">
        <v>1272</v>
      </c>
      <c r="D1337" s="7">
        <v>5360.0</v>
      </c>
      <c r="E1337" s="7" t="s">
        <v>371</v>
      </c>
      <c r="F1337" s="25" t="s">
        <v>49</v>
      </c>
      <c r="G1337" s="9" t="s">
        <v>375</v>
      </c>
      <c r="H1337" s="7" t="s">
        <v>4267</v>
      </c>
      <c r="I1337" s="7"/>
      <c r="J1337" s="7" t="s">
        <v>4268</v>
      </c>
      <c r="K1337" s="32"/>
      <c r="L1337" s="91" t="s">
        <v>20</v>
      </c>
      <c r="M1337" s="55">
        <v>45258.0</v>
      </c>
      <c r="N1337" s="77" t="str">
        <f t="shared" si="1"/>
        <v>outubro</v>
      </c>
    </row>
    <row r="1338">
      <c r="A1338" s="7" t="s">
        <v>4269</v>
      </c>
      <c r="B1338" s="8">
        <v>45222.51180623843</v>
      </c>
      <c r="C1338" s="7" t="s">
        <v>1272</v>
      </c>
      <c r="D1338" s="7">
        <v>5360.0</v>
      </c>
      <c r="E1338" s="7" t="s">
        <v>371</v>
      </c>
      <c r="F1338" s="25" t="s">
        <v>49</v>
      </c>
      <c r="G1338" s="9" t="s">
        <v>4270</v>
      </c>
      <c r="H1338" s="7" t="s">
        <v>1734</v>
      </c>
      <c r="I1338" s="7"/>
      <c r="J1338" s="7" t="s">
        <v>4271</v>
      </c>
      <c r="K1338" s="32"/>
      <c r="L1338" s="91" t="s">
        <v>20</v>
      </c>
      <c r="M1338" s="55">
        <v>45268.0</v>
      </c>
      <c r="N1338" s="77" t="str">
        <f t="shared" si="1"/>
        <v>outubro</v>
      </c>
    </row>
    <row r="1339">
      <c r="A1339" s="7" t="s">
        <v>4272</v>
      </c>
      <c r="B1339" s="8">
        <v>45222.51756674769</v>
      </c>
      <c r="C1339" s="7" t="s">
        <v>1272</v>
      </c>
      <c r="D1339" s="7">
        <v>5360.0</v>
      </c>
      <c r="E1339" s="7" t="s">
        <v>371</v>
      </c>
      <c r="F1339" s="25" t="s">
        <v>49</v>
      </c>
      <c r="G1339" s="9" t="s">
        <v>4273</v>
      </c>
      <c r="H1339" s="7" t="s">
        <v>764</v>
      </c>
      <c r="I1339" s="7"/>
      <c r="J1339" s="7" t="s">
        <v>4274</v>
      </c>
      <c r="K1339" s="32"/>
      <c r="L1339" s="91" t="s">
        <v>4275</v>
      </c>
      <c r="M1339" s="55">
        <v>45260.0</v>
      </c>
      <c r="N1339" s="77" t="str">
        <f t="shared" si="1"/>
        <v>outubro</v>
      </c>
    </row>
    <row r="1340">
      <c r="A1340" s="7" t="s">
        <v>4276</v>
      </c>
      <c r="B1340" s="8">
        <v>45222.52655693287</v>
      </c>
      <c r="C1340" s="7" t="s">
        <v>1272</v>
      </c>
      <c r="D1340" s="7">
        <v>5360.0</v>
      </c>
      <c r="E1340" s="7" t="s">
        <v>371</v>
      </c>
      <c r="F1340" s="25" t="s">
        <v>49</v>
      </c>
      <c r="G1340" s="9" t="s">
        <v>4277</v>
      </c>
      <c r="H1340" s="7" t="s">
        <v>4267</v>
      </c>
      <c r="I1340" s="7"/>
      <c r="J1340" s="7" t="s">
        <v>4278</v>
      </c>
      <c r="K1340" s="32"/>
      <c r="L1340" s="91" t="s">
        <v>20</v>
      </c>
      <c r="M1340" s="55">
        <v>45258.0</v>
      </c>
      <c r="N1340" s="77" t="str">
        <f t="shared" si="1"/>
        <v>outubro</v>
      </c>
    </row>
    <row r="1341">
      <c r="A1341" s="25" t="s">
        <v>4279</v>
      </c>
      <c r="B1341" s="59">
        <v>45222.53042604167</v>
      </c>
      <c r="C1341" s="25" t="s">
        <v>1272</v>
      </c>
      <c r="D1341" s="25">
        <v>5360.0</v>
      </c>
      <c r="E1341" s="25" t="s">
        <v>371</v>
      </c>
      <c r="F1341" s="25" t="s">
        <v>49</v>
      </c>
      <c r="G1341" s="25" t="s">
        <v>4280</v>
      </c>
      <c r="H1341" s="25" t="s">
        <v>162</v>
      </c>
      <c r="I1341" s="25"/>
      <c r="J1341" s="25" t="s">
        <v>4281</v>
      </c>
      <c r="K1341" s="25"/>
      <c r="L1341" s="26" t="s">
        <v>20</v>
      </c>
      <c r="M1341" s="64">
        <v>45224.0</v>
      </c>
      <c r="N1341" s="77" t="str">
        <f t="shared" si="1"/>
        <v>outubro</v>
      </c>
    </row>
    <row r="1342">
      <c r="A1342" s="7" t="s">
        <v>4282</v>
      </c>
      <c r="B1342" s="8">
        <v>45222.56377976852</v>
      </c>
      <c r="C1342" s="7" t="s">
        <v>1272</v>
      </c>
      <c r="D1342" s="7">
        <v>5360.0</v>
      </c>
      <c r="E1342" s="7" t="s">
        <v>371</v>
      </c>
      <c r="F1342" s="25" t="s">
        <v>49</v>
      </c>
      <c r="G1342" s="9" t="s">
        <v>4283</v>
      </c>
      <c r="H1342" s="7" t="s">
        <v>4267</v>
      </c>
      <c r="I1342" s="7"/>
      <c r="J1342" s="7" t="s">
        <v>4278</v>
      </c>
      <c r="K1342" s="32"/>
      <c r="L1342" s="91" t="s">
        <v>20</v>
      </c>
      <c r="M1342" s="55">
        <v>45258.0</v>
      </c>
      <c r="N1342" s="77" t="str">
        <f t="shared" si="1"/>
        <v>outubro</v>
      </c>
    </row>
    <row r="1343">
      <c r="A1343" s="7" t="s">
        <v>4284</v>
      </c>
      <c r="B1343" s="8">
        <v>45222.566160393515</v>
      </c>
      <c r="C1343" s="7" t="s">
        <v>1272</v>
      </c>
      <c r="D1343" s="7">
        <v>5360.0</v>
      </c>
      <c r="E1343" s="7" t="s">
        <v>371</v>
      </c>
      <c r="F1343" s="25" t="s">
        <v>49</v>
      </c>
      <c r="G1343" s="9" t="s">
        <v>4283</v>
      </c>
      <c r="H1343" s="7" t="s">
        <v>1734</v>
      </c>
      <c r="I1343" s="7"/>
      <c r="J1343" s="7" t="s">
        <v>4285</v>
      </c>
      <c r="K1343" s="32"/>
      <c r="L1343" s="91" t="s">
        <v>20</v>
      </c>
      <c r="M1343" s="55">
        <v>45268.0</v>
      </c>
      <c r="N1343" s="77" t="str">
        <f t="shared" si="1"/>
        <v>outubro</v>
      </c>
    </row>
    <row r="1344">
      <c r="A1344" s="25" t="s">
        <v>4286</v>
      </c>
      <c r="B1344" s="59">
        <v>45222.60554837963</v>
      </c>
      <c r="C1344" s="25" t="s">
        <v>525</v>
      </c>
      <c r="D1344" s="25">
        <v>3.4999071369E10</v>
      </c>
      <c r="E1344" s="25" t="s">
        <v>160</v>
      </c>
      <c r="F1344" s="25" t="s">
        <v>4287</v>
      </c>
      <c r="G1344" s="25" t="s">
        <v>4288</v>
      </c>
      <c r="H1344" s="25" t="s">
        <v>79</v>
      </c>
      <c r="I1344" s="25"/>
      <c r="J1344" s="25" t="s">
        <v>4289</v>
      </c>
      <c r="K1344" s="25"/>
      <c r="L1344" s="26" t="s">
        <v>20</v>
      </c>
      <c r="M1344" s="64">
        <v>45223.0</v>
      </c>
      <c r="N1344" s="77" t="str">
        <f t="shared" si="1"/>
        <v>outubro</v>
      </c>
    </row>
    <row r="1345">
      <c r="A1345" s="7" t="s">
        <v>4290</v>
      </c>
      <c r="B1345" s="8">
        <v>45222.61453769676</v>
      </c>
      <c r="C1345" s="7" t="s">
        <v>2177</v>
      </c>
      <c r="D1345" s="7">
        <v>5308.0</v>
      </c>
      <c r="E1345" s="7" t="s">
        <v>1372</v>
      </c>
      <c r="F1345" s="7" t="s">
        <v>4291</v>
      </c>
      <c r="G1345" s="9" t="s">
        <v>4291</v>
      </c>
      <c r="H1345" s="7" t="s">
        <v>162</v>
      </c>
      <c r="I1345" s="7"/>
      <c r="J1345" s="7" t="s">
        <v>4292</v>
      </c>
      <c r="K1345" s="32"/>
      <c r="L1345" s="91" t="s">
        <v>20</v>
      </c>
      <c r="M1345" s="55">
        <v>45230.0</v>
      </c>
      <c r="N1345" s="77" t="str">
        <f t="shared" si="1"/>
        <v>outubro</v>
      </c>
    </row>
    <row r="1346">
      <c r="A1346" s="7" t="s">
        <v>4293</v>
      </c>
      <c r="B1346" s="8">
        <v>45222.65395789352</v>
      </c>
      <c r="C1346" s="7" t="s">
        <v>4294</v>
      </c>
      <c r="D1346" s="7">
        <v>3.4115304E7</v>
      </c>
      <c r="E1346" s="7" t="s">
        <v>1097</v>
      </c>
      <c r="F1346" s="7" t="s">
        <v>2882</v>
      </c>
      <c r="G1346" s="9" t="s">
        <v>4295</v>
      </c>
      <c r="H1346" s="7" t="s">
        <v>764</v>
      </c>
      <c r="I1346" s="7"/>
      <c r="J1346" s="7" t="s">
        <v>4296</v>
      </c>
      <c r="K1346" s="32"/>
      <c r="L1346" s="91" t="s">
        <v>20</v>
      </c>
      <c r="M1346" s="55">
        <v>45238.0</v>
      </c>
      <c r="N1346" s="77" t="str">
        <f t="shared" si="1"/>
        <v>outubro</v>
      </c>
    </row>
    <row r="1347">
      <c r="A1347" s="7" t="s">
        <v>4297</v>
      </c>
      <c r="B1347" s="8">
        <v>45223.37477997685</v>
      </c>
      <c r="C1347" s="7" t="s">
        <v>1272</v>
      </c>
      <c r="D1347" s="7">
        <v>5360.0</v>
      </c>
      <c r="E1347" s="7" t="s">
        <v>371</v>
      </c>
      <c r="F1347" s="25" t="s">
        <v>49</v>
      </c>
      <c r="G1347" s="9" t="s">
        <v>4298</v>
      </c>
      <c r="H1347" s="7" t="s">
        <v>79</v>
      </c>
      <c r="I1347" s="7"/>
      <c r="J1347" s="7" t="s">
        <v>4299</v>
      </c>
      <c r="K1347" s="32"/>
      <c r="L1347" s="91" t="s">
        <v>20</v>
      </c>
      <c r="M1347" s="55">
        <v>45236.0</v>
      </c>
      <c r="N1347" s="77" t="str">
        <f t="shared" si="1"/>
        <v>outubro</v>
      </c>
    </row>
    <row r="1348">
      <c r="A1348" s="25" t="s">
        <v>4300</v>
      </c>
      <c r="B1348" s="59">
        <v>45223.42543604167</v>
      </c>
      <c r="C1348" s="25" t="s">
        <v>1272</v>
      </c>
      <c r="D1348" s="25">
        <v>5360.0</v>
      </c>
      <c r="E1348" s="25" t="s">
        <v>371</v>
      </c>
      <c r="F1348" s="25" t="s">
        <v>49</v>
      </c>
      <c r="G1348" s="25" t="s">
        <v>4301</v>
      </c>
      <c r="H1348" s="25" t="s">
        <v>129</v>
      </c>
      <c r="I1348" s="25"/>
      <c r="J1348" s="25" t="s">
        <v>4302</v>
      </c>
      <c r="K1348" s="25"/>
      <c r="L1348" s="26" t="s">
        <v>20</v>
      </c>
      <c r="M1348" s="64">
        <v>45224.0</v>
      </c>
      <c r="N1348" s="77" t="str">
        <f t="shared" si="1"/>
        <v>outubro</v>
      </c>
    </row>
    <row r="1349">
      <c r="A1349" s="7" t="s">
        <v>4303</v>
      </c>
      <c r="B1349" s="8">
        <v>45223.429508229165</v>
      </c>
      <c r="C1349" s="7" t="s">
        <v>1272</v>
      </c>
      <c r="D1349" s="7">
        <v>5360.0</v>
      </c>
      <c r="E1349" s="7" t="s">
        <v>371</v>
      </c>
      <c r="F1349" s="25" t="s">
        <v>49</v>
      </c>
      <c r="G1349" s="9" t="s">
        <v>4304</v>
      </c>
      <c r="H1349" s="7" t="s">
        <v>162</v>
      </c>
      <c r="I1349" s="7"/>
      <c r="J1349" s="7" t="s">
        <v>4305</v>
      </c>
      <c r="K1349" s="32"/>
      <c r="L1349" s="91" t="s">
        <v>20</v>
      </c>
      <c r="M1349" s="55">
        <v>45264.0</v>
      </c>
      <c r="N1349" s="77" t="str">
        <f t="shared" si="1"/>
        <v>outubro</v>
      </c>
    </row>
    <row r="1350">
      <c r="A1350" s="7" t="s">
        <v>4306</v>
      </c>
      <c r="B1350" s="8">
        <v>45223.43173965278</v>
      </c>
      <c r="C1350" s="7" t="s">
        <v>1272</v>
      </c>
      <c r="D1350" s="7">
        <v>5360.0</v>
      </c>
      <c r="E1350" s="7" t="s">
        <v>371</v>
      </c>
      <c r="F1350" s="25" t="s">
        <v>49</v>
      </c>
      <c r="G1350" s="9" t="s">
        <v>4307</v>
      </c>
      <c r="H1350" s="7" t="s">
        <v>4267</v>
      </c>
      <c r="I1350" s="7"/>
      <c r="J1350" s="7" t="s">
        <v>4308</v>
      </c>
      <c r="K1350" s="32"/>
      <c r="L1350" s="91" t="s">
        <v>20</v>
      </c>
      <c r="M1350" s="55">
        <v>45258.0</v>
      </c>
      <c r="N1350" s="77" t="str">
        <f t="shared" si="1"/>
        <v>outubro</v>
      </c>
    </row>
    <row r="1351">
      <c r="A1351" s="7" t="s">
        <v>4309</v>
      </c>
      <c r="B1351" s="8">
        <v>45223.43693777778</v>
      </c>
      <c r="C1351" s="7" t="s">
        <v>1272</v>
      </c>
      <c r="D1351" s="7">
        <v>5360.0</v>
      </c>
      <c r="E1351" s="7" t="s">
        <v>371</v>
      </c>
      <c r="F1351" s="25" t="s">
        <v>49</v>
      </c>
      <c r="G1351" s="9" t="s">
        <v>4307</v>
      </c>
      <c r="H1351" s="7" t="s">
        <v>1734</v>
      </c>
      <c r="I1351" s="7"/>
      <c r="J1351" s="7" t="s">
        <v>4310</v>
      </c>
      <c r="K1351" s="32"/>
      <c r="L1351" s="91" t="s">
        <v>20</v>
      </c>
      <c r="M1351" s="55">
        <v>45268.0</v>
      </c>
      <c r="N1351" s="77" t="str">
        <f t="shared" si="1"/>
        <v>outubro</v>
      </c>
    </row>
    <row r="1352">
      <c r="A1352" s="7" t="s">
        <v>4311</v>
      </c>
      <c r="B1352" s="8">
        <v>45223.44181777778</v>
      </c>
      <c r="C1352" s="7" t="s">
        <v>1272</v>
      </c>
      <c r="D1352" s="7">
        <v>5360.0</v>
      </c>
      <c r="E1352" s="7" t="s">
        <v>371</v>
      </c>
      <c r="F1352" s="25" t="s">
        <v>49</v>
      </c>
      <c r="G1352" s="9" t="s">
        <v>4312</v>
      </c>
      <c r="H1352" s="7" t="s">
        <v>1853</v>
      </c>
      <c r="I1352" s="7"/>
      <c r="J1352" s="7" t="s">
        <v>4313</v>
      </c>
      <c r="K1352" s="32"/>
      <c r="L1352" s="91" t="s">
        <v>20</v>
      </c>
      <c r="M1352" s="55">
        <v>45268.0</v>
      </c>
      <c r="N1352" s="77" t="str">
        <f t="shared" si="1"/>
        <v>outubro</v>
      </c>
    </row>
    <row r="1353">
      <c r="A1353" s="7" t="s">
        <v>4314</v>
      </c>
      <c r="B1353" s="8">
        <v>45223.44549438657</v>
      </c>
      <c r="C1353" s="7" t="s">
        <v>1272</v>
      </c>
      <c r="D1353" s="7">
        <v>5360.0</v>
      </c>
      <c r="E1353" s="7" t="s">
        <v>371</v>
      </c>
      <c r="F1353" s="25" t="s">
        <v>49</v>
      </c>
      <c r="G1353" s="9" t="s">
        <v>4315</v>
      </c>
      <c r="H1353" s="7" t="s">
        <v>4267</v>
      </c>
      <c r="I1353" s="7"/>
      <c r="J1353" s="7" t="s">
        <v>4315</v>
      </c>
      <c r="K1353" s="32"/>
      <c r="L1353" s="91" t="s">
        <v>20</v>
      </c>
      <c r="M1353" s="55">
        <v>45258.0</v>
      </c>
      <c r="N1353" s="77" t="str">
        <f t="shared" si="1"/>
        <v>outubro</v>
      </c>
    </row>
    <row r="1354">
      <c r="A1354" s="7" t="s">
        <v>4316</v>
      </c>
      <c r="B1354" s="8">
        <v>45223.44775628472</v>
      </c>
      <c r="C1354" s="7" t="s">
        <v>1272</v>
      </c>
      <c r="D1354" s="7">
        <v>5360.0</v>
      </c>
      <c r="E1354" s="7" t="s">
        <v>371</v>
      </c>
      <c r="F1354" s="25" t="s">
        <v>49</v>
      </c>
      <c r="G1354" s="9" t="s">
        <v>4317</v>
      </c>
      <c r="H1354" s="7" t="s">
        <v>1734</v>
      </c>
      <c r="I1354" s="7"/>
      <c r="J1354" s="7" t="s">
        <v>4318</v>
      </c>
      <c r="K1354" s="32"/>
      <c r="L1354" s="91" t="s">
        <v>20</v>
      </c>
      <c r="M1354" s="43"/>
      <c r="N1354" s="77" t="str">
        <f t="shared" si="1"/>
        <v>outubro</v>
      </c>
    </row>
    <row r="1355">
      <c r="A1355" s="7" t="s">
        <v>4319</v>
      </c>
      <c r="B1355" s="8">
        <v>45223.52445269676</v>
      </c>
      <c r="C1355" s="7" t="s">
        <v>1272</v>
      </c>
      <c r="D1355" s="7">
        <v>5360.0</v>
      </c>
      <c r="E1355" s="7" t="s">
        <v>371</v>
      </c>
      <c r="F1355" s="25" t="s">
        <v>49</v>
      </c>
      <c r="G1355" s="9" t="s">
        <v>4320</v>
      </c>
      <c r="H1355" s="7" t="s">
        <v>1734</v>
      </c>
      <c r="I1355" s="7"/>
      <c r="J1355" s="7" t="s">
        <v>4321</v>
      </c>
      <c r="K1355" s="32"/>
      <c r="L1355" s="91" t="s">
        <v>20</v>
      </c>
      <c r="M1355" s="55">
        <v>45272.0</v>
      </c>
      <c r="N1355" s="77" t="str">
        <f t="shared" si="1"/>
        <v>outubro</v>
      </c>
    </row>
    <row r="1356">
      <c r="A1356" s="7" t="s">
        <v>4322</v>
      </c>
      <c r="B1356" s="8">
        <v>45223.52679496528</v>
      </c>
      <c r="C1356" s="7" t="s">
        <v>1272</v>
      </c>
      <c r="D1356" s="7">
        <v>5360.0</v>
      </c>
      <c r="E1356" s="7" t="s">
        <v>371</v>
      </c>
      <c r="F1356" s="25" t="s">
        <v>49</v>
      </c>
      <c r="G1356" s="9" t="s">
        <v>4323</v>
      </c>
      <c r="H1356" s="7" t="s">
        <v>1734</v>
      </c>
      <c r="I1356" s="7"/>
      <c r="J1356" s="7" t="s">
        <v>4324</v>
      </c>
      <c r="K1356" s="32"/>
      <c r="L1356" s="91" t="s">
        <v>20</v>
      </c>
      <c r="M1356" s="55">
        <v>45268.0</v>
      </c>
      <c r="N1356" s="77" t="str">
        <f t="shared" si="1"/>
        <v>outubro</v>
      </c>
    </row>
    <row r="1357">
      <c r="A1357" s="7" t="s">
        <v>4325</v>
      </c>
      <c r="B1357" s="8">
        <v>45223.52844085648</v>
      </c>
      <c r="C1357" s="7" t="s">
        <v>1272</v>
      </c>
      <c r="D1357" s="7">
        <v>5360.0</v>
      </c>
      <c r="E1357" s="7" t="s">
        <v>371</v>
      </c>
      <c r="F1357" s="25" t="s">
        <v>49</v>
      </c>
      <c r="G1357" s="9" t="s">
        <v>4323</v>
      </c>
      <c r="H1357" s="7" t="s">
        <v>1734</v>
      </c>
      <c r="I1357" s="7"/>
      <c r="J1357" s="7" t="s">
        <v>4326</v>
      </c>
      <c r="K1357" s="32"/>
      <c r="L1357" s="91" t="s">
        <v>20</v>
      </c>
      <c r="M1357" s="55">
        <v>45268.0</v>
      </c>
      <c r="N1357" s="77" t="str">
        <f t="shared" si="1"/>
        <v>outubro</v>
      </c>
    </row>
    <row r="1358">
      <c r="A1358" s="7" t="s">
        <v>4327</v>
      </c>
      <c r="B1358" s="8">
        <v>45223.53328606482</v>
      </c>
      <c r="C1358" s="7" t="s">
        <v>2619</v>
      </c>
      <c r="D1358" s="7">
        <v>5360.0</v>
      </c>
      <c r="E1358" s="7" t="s">
        <v>371</v>
      </c>
      <c r="F1358" s="25" t="s">
        <v>49</v>
      </c>
      <c r="G1358" s="9" t="s">
        <v>4323</v>
      </c>
      <c r="H1358" s="7" t="s">
        <v>162</v>
      </c>
      <c r="I1358" s="7"/>
      <c r="J1358" s="7" t="s">
        <v>4328</v>
      </c>
      <c r="K1358" s="32"/>
      <c r="L1358" s="91" t="s">
        <v>20</v>
      </c>
      <c r="M1358" s="55">
        <v>45236.0</v>
      </c>
      <c r="N1358" s="77" t="str">
        <f t="shared" si="1"/>
        <v>outubro</v>
      </c>
    </row>
    <row r="1359">
      <c r="A1359" s="7" t="s">
        <v>4329</v>
      </c>
      <c r="B1359" s="8">
        <v>45223.5368316088</v>
      </c>
      <c r="C1359" s="7" t="s">
        <v>1272</v>
      </c>
      <c r="D1359" s="7">
        <v>5360.0</v>
      </c>
      <c r="E1359" s="7" t="s">
        <v>371</v>
      </c>
      <c r="F1359" s="25" t="s">
        <v>49</v>
      </c>
      <c r="G1359" s="9" t="s">
        <v>4330</v>
      </c>
      <c r="H1359" s="7" t="s">
        <v>1734</v>
      </c>
      <c r="I1359" s="7"/>
      <c r="J1359" s="7" t="s">
        <v>4331</v>
      </c>
      <c r="K1359" s="32"/>
      <c r="L1359" s="91" t="s">
        <v>20</v>
      </c>
      <c r="M1359" s="55">
        <v>45247.0</v>
      </c>
      <c r="N1359" s="77" t="str">
        <f t="shared" si="1"/>
        <v>outubro</v>
      </c>
    </row>
    <row r="1360">
      <c r="A1360" s="7" t="s">
        <v>4332</v>
      </c>
      <c r="B1360" s="8">
        <v>45223.57706003472</v>
      </c>
      <c r="C1360" s="7" t="s">
        <v>1272</v>
      </c>
      <c r="D1360" s="7">
        <v>5360.0</v>
      </c>
      <c r="E1360" s="7" t="s">
        <v>371</v>
      </c>
      <c r="F1360" s="25" t="s">
        <v>49</v>
      </c>
      <c r="G1360" s="9" t="s">
        <v>4333</v>
      </c>
      <c r="H1360" s="7" t="s">
        <v>1734</v>
      </c>
      <c r="I1360" s="7"/>
      <c r="J1360" s="7" t="s">
        <v>4334</v>
      </c>
      <c r="K1360" s="32"/>
      <c r="L1360" s="91" t="s">
        <v>20</v>
      </c>
      <c r="M1360" s="55">
        <v>45247.0</v>
      </c>
      <c r="N1360" s="77" t="str">
        <f t="shared" si="1"/>
        <v>outubro</v>
      </c>
    </row>
    <row r="1361">
      <c r="A1361" s="25" t="s">
        <v>4335</v>
      </c>
      <c r="B1361" s="59">
        <v>45223.57897076389</v>
      </c>
      <c r="C1361" s="25" t="s">
        <v>1272</v>
      </c>
      <c r="D1361" s="25">
        <v>5360.0</v>
      </c>
      <c r="E1361" s="25" t="s">
        <v>371</v>
      </c>
      <c r="F1361" s="25" t="s">
        <v>49</v>
      </c>
      <c r="G1361" s="25" t="s">
        <v>4336</v>
      </c>
      <c r="H1361" s="25" t="s">
        <v>162</v>
      </c>
      <c r="I1361" s="25"/>
      <c r="J1361" s="25" t="s">
        <v>4337</v>
      </c>
      <c r="K1361" s="25"/>
      <c r="L1361" s="26" t="s">
        <v>20</v>
      </c>
      <c r="M1361" s="64">
        <v>45224.0</v>
      </c>
      <c r="N1361" s="77" t="str">
        <f t="shared" si="1"/>
        <v>outubro</v>
      </c>
    </row>
    <row r="1362">
      <c r="A1362" s="25" t="s">
        <v>4338</v>
      </c>
      <c r="B1362" s="59">
        <v>45224.24081513889</v>
      </c>
      <c r="C1362" s="25" t="s">
        <v>4090</v>
      </c>
      <c r="D1362" s="25">
        <v>5318.0</v>
      </c>
      <c r="E1362" s="25" t="s">
        <v>15</v>
      </c>
      <c r="F1362" s="25" t="s">
        <v>86</v>
      </c>
      <c r="G1362" s="25" t="s">
        <v>3390</v>
      </c>
      <c r="H1362" s="25" t="s">
        <v>18</v>
      </c>
      <c r="I1362" s="25"/>
      <c r="J1362" s="25" t="s">
        <v>4339</v>
      </c>
      <c r="K1362" s="25"/>
      <c r="L1362" s="26" t="s">
        <v>20</v>
      </c>
      <c r="M1362" s="64">
        <v>45224.0</v>
      </c>
      <c r="N1362" s="77" t="str">
        <f t="shared" si="1"/>
        <v>outubro</v>
      </c>
    </row>
    <row r="1363">
      <c r="A1363" s="7" t="s">
        <v>4340</v>
      </c>
      <c r="B1363" s="8">
        <v>45224.31655322917</v>
      </c>
      <c r="C1363" s="7" t="s">
        <v>3161</v>
      </c>
      <c r="D1363" s="7" t="s">
        <v>1027</v>
      </c>
      <c r="E1363" s="25" t="s">
        <v>187</v>
      </c>
      <c r="F1363" s="25" t="s">
        <v>347</v>
      </c>
      <c r="G1363" s="9" t="s">
        <v>4341</v>
      </c>
      <c r="H1363" s="7" t="s">
        <v>1734</v>
      </c>
      <c r="I1363" s="7"/>
      <c r="J1363" s="7" t="s">
        <v>4342</v>
      </c>
      <c r="K1363" s="32"/>
      <c r="L1363" s="91" t="s">
        <v>20</v>
      </c>
      <c r="M1363" s="55">
        <v>45253.0</v>
      </c>
      <c r="N1363" s="77" t="str">
        <f t="shared" si="1"/>
        <v>outubro</v>
      </c>
    </row>
    <row r="1364">
      <c r="A1364" s="7" t="s">
        <v>4343</v>
      </c>
      <c r="B1364" s="8">
        <v>45224.34124005787</v>
      </c>
      <c r="C1364" s="7" t="s">
        <v>3665</v>
      </c>
      <c r="D1364" s="7">
        <v>5340.0</v>
      </c>
      <c r="E1364" s="25" t="s">
        <v>70</v>
      </c>
      <c r="F1364" s="7" t="s">
        <v>3881</v>
      </c>
      <c r="G1364" s="9" t="s">
        <v>4344</v>
      </c>
      <c r="H1364" s="7" t="s">
        <v>79</v>
      </c>
      <c r="I1364" s="7"/>
      <c r="J1364" s="7" t="s">
        <v>4345</v>
      </c>
      <c r="K1364" s="32"/>
      <c r="L1364" s="91" t="s">
        <v>20</v>
      </c>
      <c r="M1364" s="55">
        <v>45236.0</v>
      </c>
      <c r="N1364" s="77" t="str">
        <f t="shared" si="1"/>
        <v>outubro</v>
      </c>
    </row>
    <row r="1365">
      <c r="A1365" s="7" t="s">
        <v>4346</v>
      </c>
      <c r="B1365" s="8">
        <v>45224.34480928241</v>
      </c>
      <c r="C1365" s="7" t="s">
        <v>3665</v>
      </c>
      <c r="D1365" s="7">
        <v>5340.0</v>
      </c>
      <c r="E1365" s="25" t="s">
        <v>70</v>
      </c>
      <c r="F1365" s="7" t="s">
        <v>3759</v>
      </c>
      <c r="G1365" s="9" t="s">
        <v>4347</v>
      </c>
      <c r="H1365" s="7" t="s">
        <v>79</v>
      </c>
      <c r="I1365" s="7"/>
      <c r="J1365" s="7" t="s">
        <v>4348</v>
      </c>
      <c r="K1365" s="32"/>
      <c r="L1365" s="91" t="s">
        <v>20</v>
      </c>
      <c r="M1365" s="55">
        <v>45236.0</v>
      </c>
      <c r="N1365" s="77" t="str">
        <f t="shared" si="1"/>
        <v>outubro</v>
      </c>
    </row>
    <row r="1366">
      <c r="A1366" s="25" t="s">
        <v>4349</v>
      </c>
      <c r="B1366" s="59">
        <v>45224.35198989583</v>
      </c>
      <c r="C1366" s="25" t="s">
        <v>3665</v>
      </c>
      <c r="D1366" s="25" t="s">
        <v>4350</v>
      </c>
      <c r="E1366" s="25" t="s">
        <v>70</v>
      </c>
      <c r="F1366" s="25" t="s">
        <v>3759</v>
      </c>
      <c r="G1366" s="25" t="s">
        <v>4350</v>
      </c>
      <c r="H1366" s="25" t="s">
        <v>79</v>
      </c>
      <c r="I1366" s="25"/>
      <c r="J1366" s="25" t="s">
        <v>4351</v>
      </c>
      <c r="K1366" s="25"/>
      <c r="L1366" s="26" t="s">
        <v>20</v>
      </c>
      <c r="M1366" s="64">
        <v>45224.0</v>
      </c>
      <c r="N1366" s="77" t="str">
        <f t="shared" si="1"/>
        <v>outubro</v>
      </c>
    </row>
    <row r="1367">
      <c r="A1367" s="7" t="s">
        <v>4352</v>
      </c>
      <c r="B1367" s="8">
        <v>45224.36119228009</v>
      </c>
      <c r="C1367" s="7" t="s">
        <v>4353</v>
      </c>
      <c r="D1367" s="7">
        <v>5333.0</v>
      </c>
      <c r="E1367" s="7" t="s">
        <v>41</v>
      </c>
      <c r="F1367" s="25" t="s">
        <v>42</v>
      </c>
      <c r="G1367" s="9" t="s">
        <v>3223</v>
      </c>
      <c r="H1367" s="7" t="s">
        <v>1734</v>
      </c>
      <c r="I1367" s="7"/>
      <c r="J1367" s="7" t="s">
        <v>4354</v>
      </c>
      <c r="K1367" s="32"/>
      <c r="L1367" s="91" t="s">
        <v>20</v>
      </c>
      <c r="M1367" s="55">
        <v>45236.0</v>
      </c>
      <c r="N1367" s="77" t="str">
        <f t="shared" si="1"/>
        <v>outubro</v>
      </c>
    </row>
    <row r="1368">
      <c r="A1368" s="7" t="s">
        <v>4355</v>
      </c>
      <c r="B1368" s="8">
        <v>45224.36627564815</v>
      </c>
      <c r="C1368" s="7" t="s">
        <v>1272</v>
      </c>
      <c r="D1368" s="7">
        <v>5360.0</v>
      </c>
      <c r="E1368" s="7" t="s">
        <v>371</v>
      </c>
      <c r="F1368" s="25" t="s">
        <v>49</v>
      </c>
      <c r="G1368" s="9" t="s">
        <v>4356</v>
      </c>
      <c r="H1368" s="7" t="s">
        <v>79</v>
      </c>
      <c r="I1368" s="7"/>
      <c r="J1368" s="7" t="s">
        <v>4357</v>
      </c>
      <c r="K1368" s="30"/>
      <c r="L1368" s="91" t="s">
        <v>20</v>
      </c>
      <c r="M1368" s="55">
        <v>45323.0</v>
      </c>
      <c r="N1368" s="77" t="str">
        <f t="shared" si="1"/>
        <v>outubro</v>
      </c>
    </row>
    <row r="1369">
      <c r="A1369" s="7" t="s">
        <v>4358</v>
      </c>
      <c r="B1369" s="8">
        <v>45224.366402604166</v>
      </c>
      <c r="C1369" s="7" t="s">
        <v>4359</v>
      </c>
      <c r="D1369" s="7">
        <v>6.4981321757E10</v>
      </c>
      <c r="E1369" s="25" t="s">
        <v>187</v>
      </c>
      <c r="F1369" s="25" t="s">
        <v>347</v>
      </c>
      <c r="G1369" s="9" t="s">
        <v>4341</v>
      </c>
      <c r="H1369" s="7" t="s">
        <v>1734</v>
      </c>
      <c r="I1369" s="7"/>
      <c r="J1369" s="7" t="s">
        <v>4360</v>
      </c>
      <c r="K1369" s="32"/>
      <c r="L1369" s="91" t="s">
        <v>20</v>
      </c>
      <c r="M1369" s="55">
        <v>45243.0</v>
      </c>
      <c r="N1369" s="77" t="str">
        <f t="shared" si="1"/>
        <v>outubro</v>
      </c>
    </row>
    <row r="1370">
      <c r="A1370" s="7" t="s">
        <v>4361</v>
      </c>
      <c r="B1370" s="8">
        <v>45224.3731667824</v>
      </c>
      <c r="C1370" s="7" t="s">
        <v>4353</v>
      </c>
      <c r="D1370" s="7">
        <v>5333.0</v>
      </c>
      <c r="E1370" s="7" t="s">
        <v>41</v>
      </c>
      <c r="F1370" s="25" t="s">
        <v>42</v>
      </c>
      <c r="G1370" s="9" t="s">
        <v>1020</v>
      </c>
      <c r="H1370" s="7" t="s">
        <v>1734</v>
      </c>
      <c r="I1370" s="7"/>
      <c r="J1370" s="7" t="s">
        <v>4362</v>
      </c>
      <c r="K1370" s="32"/>
      <c r="L1370" s="91" t="s">
        <v>20</v>
      </c>
      <c r="M1370" s="55">
        <v>45236.0</v>
      </c>
      <c r="N1370" s="77" t="str">
        <f t="shared" si="1"/>
        <v>outubro</v>
      </c>
    </row>
    <row r="1371">
      <c r="A1371" s="7" t="s">
        <v>4363</v>
      </c>
      <c r="B1371" s="8">
        <v>45224.37399721065</v>
      </c>
      <c r="C1371" s="7" t="s">
        <v>1272</v>
      </c>
      <c r="D1371" s="7">
        <v>5360.0</v>
      </c>
      <c r="E1371" s="7" t="s">
        <v>371</v>
      </c>
      <c r="F1371" s="25" t="s">
        <v>49</v>
      </c>
      <c r="G1371" s="9" t="s">
        <v>4364</v>
      </c>
      <c r="H1371" s="7" t="s">
        <v>1853</v>
      </c>
      <c r="I1371" s="7"/>
      <c r="J1371" s="7" t="s">
        <v>4365</v>
      </c>
      <c r="K1371" s="7" t="s">
        <v>4366</v>
      </c>
      <c r="L1371" s="91" t="s">
        <v>74</v>
      </c>
      <c r="M1371" s="55">
        <v>45261.0</v>
      </c>
      <c r="N1371" s="77" t="str">
        <f t="shared" si="1"/>
        <v>outubro</v>
      </c>
    </row>
    <row r="1372">
      <c r="A1372" s="7" t="s">
        <v>4367</v>
      </c>
      <c r="B1372" s="8">
        <v>45224.37750569444</v>
      </c>
      <c r="C1372" s="7" t="s">
        <v>1272</v>
      </c>
      <c r="D1372" s="7">
        <v>5360.0</v>
      </c>
      <c r="E1372" s="7" t="s">
        <v>371</v>
      </c>
      <c r="F1372" s="25" t="s">
        <v>49</v>
      </c>
      <c r="G1372" s="9" t="s">
        <v>4368</v>
      </c>
      <c r="H1372" s="7" t="s">
        <v>162</v>
      </c>
      <c r="I1372" s="7"/>
      <c r="J1372" s="7" t="s">
        <v>4369</v>
      </c>
      <c r="K1372" s="32"/>
      <c r="L1372" s="91" t="s">
        <v>20</v>
      </c>
      <c r="M1372" s="55">
        <v>45258.0</v>
      </c>
      <c r="N1372" s="77" t="str">
        <f t="shared" si="1"/>
        <v>outubro</v>
      </c>
    </row>
    <row r="1373">
      <c r="A1373" s="7" t="s">
        <v>4370</v>
      </c>
      <c r="B1373" s="8">
        <v>45224.37839138889</v>
      </c>
      <c r="C1373" s="7" t="s">
        <v>266</v>
      </c>
      <c r="D1373" s="7">
        <v>5343.0</v>
      </c>
      <c r="E1373" s="7" t="s">
        <v>987</v>
      </c>
      <c r="F1373" s="7" t="s">
        <v>987</v>
      </c>
      <c r="G1373" s="9" t="s">
        <v>987</v>
      </c>
      <c r="H1373" s="7" t="s">
        <v>764</v>
      </c>
      <c r="I1373" s="7"/>
      <c r="J1373" s="7" t="s">
        <v>4371</v>
      </c>
      <c r="K1373" s="32"/>
      <c r="L1373" s="91" t="s">
        <v>20</v>
      </c>
      <c r="M1373" s="55">
        <v>45238.0</v>
      </c>
      <c r="N1373" s="77" t="str">
        <f t="shared" si="1"/>
        <v>outubro</v>
      </c>
    </row>
    <row r="1374">
      <c r="A1374" s="7" t="s">
        <v>4372</v>
      </c>
      <c r="B1374" s="8">
        <v>45224.46944328704</v>
      </c>
      <c r="C1374" s="7" t="s">
        <v>3665</v>
      </c>
      <c r="D1374" s="7">
        <v>5340.0</v>
      </c>
      <c r="E1374" s="25" t="s">
        <v>70</v>
      </c>
      <c r="F1374" s="7" t="s">
        <v>3759</v>
      </c>
      <c r="G1374" s="9" t="s">
        <v>4373</v>
      </c>
      <c r="H1374" s="7" t="s">
        <v>764</v>
      </c>
      <c r="I1374" s="7"/>
      <c r="J1374" s="7" t="s">
        <v>4374</v>
      </c>
      <c r="K1374" s="30"/>
      <c r="L1374" s="91" t="s">
        <v>20</v>
      </c>
      <c r="M1374" s="55">
        <v>45288.0</v>
      </c>
      <c r="N1374" s="77" t="str">
        <f t="shared" si="1"/>
        <v>outubro</v>
      </c>
    </row>
    <row r="1375">
      <c r="A1375" s="25" t="s">
        <v>4375</v>
      </c>
      <c r="B1375" s="59">
        <v>45224.47313047454</v>
      </c>
      <c r="C1375" s="25" t="s">
        <v>4376</v>
      </c>
      <c r="D1375" s="25" t="s">
        <v>4377</v>
      </c>
      <c r="E1375" s="25" t="s">
        <v>160</v>
      </c>
      <c r="F1375" s="25" t="s">
        <v>4378</v>
      </c>
      <c r="G1375" s="25" t="s">
        <v>4378</v>
      </c>
      <c r="H1375" s="25" t="s">
        <v>764</v>
      </c>
      <c r="I1375" s="25"/>
      <c r="J1375" s="25" t="s">
        <v>4379</v>
      </c>
      <c r="K1375" s="25"/>
      <c r="L1375" s="26" t="s">
        <v>20</v>
      </c>
      <c r="M1375" s="64">
        <v>45225.0</v>
      </c>
      <c r="N1375" s="77" t="str">
        <f t="shared" si="1"/>
        <v>outubro</v>
      </c>
    </row>
    <row r="1376">
      <c r="A1376" s="7" t="s">
        <v>4380</v>
      </c>
      <c r="B1376" s="8">
        <v>45224.97666685186</v>
      </c>
      <c r="C1376" s="7" t="s">
        <v>2906</v>
      </c>
      <c r="D1376" s="7">
        <v>5318.0</v>
      </c>
      <c r="E1376" s="25" t="s">
        <v>15</v>
      </c>
      <c r="F1376" s="25" t="s">
        <v>86</v>
      </c>
      <c r="G1376" s="9" t="s">
        <v>86</v>
      </c>
      <c r="H1376" s="7" t="s">
        <v>18</v>
      </c>
      <c r="I1376" s="7"/>
      <c r="J1376" s="7" t="s">
        <v>4381</v>
      </c>
      <c r="K1376" s="32"/>
      <c r="L1376" s="91" t="s">
        <v>20</v>
      </c>
      <c r="M1376" s="55">
        <v>45253.0</v>
      </c>
      <c r="N1376" s="77" t="str">
        <f t="shared" si="1"/>
        <v>outubro</v>
      </c>
    </row>
    <row r="1377">
      <c r="A1377" s="7" t="s">
        <v>4382</v>
      </c>
      <c r="B1377" s="8">
        <v>45224.97803518518</v>
      </c>
      <c r="C1377" s="7" t="s">
        <v>65</v>
      </c>
      <c r="D1377" s="7">
        <v>5318.0</v>
      </c>
      <c r="E1377" s="25" t="s">
        <v>15</v>
      </c>
      <c r="F1377" s="25" t="s">
        <v>393</v>
      </c>
      <c r="G1377" s="9" t="s">
        <v>4383</v>
      </c>
      <c r="H1377" s="7" t="s">
        <v>18</v>
      </c>
      <c r="I1377" s="7"/>
      <c r="J1377" s="7" t="s">
        <v>4384</v>
      </c>
      <c r="K1377" s="32"/>
      <c r="L1377" s="91" t="s">
        <v>20</v>
      </c>
      <c r="M1377" s="55">
        <v>45253.0</v>
      </c>
      <c r="N1377" s="77" t="str">
        <f t="shared" si="1"/>
        <v>outubro</v>
      </c>
    </row>
    <row r="1378">
      <c r="A1378" s="7" t="s">
        <v>4385</v>
      </c>
      <c r="B1378" s="8">
        <v>45224.97965454861</v>
      </c>
      <c r="C1378" s="7" t="s">
        <v>4386</v>
      </c>
      <c r="D1378" s="7">
        <v>5318.0</v>
      </c>
      <c r="E1378" s="25" t="s">
        <v>15</v>
      </c>
      <c r="F1378" s="7" t="s">
        <v>2225</v>
      </c>
      <c r="G1378" s="9" t="s">
        <v>4387</v>
      </c>
      <c r="H1378" s="7" t="s">
        <v>18</v>
      </c>
      <c r="I1378" s="7"/>
      <c r="J1378" s="7" t="s">
        <v>4388</v>
      </c>
      <c r="K1378" s="32"/>
      <c r="L1378" s="91" t="s">
        <v>20</v>
      </c>
      <c r="M1378" s="55">
        <v>45253.0</v>
      </c>
      <c r="N1378" s="77" t="str">
        <f t="shared" si="1"/>
        <v>outubro</v>
      </c>
    </row>
    <row r="1379">
      <c r="A1379" s="7" t="s">
        <v>4389</v>
      </c>
      <c r="B1379" s="8">
        <v>45224.98138680556</v>
      </c>
      <c r="C1379" s="7" t="s">
        <v>65</v>
      </c>
      <c r="D1379" s="7">
        <v>5318.0</v>
      </c>
      <c r="E1379" s="25" t="s">
        <v>15</v>
      </c>
      <c r="F1379" s="7" t="s">
        <v>4390</v>
      </c>
      <c r="G1379" s="9" t="s">
        <v>4391</v>
      </c>
      <c r="H1379" s="7" t="s">
        <v>18</v>
      </c>
      <c r="I1379" s="7"/>
      <c r="J1379" s="7" t="s">
        <v>4392</v>
      </c>
      <c r="K1379" s="32"/>
      <c r="L1379" s="91" t="s">
        <v>20</v>
      </c>
      <c r="M1379" s="55">
        <v>45247.0</v>
      </c>
      <c r="N1379" s="77" t="str">
        <f t="shared" si="1"/>
        <v>outubro</v>
      </c>
    </row>
    <row r="1380">
      <c r="A1380" s="7" t="s">
        <v>4393</v>
      </c>
      <c r="B1380" s="8">
        <v>45225.38553318287</v>
      </c>
      <c r="C1380" s="7" t="s">
        <v>4353</v>
      </c>
      <c r="D1380" s="7">
        <v>5333.0</v>
      </c>
      <c r="E1380" s="7" t="s">
        <v>41</v>
      </c>
      <c r="F1380" s="25" t="s">
        <v>42</v>
      </c>
      <c r="G1380" s="9" t="s">
        <v>513</v>
      </c>
      <c r="H1380" s="7" t="s">
        <v>79</v>
      </c>
      <c r="I1380" s="7"/>
      <c r="J1380" s="7" t="s">
        <v>4394</v>
      </c>
      <c r="K1380" s="32"/>
      <c r="L1380" s="91" t="s">
        <v>20</v>
      </c>
      <c r="M1380" s="55">
        <v>45236.0</v>
      </c>
      <c r="N1380" s="77" t="str">
        <f t="shared" si="1"/>
        <v>outubro</v>
      </c>
    </row>
    <row r="1381">
      <c r="A1381" s="25" t="s">
        <v>4395</v>
      </c>
      <c r="B1381" s="59">
        <v>45225.434112187504</v>
      </c>
      <c r="C1381" s="25" t="s">
        <v>512</v>
      </c>
      <c r="D1381" s="25">
        <v>5340.0</v>
      </c>
      <c r="E1381" s="25" t="s">
        <v>70</v>
      </c>
      <c r="F1381" s="20" t="s">
        <v>1621</v>
      </c>
      <c r="G1381" s="25" t="s">
        <v>4396</v>
      </c>
      <c r="H1381" s="25" t="s">
        <v>79</v>
      </c>
      <c r="I1381" s="25"/>
      <c r="J1381" s="25" t="s">
        <v>4397</v>
      </c>
      <c r="K1381" s="25"/>
      <c r="L1381" s="26" t="s">
        <v>20</v>
      </c>
      <c r="M1381" s="64">
        <v>45225.0</v>
      </c>
      <c r="N1381" s="77" t="str">
        <f t="shared" si="1"/>
        <v>outubro</v>
      </c>
    </row>
    <row r="1382">
      <c r="A1382" s="7" t="s">
        <v>4398</v>
      </c>
      <c r="B1382" s="8">
        <v>45225.475681944445</v>
      </c>
      <c r="C1382" s="7" t="s">
        <v>876</v>
      </c>
      <c r="D1382" s="7">
        <v>5334.0</v>
      </c>
      <c r="E1382" s="25" t="s">
        <v>187</v>
      </c>
      <c r="F1382" s="7" t="s">
        <v>763</v>
      </c>
      <c r="G1382" s="9">
        <v>11.0</v>
      </c>
      <c r="H1382" s="7" t="s">
        <v>79</v>
      </c>
      <c r="I1382" s="7"/>
      <c r="J1382" s="7" t="s">
        <v>4399</v>
      </c>
      <c r="K1382" s="32"/>
      <c r="L1382" s="91" t="s">
        <v>20</v>
      </c>
      <c r="M1382" s="55">
        <v>45254.0</v>
      </c>
      <c r="N1382" s="77" t="str">
        <f t="shared" si="1"/>
        <v>outubro</v>
      </c>
    </row>
    <row r="1383">
      <c r="A1383" s="25" t="s">
        <v>4400</v>
      </c>
      <c r="B1383" s="59">
        <v>45225.60911020833</v>
      </c>
      <c r="C1383" s="25" t="s">
        <v>4353</v>
      </c>
      <c r="D1383" s="25">
        <v>5333.0</v>
      </c>
      <c r="E1383" s="25" t="s">
        <v>41</v>
      </c>
      <c r="F1383" s="25" t="s">
        <v>42</v>
      </c>
      <c r="G1383" s="25" t="s">
        <v>4401</v>
      </c>
      <c r="H1383" s="25" t="s">
        <v>162</v>
      </c>
      <c r="I1383" s="25"/>
      <c r="J1383" s="25" t="s">
        <v>4402</v>
      </c>
      <c r="K1383" s="25"/>
      <c r="L1383" s="26" t="s">
        <v>20</v>
      </c>
      <c r="M1383" s="64">
        <v>45226.0</v>
      </c>
      <c r="N1383" s="77" t="str">
        <f t="shared" si="1"/>
        <v>outubro</v>
      </c>
    </row>
    <row r="1384">
      <c r="A1384" s="7" t="s">
        <v>4403</v>
      </c>
      <c r="B1384" s="8">
        <v>45225.64962434028</v>
      </c>
      <c r="C1384" s="7" t="s">
        <v>4404</v>
      </c>
      <c r="D1384" s="7">
        <v>5312.0</v>
      </c>
      <c r="E1384" s="7" t="s">
        <v>446</v>
      </c>
      <c r="F1384" s="25" t="s">
        <v>82</v>
      </c>
      <c r="G1384" s="9">
        <v>4.0</v>
      </c>
      <c r="H1384" s="7" t="s">
        <v>129</v>
      </c>
      <c r="I1384" s="7"/>
      <c r="J1384" s="7" t="s">
        <v>4405</v>
      </c>
      <c r="K1384" s="32"/>
      <c r="L1384" s="91" t="s">
        <v>20</v>
      </c>
      <c r="M1384" s="55">
        <v>45264.0</v>
      </c>
      <c r="N1384" s="77" t="str">
        <f t="shared" si="1"/>
        <v>outubro</v>
      </c>
    </row>
    <row r="1385">
      <c r="A1385" s="25" t="s">
        <v>4406</v>
      </c>
      <c r="B1385" s="59">
        <v>45225.67588628472</v>
      </c>
      <c r="C1385" s="25" t="s">
        <v>1068</v>
      </c>
      <c r="D1385" s="25">
        <v>5311.0</v>
      </c>
      <c r="E1385" s="25" t="s">
        <v>251</v>
      </c>
      <c r="F1385" s="25" t="s">
        <v>100</v>
      </c>
      <c r="G1385" s="25" t="s">
        <v>1967</v>
      </c>
      <c r="H1385" s="25" t="s">
        <v>30</v>
      </c>
      <c r="I1385" s="25"/>
      <c r="J1385" s="25" t="s">
        <v>4407</v>
      </c>
      <c r="K1385" s="25"/>
      <c r="L1385" s="26" t="s">
        <v>74</v>
      </c>
      <c r="M1385" s="64">
        <v>45226.0</v>
      </c>
      <c r="N1385" s="77" t="str">
        <f t="shared" si="1"/>
        <v>outubro</v>
      </c>
    </row>
    <row r="1386">
      <c r="A1386" s="7" t="s">
        <v>4408</v>
      </c>
      <c r="B1386" s="8">
        <v>45229.303145972226</v>
      </c>
      <c r="C1386" s="7" t="s">
        <v>1272</v>
      </c>
      <c r="D1386" s="7">
        <v>5360.0</v>
      </c>
      <c r="E1386" s="7" t="s">
        <v>371</v>
      </c>
      <c r="F1386" s="25" t="s">
        <v>49</v>
      </c>
      <c r="G1386" s="9" t="s">
        <v>4330</v>
      </c>
      <c r="H1386" s="7" t="s">
        <v>1734</v>
      </c>
      <c r="I1386" s="7"/>
      <c r="J1386" s="7" t="s">
        <v>4409</v>
      </c>
      <c r="K1386" s="32"/>
      <c r="L1386" s="91" t="s">
        <v>20</v>
      </c>
      <c r="M1386" s="55">
        <v>45229.0</v>
      </c>
      <c r="N1386" s="77" t="str">
        <f t="shared" si="1"/>
        <v>outubro</v>
      </c>
    </row>
    <row r="1387">
      <c r="A1387" s="7" t="s">
        <v>4410</v>
      </c>
      <c r="B1387" s="8">
        <v>45229.32254224537</v>
      </c>
      <c r="C1387" s="7" t="s">
        <v>3665</v>
      </c>
      <c r="D1387" s="7">
        <v>5340.0</v>
      </c>
      <c r="E1387" s="25" t="s">
        <v>70</v>
      </c>
      <c r="F1387" s="25" t="s">
        <v>347</v>
      </c>
      <c r="G1387" s="9" t="s">
        <v>4411</v>
      </c>
      <c r="H1387" s="7" t="s">
        <v>1734</v>
      </c>
      <c r="I1387" s="7"/>
      <c r="J1387" s="7" t="s">
        <v>4412</v>
      </c>
      <c r="K1387" s="30"/>
      <c r="L1387" s="91" t="s">
        <v>20</v>
      </c>
      <c r="M1387" s="55">
        <v>45366.0</v>
      </c>
      <c r="N1387" s="77" t="str">
        <f t="shared" si="1"/>
        <v>outubro</v>
      </c>
    </row>
    <row r="1388">
      <c r="A1388" s="7" t="s">
        <v>4413</v>
      </c>
      <c r="B1388" s="8">
        <v>45229.32606266203</v>
      </c>
      <c r="C1388" s="7" t="s">
        <v>3665</v>
      </c>
      <c r="D1388" s="7">
        <v>5340.0</v>
      </c>
      <c r="E1388" s="25" t="s">
        <v>70</v>
      </c>
      <c r="F1388" s="25" t="s">
        <v>82</v>
      </c>
      <c r="G1388" s="9" t="s">
        <v>4414</v>
      </c>
      <c r="H1388" s="7" t="s">
        <v>764</v>
      </c>
      <c r="I1388" s="7"/>
      <c r="J1388" s="7" t="s">
        <v>4415</v>
      </c>
      <c r="K1388" s="32"/>
      <c r="L1388" s="91" t="s">
        <v>20</v>
      </c>
      <c r="M1388" s="55">
        <v>45236.0</v>
      </c>
      <c r="N1388" s="77" t="str">
        <f t="shared" si="1"/>
        <v>outubro</v>
      </c>
    </row>
    <row r="1389">
      <c r="A1389" s="7" t="s">
        <v>4416</v>
      </c>
      <c r="B1389" s="8">
        <v>45229.34680831018</v>
      </c>
      <c r="C1389" s="7" t="s">
        <v>553</v>
      </c>
      <c r="D1389" s="7">
        <v>5318.0</v>
      </c>
      <c r="E1389" s="25" t="s">
        <v>15</v>
      </c>
      <c r="F1389" s="7" t="s">
        <v>4417</v>
      </c>
      <c r="G1389" s="9" t="s">
        <v>4418</v>
      </c>
      <c r="H1389" s="7" t="s">
        <v>18</v>
      </c>
      <c r="I1389" s="7"/>
      <c r="J1389" s="7" t="s">
        <v>4419</v>
      </c>
      <c r="K1389" s="32"/>
      <c r="L1389" s="91" t="s">
        <v>20</v>
      </c>
      <c r="M1389" s="55">
        <v>45247.0</v>
      </c>
      <c r="N1389" s="77" t="str">
        <f t="shared" si="1"/>
        <v>outubro</v>
      </c>
    </row>
    <row r="1390">
      <c r="A1390" s="7" t="s">
        <v>4420</v>
      </c>
      <c r="B1390" s="8">
        <v>45229.39652484954</v>
      </c>
      <c r="C1390" s="7" t="s">
        <v>4421</v>
      </c>
      <c r="D1390" s="7" t="s">
        <v>4422</v>
      </c>
      <c r="E1390" s="7" t="s">
        <v>2560</v>
      </c>
      <c r="F1390" s="7" t="s">
        <v>783</v>
      </c>
      <c r="G1390" s="9">
        <v>253.0</v>
      </c>
      <c r="H1390" s="7" t="s">
        <v>1853</v>
      </c>
      <c r="I1390" s="7"/>
      <c r="J1390" s="7" t="s">
        <v>4423</v>
      </c>
      <c r="K1390" s="30"/>
      <c r="L1390" s="91" t="s">
        <v>20</v>
      </c>
      <c r="M1390" s="55">
        <v>45301.0</v>
      </c>
      <c r="N1390" s="77" t="str">
        <f t="shared" si="1"/>
        <v>outubro</v>
      </c>
    </row>
    <row r="1391">
      <c r="A1391" s="7" t="s">
        <v>4424</v>
      </c>
      <c r="B1391" s="8">
        <v>45229.40734858796</v>
      </c>
      <c r="C1391" s="7" t="s">
        <v>346</v>
      </c>
      <c r="D1391" s="7" t="s">
        <v>1826</v>
      </c>
      <c r="E1391" s="25" t="s">
        <v>34</v>
      </c>
      <c r="F1391" s="25" t="s">
        <v>347</v>
      </c>
      <c r="G1391" s="9" t="s">
        <v>595</v>
      </c>
      <c r="H1391" s="7" t="s">
        <v>1734</v>
      </c>
      <c r="I1391" s="7"/>
      <c r="J1391" s="7" t="s">
        <v>4425</v>
      </c>
      <c r="K1391" s="30"/>
      <c r="L1391" s="91" t="s">
        <v>20</v>
      </c>
      <c r="M1391" s="55">
        <v>45301.0</v>
      </c>
      <c r="N1391" s="77" t="str">
        <f t="shared" si="1"/>
        <v>outubro</v>
      </c>
    </row>
    <row r="1392">
      <c r="A1392" s="7" t="s">
        <v>4426</v>
      </c>
      <c r="B1392" s="8">
        <v>45229.40734858796</v>
      </c>
      <c r="C1392" s="7" t="s">
        <v>346</v>
      </c>
      <c r="D1392" s="7" t="s">
        <v>1826</v>
      </c>
      <c r="E1392" s="25" t="s">
        <v>34</v>
      </c>
      <c r="F1392" s="25" t="s">
        <v>347</v>
      </c>
      <c r="G1392" s="9" t="s">
        <v>595</v>
      </c>
      <c r="H1392" s="7" t="s">
        <v>1734</v>
      </c>
      <c r="I1392" s="7"/>
      <c r="J1392" s="7" t="s">
        <v>4425</v>
      </c>
      <c r="K1392" s="32"/>
      <c r="L1392" s="91" t="s">
        <v>20</v>
      </c>
      <c r="M1392" s="55">
        <v>45239.0</v>
      </c>
      <c r="N1392" s="77" t="str">
        <f t="shared" si="1"/>
        <v>outubro</v>
      </c>
    </row>
    <row r="1393">
      <c r="A1393" s="7" t="s">
        <v>4427</v>
      </c>
      <c r="B1393" s="8">
        <v>45229.576840775466</v>
      </c>
      <c r="C1393" s="7" t="s">
        <v>4428</v>
      </c>
      <c r="D1393" s="7">
        <v>6353.0</v>
      </c>
      <c r="E1393" s="7" t="s">
        <v>261</v>
      </c>
      <c r="F1393" s="25" t="s">
        <v>82</v>
      </c>
      <c r="G1393" s="9">
        <v>116.0</v>
      </c>
      <c r="H1393" s="7" t="s">
        <v>764</v>
      </c>
      <c r="I1393" s="7"/>
      <c r="J1393" s="7" t="s">
        <v>4429</v>
      </c>
      <c r="K1393" s="32"/>
      <c r="L1393" s="91" t="s">
        <v>20</v>
      </c>
      <c r="M1393" s="55">
        <v>45236.0</v>
      </c>
      <c r="N1393" s="77" t="str">
        <f t="shared" si="1"/>
        <v>outubro</v>
      </c>
    </row>
    <row r="1394">
      <c r="A1394" s="7" t="s">
        <v>4430</v>
      </c>
      <c r="B1394" s="8">
        <v>45229.61158456019</v>
      </c>
      <c r="C1394" s="7" t="s">
        <v>3173</v>
      </c>
      <c r="D1394" s="7">
        <v>5314.0</v>
      </c>
      <c r="E1394" s="7" t="s">
        <v>261</v>
      </c>
      <c r="F1394" s="7" t="s">
        <v>4431</v>
      </c>
      <c r="G1394" s="9" t="s">
        <v>4432</v>
      </c>
      <c r="H1394" s="7" t="s">
        <v>162</v>
      </c>
      <c r="I1394" s="7"/>
      <c r="J1394" s="7" t="s">
        <v>4433</v>
      </c>
      <c r="K1394" s="30"/>
      <c r="L1394" s="91" t="s">
        <v>20</v>
      </c>
      <c r="M1394" s="55">
        <v>45364.0</v>
      </c>
      <c r="N1394" s="77" t="str">
        <f t="shared" si="1"/>
        <v>outubro</v>
      </c>
    </row>
    <row r="1395">
      <c r="A1395" s="7" t="s">
        <v>4434</v>
      </c>
      <c r="B1395" s="8">
        <v>45229.6265471875</v>
      </c>
      <c r="C1395" s="7" t="s">
        <v>2942</v>
      </c>
      <c r="D1395" s="7">
        <v>6.4981584849E10</v>
      </c>
      <c r="E1395" s="25" t="s">
        <v>34</v>
      </c>
      <c r="F1395" s="7" t="s">
        <v>1110</v>
      </c>
      <c r="G1395" s="9" t="s">
        <v>4435</v>
      </c>
      <c r="H1395" s="7" t="s">
        <v>1734</v>
      </c>
      <c r="I1395" s="7"/>
      <c r="J1395" s="7" t="s">
        <v>4436</v>
      </c>
      <c r="K1395" s="32"/>
      <c r="L1395" s="91" t="s">
        <v>20</v>
      </c>
      <c r="M1395" s="55">
        <v>45239.0</v>
      </c>
      <c r="N1395" s="77" t="str">
        <f t="shared" si="1"/>
        <v>outubro</v>
      </c>
    </row>
    <row r="1396">
      <c r="A1396" s="7" t="s">
        <v>4437</v>
      </c>
      <c r="B1396" s="8">
        <v>45229.63226576389</v>
      </c>
      <c r="C1396" s="7" t="s">
        <v>2942</v>
      </c>
      <c r="D1396" s="7">
        <v>6.4981584849E10</v>
      </c>
      <c r="E1396" s="25" t="s">
        <v>34</v>
      </c>
      <c r="F1396" s="7" t="s">
        <v>1110</v>
      </c>
      <c r="G1396" s="9" t="s">
        <v>4435</v>
      </c>
      <c r="H1396" s="7" t="s">
        <v>298</v>
      </c>
      <c r="I1396" s="7"/>
      <c r="J1396" s="7" t="s">
        <v>4438</v>
      </c>
      <c r="K1396" s="30"/>
      <c r="L1396" s="91" t="s">
        <v>20</v>
      </c>
      <c r="M1396" s="55">
        <v>45280.0</v>
      </c>
      <c r="N1396" s="77" t="str">
        <f t="shared" si="1"/>
        <v>outubro</v>
      </c>
    </row>
    <row r="1397">
      <c r="A1397" s="7" t="s">
        <v>4439</v>
      </c>
      <c r="B1397" s="8">
        <v>45230.40524699074</v>
      </c>
      <c r="C1397" s="7" t="s">
        <v>4353</v>
      </c>
      <c r="D1397" s="7">
        <v>5333.0</v>
      </c>
      <c r="E1397" s="7" t="s">
        <v>41</v>
      </c>
      <c r="F1397" s="25" t="s">
        <v>42</v>
      </c>
      <c r="G1397" s="9" t="s">
        <v>513</v>
      </c>
      <c r="H1397" s="7" t="s">
        <v>162</v>
      </c>
      <c r="I1397" s="7"/>
      <c r="J1397" s="7" t="s">
        <v>4440</v>
      </c>
      <c r="K1397" s="32"/>
      <c r="L1397" s="91" t="s">
        <v>20</v>
      </c>
      <c r="M1397" s="55">
        <v>45236.0</v>
      </c>
      <c r="N1397" s="77" t="str">
        <f t="shared" si="1"/>
        <v>outubro</v>
      </c>
    </row>
    <row r="1398">
      <c r="A1398" s="7" t="s">
        <v>4441</v>
      </c>
      <c r="B1398" s="8">
        <v>45230.50108100694</v>
      </c>
      <c r="C1398" s="7" t="s">
        <v>4353</v>
      </c>
      <c r="D1398" s="7">
        <v>5333.0</v>
      </c>
      <c r="E1398" s="7" t="s">
        <v>41</v>
      </c>
      <c r="F1398" s="25" t="s">
        <v>42</v>
      </c>
      <c r="G1398" s="9" t="s">
        <v>1359</v>
      </c>
      <c r="H1398" s="7" t="s">
        <v>79</v>
      </c>
      <c r="I1398" s="7"/>
      <c r="J1398" s="7" t="s">
        <v>4442</v>
      </c>
      <c r="K1398" s="32"/>
      <c r="L1398" s="91" t="s">
        <v>20</v>
      </c>
      <c r="M1398" s="55">
        <v>45231.0</v>
      </c>
      <c r="N1398" s="77" t="str">
        <f t="shared" si="1"/>
        <v>outubro</v>
      </c>
    </row>
    <row r="1399">
      <c r="A1399" s="7" t="s">
        <v>4443</v>
      </c>
      <c r="B1399" s="8">
        <v>45230.589550324075</v>
      </c>
      <c r="C1399" s="7" t="s">
        <v>1704</v>
      </c>
      <c r="D1399" s="7">
        <v>5305.0</v>
      </c>
      <c r="E1399" s="25" t="s">
        <v>183</v>
      </c>
      <c r="F1399" s="65" t="s">
        <v>367</v>
      </c>
      <c r="G1399" s="9" t="s">
        <v>4444</v>
      </c>
      <c r="H1399" s="7" t="s">
        <v>1734</v>
      </c>
      <c r="I1399" s="7"/>
      <c r="J1399" s="7" t="s">
        <v>4445</v>
      </c>
      <c r="K1399" s="32"/>
      <c r="L1399" s="91" t="s">
        <v>20</v>
      </c>
      <c r="M1399" s="55">
        <v>45247.0</v>
      </c>
      <c r="N1399" s="77" t="str">
        <f t="shared" si="1"/>
        <v>outubro</v>
      </c>
    </row>
    <row r="1400">
      <c r="A1400" s="7" t="s">
        <v>4446</v>
      </c>
      <c r="B1400" s="8">
        <v>45230.631805219906</v>
      </c>
      <c r="C1400" s="7" t="s">
        <v>138</v>
      </c>
      <c r="D1400" s="7">
        <v>5318.0</v>
      </c>
      <c r="E1400" s="25" t="s">
        <v>15</v>
      </c>
      <c r="F1400" s="25" t="s">
        <v>61</v>
      </c>
      <c r="G1400" s="9" t="s">
        <v>4447</v>
      </c>
      <c r="H1400" s="7" t="s">
        <v>18</v>
      </c>
      <c r="I1400" s="7"/>
      <c r="J1400" s="7" t="s">
        <v>4448</v>
      </c>
      <c r="K1400" s="32"/>
      <c r="L1400" s="91" t="s">
        <v>20</v>
      </c>
      <c r="M1400" s="55">
        <v>45253.0</v>
      </c>
      <c r="N1400" s="77" t="str">
        <f t="shared" si="1"/>
        <v>outubro</v>
      </c>
    </row>
    <row r="1401">
      <c r="A1401" s="7" t="s">
        <v>4449</v>
      </c>
      <c r="B1401" s="8">
        <v>45230.64053971064</v>
      </c>
      <c r="C1401" s="7" t="s">
        <v>522</v>
      </c>
      <c r="D1401" s="7">
        <v>5333.0</v>
      </c>
      <c r="E1401" s="7" t="s">
        <v>41</v>
      </c>
      <c r="F1401" s="25" t="s">
        <v>42</v>
      </c>
      <c r="G1401" s="9" t="s">
        <v>2589</v>
      </c>
      <c r="H1401" s="7" t="s">
        <v>79</v>
      </c>
      <c r="I1401" s="7"/>
      <c r="J1401" s="7" t="s">
        <v>4450</v>
      </c>
      <c r="K1401" s="32"/>
      <c r="L1401" s="91" t="s">
        <v>20</v>
      </c>
      <c r="M1401" s="55">
        <v>45236.0</v>
      </c>
      <c r="N1401" s="77" t="str">
        <f t="shared" si="1"/>
        <v>outubro</v>
      </c>
    </row>
    <row r="1402">
      <c r="A1402" s="7" t="s">
        <v>4451</v>
      </c>
      <c r="B1402" s="8">
        <v>45230.64201752315</v>
      </c>
      <c r="C1402" s="7" t="s">
        <v>522</v>
      </c>
      <c r="D1402" s="7">
        <v>5333.0</v>
      </c>
      <c r="E1402" s="7" t="s">
        <v>41</v>
      </c>
      <c r="F1402" s="25" t="s">
        <v>42</v>
      </c>
      <c r="G1402" s="9" t="s">
        <v>670</v>
      </c>
      <c r="H1402" s="7" t="s">
        <v>79</v>
      </c>
      <c r="I1402" s="7"/>
      <c r="J1402" s="7" t="s">
        <v>4452</v>
      </c>
      <c r="K1402" s="32"/>
      <c r="L1402" s="91" t="s">
        <v>20</v>
      </c>
      <c r="M1402" s="55">
        <v>45231.0</v>
      </c>
      <c r="N1402" s="77" t="str">
        <f t="shared" si="1"/>
        <v>outubro</v>
      </c>
    </row>
    <row r="1403">
      <c r="A1403" s="7" t="s">
        <v>4453</v>
      </c>
      <c r="B1403" s="8">
        <v>45230.64324196759</v>
      </c>
      <c r="C1403" s="7" t="s">
        <v>522</v>
      </c>
      <c r="D1403" s="7">
        <v>5333.0</v>
      </c>
      <c r="E1403" s="7" t="s">
        <v>41</v>
      </c>
      <c r="F1403" s="25" t="s">
        <v>42</v>
      </c>
      <c r="G1403" s="9" t="s">
        <v>2526</v>
      </c>
      <c r="H1403" s="7" t="s">
        <v>129</v>
      </c>
      <c r="I1403" s="7"/>
      <c r="J1403" s="7" t="s">
        <v>4454</v>
      </c>
      <c r="K1403" s="32"/>
      <c r="L1403" s="91" t="s">
        <v>20</v>
      </c>
      <c r="M1403" s="55">
        <v>45230.0</v>
      </c>
      <c r="N1403" s="77" t="str">
        <f t="shared" si="1"/>
        <v>outubro</v>
      </c>
    </row>
    <row r="1404">
      <c r="A1404" s="7" t="s">
        <v>4455</v>
      </c>
      <c r="B1404" s="8">
        <v>45230.64870978009</v>
      </c>
      <c r="C1404" s="7" t="s">
        <v>1938</v>
      </c>
      <c r="D1404" s="7">
        <v>5308.0</v>
      </c>
      <c r="E1404" s="7" t="s">
        <v>1372</v>
      </c>
      <c r="F1404" s="7" t="s">
        <v>709</v>
      </c>
      <c r="G1404" s="9" t="s">
        <v>4456</v>
      </c>
      <c r="H1404" s="7" t="s">
        <v>79</v>
      </c>
      <c r="I1404" s="7"/>
      <c r="J1404" s="7" t="s">
        <v>4457</v>
      </c>
      <c r="K1404" s="32"/>
      <c r="L1404" s="91" t="s">
        <v>20</v>
      </c>
      <c r="M1404" s="55">
        <v>45236.0</v>
      </c>
      <c r="N1404" s="77" t="str">
        <f t="shared" si="1"/>
        <v>outubro</v>
      </c>
    </row>
    <row r="1405">
      <c r="A1405" s="7" t="s">
        <v>4458</v>
      </c>
      <c r="B1405" s="8">
        <v>45230.661660983795</v>
      </c>
      <c r="C1405" s="7" t="s">
        <v>4353</v>
      </c>
      <c r="D1405" s="7">
        <v>5333.0</v>
      </c>
      <c r="E1405" s="7" t="s">
        <v>41</v>
      </c>
      <c r="F1405" s="25" t="s">
        <v>42</v>
      </c>
      <c r="G1405" s="9" t="s">
        <v>212</v>
      </c>
      <c r="H1405" s="7" t="s">
        <v>1853</v>
      </c>
      <c r="I1405" s="7"/>
      <c r="J1405" s="7" t="s">
        <v>4459</v>
      </c>
      <c r="K1405" s="32"/>
      <c r="L1405" s="91" t="s">
        <v>20</v>
      </c>
      <c r="M1405" s="55">
        <v>45231.0</v>
      </c>
      <c r="N1405" s="77" t="str">
        <f t="shared" si="1"/>
        <v>outubro</v>
      </c>
    </row>
    <row r="1406">
      <c r="A1406" s="7" t="s">
        <v>4460</v>
      </c>
      <c r="B1406" s="8">
        <v>45230.68705054398</v>
      </c>
      <c r="C1406" s="7" t="s">
        <v>215</v>
      </c>
      <c r="D1406" s="7">
        <v>5333.0</v>
      </c>
      <c r="E1406" s="7" t="s">
        <v>41</v>
      </c>
      <c r="F1406" s="25" t="s">
        <v>42</v>
      </c>
      <c r="G1406" s="9" t="s">
        <v>2216</v>
      </c>
      <c r="H1406" s="7" t="s">
        <v>1734</v>
      </c>
      <c r="I1406" s="7"/>
      <c r="J1406" s="7" t="s">
        <v>4461</v>
      </c>
      <c r="K1406" s="32"/>
      <c r="L1406" s="91" t="s">
        <v>20</v>
      </c>
      <c r="M1406" s="55">
        <v>45231.0</v>
      </c>
      <c r="N1406" s="77" t="str">
        <f t="shared" si="1"/>
        <v>outubro</v>
      </c>
    </row>
    <row r="1407">
      <c r="A1407" s="7" t="s">
        <v>4462</v>
      </c>
      <c r="B1407" s="8">
        <v>45230.736157858795</v>
      </c>
      <c r="C1407" s="7" t="s">
        <v>215</v>
      </c>
      <c r="D1407" s="7">
        <v>5333.0</v>
      </c>
      <c r="E1407" s="7" t="s">
        <v>41</v>
      </c>
      <c r="F1407" s="25" t="s">
        <v>42</v>
      </c>
      <c r="G1407" s="9" t="s">
        <v>4463</v>
      </c>
      <c r="H1407" s="7" t="s">
        <v>162</v>
      </c>
      <c r="I1407" s="7"/>
      <c r="J1407" s="7" t="s">
        <v>4464</v>
      </c>
      <c r="K1407" s="32"/>
      <c r="L1407" s="91" t="s">
        <v>20</v>
      </c>
      <c r="M1407" s="55">
        <v>45236.0</v>
      </c>
      <c r="N1407" s="77" t="str">
        <f t="shared" si="1"/>
        <v>outubro</v>
      </c>
    </row>
    <row r="1408">
      <c r="A1408" s="7" t="s">
        <v>4465</v>
      </c>
      <c r="B1408" s="8">
        <v>45231.20237366898</v>
      </c>
      <c r="C1408" s="7" t="s">
        <v>65</v>
      </c>
      <c r="D1408" s="7">
        <v>5318.0</v>
      </c>
      <c r="E1408" s="25" t="s">
        <v>15</v>
      </c>
      <c r="F1408" s="25" t="s">
        <v>77</v>
      </c>
      <c r="G1408" s="9" t="s">
        <v>4466</v>
      </c>
      <c r="H1408" s="7" t="s">
        <v>18</v>
      </c>
      <c r="I1408" s="7"/>
      <c r="J1408" s="7" t="s">
        <v>4467</v>
      </c>
      <c r="K1408" s="32"/>
      <c r="L1408" s="91" t="s">
        <v>20</v>
      </c>
      <c r="M1408" s="55">
        <v>45253.0</v>
      </c>
      <c r="N1408" s="77" t="str">
        <f t="shared" si="1"/>
        <v>novembro</v>
      </c>
    </row>
    <row r="1409">
      <c r="A1409" s="7" t="s">
        <v>4468</v>
      </c>
      <c r="B1409" s="8">
        <v>45231.203766516206</v>
      </c>
      <c r="C1409" s="7" t="s">
        <v>65</v>
      </c>
      <c r="D1409" s="7">
        <v>5318.0</v>
      </c>
      <c r="E1409" s="25" t="s">
        <v>15</v>
      </c>
      <c r="F1409" s="7" t="s">
        <v>4469</v>
      </c>
      <c r="G1409" s="9" t="s">
        <v>4469</v>
      </c>
      <c r="H1409" s="7" t="s">
        <v>18</v>
      </c>
      <c r="I1409" s="7"/>
      <c r="J1409" s="7" t="s">
        <v>4470</v>
      </c>
      <c r="K1409" s="32"/>
      <c r="L1409" s="91" t="s">
        <v>20</v>
      </c>
      <c r="M1409" s="55">
        <v>45231.0</v>
      </c>
      <c r="N1409" s="77" t="str">
        <f t="shared" si="1"/>
        <v>novembro</v>
      </c>
    </row>
    <row r="1410">
      <c r="A1410" s="7" t="s">
        <v>4471</v>
      </c>
      <c r="B1410" s="8">
        <v>45231.274281736114</v>
      </c>
      <c r="C1410" s="7" t="s">
        <v>65</v>
      </c>
      <c r="D1410" s="7">
        <v>5318.0</v>
      </c>
      <c r="E1410" s="25" t="s">
        <v>15</v>
      </c>
      <c r="F1410" s="25" t="s">
        <v>86</v>
      </c>
      <c r="G1410" s="9" t="s">
        <v>4472</v>
      </c>
      <c r="H1410" s="7" t="s">
        <v>18</v>
      </c>
      <c r="I1410" s="7"/>
      <c r="J1410" s="7" t="s">
        <v>4473</v>
      </c>
      <c r="K1410" s="32"/>
      <c r="L1410" s="91" t="s">
        <v>20</v>
      </c>
      <c r="M1410" s="55">
        <v>45231.0</v>
      </c>
      <c r="N1410" s="77" t="str">
        <f t="shared" si="1"/>
        <v>novembro</v>
      </c>
    </row>
    <row r="1411">
      <c r="A1411" s="7" t="s">
        <v>4474</v>
      </c>
      <c r="B1411" s="8">
        <v>45231.4828421875</v>
      </c>
      <c r="C1411" s="7" t="s">
        <v>4353</v>
      </c>
      <c r="D1411" s="7">
        <v>5333.0</v>
      </c>
      <c r="E1411" s="7" t="s">
        <v>41</v>
      </c>
      <c r="F1411" s="25" t="s">
        <v>42</v>
      </c>
      <c r="G1411" s="9" t="s">
        <v>976</v>
      </c>
      <c r="H1411" s="7" t="s">
        <v>79</v>
      </c>
      <c r="I1411" s="7"/>
      <c r="J1411" s="7" t="s">
        <v>4475</v>
      </c>
      <c r="K1411" s="32"/>
      <c r="L1411" s="91" t="s">
        <v>20</v>
      </c>
      <c r="M1411" s="55">
        <v>45236.0</v>
      </c>
      <c r="N1411" s="77" t="str">
        <f t="shared" si="1"/>
        <v>novembro</v>
      </c>
    </row>
    <row r="1412">
      <c r="A1412" s="7" t="s">
        <v>4476</v>
      </c>
      <c r="B1412" s="8">
        <v>45231.51687644676</v>
      </c>
      <c r="C1412" s="7" t="s">
        <v>4353</v>
      </c>
      <c r="D1412" s="7">
        <v>5333.0</v>
      </c>
      <c r="E1412" s="7" t="s">
        <v>41</v>
      </c>
      <c r="F1412" s="25" t="s">
        <v>42</v>
      </c>
      <c r="G1412" s="9" t="s">
        <v>42</v>
      </c>
      <c r="H1412" s="7" t="s">
        <v>162</v>
      </c>
      <c r="I1412" s="7"/>
      <c r="J1412" s="7" t="s">
        <v>4477</v>
      </c>
      <c r="K1412" s="32"/>
      <c r="L1412" s="91" t="s">
        <v>20</v>
      </c>
      <c r="M1412" s="55">
        <v>45236.0</v>
      </c>
      <c r="N1412" s="77" t="str">
        <f t="shared" si="1"/>
        <v>novembro</v>
      </c>
    </row>
    <row r="1413">
      <c r="A1413" s="7" t="s">
        <v>4478</v>
      </c>
      <c r="B1413" s="66">
        <v>45231.0</v>
      </c>
      <c r="C1413" s="60" t="s">
        <v>76</v>
      </c>
      <c r="D1413" s="60"/>
      <c r="E1413" s="25" t="s">
        <v>70</v>
      </c>
      <c r="F1413" s="60" t="s">
        <v>55</v>
      </c>
      <c r="G1413" s="60" t="s">
        <v>4479</v>
      </c>
      <c r="H1413" s="60" t="s">
        <v>79</v>
      </c>
      <c r="I1413" s="60"/>
      <c r="J1413" s="60" t="s">
        <v>4000</v>
      </c>
      <c r="K1413" s="54"/>
      <c r="L1413" s="10" t="s">
        <v>20</v>
      </c>
      <c r="M1413" s="55">
        <v>45301.0</v>
      </c>
      <c r="N1413" s="77" t="str">
        <f t="shared" ref="N1413:N2072" si="2">IF(B1413="",0,TEXT(B1413,"mmmm"))</f>
        <v>novembro</v>
      </c>
    </row>
    <row r="1414">
      <c r="A1414" s="25" t="s">
        <v>4480</v>
      </c>
      <c r="B1414" s="59">
        <v>45231.731560636574</v>
      </c>
      <c r="C1414" s="20" t="s">
        <v>4481</v>
      </c>
      <c r="D1414" s="25" t="s">
        <v>673</v>
      </c>
      <c r="E1414" s="25" t="s">
        <v>728</v>
      </c>
      <c r="F1414" s="25" t="s">
        <v>728</v>
      </c>
      <c r="G1414" s="25" t="s">
        <v>915</v>
      </c>
      <c r="H1414" s="25" t="s">
        <v>162</v>
      </c>
      <c r="I1414" s="25"/>
      <c r="J1414" s="25" t="s">
        <v>4482</v>
      </c>
      <c r="K1414" s="25"/>
      <c r="L1414" s="26" t="s">
        <v>20</v>
      </c>
      <c r="M1414" s="17">
        <v>45237.0</v>
      </c>
      <c r="N1414" s="77" t="str">
        <f t="shared" si="2"/>
        <v>novembro</v>
      </c>
    </row>
    <row r="1415">
      <c r="A1415" s="7" t="s">
        <v>4483</v>
      </c>
      <c r="B1415" s="8">
        <v>45236.32518155093</v>
      </c>
      <c r="C1415" s="7" t="s">
        <v>1272</v>
      </c>
      <c r="D1415" s="7"/>
      <c r="E1415" s="7" t="s">
        <v>371</v>
      </c>
      <c r="F1415" s="25" t="s">
        <v>49</v>
      </c>
      <c r="G1415" s="9" t="s">
        <v>4484</v>
      </c>
      <c r="H1415" s="7" t="s">
        <v>764</v>
      </c>
      <c r="I1415" s="7"/>
      <c r="J1415" s="7" t="s">
        <v>4485</v>
      </c>
      <c r="K1415" s="32"/>
      <c r="L1415" s="91" t="s">
        <v>20</v>
      </c>
      <c r="M1415" s="55">
        <v>45239.0</v>
      </c>
      <c r="N1415" s="77" t="str">
        <f t="shared" si="2"/>
        <v>novembro</v>
      </c>
    </row>
    <row r="1416">
      <c r="A1416" s="25" t="s">
        <v>4486</v>
      </c>
      <c r="B1416" s="59">
        <v>45236.32858451389</v>
      </c>
      <c r="C1416" s="20" t="s">
        <v>3088</v>
      </c>
      <c r="D1416" s="25"/>
      <c r="E1416" s="25" t="s">
        <v>116</v>
      </c>
      <c r="F1416" s="25" t="s">
        <v>82</v>
      </c>
      <c r="G1416" s="25" t="s">
        <v>4487</v>
      </c>
      <c r="H1416" s="25" t="s">
        <v>79</v>
      </c>
      <c r="I1416" s="25"/>
      <c r="J1416" s="25" t="s">
        <v>4488</v>
      </c>
      <c r="K1416" s="25"/>
      <c r="L1416" s="26" t="s">
        <v>20</v>
      </c>
      <c r="M1416" s="17">
        <v>45236.0</v>
      </c>
      <c r="N1416" s="77" t="str">
        <f t="shared" si="2"/>
        <v>novembro</v>
      </c>
    </row>
    <row r="1417">
      <c r="A1417" s="7" t="s">
        <v>4489</v>
      </c>
      <c r="B1417" s="8">
        <v>45236.344114884254</v>
      </c>
      <c r="C1417" s="7" t="s">
        <v>512</v>
      </c>
      <c r="D1417" s="7"/>
      <c r="E1417" s="25" t="s">
        <v>70</v>
      </c>
      <c r="F1417" s="20" t="s">
        <v>1621</v>
      </c>
      <c r="G1417" s="9" t="s">
        <v>4490</v>
      </c>
      <c r="H1417" s="7" t="s">
        <v>79</v>
      </c>
      <c r="I1417" s="7"/>
      <c r="J1417" s="7" t="s">
        <v>4491</v>
      </c>
      <c r="K1417" s="32"/>
      <c r="L1417" s="91" t="s">
        <v>20</v>
      </c>
      <c r="M1417" s="55">
        <v>45236.0</v>
      </c>
      <c r="N1417" s="77" t="str">
        <f t="shared" si="2"/>
        <v>novembro</v>
      </c>
    </row>
    <row r="1418">
      <c r="A1418" s="25" t="s">
        <v>4492</v>
      </c>
      <c r="B1418" s="59">
        <v>45236.34476408565</v>
      </c>
      <c r="C1418" s="20" t="s">
        <v>512</v>
      </c>
      <c r="D1418" s="25"/>
      <c r="E1418" s="25" t="s">
        <v>70</v>
      </c>
      <c r="F1418" s="20" t="s">
        <v>1621</v>
      </c>
      <c r="G1418" s="25" t="s">
        <v>1077</v>
      </c>
      <c r="H1418" s="25" t="s">
        <v>79</v>
      </c>
      <c r="I1418" s="25"/>
      <c r="J1418" s="25" t="s">
        <v>4493</v>
      </c>
      <c r="K1418" s="25"/>
      <c r="L1418" s="26" t="s">
        <v>20</v>
      </c>
      <c r="M1418" s="17">
        <v>45236.0</v>
      </c>
      <c r="N1418" s="77" t="str">
        <f t="shared" si="2"/>
        <v>novembro</v>
      </c>
    </row>
    <row r="1419">
      <c r="A1419" s="7" t="s">
        <v>4494</v>
      </c>
      <c r="B1419" s="8">
        <v>45236.35291622685</v>
      </c>
      <c r="C1419" s="7" t="s">
        <v>76</v>
      </c>
      <c r="D1419" s="7"/>
      <c r="E1419" s="25" t="s">
        <v>70</v>
      </c>
      <c r="F1419" s="20" t="s">
        <v>1220</v>
      </c>
      <c r="G1419" s="9" t="s">
        <v>4495</v>
      </c>
      <c r="H1419" s="7" t="s">
        <v>1734</v>
      </c>
      <c r="I1419" s="7"/>
      <c r="J1419" s="7" t="s">
        <v>4496</v>
      </c>
      <c r="K1419" s="32"/>
      <c r="L1419" s="91" t="s">
        <v>20</v>
      </c>
      <c r="M1419" s="43">
        <v>45236.0</v>
      </c>
      <c r="N1419" s="77" t="str">
        <f t="shared" si="2"/>
        <v>novembro</v>
      </c>
    </row>
    <row r="1420">
      <c r="A1420" s="25" t="s">
        <v>4497</v>
      </c>
      <c r="B1420" s="59">
        <v>45236.355644317126</v>
      </c>
      <c r="C1420" s="20" t="s">
        <v>76</v>
      </c>
      <c r="D1420" s="25"/>
      <c r="E1420" s="25" t="s">
        <v>70</v>
      </c>
      <c r="F1420" s="25" t="s">
        <v>61</v>
      </c>
      <c r="G1420" s="25" t="s">
        <v>4498</v>
      </c>
      <c r="H1420" s="25" t="s">
        <v>1734</v>
      </c>
      <c r="I1420" s="25"/>
      <c r="J1420" s="25" t="s">
        <v>4499</v>
      </c>
      <c r="K1420" s="25"/>
      <c r="L1420" s="26" t="s">
        <v>20</v>
      </c>
      <c r="M1420" s="64">
        <v>45236.0</v>
      </c>
      <c r="N1420" s="77" t="str">
        <f t="shared" si="2"/>
        <v>novembro</v>
      </c>
    </row>
    <row r="1421">
      <c r="A1421" s="7" t="s">
        <v>4500</v>
      </c>
      <c r="B1421" s="8">
        <v>45236.36503621528</v>
      </c>
      <c r="C1421" s="7" t="s">
        <v>512</v>
      </c>
      <c r="D1421" s="7"/>
      <c r="E1421" s="25" t="s">
        <v>70</v>
      </c>
      <c r="F1421" s="25" t="s">
        <v>77</v>
      </c>
      <c r="G1421" s="9" t="s">
        <v>4501</v>
      </c>
      <c r="H1421" s="7" t="s">
        <v>162</v>
      </c>
      <c r="I1421" s="7"/>
      <c r="J1421" s="7" t="s">
        <v>4502</v>
      </c>
      <c r="K1421" s="32"/>
      <c r="L1421" s="91" t="s">
        <v>20</v>
      </c>
      <c r="M1421" s="43">
        <v>45236.0</v>
      </c>
      <c r="N1421" s="77" t="str">
        <f t="shared" si="2"/>
        <v>novembro</v>
      </c>
    </row>
    <row r="1422">
      <c r="A1422" s="25" t="s">
        <v>4503</v>
      </c>
      <c r="B1422" s="59">
        <v>45236.36762611111</v>
      </c>
      <c r="C1422" s="20" t="s">
        <v>76</v>
      </c>
      <c r="D1422" s="25"/>
      <c r="E1422" s="25" t="s">
        <v>70</v>
      </c>
      <c r="F1422" s="25" t="s">
        <v>1617</v>
      </c>
      <c r="G1422" s="25" t="s">
        <v>4504</v>
      </c>
      <c r="H1422" s="25" t="s">
        <v>162</v>
      </c>
      <c r="I1422" s="25"/>
      <c r="J1422" s="25" t="s">
        <v>4505</v>
      </c>
      <c r="K1422" s="25"/>
      <c r="L1422" s="26" t="s">
        <v>20</v>
      </c>
      <c r="M1422" s="64">
        <v>45236.0</v>
      </c>
      <c r="N1422" s="77" t="str">
        <f t="shared" si="2"/>
        <v>novembro</v>
      </c>
    </row>
    <row r="1423">
      <c r="A1423" s="7" t="s">
        <v>4506</v>
      </c>
      <c r="B1423" s="8">
        <v>45236.36854481482</v>
      </c>
      <c r="C1423" s="7" t="s">
        <v>76</v>
      </c>
      <c r="D1423" s="7"/>
      <c r="E1423" s="25" t="s">
        <v>70</v>
      </c>
      <c r="F1423" s="20" t="s">
        <v>1621</v>
      </c>
      <c r="G1423" s="9" t="s">
        <v>4507</v>
      </c>
      <c r="H1423" s="7" t="s">
        <v>1734</v>
      </c>
      <c r="I1423" s="7"/>
      <c r="J1423" s="7" t="s">
        <v>4508</v>
      </c>
      <c r="K1423" s="32"/>
      <c r="L1423" s="91" t="s">
        <v>20</v>
      </c>
      <c r="M1423" s="55">
        <v>45236.0</v>
      </c>
      <c r="N1423" s="77" t="str">
        <f t="shared" si="2"/>
        <v>novembro</v>
      </c>
    </row>
    <row r="1424">
      <c r="A1424" s="25" t="s">
        <v>4509</v>
      </c>
      <c r="B1424" s="59">
        <v>45236.38750557871</v>
      </c>
      <c r="C1424" s="20" t="s">
        <v>346</v>
      </c>
      <c r="D1424" s="25"/>
      <c r="E1424" s="25" t="s">
        <v>34</v>
      </c>
      <c r="F1424" s="25" t="s">
        <v>347</v>
      </c>
      <c r="G1424" s="25" t="s">
        <v>595</v>
      </c>
      <c r="H1424" s="25" t="s">
        <v>79</v>
      </c>
      <c r="I1424" s="25"/>
      <c r="J1424" s="25" t="s">
        <v>4510</v>
      </c>
      <c r="K1424" s="25"/>
      <c r="L1424" s="26" t="s">
        <v>20</v>
      </c>
      <c r="M1424" s="17">
        <v>45243.0</v>
      </c>
      <c r="N1424" s="77" t="str">
        <f t="shared" si="2"/>
        <v>novembro</v>
      </c>
    </row>
    <row r="1425">
      <c r="A1425" s="7" t="s">
        <v>4511</v>
      </c>
      <c r="B1425" s="8">
        <v>45236.39635603009</v>
      </c>
      <c r="C1425" s="7" t="s">
        <v>4512</v>
      </c>
      <c r="D1425" s="7"/>
      <c r="E1425" s="7" t="s">
        <v>1127</v>
      </c>
      <c r="F1425" s="25" t="s">
        <v>77</v>
      </c>
      <c r="G1425" s="9" t="s">
        <v>2552</v>
      </c>
      <c r="H1425" s="7" t="s">
        <v>129</v>
      </c>
      <c r="I1425" s="7"/>
      <c r="J1425" s="7" t="s">
        <v>4513</v>
      </c>
      <c r="K1425" s="32"/>
      <c r="L1425" s="91" t="s">
        <v>20</v>
      </c>
      <c r="M1425" s="55">
        <v>45247.0</v>
      </c>
      <c r="N1425" s="77" t="str">
        <f t="shared" si="2"/>
        <v>novembro</v>
      </c>
    </row>
    <row r="1426">
      <c r="A1426" s="25" t="s">
        <v>4514</v>
      </c>
      <c r="B1426" s="59">
        <v>45236.39886775463</v>
      </c>
      <c r="C1426" s="20" t="s">
        <v>346</v>
      </c>
      <c r="D1426" s="25"/>
      <c r="E1426" s="25" t="s">
        <v>34</v>
      </c>
      <c r="F1426" s="25" t="s">
        <v>347</v>
      </c>
      <c r="G1426" s="25" t="s">
        <v>595</v>
      </c>
      <c r="H1426" s="25" t="s">
        <v>79</v>
      </c>
      <c r="I1426" s="25"/>
      <c r="J1426" s="25" t="s">
        <v>4515</v>
      </c>
      <c r="K1426" s="25"/>
      <c r="L1426" s="26" t="s">
        <v>20</v>
      </c>
      <c r="M1426" s="17">
        <v>45237.0</v>
      </c>
      <c r="N1426" s="77" t="str">
        <f t="shared" si="2"/>
        <v>novembro</v>
      </c>
    </row>
    <row r="1427">
      <c r="A1427" s="7" t="s">
        <v>4516</v>
      </c>
      <c r="B1427" s="8">
        <v>45236.449978703706</v>
      </c>
      <c r="C1427" s="7" t="s">
        <v>3665</v>
      </c>
      <c r="D1427" s="7"/>
      <c r="E1427" s="25" t="s">
        <v>70</v>
      </c>
      <c r="F1427" s="7" t="s">
        <v>3672</v>
      </c>
      <c r="G1427" s="9" t="s">
        <v>4517</v>
      </c>
      <c r="H1427" s="7" t="s">
        <v>1734</v>
      </c>
      <c r="I1427" s="7"/>
      <c r="J1427" s="7" t="s">
        <v>4518</v>
      </c>
      <c r="K1427" s="32"/>
      <c r="L1427" s="91" t="s">
        <v>20</v>
      </c>
      <c r="M1427" s="55">
        <v>45236.0</v>
      </c>
      <c r="N1427" s="77" t="str">
        <f t="shared" si="2"/>
        <v>novembro</v>
      </c>
    </row>
    <row r="1428">
      <c r="A1428" s="25" t="s">
        <v>4519</v>
      </c>
      <c r="B1428" s="59">
        <v>45236.4530603125</v>
      </c>
      <c r="C1428" s="20" t="s">
        <v>3665</v>
      </c>
      <c r="D1428" s="25"/>
      <c r="E1428" s="25" t="s">
        <v>70</v>
      </c>
      <c r="F1428" s="25" t="s">
        <v>4107</v>
      </c>
      <c r="G1428" s="25" t="s">
        <v>4520</v>
      </c>
      <c r="H1428" s="25" t="s">
        <v>79</v>
      </c>
      <c r="I1428" s="25"/>
      <c r="J1428" s="25" t="s">
        <v>4521</v>
      </c>
      <c r="K1428" s="68"/>
      <c r="L1428" s="26" t="s">
        <v>20</v>
      </c>
      <c r="M1428" s="17">
        <v>45288.0</v>
      </c>
      <c r="N1428" s="77" t="str">
        <f t="shared" si="2"/>
        <v>novembro</v>
      </c>
    </row>
    <row r="1429">
      <c r="A1429" s="7" t="s">
        <v>4522</v>
      </c>
      <c r="B1429" s="8">
        <v>45236.53963097223</v>
      </c>
      <c r="C1429" s="7" t="s">
        <v>2062</v>
      </c>
      <c r="D1429" s="7"/>
      <c r="E1429" s="7" t="s">
        <v>1333</v>
      </c>
      <c r="F1429" s="25" t="s">
        <v>49</v>
      </c>
      <c r="G1429" s="9" t="s">
        <v>4523</v>
      </c>
      <c r="H1429" s="7" t="s">
        <v>764</v>
      </c>
      <c r="I1429" s="7"/>
      <c r="J1429" s="7" t="s">
        <v>4524</v>
      </c>
      <c r="K1429" s="32"/>
      <c r="L1429" s="91" t="s">
        <v>20</v>
      </c>
      <c r="M1429" s="55">
        <v>45236.0</v>
      </c>
      <c r="N1429" s="77" t="str">
        <f t="shared" si="2"/>
        <v>novembro</v>
      </c>
    </row>
    <row r="1430">
      <c r="A1430" s="25" t="s">
        <v>4525</v>
      </c>
      <c r="B1430" s="59">
        <v>45236.568554108795</v>
      </c>
      <c r="C1430" s="20" t="s">
        <v>3665</v>
      </c>
      <c r="D1430" s="25"/>
      <c r="E1430" s="25" t="s">
        <v>70</v>
      </c>
      <c r="F1430" s="25" t="s">
        <v>3672</v>
      </c>
      <c r="G1430" s="25" t="s">
        <v>4526</v>
      </c>
      <c r="H1430" s="25" t="s">
        <v>1734</v>
      </c>
      <c r="I1430" s="25"/>
      <c r="J1430" s="25" t="s">
        <v>4527</v>
      </c>
      <c r="K1430" s="25"/>
      <c r="L1430" s="26" t="s">
        <v>20</v>
      </c>
      <c r="M1430" s="17">
        <v>45236.0</v>
      </c>
      <c r="N1430" s="77" t="str">
        <f t="shared" si="2"/>
        <v>novembro</v>
      </c>
    </row>
    <row r="1431">
      <c r="A1431" s="7" t="s">
        <v>4528</v>
      </c>
      <c r="B1431" s="8">
        <v>45236.76225550926</v>
      </c>
      <c r="C1431" s="7" t="s">
        <v>186</v>
      </c>
      <c r="D1431" s="7"/>
      <c r="E1431" s="25" t="s">
        <v>187</v>
      </c>
      <c r="F1431" s="25" t="s">
        <v>347</v>
      </c>
      <c r="G1431" s="9">
        <v>111.0</v>
      </c>
      <c r="H1431" s="7" t="s">
        <v>1734</v>
      </c>
      <c r="I1431" s="7"/>
      <c r="J1431" s="7" t="s">
        <v>4529</v>
      </c>
      <c r="K1431" s="32"/>
      <c r="L1431" s="91" t="s">
        <v>20</v>
      </c>
      <c r="M1431" s="55">
        <v>45239.0</v>
      </c>
      <c r="N1431" s="77" t="str">
        <f t="shared" si="2"/>
        <v>novembro</v>
      </c>
    </row>
    <row r="1432">
      <c r="A1432" s="25" t="s">
        <v>4530</v>
      </c>
      <c r="B1432" s="59">
        <v>45237.334252326385</v>
      </c>
      <c r="C1432" s="20" t="s">
        <v>512</v>
      </c>
      <c r="D1432" s="25"/>
      <c r="E1432" s="25" t="s">
        <v>70</v>
      </c>
      <c r="F1432" s="25" t="s">
        <v>4531</v>
      </c>
      <c r="G1432" s="25" t="s">
        <v>4532</v>
      </c>
      <c r="H1432" s="25" t="s">
        <v>18</v>
      </c>
      <c r="I1432" s="25"/>
      <c r="J1432" s="25" t="s">
        <v>4533</v>
      </c>
      <c r="K1432" s="25"/>
      <c r="L1432" s="26" t="s">
        <v>20</v>
      </c>
      <c r="M1432" s="17">
        <v>45237.0</v>
      </c>
      <c r="N1432" s="77" t="str">
        <f t="shared" si="2"/>
        <v>novembro</v>
      </c>
    </row>
    <row r="1433">
      <c r="A1433" s="7" t="s">
        <v>4534</v>
      </c>
      <c r="B1433" s="8">
        <v>45237.33909443287</v>
      </c>
      <c r="C1433" s="7" t="s">
        <v>512</v>
      </c>
      <c r="D1433" s="7"/>
      <c r="E1433" s="25" t="s">
        <v>70</v>
      </c>
      <c r="F1433" s="7" t="s">
        <v>1789</v>
      </c>
      <c r="G1433" s="9" t="s">
        <v>1789</v>
      </c>
      <c r="H1433" s="7" t="s">
        <v>79</v>
      </c>
      <c r="I1433" s="7"/>
      <c r="J1433" s="7" t="s">
        <v>4535</v>
      </c>
      <c r="K1433" s="32"/>
      <c r="L1433" s="91" t="s">
        <v>20</v>
      </c>
      <c r="M1433" s="55">
        <v>45238.0</v>
      </c>
      <c r="N1433" s="77" t="str">
        <f t="shared" si="2"/>
        <v>novembro</v>
      </c>
    </row>
    <row r="1434">
      <c r="A1434" s="7" t="s">
        <v>4536</v>
      </c>
      <c r="B1434" s="8">
        <v>45237.389715694444</v>
      </c>
      <c r="C1434" s="7" t="s">
        <v>186</v>
      </c>
      <c r="D1434" s="7" t="s">
        <v>2643</v>
      </c>
      <c r="E1434" s="25" t="s">
        <v>187</v>
      </c>
      <c r="F1434" s="25" t="s">
        <v>347</v>
      </c>
      <c r="G1434" s="9" t="s">
        <v>4537</v>
      </c>
      <c r="H1434" s="7" t="s">
        <v>1734</v>
      </c>
      <c r="I1434" s="7"/>
      <c r="J1434" s="7" t="s">
        <v>4538</v>
      </c>
      <c r="K1434" s="32"/>
      <c r="L1434" s="91" t="s">
        <v>20</v>
      </c>
      <c r="M1434" s="55">
        <v>45239.0</v>
      </c>
      <c r="N1434" s="77" t="str">
        <f t="shared" si="2"/>
        <v>novembro</v>
      </c>
    </row>
    <row r="1435">
      <c r="A1435" s="7" t="s">
        <v>4539</v>
      </c>
      <c r="B1435" s="8">
        <v>45237.40288412037</v>
      </c>
      <c r="C1435" s="7" t="s">
        <v>4540</v>
      </c>
      <c r="D1435" s="7">
        <v>5357.0</v>
      </c>
      <c r="E1435" s="20" t="s">
        <v>288</v>
      </c>
      <c r="F1435" s="7" t="s">
        <v>55</v>
      </c>
      <c r="G1435" s="9" t="s">
        <v>3522</v>
      </c>
      <c r="H1435" s="7" t="s">
        <v>1734</v>
      </c>
      <c r="I1435" s="7"/>
      <c r="J1435" s="7" t="s">
        <v>4541</v>
      </c>
      <c r="K1435" s="10" t="s">
        <v>4542</v>
      </c>
      <c r="L1435" s="91" t="s">
        <v>20</v>
      </c>
      <c r="M1435" s="55">
        <v>45338.0</v>
      </c>
      <c r="N1435" s="77" t="str">
        <f t="shared" si="2"/>
        <v>novembro</v>
      </c>
    </row>
    <row r="1436">
      <c r="A1436" s="7" t="s">
        <v>4543</v>
      </c>
      <c r="B1436" s="8">
        <v>45237.451744976854</v>
      </c>
      <c r="C1436" s="7" t="s">
        <v>4544</v>
      </c>
      <c r="D1436" s="7"/>
      <c r="E1436" s="7" t="s">
        <v>1127</v>
      </c>
      <c r="F1436" s="7" t="s">
        <v>4545</v>
      </c>
      <c r="G1436" s="9" t="s">
        <v>4546</v>
      </c>
      <c r="H1436" s="7" t="s">
        <v>1734</v>
      </c>
      <c r="I1436" s="7"/>
      <c r="J1436" s="7" t="s">
        <v>4547</v>
      </c>
      <c r="K1436" s="32"/>
      <c r="L1436" s="91" t="s">
        <v>20</v>
      </c>
      <c r="M1436" s="55">
        <v>45247.0</v>
      </c>
      <c r="N1436" s="77" t="str">
        <f t="shared" si="2"/>
        <v>novembro</v>
      </c>
    </row>
    <row r="1437">
      <c r="A1437" s="7" t="s">
        <v>4548</v>
      </c>
      <c r="B1437" s="8">
        <v>45237.482449629635</v>
      </c>
      <c r="C1437" s="7" t="s">
        <v>3665</v>
      </c>
      <c r="D1437" s="7"/>
      <c r="E1437" s="25" t="s">
        <v>70</v>
      </c>
      <c r="F1437" s="7" t="s">
        <v>2814</v>
      </c>
      <c r="G1437" s="9" t="s">
        <v>4549</v>
      </c>
      <c r="H1437" s="7" t="s">
        <v>79</v>
      </c>
      <c r="I1437" s="7"/>
      <c r="J1437" s="7" t="s">
        <v>4550</v>
      </c>
      <c r="K1437" s="32"/>
      <c r="L1437" s="91" t="s">
        <v>20</v>
      </c>
      <c r="M1437" s="55">
        <v>45238.0</v>
      </c>
      <c r="N1437" s="77" t="str">
        <f t="shared" si="2"/>
        <v>novembro</v>
      </c>
    </row>
    <row r="1438">
      <c r="A1438" s="7" t="s">
        <v>4551</v>
      </c>
      <c r="B1438" s="8">
        <v>45237.63392017361</v>
      </c>
      <c r="C1438" s="7" t="s">
        <v>4353</v>
      </c>
      <c r="D1438" s="7"/>
      <c r="E1438" s="7" t="s">
        <v>41</v>
      </c>
      <c r="F1438" s="25" t="s">
        <v>42</v>
      </c>
      <c r="G1438" s="9" t="s">
        <v>1020</v>
      </c>
      <c r="H1438" s="7" t="s">
        <v>79</v>
      </c>
      <c r="I1438" s="7"/>
      <c r="J1438" s="7" t="s">
        <v>4552</v>
      </c>
      <c r="K1438" s="32"/>
      <c r="L1438" s="91" t="s">
        <v>20</v>
      </c>
      <c r="M1438" s="55">
        <v>45236.0</v>
      </c>
      <c r="N1438" s="77" t="str">
        <f t="shared" si="2"/>
        <v>novembro</v>
      </c>
    </row>
    <row r="1439">
      <c r="A1439" s="7" t="s">
        <v>4553</v>
      </c>
      <c r="B1439" s="8">
        <v>45237.63769753472</v>
      </c>
      <c r="C1439" s="7" t="s">
        <v>4554</v>
      </c>
      <c r="D1439" s="7"/>
      <c r="E1439" s="20" t="s">
        <v>308</v>
      </c>
      <c r="F1439" s="7" t="s">
        <v>2351</v>
      </c>
      <c r="G1439" s="9">
        <v>151.0</v>
      </c>
      <c r="H1439" s="7" t="s">
        <v>1734</v>
      </c>
      <c r="I1439" s="7"/>
      <c r="J1439" s="7" t="s">
        <v>4555</v>
      </c>
      <c r="K1439" s="32"/>
      <c r="L1439" s="91" t="s">
        <v>20</v>
      </c>
      <c r="M1439" s="55">
        <v>45247.0</v>
      </c>
      <c r="N1439" s="77" t="str">
        <f t="shared" si="2"/>
        <v>novembro</v>
      </c>
    </row>
    <row r="1440">
      <c r="A1440" s="7" t="s">
        <v>4556</v>
      </c>
      <c r="B1440" s="8">
        <v>45237.63855171297</v>
      </c>
      <c r="C1440" s="7" t="s">
        <v>4557</v>
      </c>
      <c r="D1440" s="7"/>
      <c r="E1440" s="20" t="s">
        <v>308</v>
      </c>
      <c r="F1440" s="7" t="s">
        <v>2351</v>
      </c>
      <c r="G1440" s="9" t="s">
        <v>4558</v>
      </c>
      <c r="H1440" s="7" t="s">
        <v>79</v>
      </c>
      <c r="I1440" s="7"/>
      <c r="J1440" s="7" t="s">
        <v>4559</v>
      </c>
      <c r="K1440" s="32"/>
      <c r="L1440" s="91" t="s">
        <v>20</v>
      </c>
      <c r="M1440" s="55">
        <v>45238.0</v>
      </c>
      <c r="N1440" s="77" t="str">
        <f t="shared" si="2"/>
        <v>novembro</v>
      </c>
    </row>
    <row r="1441">
      <c r="A1441" s="7" t="s">
        <v>4560</v>
      </c>
      <c r="B1441" s="8">
        <v>45237.67151763889</v>
      </c>
      <c r="C1441" s="7" t="s">
        <v>4544</v>
      </c>
      <c r="D1441" s="7"/>
      <c r="E1441" s="7" t="s">
        <v>1127</v>
      </c>
      <c r="F1441" s="25" t="s">
        <v>90</v>
      </c>
      <c r="G1441" s="9" t="s">
        <v>4561</v>
      </c>
      <c r="H1441" s="25" t="s">
        <v>30</v>
      </c>
      <c r="I1441" s="7"/>
      <c r="J1441" s="7" t="s">
        <v>4562</v>
      </c>
      <c r="K1441" s="32"/>
      <c r="L1441" s="91" t="s">
        <v>20</v>
      </c>
      <c r="M1441" s="55">
        <v>45237.0</v>
      </c>
      <c r="N1441" s="77" t="str">
        <f t="shared" si="2"/>
        <v>novembro</v>
      </c>
    </row>
    <row r="1442">
      <c r="A1442" s="7" t="s">
        <v>4563</v>
      </c>
      <c r="B1442" s="8">
        <v>45238.34727873842</v>
      </c>
      <c r="C1442" s="7" t="s">
        <v>512</v>
      </c>
      <c r="D1442" s="7"/>
      <c r="E1442" s="25" t="s">
        <v>70</v>
      </c>
      <c r="F1442" s="7" t="s">
        <v>4564</v>
      </c>
      <c r="G1442" s="9" t="s">
        <v>4564</v>
      </c>
      <c r="H1442" s="7" t="s">
        <v>298</v>
      </c>
      <c r="I1442" s="7"/>
      <c r="J1442" s="7" t="s">
        <v>4565</v>
      </c>
      <c r="K1442" s="32"/>
      <c r="L1442" s="91" t="s">
        <v>20</v>
      </c>
      <c r="M1442" s="55">
        <v>45239.0</v>
      </c>
      <c r="N1442" s="77" t="str">
        <f t="shared" si="2"/>
        <v>novembro</v>
      </c>
    </row>
    <row r="1443">
      <c r="A1443" s="7" t="s">
        <v>4566</v>
      </c>
      <c r="B1443" s="8">
        <v>45238.34829197917</v>
      </c>
      <c r="C1443" s="7" t="s">
        <v>4567</v>
      </c>
      <c r="D1443" s="7"/>
      <c r="E1443" s="25" t="s">
        <v>195</v>
      </c>
      <c r="F1443" s="7" t="s">
        <v>544</v>
      </c>
      <c r="G1443" s="9" t="s">
        <v>4568</v>
      </c>
      <c r="H1443" s="7" t="s">
        <v>79</v>
      </c>
      <c r="I1443" s="7"/>
      <c r="J1443" s="7" t="s">
        <v>4569</v>
      </c>
      <c r="K1443" s="30"/>
      <c r="L1443" s="91" t="s">
        <v>3972</v>
      </c>
      <c r="M1443" s="55"/>
      <c r="N1443" s="77" t="str">
        <f t="shared" si="2"/>
        <v>novembro</v>
      </c>
    </row>
    <row r="1444">
      <c r="A1444" s="7" t="s">
        <v>4570</v>
      </c>
      <c r="B1444" s="8">
        <v>45238.61853886574</v>
      </c>
      <c r="C1444" s="7" t="s">
        <v>4571</v>
      </c>
      <c r="D1444" s="7"/>
      <c r="E1444" s="7" t="s">
        <v>540</v>
      </c>
      <c r="F1444" s="25" t="s">
        <v>82</v>
      </c>
      <c r="G1444" s="9" t="s">
        <v>441</v>
      </c>
      <c r="H1444" s="7" t="s">
        <v>79</v>
      </c>
      <c r="I1444" s="7"/>
      <c r="J1444" s="7" t="s">
        <v>4572</v>
      </c>
      <c r="K1444" s="32"/>
      <c r="L1444" s="91" t="s">
        <v>20</v>
      </c>
      <c r="M1444" s="55">
        <v>45238.0</v>
      </c>
      <c r="N1444" s="77" t="str">
        <f t="shared" si="2"/>
        <v>novembro</v>
      </c>
    </row>
    <row r="1445">
      <c r="A1445" s="7" t="s">
        <v>4573</v>
      </c>
      <c r="B1445" s="8">
        <v>45238.64556550926</v>
      </c>
      <c r="C1445" s="7" t="s">
        <v>673</v>
      </c>
      <c r="D1445" s="7"/>
      <c r="E1445" s="25" t="s">
        <v>728</v>
      </c>
      <c r="F1445" s="7" t="s">
        <v>4574</v>
      </c>
      <c r="G1445" s="9">
        <v>8.0</v>
      </c>
      <c r="H1445" s="7" t="s">
        <v>764</v>
      </c>
      <c r="I1445" s="7"/>
      <c r="J1445" s="7" t="s">
        <v>4575</v>
      </c>
      <c r="K1445" s="32"/>
      <c r="L1445" s="91" t="s">
        <v>20</v>
      </c>
      <c r="M1445" s="55">
        <v>45243.0</v>
      </c>
      <c r="N1445" s="77" t="str">
        <f t="shared" si="2"/>
        <v>novembro</v>
      </c>
    </row>
    <row r="1446">
      <c r="A1446" s="7" t="s">
        <v>4576</v>
      </c>
      <c r="B1446" s="8">
        <v>45238.64669162037</v>
      </c>
      <c r="C1446" s="7" t="s">
        <v>673</v>
      </c>
      <c r="D1446" s="7"/>
      <c r="E1446" s="25" t="s">
        <v>728</v>
      </c>
      <c r="F1446" s="7" t="s">
        <v>4574</v>
      </c>
      <c r="G1446" s="9">
        <v>11.0</v>
      </c>
      <c r="H1446" s="7" t="s">
        <v>764</v>
      </c>
      <c r="I1446" s="7"/>
      <c r="J1446" s="7" t="s">
        <v>4577</v>
      </c>
      <c r="K1446" s="32"/>
      <c r="L1446" s="91" t="s">
        <v>20</v>
      </c>
      <c r="M1446" s="55">
        <v>45243.0</v>
      </c>
      <c r="N1446" s="77" t="str">
        <f t="shared" si="2"/>
        <v>novembro</v>
      </c>
    </row>
    <row r="1447">
      <c r="A1447" s="7" t="s">
        <v>4578</v>
      </c>
      <c r="B1447" s="8">
        <v>45239.3110534375</v>
      </c>
      <c r="C1447" s="7" t="s">
        <v>3173</v>
      </c>
      <c r="D1447" s="7"/>
      <c r="E1447" s="7" t="s">
        <v>261</v>
      </c>
      <c r="F1447" s="25" t="s">
        <v>61</v>
      </c>
      <c r="G1447" s="9" t="s">
        <v>4579</v>
      </c>
      <c r="H1447" s="7" t="s">
        <v>1734</v>
      </c>
      <c r="I1447" s="7"/>
      <c r="J1447" s="7" t="s">
        <v>4580</v>
      </c>
      <c r="K1447" s="32"/>
      <c r="L1447" s="91" t="s">
        <v>20</v>
      </c>
      <c r="M1447" s="55">
        <v>45239.0</v>
      </c>
      <c r="N1447" s="77" t="str">
        <f t="shared" si="2"/>
        <v>novembro</v>
      </c>
    </row>
    <row r="1448">
      <c r="A1448" s="7" t="s">
        <v>4581</v>
      </c>
      <c r="B1448" s="8">
        <v>45239.35429103009</v>
      </c>
      <c r="C1448" s="7" t="s">
        <v>3665</v>
      </c>
      <c r="D1448" s="7"/>
      <c r="E1448" s="25" t="s">
        <v>70</v>
      </c>
      <c r="F1448" s="7" t="s">
        <v>3759</v>
      </c>
      <c r="G1448" s="9" t="s">
        <v>4582</v>
      </c>
      <c r="H1448" s="7" t="s">
        <v>79</v>
      </c>
      <c r="I1448" s="7"/>
      <c r="J1448" s="7" t="s">
        <v>4583</v>
      </c>
      <c r="K1448" s="32"/>
      <c r="L1448" s="91" t="s">
        <v>20</v>
      </c>
      <c r="M1448" s="55">
        <v>45239.0</v>
      </c>
      <c r="N1448" s="77" t="str">
        <f t="shared" si="2"/>
        <v>novembro</v>
      </c>
    </row>
    <row r="1449">
      <c r="A1449" s="7" t="s">
        <v>4584</v>
      </c>
      <c r="B1449" s="8">
        <v>45239.36250296296</v>
      </c>
      <c r="C1449" s="7" t="s">
        <v>3665</v>
      </c>
      <c r="D1449" s="7"/>
      <c r="E1449" s="25" t="s">
        <v>70</v>
      </c>
      <c r="F1449" s="7" t="s">
        <v>3759</v>
      </c>
      <c r="G1449" s="9" t="s">
        <v>4373</v>
      </c>
      <c r="H1449" s="7" t="s">
        <v>1853</v>
      </c>
      <c r="I1449" s="7"/>
      <c r="J1449" s="7" t="s">
        <v>4585</v>
      </c>
      <c r="K1449" s="30"/>
      <c r="L1449" s="91" t="s">
        <v>738</v>
      </c>
      <c r="M1449" s="55"/>
      <c r="N1449" s="77" t="str">
        <f t="shared" si="2"/>
        <v>novembro</v>
      </c>
    </row>
    <row r="1450">
      <c r="A1450" s="7" t="s">
        <v>4586</v>
      </c>
      <c r="B1450" s="8">
        <v>45239.42805256945</v>
      </c>
      <c r="C1450" s="7" t="s">
        <v>321</v>
      </c>
      <c r="D1450" s="7"/>
      <c r="E1450" s="25" t="s">
        <v>183</v>
      </c>
      <c r="F1450" s="7" t="s">
        <v>367</v>
      </c>
      <c r="G1450" s="9" t="s">
        <v>4587</v>
      </c>
      <c r="H1450" s="7" t="s">
        <v>1734</v>
      </c>
      <c r="I1450" s="7"/>
      <c r="J1450" s="7" t="s">
        <v>4588</v>
      </c>
      <c r="K1450" s="32"/>
      <c r="L1450" s="91" t="s">
        <v>20</v>
      </c>
      <c r="M1450" s="55">
        <v>45247.0</v>
      </c>
      <c r="N1450" s="77" t="str">
        <f t="shared" si="2"/>
        <v>novembro</v>
      </c>
    </row>
    <row r="1451">
      <c r="A1451" s="7" t="s">
        <v>4589</v>
      </c>
      <c r="B1451" s="8">
        <v>45239.43091979167</v>
      </c>
      <c r="C1451" s="7" t="s">
        <v>512</v>
      </c>
      <c r="D1451" s="7"/>
      <c r="E1451" s="25" t="s">
        <v>70</v>
      </c>
      <c r="F1451" s="7" t="s">
        <v>103</v>
      </c>
      <c r="G1451" s="9" t="s">
        <v>4590</v>
      </c>
      <c r="H1451" s="7" t="s">
        <v>79</v>
      </c>
      <c r="I1451" s="7"/>
      <c r="J1451" s="7" t="s">
        <v>4591</v>
      </c>
      <c r="K1451" s="32"/>
      <c r="L1451" s="91" t="s">
        <v>20</v>
      </c>
      <c r="M1451" s="55">
        <v>45239.0</v>
      </c>
      <c r="N1451" s="77" t="str">
        <f t="shared" si="2"/>
        <v>novembro</v>
      </c>
    </row>
    <row r="1452">
      <c r="A1452" s="7" t="s">
        <v>4592</v>
      </c>
      <c r="B1452" s="8">
        <v>45239.46076789351</v>
      </c>
      <c r="C1452" s="7" t="s">
        <v>922</v>
      </c>
      <c r="D1452" s="7"/>
      <c r="E1452" s="20" t="s">
        <v>226</v>
      </c>
      <c r="F1452" s="25" t="s">
        <v>61</v>
      </c>
      <c r="G1452" s="9">
        <v>151.0</v>
      </c>
      <c r="H1452" s="7" t="s">
        <v>1734</v>
      </c>
      <c r="I1452" s="7"/>
      <c r="J1452" s="7" t="s">
        <v>4593</v>
      </c>
      <c r="K1452" s="32"/>
      <c r="L1452" s="91" t="s">
        <v>20</v>
      </c>
      <c r="M1452" s="55">
        <v>45247.0</v>
      </c>
      <c r="N1452" s="77" t="str">
        <f t="shared" si="2"/>
        <v>novembro</v>
      </c>
    </row>
    <row r="1453">
      <c r="A1453" s="7" t="s">
        <v>4594</v>
      </c>
      <c r="B1453" s="8">
        <v>45239.51146568287</v>
      </c>
      <c r="C1453" s="7" t="s">
        <v>3938</v>
      </c>
      <c r="D1453" s="7">
        <v>5349.0</v>
      </c>
      <c r="E1453" s="25" t="s">
        <v>60</v>
      </c>
      <c r="F1453" s="25" t="s">
        <v>61</v>
      </c>
      <c r="G1453" s="9" t="s">
        <v>2335</v>
      </c>
      <c r="H1453" s="7" t="s">
        <v>79</v>
      </c>
      <c r="I1453" s="7"/>
      <c r="J1453" s="7" t="s">
        <v>4595</v>
      </c>
      <c r="K1453" s="32"/>
      <c r="L1453" s="91" t="s">
        <v>20</v>
      </c>
      <c r="M1453" s="55">
        <v>45239.0</v>
      </c>
      <c r="N1453" s="77" t="str">
        <f t="shared" si="2"/>
        <v>novembro</v>
      </c>
    </row>
    <row r="1454">
      <c r="A1454" s="7" t="s">
        <v>4596</v>
      </c>
      <c r="B1454" s="8">
        <v>45239.51327298611</v>
      </c>
      <c r="C1454" s="7" t="s">
        <v>3938</v>
      </c>
      <c r="D1454" s="7">
        <v>5349.0</v>
      </c>
      <c r="E1454" s="25" t="s">
        <v>60</v>
      </c>
      <c r="F1454" s="25" t="s">
        <v>61</v>
      </c>
      <c r="G1454" s="9" t="s">
        <v>4194</v>
      </c>
      <c r="H1454" s="7" t="s">
        <v>79</v>
      </c>
      <c r="I1454" s="7"/>
      <c r="J1454" s="7" t="s">
        <v>4597</v>
      </c>
      <c r="K1454" s="32"/>
      <c r="L1454" s="91" t="s">
        <v>20</v>
      </c>
      <c r="M1454" s="55">
        <v>45239.0</v>
      </c>
      <c r="N1454" s="77" t="str">
        <f t="shared" si="2"/>
        <v>novembro</v>
      </c>
    </row>
    <row r="1455">
      <c r="A1455" s="7" t="s">
        <v>4598</v>
      </c>
      <c r="B1455" s="8">
        <v>45239.54477230324</v>
      </c>
      <c r="C1455" s="7" t="s">
        <v>3409</v>
      </c>
      <c r="D1455" s="7" t="s">
        <v>4599</v>
      </c>
      <c r="E1455" s="25" t="s">
        <v>187</v>
      </c>
      <c r="F1455" s="7" t="s">
        <v>347</v>
      </c>
      <c r="G1455" s="9" t="s">
        <v>4600</v>
      </c>
      <c r="H1455" s="7" t="s">
        <v>1734</v>
      </c>
      <c r="I1455" s="7"/>
      <c r="J1455" s="7" t="s">
        <v>4601</v>
      </c>
      <c r="K1455" s="32"/>
      <c r="L1455" s="91" t="s">
        <v>20</v>
      </c>
      <c r="M1455" s="55">
        <v>45253.0</v>
      </c>
      <c r="N1455" s="77" t="str">
        <f t="shared" si="2"/>
        <v>novembro</v>
      </c>
    </row>
    <row r="1456">
      <c r="A1456" s="7" t="s">
        <v>4602</v>
      </c>
      <c r="B1456" s="8">
        <v>45239.687146805554</v>
      </c>
      <c r="C1456" s="7" t="s">
        <v>346</v>
      </c>
      <c r="D1456" s="7" t="s">
        <v>779</v>
      </c>
      <c r="E1456" s="25" t="s">
        <v>34</v>
      </c>
      <c r="F1456" s="7" t="s">
        <v>347</v>
      </c>
      <c r="G1456" s="9" t="s">
        <v>595</v>
      </c>
      <c r="H1456" s="7" t="s">
        <v>1734</v>
      </c>
      <c r="I1456" s="7"/>
      <c r="J1456" s="7" t="s">
        <v>4603</v>
      </c>
      <c r="K1456" s="32"/>
      <c r="L1456" s="91" t="s">
        <v>20</v>
      </c>
      <c r="M1456" s="55">
        <v>45240.0</v>
      </c>
      <c r="N1456" s="77" t="str">
        <f t="shared" si="2"/>
        <v>novembro</v>
      </c>
    </row>
    <row r="1457">
      <c r="A1457" s="7" t="s">
        <v>4604</v>
      </c>
      <c r="B1457" s="8">
        <v>45240.380357939815</v>
      </c>
      <c r="C1457" s="7" t="s">
        <v>432</v>
      </c>
      <c r="D1457" s="7">
        <v>6.4981321757E10</v>
      </c>
      <c r="E1457" s="25" t="s">
        <v>187</v>
      </c>
      <c r="F1457" s="7" t="s">
        <v>347</v>
      </c>
      <c r="G1457" s="9" t="s">
        <v>4605</v>
      </c>
      <c r="H1457" s="7" t="s">
        <v>129</v>
      </c>
      <c r="I1457" s="7"/>
      <c r="J1457" s="7" t="s">
        <v>4606</v>
      </c>
      <c r="K1457" s="10" t="s">
        <v>4607</v>
      </c>
      <c r="L1457" s="91" t="s">
        <v>738</v>
      </c>
      <c r="M1457" s="55"/>
      <c r="N1457" s="77" t="str">
        <f t="shared" si="2"/>
        <v>novembro</v>
      </c>
    </row>
    <row r="1458">
      <c r="A1458" s="7" t="s">
        <v>4608</v>
      </c>
      <c r="B1458" s="8">
        <v>45240.54429780092</v>
      </c>
      <c r="C1458" s="7" t="s">
        <v>3938</v>
      </c>
      <c r="D1458" s="7">
        <v>5349.0</v>
      </c>
      <c r="E1458" s="25" t="s">
        <v>60</v>
      </c>
      <c r="F1458" s="25" t="s">
        <v>61</v>
      </c>
      <c r="G1458" s="9" t="s">
        <v>4609</v>
      </c>
      <c r="H1458" s="7" t="s">
        <v>1734</v>
      </c>
      <c r="I1458" s="7"/>
      <c r="J1458" s="7" t="s">
        <v>4610</v>
      </c>
      <c r="K1458" s="32"/>
      <c r="L1458" s="91" t="s">
        <v>20</v>
      </c>
      <c r="M1458" s="55">
        <v>45243.0</v>
      </c>
      <c r="N1458" s="77" t="str">
        <f t="shared" si="2"/>
        <v>novembro</v>
      </c>
    </row>
    <row r="1459">
      <c r="A1459" s="7" t="s">
        <v>4611</v>
      </c>
      <c r="B1459" s="8">
        <v>45240.587714444446</v>
      </c>
      <c r="C1459" s="7" t="s">
        <v>3665</v>
      </c>
      <c r="D1459" s="7">
        <v>5340.0</v>
      </c>
      <c r="E1459" s="7" t="s">
        <v>261</v>
      </c>
      <c r="F1459" s="7" t="s">
        <v>2814</v>
      </c>
      <c r="G1459" s="9" t="s">
        <v>4612</v>
      </c>
      <c r="H1459" s="7" t="s">
        <v>79</v>
      </c>
      <c r="I1459" s="7"/>
      <c r="J1459" s="7" t="s">
        <v>4613</v>
      </c>
      <c r="K1459" s="32"/>
      <c r="L1459" s="91" t="s">
        <v>20</v>
      </c>
      <c r="M1459" s="55">
        <v>45247.0</v>
      </c>
      <c r="N1459" s="77" t="str">
        <f t="shared" si="2"/>
        <v>novembro</v>
      </c>
    </row>
    <row r="1460">
      <c r="A1460" s="7" t="s">
        <v>4614</v>
      </c>
      <c r="B1460" s="8">
        <v>45240.62729888889</v>
      </c>
      <c r="C1460" s="7" t="s">
        <v>1938</v>
      </c>
      <c r="D1460" s="7">
        <v>5308.0</v>
      </c>
      <c r="E1460" s="7" t="s">
        <v>1372</v>
      </c>
      <c r="F1460" s="7" t="s">
        <v>554</v>
      </c>
      <c r="G1460" s="9" t="s">
        <v>4615</v>
      </c>
      <c r="H1460" s="7" t="s">
        <v>764</v>
      </c>
      <c r="I1460" s="7"/>
      <c r="J1460" s="7" t="s">
        <v>4616</v>
      </c>
      <c r="K1460" s="32"/>
      <c r="L1460" s="91" t="s">
        <v>20</v>
      </c>
      <c r="M1460" s="55">
        <v>45247.0</v>
      </c>
      <c r="N1460" s="77" t="str">
        <f t="shared" si="2"/>
        <v>novembro</v>
      </c>
    </row>
    <row r="1461">
      <c r="A1461" s="7" t="s">
        <v>4617</v>
      </c>
      <c r="B1461" s="8">
        <v>45242.71684075231</v>
      </c>
      <c r="C1461" s="7" t="s">
        <v>4618</v>
      </c>
      <c r="D1461" s="7">
        <v>1.6992538409E10</v>
      </c>
      <c r="E1461" s="7" t="s">
        <v>1127</v>
      </c>
      <c r="F1461" s="7" t="s">
        <v>4619</v>
      </c>
      <c r="G1461" s="9" t="s">
        <v>4620</v>
      </c>
      <c r="H1461" s="25" t="s">
        <v>30</v>
      </c>
      <c r="I1461" s="7"/>
      <c r="J1461" s="7" t="s">
        <v>4621</v>
      </c>
      <c r="K1461" s="32"/>
      <c r="L1461" s="91" t="s">
        <v>20</v>
      </c>
      <c r="M1461" s="55">
        <v>45243.0</v>
      </c>
      <c r="N1461" s="77" t="str">
        <f t="shared" si="2"/>
        <v>novembro</v>
      </c>
    </row>
    <row r="1462">
      <c r="A1462" s="7" t="s">
        <v>4622</v>
      </c>
      <c r="B1462" s="8">
        <v>45243.37682409723</v>
      </c>
      <c r="C1462" s="7" t="s">
        <v>346</v>
      </c>
      <c r="D1462" s="7">
        <v>6.4996990617E10</v>
      </c>
      <c r="E1462" s="25" t="s">
        <v>34</v>
      </c>
      <c r="F1462" s="7" t="s">
        <v>35</v>
      </c>
      <c r="G1462" s="9" t="s">
        <v>36</v>
      </c>
      <c r="H1462" s="7" t="s">
        <v>1734</v>
      </c>
      <c r="I1462" s="7"/>
      <c r="J1462" s="7" t="s">
        <v>4623</v>
      </c>
      <c r="K1462" s="10" t="s">
        <v>4624</v>
      </c>
      <c r="L1462" s="91" t="s">
        <v>20</v>
      </c>
      <c r="M1462" s="55">
        <v>45302.0</v>
      </c>
      <c r="N1462" s="77" t="str">
        <f t="shared" si="2"/>
        <v>novembro</v>
      </c>
    </row>
    <row r="1463">
      <c r="A1463" s="7" t="s">
        <v>4625</v>
      </c>
      <c r="B1463" s="8">
        <v>45243.378652025465</v>
      </c>
      <c r="C1463" s="7" t="s">
        <v>512</v>
      </c>
      <c r="D1463" s="7">
        <v>5340.0</v>
      </c>
      <c r="E1463" s="25" t="s">
        <v>70</v>
      </c>
      <c r="F1463" s="7" t="s">
        <v>42</v>
      </c>
      <c r="G1463" s="9" t="s">
        <v>4626</v>
      </c>
      <c r="H1463" s="7" t="s">
        <v>79</v>
      </c>
      <c r="I1463" s="7"/>
      <c r="J1463" s="7" t="s">
        <v>4627</v>
      </c>
      <c r="K1463" s="32"/>
      <c r="L1463" s="91" t="s">
        <v>20</v>
      </c>
      <c r="M1463" s="69">
        <v>45253.0</v>
      </c>
      <c r="N1463" s="77" t="str">
        <f t="shared" si="2"/>
        <v>novembro</v>
      </c>
    </row>
    <row r="1464">
      <c r="A1464" s="7" t="s">
        <v>4628</v>
      </c>
      <c r="B1464" s="8">
        <v>45243.37927233796</v>
      </c>
      <c r="C1464" s="7" t="s">
        <v>512</v>
      </c>
      <c r="D1464" s="7">
        <v>5340.0</v>
      </c>
      <c r="E1464" s="25" t="s">
        <v>70</v>
      </c>
      <c r="F1464" s="7" t="s">
        <v>35</v>
      </c>
      <c r="G1464" s="9" t="s">
        <v>4629</v>
      </c>
      <c r="H1464" s="7" t="s">
        <v>79</v>
      </c>
      <c r="I1464" s="7"/>
      <c r="J1464" s="7" t="s">
        <v>4630</v>
      </c>
      <c r="K1464" s="32"/>
      <c r="L1464" s="91" t="s">
        <v>20</v>
      </c>
      <c r="M1464" s="55">
        <v>45243.0</v>
      </c>
      <c r="N1464" s="77" t="str">
        <f t="shared" si="2"/>
        <v>novembro</v>
      </c>
    </row>
    <row r="1465">
      <c r="A1465" s="7" t="s">
        <v>4631</v>
      </c>
      <c r="B1465" s="8">
        <v>45243.41750483796</v>
      </c>
      <c r="C1465" s="7" t="s">
        <v>3665</v>
      </c>
      <c r="D1465" s="7">
        <v>5340.0</v>
      </c>
      <c r="E1465" s="25" t="s">
        <v>70</v>
      </c>
      <c r="F1465" s="7" t="s">
        <v>2814</v>
      </c>
      <c r="G1465" s="9" t="s">
        <v>3680</v>
      </c>
      <c r="H1465" s="7" t="s">
        <v>1853</v>
      </c>
      <c r="I1465" s="7"/>
      <c r="J1465" s="7" t="s">
        <v>4632</v>
      </c>
      <c r="K1465" s="30"/>
      <c r="L1465" s="91" t="s">
        <v>738</v>
      </c>
      <c r="M1465" s="55"/>
      <c r="N1465" s="77" t="str">
        <f t="shared" si="2"/>
        <v>novembro</v>
      </c>
    </row>
    <row r="1466">
      <c r="A1466" s="7" t="s">
        <v>4633</v>
      </c>
      <c r="B1466" s="8">
        <v>45243.42137362268</v>
      </c>
      <c r="C1466" s="7" t="s">
        <v>3665</v>
      </c>
      <c r="D1466" s="7">
        <v>5340.0</v>
      </c>
      <c r="E1466" s="25" t="s">
        <v>70</v>
      </c>
      <c r="F1466" s="25" t="s">
        <v>100</v>
      </c>
      <c r="G1466" s="9" t="s">
        <v>4344</v>
      </c>
      <c r="H1466" s="7" t="s">
        <v>79</v>
      </c>
      <c r="I1466" s="7"/>
      <c r="J1466" s="7" t="s">
        <v>4634</v>
      </c>
      <c r="K1466" s="32"/>
      <c r="L1466" s="91" t="s">
        <v>20</v>
      </c>
      <c r="M1466" s="55">
        <v>45246.0</v>
      </c>
      <c r="N1466" s="77" t="str">
        <f t="shared" si="2"/>
        <v>novembro</v>
      </c>
    </row>
    <row r="1467">
      <c r="A1467" s="7" t="s">
        <v>4635</v>
      </c>
      <c r="B1467" s="8">
        <v>45243.422857673606</v>
      </c>
      <c r="C1467" s="7" t="s">
        <v>3665</v>
      </c>
      <c r="D1467" s="7">
        <v>5340.0</v>
      </c>
      <c r="E1467" s="25" t="s">
        <v>70</v>
      </c>
      <c r="F1467" s="7" t="s">
        <v>28</v>
      </c>
      <c r="G1467" s="9" t="s">
        <v>4344</v>
      </c>
      <c r="H1467" s="7" t="s">
        <v>79</v>
      </c>
      <c r="I1467" s="7"/>
      <c r="J1467" s="7" t="s">
        <v>4636</v>
      </c>
      <c r="K1467" s="32"/>
      <c r="L1467" s="91" t="s">
        <v>20</v>
      </c>
      <c r="M1467" s="55">
        <v>45247.0</v>
      </c>
      <c r="N1467" s="77" t="str">
        <f t="shared" si="2"/>
        <v>novembro</v>
      </c>
    </row>
    <row r="1468">
      <c r="A1468" s="7" t="s">
        <v>4637</v>
      </c>
      <c r="B1468" s="8">
        <v>45243.60591347222</v>
      </c>
      <c r="C1468" s="7" t="s">
        <v>1068</v>
      </c>
      <c r="D1468" s="7">
        <v>5311.0</v>
      </c>
      <c r="E1468" s="25" t="s">
        <v>251</v>
      </c>
      <c r="F1468" s="25" t="s">
        <v>100</v>
      </c>
      <c r="G1468" s="9" t="s">
        <v>4638</v>
      </c>
      <c r="H1468" s="7" t="s">
        <v>79</v>
      </c>
      <c r="I1468" s="7"/>
      <c r="J1468" s="7" t="s">
        <v>4639</v>
      </c>
      <c r="K1468" s="32"/>
      <c r="L1468" s="91" t="s">
        <v>20</v>
      </c>
      <c r="M1468" s="55">
        <v>45246.0</v>
      </c>
      <c r="N1468" s="77" t="str">
        <f t="shared" si="2"/>
        <v>novembro</v>
      </c>
    </row>
    <row r="1469">
      <c r="A1469" s="7" t="s">
        <v>4640</v>
      </c>
      <c r="B1469" s="8">
        <v>45243.62458131944</v>
      </c>
      <c r="C1469" s="7" t="s">
        <v>955</v>
      </c>
      <c r="D1469" s="7">
        <v>5335.0</v>
      </c>
      <c r="E1469" s="7" t="s">
        <v>674</v>
      </c>
      <c r="F1469" s="7" t="s">
        <v>82</v>
      </c>
      <c r="G1469" s="9" t="s">
        <v>4641</v>
      </c>
      <c r="H1469" s="7" t="s">
        <v>129</v>
      </c>
      <c r="I1469" s="7"/>
      <c r="J1469" s="7" t="s">
        <v>4642</v>
      </c>
      <c r="K1469" s="32"/>
      <c r="L1469" s="91" t="s">
        <v>20</v>
      </c>
      <c r="M1469" s="55">
        <v>45257.0</v>
      </c>
      <c r="N1469" s="77" t="str">
        <f t="shared" si="2"/>
        <v>novembro</v>
      </c>
    </row>
    <row r="1470">
      <c r="A1470" s="7" t="s">
        <v>4643</v>
      </c>
      <c r="B1470" s="8">
        <v>45243.81043434028</v>
      </c>
      <c r="C1470" s="7" t="s">
        <v>451</v>
      </c>
      <c r="D1470" s="7">
        <v>5304.0</v>
      </c>
      <c r="E1470" s="7" t="s">
        <v>1097</v>
      </c>
      <c r="F1470" s="7" t="s">
        <v>16</v>
      </c>
      <c r="G1470" s="9" t="s">
        <v>179</v>
      </c>
      <c r="H1470" s="7" t="s">
        <v>1734</v>
      </c>
      <c r="I1470" s="7"/>
      <c r="J1470" s="7" t="s">
        <v>4644</v>
      </c>
      <c r="K1470" s="32"/>
      <c r="L1470" s="91" t="s">
        <v>20</v>
      </c>
      <c r="M1470" s="69">
        <v>45280.0</v>
      </c>
      <c r="N1470" s="77" t="str">
        <f t="shared" si="2"/>
        <v>novembro</v>
      </c>
    </row>
    <row r="1471">
      <c r="A1471" s="7" t="s">
        <v>4645</v>
      </c>
      <c r="B1471" s="8">
        <v>45244.39156148148</v>
      </c>
      <c r="C1471" s="7" t="s">
        <v>512</v>
      </c>
      <c r="D1471" s="7">
        <v>5340.0</v>
      </c>
      <c r="E1471" s="25" t="s">
        <v>70</v>
      </c>
      <c r="F1471" s="7" t="s">
        <v>121</v>
      </c>
      <c r="G1471" s="9" t="s">
        <v>4532</v>
      </c>
      <c r="H1471" s="7" t="s">
        <v>79</v>
      </c>
      <c r="I1471" s="7"/>
      <c r="J1471" s="7" t="s">
        <v>4646</v>
      </c>
      <c r="K1471" s="32"/>
      <c r="L1471" s="91" t="s">
        <v>20</v>
      </c>
      <c r="M1471" s="55">
        <v>45244.0</v>
      </c>
      <c r="N1471" s="77" t="str">
        <f t="shared" si="2"/>
        <v>novembro</v>
      </c>
    </row>
    <row r="1472">
      <c r="A1472" s="7" t="s">
        <v>4647</v>
      </c>
      <c r="B1472" s="8">
        <v>45244.39885271991</v>
      </c>
      <c r="C1472" s="7" t="s">
        <v>266</v>
      </c>
      <c r="D1472" s="7">
        <v>5343.0</v>
      </c>
      <c r="E1472" s="7" t="s">
        <v>987</v>
      </c>
      <c r="F1472" s="7" t="s">
        <v>2814</v>
      </c>
      <c r="G1472" s="9">
        <v>104.0</v>
      </c>
      <c r="H1472" s="7" t="s">
        <v>1734</v>
      </c>
      <c r="I1472" s="7"/>
      <c r="J1472" s="7" t="s">
        <v>4648</v>
      </c>
      <c r="K1472" s="32"/>
      <c r="L1472" s="91" t="s">
        <v>20</v>
      </c>
      <c r="M1472" s="55">
        <v>45246.0</v>
      </c>
      <c r="N1472" s="77" t="str">
        <f t="shared" si="2"/>
        <v>novembro</v>
      </c>
    </row>
    <row r="1473">
      <c r="A1473" s="7" t="s">
        <v>4649</v>
      </c>
      <c r="B1473" s="8">
        <v>45244.63718023148</v>
      </c>
      <c r="C1473" s="7" t="s">
        <v>4353</v>
      </c>
      <c r="D1473" s="7">
        <v>5333.0</v>
      </c>
      <c r="E1473" s="7" t="s">
        <v>41</v>
      </c>
      <c r="F1473" s="7" t="s">
        <v>42</v>
      </c>
      <c r="G1473" s="9" t="s">
        <v>608</v>
      </c>
      <c r="H1473" s="7" t="s">
        <v>79</v>
      </c>
      <c r="I1473" s="7"/>
      <c r="J1473" s="7" t="s">
        <v>4650</v>
      </c>
      <c r="K1473" s="32"/>
      <c r="L1473" s="91" t="s">
        <v>20</v>
      </c>
      <c r="M1473" s="55">
        <v>45244.0</v>
      </c>
      <c r="N1473" s="77" t="str">
        <f t="shared" si="2"/>
        <v>novembro</v>
      </c>
    </row>
    <row r="1474">
      <c r="A1474" s="7" t="s">
        <v>4651</v>
      </c>
      <c r="B1474" s="8">
        <v>45244.63903664352</v>
      </c>
      <c r="C1474" s="7" t="s">
        <v>4353</v>
      </c>
      <c r="D1474" s="7">
        <v>5333.0</v>
      </c>
      <c r="E1474" s="7" t="s">
        <v>41</v>
      </c>
      <c r="F1474" s="7" t="s">
        <v>42</v>
      </c>
      <c r="G1474" s="9" t="s">
        <v>608</v>
      </c>
      <c r="H1474" s="7" t="s">
        <v>79</v>
      </c>
      <c r="I1474" s="7"/>
      <c r="J1474" s="7" t="s">
        <v>4652</v>
      </c>
      <c r="K1474" s="32"/>
      <c r="L1474" s="91" t="s">
        <v>20</v>
      </c>
      <c r="M1474" s="55">
        <v>45252.0</v>
      </c>
      <c r="N1474" s="77" t="str">
        <f t="shared" si="2"/>
        <v>novembro</v>
      </c>
    </row>
    <row r="1475">
      <c r="A1475" s="7" t="s">
        <v>4653</v>
      </c>
      <c r="B1475" s="8">
        <v>45244.64491260417</v>
      </c>
      <c r="C1475" s="7" t="s">
        <v>4353</v>
      </c>
      <c r="D1475" s="7">
        <v>5333.0</v>
      </c>
      <c r="E1475" s="7" t="s">
        <v>41</v>
      </c>
      <c r="F1475" s="7" t="s">
        <v>42</v>
      </c>
      <c r="G1475" s="9" t="s">
        <v>4654</v>
      </c>
      <c r="H1475" s="7" t="s">
        <v>764</v>
      </c>
      <c r="I1475" s="7"/>
      <c r="J1475" s="7" t="s">
        <v>4655</v>
      </c>
      <c r="K1475" s="32"/>
      <c r="L1475" s="91" t="s">
        <v>20</v>
      </c>
      <c r="M1475" s="55">
        <v>45246.0</v>
      </c>
      <c r="N1475" s="77" t="str">
        <f t="shared" si="2"/>
        <v>novembro</v>
      </c>
    </row>
    <row r="1476">
      <c r="A1476" s="7" t="s">
        <v>4656</v>
      </c>
      <c r="B1476" s="8">
        <v>45244.64572857639</v>
      </c>
      <c r="C1476" s="7" t="s">
        <v>4353</v>
      </c>
      <c r="D1476" s="7">
        <v>5333.0</v>
      </c>
      <c r="E1476" s="7" t="s">
        <v>41</v>
      </c>
      <c r="F1476" s="7" t="s">
        <v>42</v>
      </c>
      <c r="G1476" s="9" t="s">
        <v>4654</v>
      </c>
      <c r="H1476" s="7" t="s">
        <v>1734</v>
      </c>
      <c r="I1476" s="7"/>
      <c r="J1476" s="7" t="s">
        <v>4657</v>
      </c>
      <c r="K1476" s="32"/>
      <c r="L1476" s="91" t="s">
        <v>20</v>
      </c>
      <c r="M1476" s="55">
        <v>45246.0</v>
      </c>
      <c r="N1476" s="77" t="str">
        <f t="shared" si="2"/>
        <v>novembro</v>
      </c>
    </row>
    <row r="1477">
      <c r="A1477" s="7" t="s">
        <v>4658</v>
      </c>
      <c r="B1477" s="8">
        <v>45244.64971810185</v>
      </c>
      <c r="C1477" s="7" t="s">
        <v>4353</v>
      </c>
      <c r="D1477" s="7">
        <v>5333.0</v>
      </c>
      <c r="E1477" s="7" t="s">
        <v>41</v>
      </c>
      <c r="F1477" s="7" t="s">
        <v>42</v>
      </c>
      <c r="G1477" s="9" t="s">
        <v>4654</v>
      </c>
      <c r="H1477" s="7" t="s">
        <v>79</v>
      </c>
      <c r="I1477" s="7"/>
      <c r="J1477" s="7" t="s">
        <v>4659</v>
      </c>
      <c r="K1477" s="32"/>
      <c r="L1477" s="91" t="s">
        <v>20</v>
      </c>
      <c r="M1477" s="55">
        <v>45252.0</v>
      </c>
      <c r="N1477" s="77" t="str">
        <f t="shared" si="2"/>
        <v>novembro</v>
      </c>
    </row>
    <row r="1478">
      <c r="A1478" s="7" t="s">
        <v>4660</v>
      </c>
      <c r="B1478" s="8">
        <v>45244.65156356481</v>
      </c>
      <c r="C1478" s="7" t="s">
        <v>4353</v>
      </c>
      <c r="D1478" s="7">
        <v>5333.0</v>
      </c>
      <c r="E1478" s="7" t="s">
        <v>41</v>
      </c>
      <c r="F1478" s="7" t="s">
        <v>42</v>
      </c>
      <c r="G1478" s="9" t="s">
        <v>973</v>
      </c>
      <c r="H1478" s="7" t="s">
        <v>79</v>
      </c>
      <c r="I1478" s="7"/>
      <c r="J1478" s="7" t="s">
        <v>4661</v>
      </c>
      <c r="K1478" s="32"/>
      <c r="L1478" s="91" t="s">
        <v>20</v>
      </c>
      <c r="M1478" s="55">
        <v>45246.0</v>
      </c>
      <c r="N1478" s="77" t="str">
        <f t="shared" si="2"/>
        <v>novembro</v>
      </c>
    </row>
    <row r="1479">
      <c r="A1479" s="7" t="s">
        <v>4662</v>
      </c>
      <c r="B1479" s="8">
        <v>45244.75211420139</v>
      </c>
      <c r="C1479" s="7" t="s">
        <v>522</v>
      </c>
      <c r="D1479" s="7">
        <v>5333.0</v>
      </c>
      <c r="E1479" s="7" t="s">
        <v>41</v>
      </c>
      <c r="F1479" s="7" t="s">
        <v>42</v>
      </c>
      <c r="G1479" s="9" t="s">
        <v>670</v>
      </c>
      <c r="H1479" s="7" t="s">
        <v>1734</v>
      </c>
      <c r="I1479" s="7"/>
      <c r="J1479" s="7" t="s">
        <v>4663</v>
      </c>
      <c r="K1479" s="32"/>
      <c r="L1479" s="91" t="s">
        <v>20</v>
      </c>
      <c r="M1479" s="55">
        <v>45246.0</v>
      </c>
      <c r="N1479" s="77" t="str">
        <f t="shared" si="2"/>
        <v>novembro</v>
      </c>
    </row>
    <row r="1480">
      <c r="A1480" s="7" t="s">
        <v>4664</v>
      </c>
      <c r="B1480" s="8">
        <v>45245.70025222222</v>
      </c>
      <c r="C1480" s="7" t="s">
        <v>553</v>
      </c>
      <c r="D1480" s="7">
        <v>5318.0</v>
      </c>
      <c r="E1480" s="25" t="s">
        <v>15</v>
      </c>
      <c r="F1480" s="7" t="s">
        <v>35</v>
      </c>
      <c r="G1480" s="9" t="s">
        <v>4665</v>
      </c>
      <c r="H1480" s="7" t="s">
        <v>18</v>
      </c>
      <c r="I1480" s="7"/>
      <c r="J1480" s="7" t="s">
        <v>4666</v>
      </c>
      <c r="K1480" s="32"/>
      <c r="L1480" s="91" t="s">
        <v>20</v>
      </c>
      <c r="M1480" s="55">
        <v>45254.0</v>
      </c>
      <c r="N1480" s="77" t="str">
        <f t="shared" si="2"/>
        <v>novembro</v>
      </c>
    </row>
    <row r="1481">
      <c r="A1481" s="7" t="s">
        <v>4667</v>
      </c>
      <c r="B1481" s="8">
        <v>45246.39883922454</v>
      </c>
      <c r="C1481" s="7" t="s">
        <v>4353</v>
      </c>
      <c r="D1481" s="7">
        <v>5333.0</v>
      </c>
      <c r="E1481" s="7" t="s">
        <v>41</v>
      </c>
      <c r="F1481" s="7" t="s">
        <v>42</v>
      </c>
      <c r="G1481" s="9" t="s">
        <v>4668</v>
      </c>
      <c r="H1481" s="7" t="s">
        <v>79</v>
      </c>
      <c r="I1481" s="7"/>
      <c r="J1481" s="7" t="s">
        <v>4669</v>
      </c>
      <c r="K1481" s="32"/>
      <c r="L1481" s="91" t="s">
        <v>20</v>
      </c>
      <c r="M1481" s="55">
        <v>45252.0</v>
      </c>
      <c r="N1481" s="77" t="str">
        <f t="shared" si="2"/>
        <v>novembro</v>
      </c>
    </row>
    <row r="1482">
      <c r="A1482" s="7" t="s">
        <v>4670</v>
      </c>
      <c r="B1482" s="8">
        <v>45246.41943016204</v>
      </c>
      <c r="C1482" s="7" t="s">
        <v>266</v>
      </c>
      <c r="D1482" s="7">
        <v>5343.0</v>
      </c>
      <c r="E1482" s="25" t="s">
        <v>116</v>
      </c>
      <c r="F1482" s="25" t="s">
        <v>86</v>
      </c>
      <c r="G1482" s="9" t="s">
        <v>987</v>
      </c>
      <c r="H1482" s="7" t="s">
        <v>129</v>
      </c>
      <c r="I1482" s="7"/>
      <c r="J1482" s="7" t="s">
        <v>4671</v>
      </c>
      <c r="K1482" s="32"/>
      <c r="L1482" s="91" t="s">
        <v>20</v>
      </c>
      <c r="M1482" s="55">
        <v>45250.0</v>
      </c>
      <c r="N1482" s="77" t="str">
        <f t="shared" si="2"/>
        <v>novembro</v>
      </c>
    </row>
    <row r="1483">
      <c r="A1483" s="7" t="s">
        <v>4672</v>
      </c>
      <c r="B1483" s="8">
        <v>45246.42031133102</v>
      </c>
      <c r="C1483" s="7" t="s">
        <v>266</v>
      </c>
      <c r="D1483" s="7">
        <v>5343.0</v>
      </c>
      <c r="E1483" s="7" t="s">
        <v>987</v>
      </c>
      <c r="F1483" s="25" t="s">
        <v>86</v>
      </c>
      <c r="G1483" s="9" t="s">
        <v>987</v>
      </c>
      <c r="H1483" s="7" t="s">
        <v>129</v>
      </c>
      <c r="I1483" s="7"/>
      <c r="J1483" s="7" t="s">
        <v>4673</v>
      </c>
      <c r="K1483" s="30"/>
      <c r="L1483" s="91" t="s">
        <v>20</v>
      </c>
      <c r="M1483" s="55">
        <v>45301.0</v>
      </c>
      <c r="N1483" s="77" t="str">
        <f t="shared" si="2"/>
        <v>novembro</v>
      </c>
    </row>
    <row r="1484">
      <c r="A1484" s="7" t="s">
        <v>4674</v>
      </c>
      <c r="B1484" s="8">
        <v>45246.435082615746</v>
      </c>
      <c r="C1484" s="7" t="s">
        <v>512</v>
      </c>
      <c r="D1484" s="7">
        <v>5340.0</v>
      </c>
      <c r="E1484" s="25" t="s">
        <v>70</v>
      </c>
      <c r="F1484" s="7" t="s">
        <v>188</v>
      </c>
      <c r="G1484" s="9" t="s">
        <v>4675</v>
      </c>
      <c r="H1484" s="7" t="s">
        <v>129</v>
      </c>
      <c r="I1484" s="7"/>
      <c r="J1484" s="7" t="s">
        <v>4676</v>
      </c>
      <c r="K1484" s="32"/>
      <c r="L1484" s="91" t="s">
        <v>20</v>
      </c>
      <c r="M1484" s="55">
        <v>45254.0</v>
      </c>
      <c r="N1484" s="77" t="str">
        <f t="shared" si="2"/>
        <v>novembro</v>
      </c>
    </row>
    <row r="1485">
      <c r="A1485" s="7" t="s">
        <v>4677</v>
      </c>
      <c r="B1485" s="8">
        <v>45246.49652335648</v>
      </c>
      <c r="C1485" s="7" t="s">
        <v>1272</v>
      </c>
      <c r="D1485" s="7">
        <v>5360.0</v>
      </c>
      <c r="E1485" s="7" t="s">
        <v>371</v>
      </c>
      <c r="F1485" s="7" t="s">
        <v>49</v>
      </c>
      <c r="G1485" s="9" t="s">
        <v>4678</v>
      </c>
      <c r="H1485" s="7" t="s">
        <v>79</v>
      </c>
      <c r="I1485" s="7"/>
      <c r="J1485" s="7" t="s">
        <v>4679</v>
      </c>
      <c r="K1485" s="32"/>
      <c r="L1485" s="91" t="s">
        <v>20</v>
      </c>
      <c r="M1485" s="55">
        <v>45247.0</v>
      </c>
      <c r="N1485" s="77" t="str">
        <f t="shared" si="2"/>
        <v>novembro</v>
      </c>
    </row>
    <row r="1486">
      <c r="A1486" s="7" t="s">
        <v>4680</v>
      </c>
      <c r="B1486" s="8">
        <v>45246.83704796297</v>
      </c>
      <c r="C1486" s="7" t="s">
        <v>65</v>
      </c>
      <c r="D1486" s="7">
        <v>5318.0</v>
      </c>
      <c r="E1486" s="25" t="s">
        <v>15</v>
      </c>
      <c r="F1486" s="7" t="s">
        <v>347</v>
      </c>
      <c r="G1486" s="9" t="s">
        <v>4681</v>
      </c>
      <c r="H1486" s="7" t="s">
        <v>1734</v>
      </c>
      <c r="I1486" s="7"/>
      <c r="J1486" s="7" t="s">
        <v>4682</v>
      </c>
      <c r="K1486" s="32"/>
      <c r="L1486" s="91" t="s">
        <v>20</v>
      </c>
      <c r="M1486" s="55">
        <v>45247.0</v>
      </c>
      <c r="N1486" s="77" t="str">
        <f t="shared" si="2"/>
        <v>novembro</v>
      </c>
    </row>
    <row r="1487">
      <c r="A1487" s="7" t="s">
        <v>4683</v>
      </c>
      <c r="B1487" s="8">
        <v>45247.45395787037</v>
      </c>
      <c r="C1487" s="7" t="s">
        <v>4684</v>
      </c>
      <c r="D1487" s="7">
        <v>5304.0</v>
      </c>
      <c r="E1487" s="7" t="s">
        <v>1097</v>
      </c>
      <c r="F1487" s="7" t="s">
        <v>16</v>
      </c>
      <c r="G1487" s="9" t="s">
        <v>4685</v>
      </c>
      <c r="H1487" s="7" t="s">
        <v>764</v>
      </c>
      <c r="I1487" s="7"/>
      <c r="J1487" s="7" t="s">
        <v>4686</v>
      </c>
      <c r="K1487" s="32"/>
      <c r="L1487" s="91" t="s">
        <v>20</v>
      </c>
      <c r="M1487" s="55">
        <v>45247.0</v>
      </c>
      <c r="N1487" s="77" t="str">
        <f t="shared" si="2"/>
        <v>novembro</v>
      </c>
    </row>
    <row r="1488">
      <c r="A1488" s="7" t="s">
        <v>4687</v>
      </c>
      <c r="B1488" s="8">
        <v>45247.651518391205</v>
      </c>
      <c r="C1488" s="7" t="s">
        <v>4353</v>
      </c>
      <c r="D1488" s="7">
        <v>5333.0</v>
      </c>
      <c r="E1488" s="7" t="s">
        <v>41</v>
      </c>
      <c r="F1488" s="7" t="s">
        <v>42</v>
      </c>
      <c r="G1488" s="9" t="s">
        <v>973</v>
      </c>
      <c r="H1488" s="7" t="s">
        <v>1734</v>
      </c>
      <c r="I1488" s="7"/>
      <c r="J1488" s="7" t="s">
        <v>4688</v>
      </c>
      <c r="K1488" s="32"/>
      <c r="L1488" s="91" t="s">
        <v>20</v>
      </c>
      <c r="M1488" s="55">
        <v>45264.0</v>
      </c>
      <c r="N1488" s="77" t="str">
        <f t="shared" si="2"/>
        <v>novembro</v>
      </c>
    </row>
    <row r="1489">
      <c r="A1489" s="7" t="s">
        <v>4689</v>
      </c>
      <c r="B1489" s="8">
        <v>45250.41198880787</v>
      </c>
      <c r="C1489" s="7" t="s">
        <v>3665</v>
      </c>
      <c r="D1489" s="7">
        <v>5340.0</v>
      </c>
      <c r="E1489" s="25" t="s">
        <v>70</v>
      </c>
      <c r="F1489" s="7" t="s">
        <v>49</v>
      </c>
      <c r="G1489" s="9" t="s">
        <v>4690</v>
      </c>
      <c r="H1489" s="7" t="s">
        <v>1734</v>
      </c>
      <c r="I1489" s="7"/>
      <c r="J1489" s="7" t="s">
        <v>4691</v>
      </c>
      <c r="K1489" s="32"/>
      <c r="L1489" s="91" t="s">
        <v>20</v>
      </c>
      <c r="M1489" s="55">
        <v>45272.0</v>
      </c>
      <c r="N1489" s="77" t="str">
        <f t="shared" si="2"/>
        <v>novembro</v>
      </c>
    </row>
    <row r="1490">
      <c r="A1490" s="7" t="s">
        <v>4692</v>
      </c>
      <c r="B1490" s="8">
        <v>45250.42308128472</v>
      </c>
      <c r="C1490" s="7" t="s">
        <v>3665</v>
      </c>
      <c r="D1490" s="7">
        <v>5340.0</v>
      </c>
      <c r="E1490" s="25" t="s">
        <v>70</v>
      </c>
      <c r="F1490" s="7" t="s">
        <v>90</v>
      </c>
      <c r="G1490" s="9" t="s">
        <v>4344</v>
      </c>
      <c r="H1490" s="7" t="s">
        <v>79</v>
      </c>
      <c r="I1490" s="7"/>
      <c r="J1490" s="7" t="s">
        <v>4693</v>
      </c>
      <c r="K1490" s="32"/>
      <c r="L1490" s="91" t="s">
        <v>20</v>
      </c>
      <c r="M1490" s="55">
        <v>45251.0</v>
      </c>
      <c r="N1490" s="77" t="str">
        <f t="shared" si="2"/>
        <v>novembro</v>
      </c>
    </row>
    <row r="1491">
      <c r="A1491" s="7" t="s">
        <v>4694</v>
      </c>
      <c r="B1491" s="8">
        <v>45250.46891258102</v>
      </c>
      <c r="C1491" s="7" t="s">
        <v>4695</v>
      </c>
      <c r="D1491" s="7">
        <v>5346.0</v>
      </c>
      <c r="E1491" s="7" t="s">
        <v>423</v>
      </c>
      <c r="F1491" s="7" t="s">
        <v>1957</v>
      </c>
      <c r="G1491" s="9" t="s">
        <v>4696</v>
      </c>
      <c r="H1491" s="7" t="s">
        <v>79</v>
      </c>
      <c r="I1491" s="7"/>
      <c r="J1491" s="7" t="s">
        <v>4697</v>
      </c>
      <c r="K1491" s="32"/>
      <c r="L1491" s="91" t="s">
        <v>20</v>
      </c>
      <c r="M1491" s="55">
        <v>45251.0</v>
      </c>
      <c r="N1491" s="77" t="str">
        <f t="shared" si="2"/>
        <v>novembro</v>
      </c>
    </row>
    <row r="1492">
      <c r="A1492" s="7" t="s">
        <v>4698</v>
      </c>
      <c r="B1492" s="8">
        <v>45250.5581952662</v>
      </c>
      <c r="C1492" s="7" t="s">
        <v>3665</v>
      </c>
      <c r="D1492" s="7">
        <v>5340.0</v>
      </c>
      <c r="E1492" s="25" t="s">
        <v>70</v>
      </c>
      <c r="F1492" s="7" t="s">
        <v>22</v>
      </c>
      <c r="G1492" s="9" t="s">
        <v>4699</v>
      </c>
      <c r="H1492" s="7" t="s">
        <v>764</v>
      </c>
      <c r="I1492" s="7"/>
      <c r="J1492" s="7" t="s">
        <v>4700</v>
      </c>
      <c r="K1492" s="32"/>
      <c r="L1492" s="91" t="s">
        <v>20</v>
      </c>
      <c r="M1492" s="55">
        <v>45250.0</v>
      </c>
      <c r="N1492" s="77" t="str">
        <f t="shared" si="2"/>
        <v>novembro</v>
      </c>
    </row>
    <row r="1493">
      <c r="A1493" s="7" t="s">
        <v>4701</v>
      </c>
      <c r="B1493" s="8">
        <v>45250.70086355324</v>
      </c>
      <c r="C1493" s="7" t="s">
        <v>4702</v>
      </c>
      <c r="D1493" s="7">
        <v>6.4981321757E10</v>
      </c>
      <c r="E1493" s="25" t="s">
        <v>187</v>
      </c>
      <c r="F1493" s="7" t="s">
        <v>188</v>
      </c>
      <c r="G1493" s="9" t="s">
        <v>4703</v>
      </c>
      <c r="H1493" s="7" t="s">
        <v>764</v>
      </c>
      <c r="I1493" s="7"/>
      <c r="J1493" s="7" t="s">
        <v>4704</v>
      </c>
      <c r="K1493" s="30"/>
      <c r="L1493" s="91" t="s">
        <v>3972</v>
      </c>
      <c r="M1493" s="55"/>
      <c r="N1493" s="77" t="str">
        <f t="shared" si="2"/>
        <v>novembro</v>
      </c>
    </row>
    <row r="1494">
      <c r="A1494" s="7" t="s">
        <v>4705</v>
      </c>
      <c r="B1494" s="8">
        <v>45250.76438541667</v>
      </c>
      <c r="C1494" s="7" t="s">
        <v>138</v>
      </c>
      <c r="D1494" s="7">
        <v>5318.0</v>
      </c>
      <c r="E1494" s="25" t="s">
        <v>15</v>
      </c>
      <c r="F1494" s="25" t="s">
        <v>86</v>
      </c>
      <c r="G1494" s="9" t="s">
        <v>1919</v>
      </c>
      <c r="H1494" s="7" t="s">
        <v>18</v>
      </c>
      <c r="I1494" s="7"/>
      <c r="J1494" s="7" t="s">
        <v>3527</v>
      </c>
      <c r="K1494" s="32"/>
      <c r="L1494" s="91" t="s">
        <v>20</v>
      </c>
      <c r="M1494" s="55">
        <v>45251.0</v>
      </c>
      <c r="N1494" s="77" t="str">
        <f t="shared" si="2"/>
        <v>novembro</v>
      </c>
    </row>
    <row r="1495">
      <c r="A1495" s="7" t="s">
        <v>4706</v>
      </c>
      <c r="B1495" s="8">
        <v>45251.31207785879</v>
      </c>
      <c r="C1495" s="7" t="s">
        <v>3665</v>
      </c>
      <c r="D1495" s="7">
        <v>5340.0</v>
      </c>
      <c r="E1495" s="25" t="s">
        <v>70</v>
      </c>
      <c r="F1495" s="7" t="s">
        <v>82</v>
      </c>
      <c r="G1495" s="9" t="s">
        <v>4347</v>
      </c>
      <c r="H1495" s="7" t="s">
        <v>79</v>
      </c>
      <c r="I1495" s="7"/>
      <c r="J1495" s="7" t="s">
        <v>4707</v>
      </c>
      <c r="K1495" s="30"/>
      <c r="L1495" s="91" t="s">
        <v>20</v>
      </c>
      <c r="M1495" s="55">
        <v>45301.0</v>
      </c>
      <c r="N1495" s="77" t="str">
        <f t="shared" si="2"/>
        <v>novembro</v>
      </c>
    </row>
    <row r="1496">
      <c r="A1496" s="7" t="s">
        <v>4708</v>
      </c>
      <c r="B1496" s="8">
        <v>45251.316639791665</v>
      </c>
      <c r="C1496" s="7" t="s">
        <v>3665</v>
      </c>
      <c r="D1496" s="7">
        <v>5340.0</v>
      </c>
      <c r="E1496" s="25" t="s">
        <v>70</v>
      </c>
      <c r="F1496" s="7" t="s">
        <v>2814</v>
      </c>
      <c r="G1496" s="9" t="s">
        <v>2415</v>
      </c>
      <c r="H1496" s="7" t="s">
        <v>764</v>
      </c>
      <c r="I1496" s="7"/>
      <c r="J1496" s="7" t="s">
        <v>4709</v>
      </c>
      <c r="K1496" s="32"/>
      <c r="L1496" s="91" t="s">
        <v>20</v>
      </c>
      <c r="M1496" s="55">
        <v>45252.0</v>
      </c>
      <c r="N1496" s="77" t="str">
        <f t="shared" si="2"/>
        <v>novembro</v>
      </c>
    </row>
    <row r="1497">
      <c r="A1497" s="7" t="s">
        <v>4710</v>
      </c>
      <c r="B1497" s="8">
        <v>45251.31901708333</v>
      </c>
      <c r="C1497" s="7" t="s">
        <v>3665</v>
      </c>
      <c r="D1497" s="7">
        <v>5340.0</v>
      </c>
      <c r="E1497" s="25" t="s">
        <v>70</v>
      </c>
      <c r="F1497" s="7" t="s">
        <v>82</v>
      </c>
      <c r="G1497" s="9" t="s">
        <v>4711</v>
      </c>
      <c r="H1497" s="7" t="s">
        <v>79</v>
      </c>
      <c r="I1497" s="7"/>
      <c r="J1497" s="7" t="s">
        <v>4712</v>
      </c>
      <c r="K1497" s="32"/>
      <c r="L1497" s="91" t="s">
        <v>20</v>
      </c>
      <c r="M1497" s="55">
        <v>45251.0</v>
      </c>
      <c r="N1497" s="77" t="str">
        <f t="shared" si="2"/>
        <v>novembro</v>
      </c>
    </row>
    <row r="1498">
      <c r="A1498" s="7" t="s">
        <v>4713</v>
      </c>
      <c r="B1498" s="8">
        <v>45251.34317283565</v>
      </c>
      <c r="C1498" s="7" t="s">
        <v>4353</v>
      </c>
      <c r="D1498" s="7">
        <v>5333.0</v>
      </c>
      <c r="E1498" s="7" t="s">
        <v>41</v>
      </c>
      <c r="F1498" s="7" t="s">
        <v>42</v>
      </c>
      <c r="G1498" s="9" t="s">
        <v>1269</v>
      </c>
      <c r="H1498" s="7" t="s">
        <v>79</v>
      </c>
      <c r="I1498" s="7"/>
      <c r="J1498" s="7" t="s">
        <v>4714</v>
      </c>
      <c r="K1498" s="32"/>
      <c r="L1498" s="91" t="s">
        <v>20</v>
      </c>
      <c r="M1498" s="55">
        <v>45252.0</v>
      </c>
      <c r="N1498" s="77" t="str">
        <f t="shared" si="2"/>
        <v>novembro</v>
      </c>
    </row>
    <row r="1499">
      <c r="A1499" s="7" t="s">
        <v>4715</v>
      </c>
      <c r="B1499" s="8">
        <v>45251.37878115741</v>
      </c>
      <c r="C1499" s="7" t="s">
        <v>512</v>
      </c>
      <c r="D1499" s="7">
        <v>5340.0</v>
      </c>
      <c r="E1499" s="25" t="s">
        <v>70</v>
      </c>
      <c r="F1499" s="7" t="s">
        <v>28</v>
      </c>
      <c r="G1499" s="9" t="s">
        <v>544</v>
      </c>
      <c r="H1499" s="7" t="s">
        <v>1734</v>
      </c>
      <c r="I1499" s="7"/>
      <c r="J1499" s="7" t="s">
        <v>4716</v>
      </c>
      <c r="K1499" s="32"/>
      <c r="L1499" s="91" t="s">
        <v>20</v>
      </c>
      <c r="M1499" s="55">
        <v>45251.0</v>
      </c>
      <c r="N1499" s="77" t="str">
        <f t="shared" si="2"/>
        <v>novembro</v>
      </c>
    </row>
    <row r="1500">
      <c r="A1500" s="7" t="s">
        <v>4717</v>
      </c>
      <c r="B1500" s="8">
        <v>45251.43353569444</v>
      </c>
      <c r="C1500" s="7" t="s">
        <v>512</v>
      </c>
      <c r="D1500" s="7">
        <v>5340.0</v>
      </c>
      <c r="E1500" s="25" t="s">
        <v>70</v>
      </c>
      <c r="F1500" s="7" t="s">
        <v>35</v>
      </c>
      <c r="G1500" s="9" t="s">
        <v>4718</v>
      </c>
      <c r="H1500" s="7" t="s">
        <v>79</v>
      </c>
      <c r="I1500" s="7"/>
      <c r="J1500" s="7" t="s">
        <v>4719</v>
      </c>
      <c r="K1500" s="32"/>
      <c r="L1500" s="91" t="s">
        <v>20</v>
      </c>
      <c r="M1500" s="55">
        <v>45260.0</v>
      </c>
      <c r="N1500" s="77" t="str">
        <f t="shared" si="2"/>
        <v>novembro</v>
      </c>
    </row>
    <row r="1501">
      <c r="A1501" s="7" t="s">
        <v>4720</v>
      </c>
      <c r="B1501" s="8">
        <v>45251.465946400465</v>
      </c>
      <c r="C1501" s="7" t="s">
        <v>292</v>
      </c>
      <c r="D1501" s="7">
        <v>5356.0</v>
      </c>
      <c r="E1501" s="7" t="s">
        <v>1097</v>
      </c>
      <c r="F1501" s="7" t="s">
        <v>16</v>
      </c>
      <c r="G1501" s="9" t="s">
        <v>581</v>
      </c>
      <c r="H1501" s="7" t="s">
        <v>1734</v>
      </c>
      <c r="I1501" s="7"/>
      <c r="J1501" s="7" t="s">
        <v>4721</v>
      </c>
      <c r="K1501" s="32"/>
      <c r="L1501" s="91" t="s">
        <v>20</v>
      </c>
      <c r="M1501" s="55">
        <v>45280.0</v>
      </c>
      <c r="N1501" s="77" t="str">
        <f t="shared" si="2"/>
        <v>novembro</v>
      </c>
    </row>
    <row r="1502">
      <c r="A1502" s="7" t="s">
        <v>4722</v>
      </c>
      <c r="B1502" s="8">
        <v>45251.50399798611</v>
      </c>
      <c r="C1502" s="7" t="s">
        <v>4723</v>
      </c>
      <c r="D1502" s="7">
        <v>3.4991675276E10</v>
      </c>
      <c r="E1502" s="7" t="s">
        <v>1127</v>
      </c>
      <c r="F1502" s="7" t="s">
        <v>35</v>
      </c>
      <c r="G1502" s="9" t="s">
        <v>4724</v>
      </c>
      <c r="H1502" s="7" t="s">
        <v>1734</v>
      </c>
      <c r="I1502" s="7"/>
      <c r="J1502" s="7" t="s">
        <v>4725</v>
      </c>
      <c r="K1502" s="32"/>
      <c r="L1502" s="91" t="s">
        <v>20</v>
      </c>
      <c r="M1502" s="55">
        <v>45260.0</v>
      </c>
      <c r="N1502" s="77" t="str">
        <f t="shared" si="2"/>
        <v>novembro</v>
      </c>
    </row>
    <row r="1503">
      <c r="A1503" s="7" t="s">
        <v>4726</v>
      </c>
      <c r="B1503" s="8">
        <v>45251.56029361111</v>
      </c>
      <c r="C1503" s="7" t="s">
        <v>512</v>
      </c>
      <c r="D1503" s="7">
        <v>5340.0</v>
      </c>
      <c r="E1503" s="25" t="s">
        <v>70</v>
      </c>
      <c r="F1503" s="7" t="s">
        <v>82</v>
      </c>
      <c r="G1503" s="9" t="s">
        <v>4727</v>
      </c>
      <c r="H1503" s="7" t="s">
        <v>79</v>
      </c>
      <c r="I1503" s="7"/>
      <c r="J1503" s="7" t="s">
        <v>4728</v>
      </c>
      <c r="K1503" s="32"/>
      <c r="L1503" s="91" t="s">
        <v>20</v>
      </c>
      <c r="M1503" s="55">
        <v>45251.0</v>
      </c>
      <c r="N1503" s="77" t="str">
        <f t="shared" si="2"/>
        <v>novembro</v>
      </c>
    </row>
    <row r="1504">
      <c r="A1504" s="7" t="s">
        <v>4729</v>
      </c>
      <c r="B1504" s="8">
        <v>45251.7075815625</v>
      </c>
      <c r="C1504" s="7" t="s">
        <v>194</v>
      </c>
      <c r="D1504" s="7" t="s">
        <v>740</v>
      </c>
      <c r="E1504" s="25" t="s">
        <v>195</v>
      </c>
      <c r="F1504" s="7" t="s">
        <v>35</v>
      </c>
      <c r="G1504" s="9" t="s">
        <v>4730</v>
      </c>
      <c r="H1504" s="7" t="s">
        <v>1734</v>
      </c>
      <c r="I1504" s="7"/>
      <c r="J1504" s="7" t="s">
        <v>4731</v>
      </c>
      <c r="K1504" s="10" t="s">
        <v>4732</v>
      </c>
      <c r="L1504" s="91" t="s">
        <v>738</v>
      </c>
      <c r="M1504" s="55"/>
      <c r="N1504" s="77" t="str">
        <f t="shared" si="2"/>
        <v>novembro</v>
      </c>
    </row>
    <row r="1505">
      <c r="A1505" s="7" t="s">
        <v>4733</v>
      </c>
      <c r="B1505" s="8">
        <v>45252.437164745366</v>
      </c>
      <c r="C1505" s="7" t="s">
        <v>4353</v>
      </c>
      <c r="D1505" s="7">
        <v>5333.0</v>
      </c>
      <c r="E1505" s="7" t="s">
        <v>41</v>
      </c>
      <c r="F1505" s="7" t="s">
        <v>42</v>
      </c>
      <c r="G1505" s="9" t="s">
        <v>854</v>
      </c>
      <c r="H1505" s="25" t="s">
        <v>162</v>
      </c>
      <c r="I1505" s="7"/>
      <c r="J1505" s="7" t="s">
        <v>4734</v>
      </c>
      <c r="K1505" s="32"/>
      <c r="L1505" s="91" t="s">
        <v>20</v>
      </c>
      <c r="M1505" s="55">
        <v>45266.0</v>
      </c>
      <c r="N1505" s="77" t="str">
        <f t="shared" si="2"/>
        <v>novembro</v>
      </c>
    </row>
    <row r="1506">
      <c r="A1506" s="7" t="s">
        <v>4735</v>
      </c>
      <c r="B1506" s="8">
        <v>45252.438724039355</v>
      </c>
      <c r="C1506" s="7" t="s">
        <v>4353</v>
      </c>
      <c r="D1506" s="7">
        <v>5333.0</v>
      </c>
      <c r="E1506" s="7" t="s">
        <v>41</v>
      </c>
      <c r="F1506" s="7" t="s">
        <v>42</v>
      </c>
      <c r="G1506" s="9" t="s">
        <v>973</v>
      </c>
      <c r="H1506" s="7" t="s">
        <v>764</v>
      </c>
      <c r="I1506" s="7"/>
      <c r="J1506" s="7" t="s">
        <v>4736</v>
      </c>
      <c r="K1506" s="32"/>
      <c r="L1506" s="91" t="s">
        <v>20</v>
      </c>
      <c r="M1506" s="55">
        <v>45252.0</v>
      </c>
      <c r="N1506" s="77" t="str">
        <f t="shared" si="2"/>
        <v>novembro</v>
      </c>
    </row>
    <row r="1507">
      <c r="A1507" s="7" t="s">
        <v>4737</v>
      </c>
      <c r="B1507" s="8">
        <v>45252.524989247686</v>
      </c>
      <c r="C1507" s="7" t="s">
        <v>4353</v>
      </c>
      <c r="D1507" s="7">
        <v>5333.0</v>
      </c>
      <c r="E1507" s="7" t="s">
        <v>41</v>
      </c>
      <c r="F1507" s="7" t="s">
        <v>42</v>
      </c>
      <c r="G1507" s="9" t="s">
        <v>1020</v>
      </c>
      <c r="H1507" s="25" t="s">
        <v>162</v>
      </c>
      <c r="I1507" s="7"/>
      <c r="J1507" s="7" t="s">
        <v>4738</v>
      </c>
      <c r="K1507" s="32"/>
      <c r="L1507" s="91" t="s">
        <v>20</v>
      </c>
      <c r="M1507" s="55">
        <v>45268.0</v>
      </c>
      <c r="N1507" s="77" t="str">
        <f t="shared" si="2"/>
        <v>novembro</v>
      </c>
    </row>
    <row r="1508">
      <c r="A1508" s="7" t="s">
        <v>4739</v>
      </c>
      <c r="B1508" s="8">
        <v>45252.65521153936</v>
      </c>
      <c r="C1508" s="7" t="s">
        <v>4740</v>
      </c>
      <c r="D1508" s="7" t="s">
        <v>4741</v>
      </c>
      <c r="E1508" s="7" t="s">
        <v>1372</v>
      </c>
      <c r="F1508" s="7" t="s">
        <v>22</v>
      </c>
      <c r="G1508" s="9" t="s">
        <v>4742</v>
      </c>
      <c r="H1508" s="7" t="s">
        <v>1734</v>
      </c>
      <c r="I1508" s="7"/>
      <c r="J1508" s="7" t="s">
        <v>4743</v>
      </c>
      <c r="K1508" s="32"/>
      <c r="L1508" s="91" t="s">
        <v>20</v>
      </c>
      <c r="M1508" s="55">
        <v>45278.0</v>
      </c>
      <c r="N1508" s="77" t="str">
        <f t="shared" si="2"/>
        <v>novembro</v>
      </c>
    </row>
    <row r="1509">
      <c r="A1509" s="7" t="s">
        <v>4744</v>
      </c>
      <c r="B1509" s="8">
        <v>45252.65787322917</v>
      </c>
      <c r="C1509" s="7" t="s">
        <v>4353</v>
      </c>
      <c r="D1509" s="7">
        <v>5333.0</v>
      </c>
      <c r="E1509" s="7" t="s">
        <v>41</v>
      </c>
      <c r="F1509" s="7" t="s">
        <v>42</v>
      </c>
      <c r="G1509" s="9" t="s">
        <v>3304</v>
      </c>
      <c r="H1509" s="7" t="s">
        <v>79</v>
      </c>
      <c r="I1509" s="7"/>
      <c r="J1509" s="7" t="s">
        <v>4745</v>
      </c>
      <c r="K1509" s="32"/>
      <c r="L1509" s="91" t="s">
        <v>20</v>
      </c>
      <c r="M1509" s="55">
        <v>45253.0</v>
      </c>
      <c r="N1509" s="77" t="str">
        <f t="shared" si="2"/>
        <v>novembro</v>
      </c>
    </row>
    <row r="1510">
      <c r="A1510" s="7" t="s">
        <v>4746</v>
      </c>
      <c r="B1510" s="8">
        <v>45252.66542902778</v>
      </c>
      <c r="C1510" s="7" t="s">
        <v>4740</v>
      </c>
      <c r="D1510" s="7" t="s">
        <v>4747</v>
      </c>
      <c r="E1510" s="7" t="s">
        <v>1372</v>
      </c>
      <c r="F1510" s="7" t="s">
        <v>22</v>
      </c>
      <c r="G1510" s="9" t="s">
        <v>4742</v>
      </c>
      <c r="H1510" s="7" t="s">
        <v>79</v>
      </c>
      <c r="I1510" s="7"/>
      <c r="J1510" s="7" t="s">
        <v>4748</v>
      </c>
      <c r="K1510" s="30"/>
      <c r="L1510" s="91" t="s">
        <v>3972</v>
      </c>
      <c r="M1510" s="55"/>
      <c r="N1510" s="77" t="str">
        <f t="shared" si="2"/>
        <v>novembro</v>
      </c>
    </row>
    <row r="1511">
      <c r="A1511" s="7" t="s">
        <v>4749</v>
      </c>
      <c r="B1511" s="8">
        <v>45252.668453935185</v>
      </c>
      <c r="C1511" s="7" t="s">
        <v>4740</v>
      </c>
      <c r="D1511" s="7" t="s">
        <v>4750</v>
      </c>
      <c r="E1511" s="7" t="s">
        <v>1372</v>
      </c>
      <c r="F1511" s="7" t="s">
        <v>22</v>
      </c>
      <c r="G1511" s="9" t="s">
        <v>4742</v>
      </c>
      <c r="H1511" s="7" t="s">
        <v>79</v>
      </c>
      <c r="I1511" s="7"/>
      <c r="J1511" s="7" t="s">
        <v>4751</v>
      </c>
      <c r="K1511" s="32"/>
      <c r="L1511" s="91" t="s">
        <v>20</v>
      </c>
      <c r="M1511" s="55">
        <v>45279.0</v>
      </c>
      <c r="N1511" s="77" t="str">
        <f t="shared" si="2"/>
        <v>novembro</v>
      </c>
    </row>
    <row r="1512">
      <c r="A1512" s="7" t="s">
        <v>4752</v>
      </c>
      <c r="B1512" s="8">
        <v>45252.733984861115</v>
      </c>
      <c r="C1512" s="7" t="s">
        <v>522</v>
      </c>
      <c r="D1512" s="7">
        <v>5333.0</v>
      </c>
      <c r="E1512" s="7" t="s">
        <v>41</v>
      </c>
      <c r="F1512" s="7" t="s">
        <v>42</v>
      </c>
      <c r="G1512" s="9" t="s">
        <v>4753</v>
      </c>
      <c r="H1512" s="7" t="s">
        <v>1734</v>
      </c>
      <c r="I1512" s="7"/>
      <c r="J1512" s="7" t="s">
        <v>4754</v>
      </c>
      <c r="K1512" s="32"/>
      <c r="L1512" s="91" t="s">
        <v>20</v>
      </c>
      <c r="M1512" s="55">
        <v>45264.0</v>
      </c>
      <c r="N1512" s="77" t="str">
        <f t="shared" si="2"/>
        <v>novembro</v>
      </c>
    </row>
    <row r="1513">
      <c r="A1513" s="7" t="s">
        <v>4755</v>
      </c>
      <c r="B1513" s="8">
        <v>45252.773432766204</v>
      </c>
      <c r="C1513" s="7" t="s">
        <v>4756</v>
      </c>
      <c r="D1513" s="7">
        <v>8.1631451E7</v>
      </c>
      <c r="E1513" s="7" t="s">
        <v>2560</v>
      </c>
      <c r="F1513" s="25" t="s">
        <v>61</v>
      </c>
      <c r="G1513" s="9" t="s">
        <v>4757</v>
      </c>
      <c r="H1513" s="7" t="s">
        <v>1734</v>
      </c>
      <c r="I1513" s="7"/>
      <c r="J1513" s="7" t="s">
        <v>4758</v>
      </c>
      <c r="K1513" s="32"/>
      <c r="L1513" s="91" t="s">
        <v>20</v>
      </c>
      <c r="M1513" s="55"/>
      <c r="N1513" s="77" t="str">
        <f t="shared" si="2"/>
        <v>novembro</v>
      </c>
    </row>
    <row r="1514">
      <c r="A1514" s="7" t="s">
        <v>4759</v>
      </c>
      <c r="B1514" s="8">
        <v>45252.785773310185</v>
      </c>
      <c r="C1514" s="7" t="s">
        <v>2455</v>
      </c>
      <c r="D1514" s="7">
        <v>5318.0</v>
      </c>
      <c r="E1514" s="25" t="s">
        <v>15</v>
      </c>
      <c r="F1514" s="7" t="s">
        <v>77</v>
      </c>
      <c r="G1514" s="9" t="s">
        <v>1919</v>
      </c>
      <c r="H1514" s="7" t="s">
        <v>18</v>
      </c>
      <c r="I1514" s="7"/>
      <c r="J1514" s="7" t="s">
        <v>4760</v>
      </c>
      <c r="K1514" s="32"/>
      <c r="L1514" s="91" t="s">
        <v>20</v>
      </c>
      <c r="M1514" s="55">
        <v>45253.0</v>
      </c>
      <c r="N1514" s="77" t="str">
        <f t="shared" si="2"/>
        <v>novembro</v>
      </c>
    </row>
    <row r="1515">
      <c r="A1515" s="7" t="s">
        <v>4761</v>
      </c>
      <c r="B1515" s="8">
        <v>45252.78724200232</v>
      </c>
      <c r="C1515" s="7" t="s">
        <v>2455</v>
      </c>
      <c r="D1515" s="7">
        <v>5318.0</v>
      </c>
      <c r="E1515" s="25" t="s">
        <v>15</v>
      </c>
      <c r="F1515" s="7" t="s">
        <v>121</v>
      </c>
      <c r="G1515" s="9" t="s">
        <v>4532</v>
      </c>
      <c r="H1515" s="7" t="s">
        <v>18</v>
      </c>
      <c r="I1515" s="7"/>
      <c r="J1515" s="7" t="s">
        <v>3527</v>
      </c>
      <c r="K1515" s="32"/>
      <c r="L1515" s="91" t="s">
        <v>20</v>
      </c>
      <c r="M1515" s="55">
        <v>45253.0</v>
      </c>
      <c r="N1515" s="77" t="str">
        <f t="shared" si="2"/>
        <v>novembro</v>
      </c>
    </row>
    <row r="1516">
      <c r="A1516" s="7" t="s">
        <v>4762</v>
      </c>
      <c r="B1516" s="8">
        <v>45252.99331392361</v>
      </c>
      <c r="C1516" s="7" t="s">
        <v>65</v>
      </c>
      <c r="D1516" s="7">
        <v>5318.0</v>
      </c>
      <c r="E1516" s="25" t="s">
        <v>15</v>
      </c>
      <c r="F1516" s="7" t="s">
        <v>1957</v>
      </c>
      <c r="G1516" s="9" t="s">
        <v>4763</v>
      </c>
      <c r="H1516" s="7" t="s">
        <v>18</v>
      </c>
      <c r="I1516" s="7"/>
      <c r="J1516" s="7" t="s">
        <v>4764</v>
      </c>
      <c r="K1516" s="32"/>
      <c r="L1516" s="91" t="s">
        <v>20</v>
      </c>
      <c r="M1516" s="55">
        <v>45272.0</v>
      </c>
      <c r="N1516" s="77" t="str">
        <f t="shared" si="2"/>
        <v>novembro</v>
      </c>
    </row>
    <row r="1517">
      <c r="A1517" s="7" t="s">
        <v>4765</v>
      </c>
      <c r="B1517" s="8">
        <v>45253.33501127315</v>
      </c>
      <c r="C1517" s="7" t="s">
        <v>1438</v>
      </c>
      <c r="D1517" s="7">
        <v>5311.0</v>
      </c>
      <c r="E1517" s="25" t="s">
        <v>251</v>
      </c>
      <c r="F1517" s="25" t="s">
        <v>100</v>
      </c>
      <c r="G1517" s="9" t="s">
        <v>4766</v>
      </c>
      <c r="H1517" s="7" t="s">
        <v>1734</v>
      </c>
      <c r="I1517" s="7"/>
      <c r="J1517" s="7" t="s">
        <v>4767</v>
      </c>
      <c r="K1517" s="32"/>
      <c r="L1517" s="91" t="s">
        <v>20</v>
      </c>
      <c r="M1517" s="55">
        <v>45253.0</v>
      </c>
      <c r="N1517" s="77" t="str">
        <f t="shared" si="2"/>
        <v>novembro</v>
      </c>
    </row>
    <row r="1518">
      <c r="A1518" s="7" t="s">
        <v>4768</v>
      </c>
      <c r="B1518" s="8">
        <v>45253.336748483795</v>
      </c>
      <c r="C1518" s="7" t="s">
        <v>1438</v>
      </c>
      <c r="D1518" s="7">
        <v>5311.0</v>
      </c>
      <c r="E1518" s="25" t="s">
        <v>251</v>
      </c>
      <c r="F1518" s="25" t="s">
        <v>100</v>
      </c>
      <c r="G1518" s="9" t="s">
        <v>2201</v>
      </c>
      <c r="H1518" s="25" t="s">
        <v>44</v>
      </c>
      <c r="I1518" s="7"/>
      <c r="J1518" s="7" t="s">
        <v>4769</v>
      </c>
      <c r="K1518" s="30"/>
      <c r="L1518" s="91" t="s">
        <v>20</v>
      </c>
      <c r="M1518" s="18">
        <v>45356.0</v>
      </c>
      <c r="N1518" s="77" t="str">
        <f t="shared" si="2"/>
        <v>novembro</v>
      </c>
    </row>
    <row r="1519">
      <c r="A1519" s="7" t="s">
        <v>4770</v>
      </c>
      <c r="B1519" s="8">
        <v>45253.338020497686</v>
      </c>
      <c r="C1519" s="7" t="s">
        <v>1068</v>
      </c>
      <c r="D1519" s="7">
        <v>5311.0</v>
      </c>
      <c r="E1519" s="25" t="s">
        <v>251</v>
      </c>
      <c r="F1519" s="25" t="s">
        <v>100</v>
      </c>
      <c r="G1519" s="9" t="s">
        <v>2201</v>
      </c>
      <c r="H1519" s="25" t="s">
        <v>44</v>
      </c>
      <c r="I1519" s="7"/>
      <c r="J1519" s="7" t="s">
        <v>4771</v>
      </c>
      <c r="K1519" s="10" t="s">
        <v>4772</v>
      </c>
      <c r="L1519" s="91" t="s">
        <v>74</v>
      </c>
      <c r="M1519" s="55"/>
      <c r="N1519" s="77" t="str">
        <f t="shared" si="2"/>
        <v>novembro</v>
      </c>
    </row>
    <row r="1520">
      <c r="A1520" s="7" t="s">
        <v>4773</v>
      </c>
      <c r="B1520" s="8">
        <v>45253.36051953703</v>
      </c>
      <c r="C1520" s="7" t="s">
        <v>4774</v>
      </c>
      <c r="D1520" s="7" t="s">
        <v>4775</v>
      </c>
      <c r="E1520" s="25" t="s">
        <v>580</v>
      </c>
      <c r="F1520" s="25" t="s">
        <v>393</v>
      </c>
      <c r="G1520" s="9">
        <v>10.0</v>
      </c>
      <c r="H1520" s="25" t="s">
        <v>162</v>
      </c>
      <c r="I1520" s="7"/>
      <c r="J1520" s="7" t="s">
        <v>4776</v>
      </c>
      <c r="K1520" s="32"/>
      <c r="L1520" s="91" t="s">
        <v>20</v>
      </c>
      <c r="M1520" s="55">
        <v>45254.0</v>
      </c>
      <c r="N1520" s="77" t="str">
        <f t="shared" si="2"/>
        <v>novembro</v>
      </c>
    </row>
    <row r="1521">
      <c r="A1521" s="7" t="s">
        <v>4777</v>
      </c>
      <c r="B1521" s="8">
        <v>45253.468303483794</v>
      </c>
      <c r="C1521" s="7" t="s">
        <v>4778</v>
      </c>
      <c r="D1521" s="7">
        <v>3.4417609E7</v>
      </c>
      <c r="E1521" s="7" t="s">
        <v>2311</v>
      </c>
      <c r="F1521" s="7" t="s">
        <v>1957</v>
      </c>
      <c r="G1521" s="9" t="s">
        <v>4779</v>
      </c>
      <c r="H1521" s="25" t="s">
        <v>18</v>
      </c>
      <c r="I1521" s="7"/>
      <c r="J1521" s="7" t="s">
        <v>4780</v>
      </c>
      <c r="K1521" s="32"/>
      <c r="L1521" s="91" t="s">
        <v>20</v>
      </c>
      <c r="M1521" s="55">
        <v>45264.0</v>
      </c>
      <c r="N1521" s="77" t="str">
        <f t="shared" si="2"/>
        <v>novembro</v>
      </c>
    </row>
    <row r="1522">
      <c r="A1522" s="7" t="s">
        <v>4781</v>
      </c>
      <c r="B1522" s="8">
        <v>45253.59619041666</v>
      </c>
      <c r="C1522" s="7" t="s">
        <v>76</v>
      </c>
      <c r="D1522" s="7">
        <v>5340.0</v>
      </c>
      <c r="E1522" s="25" t="s">
        <v>70</v>
      </c>
      <c r="F1522" s="7" t="s">
        <v>1957</v>
      </c>
      <c r="G1522" s="9" t="s">
        <v>4782</v>
      </c>
      <c r="H1522" s="25" t="s">
        <v>1734</v>
      </c>
      <c r="I1522" s="7"/>
      <c r="J1522" s="7" t="s">
        <v>4783</v>
      </c>
      <c r="K1522" s="32"/>
      <c r="L1522" s="91" t="s">
        <v>20</v>
      </c>
      <c r="M1522" s="55">
        <v>45253.0</v>
      </c>
      <c r="N1522" s="77" t="str">
        <f t="shared" si="2"/>
        <v>novembro</v>
      </c>
    </row>
    <row r="1523">
      <c r="A1523" s="7" t="s">
        <v>4784</v>
      </c>
      <c r="B1523" s="8">
        <v>45253.59843960648</v>
      </c>
      <c r="C1523" s="7" t="s">
        <v>76</v>
      </c>
      <c r="D1523" s="7">
        <v>5340.0</v>
      </c>
      <c r="E1523" s="25" t="s">
        <v>70</v>
      </c>
      <c r="F1523" s="7" t="s">
        <v>121</v>
      </c>
      <c r="G1523" s="9" t="s">
        <v>4785</v>
      </c>
      <c r="H1523" s="25" t="s">
        <v>1734</v>
      </c>
      <c r="I1523" s="7"/>
      <c r="J1523" s="7" t="s">
        <v>4786</v>
      </c>
      <c r="K1523" s="32"/>
      <c r="L1523" s="91" t="s">
        <v>20</v>
      </c>
      <c r="M1523" s="55">
        <v>45253.0</v>
      </c>
      <c r="N1523" s="77" t="str">
        <f t="shared" si="2"/>
        <v>novembro</v>
      </c>
    </row>
    <row r="1524">
      <c r="A1524" s="7" t="s">
        <v>4787</v>
      </c>
      <c r="B1524" s="8">
        <v>45253.60194381945</v>
      </c>
      <c r="C1524" s="7" t="s">
        <v>76</v>
      </c>
      <c r="D1524" s="7">
        <v>5340.0</v>
      </c>
      <c r="E1524" s="25" t="s">
        <v>70</v>
      </c>
      <c r="F1524" s="7" t="s">
        <v>2814</v>
      </c>
      <c r="G1524" s="9" t="s">
        <v>4788</v>
      </c>
      <c r="H1524" s="25" t="s">
        <v>1734</v>
      </c>
      <c r="I1524" s="7"/>
      <c r="J1524" s="7" t="s">
        <v>4789</v>
      </c>
      <c r="K1524" s="32"/>
      <c r="L1524" s="91" t="s">
        <v>20</v>
      </c>
      <c r="M1524" s="55">
        <v>45253.0</v>
      </c>
      <c r="N1524" s="77" t="str">
        <f t="shared" si="2"/>
        <v>novembro</v>
      </c>
    </row>
    <row r="1525">
      <c r="A1525" s="7" t="s">
        <v>4790</v>
      </c>
      <c r="B1525" s="8">
        <v>45253.608387245375</v>
      </c>
      <c r="C1525" s="7" t="s">
        <v>512</v>
      </c>
      <c r="D1525" s="7">
        <v>5340.0</v>
      </c>
      <c r="E1525" s="25" t="s">
        <v>70</v>
      </c>
      <c r="F1525" s="25" t="s">
        <v>393</v>
      </c>
      <c r="G1525" s="9" t="s">
        <v>4791</v>
      </c>
      <c r="H1525" s="25" t="s">
        <v>162</v>
      </c>
      <c r="I1525" s="7"/>
      <c r="J1525" s="7" t="s">
        <v>4792</v>
      </c>
      <c r="K1525" s="32"/>
      <c r="L1525" s="91" t="s">
        <v>20</v>
      </c>
      <c r="M1525" s="55">
        <v>45268.0</v>
      </c>
      <c r="N1525" s="77" t="str">
        <f t="shared" si="2"/>
        <v>novembro</v>
      </c>
    </row>
    <row r="1526">
      <c r="A1526" s="7" t="s">
        <v>4793</v>
      </c>
      <c r="B1526" s="8">
        <v>45253.65095696759</v>
      </c>
      <c r="C1526" s="7" t="s">
        <v>512</v>
      </c>
      <c r="D1526" s="7">
        <v>5340.0</v>
      </c>
      <c r="E1526" s="25" t="s">
        <v>70</v>
      </c>
      <c r="F1526" s="7" t="s">
        <v>90</v>
      </c>
      <c r="G1526" s="9" t="s">
        <v>2341</v>
      </c>
      <c r="H1526" s="7" t="s">
        <v>79</v>
      </c>
      <c r="I1526" s="7"/>
      <c r="J1526" s="7" t="s">
        <v>4794</v>
      </c>
      <c r="K1526" s="32"/>
      <c r="L1526" s="91" t="s">
        <v>20</v>
      </c>
      <c r="M1526" s="55">
        <v>45253.0</v>
      </c>
      <c r="N1526" s="77" t="str">
        <f t="shared" si="2"/>
        <v>novembro</v>
      </c>
    </row>
    <row r="1527">
      <c r="A1527" s="7" t="s">
        <v>4795</v>
      </c>
      <c r="B1527" s="8">
        <v>45254.38973635416</v>
      </c>
      <c r="C1527" s="7" t="s">
        <v>4353</v>
      </c>
      <c r="D1527" s="7">
        <v>5333.0</v>
      </c>
      <c r="E1527" s="7" t="s">
        <v>41</v>
      </c>
      <c r="F1527" s="7" t="s">
        <v>42</v>
      </c>
      <c r="G1527" s="9" t="s">
        <v>4184</v>
      </c>
      <c r="H1527" s="25" t="s">
        <v>1734</v>
      </c>
      <c r="I1527" s="7"/>
      <c r="J1527" s="7" t="s">
        <v>4796</v>
      </c>
      <c r="K1527" s="32"/>
      <c r="L1527" s="91" t="s">
        <v>20</v>
      </c>
      <c r="M1527" s="55">
        <v>45264.0</v>
      </c>
      <c r="N1527" s="77" t="str">
        <f t="shared" si="2"/>
        <v>novembro</v>
      </c>
    </row>
    <row r="1528">
      <c r="A1528" s="7" t="s">
        <v>4797</v>
      </c>
      <c r="B1528" s="8">
        <v>45254.40007578704</v>
      </c>
      <c r="C1528" s="7" t="s">
        <v>1068</v>
      </c>
      <c r="D1528" s="7">
        <v>5311.0</v>
      </c>
      <c r="E1528" s="25" t="s">
        <v>251</v>
      </c>
      <c r="F1528" s="25" t="s">
        <v>100</v>
      </c>
      <c r="G1528" s="9" t="s">
        <v>4798</v>
      </c>
      <c r="H1528" s="7" t="s">
        <v>79</v>
      </c>
      <c r="I1528" s="7"/>
      <c r="J1528" s="7" t="s">
        <v>4799</v>
      </c>
      <c r="K1528" s="32"/>
      <c r="L1528" s="91" t="s">
        <v>20</v>
      </c>
      <c r="M1528" s="55">
        <v>45254.0</v>
      </c>
      <c r="N1528" s="77" t="str">
        <f t="shared" si="2"/>
        <v>novembro</v>
      </c>
    </row>
    <row r="1529">
      <c r="A1529" s="7" t="s">
        <v>4800</v>
      </c>
      <c r="B1529" s="8">
        <v>45255.458888506946</v>
      </c>
      <c r="C1529" s="7" t="s">
        <v>553</v>
      </c>
      <c r="D1529" s="7">
        <v>5318.0</v>
      </c>
      <c r="E1529" s="25" t="s">
        <v>15</v>
      </c>
      <c r="F1529" s="7" t="s">
        <v>82</v>
      </c>
      <c r="G1529" s="9" t="s">
        <v>4801</v>
      </c>
      <c r="H1529" s="25" t="s">
        <v>18</v>
      </c>
      <c r="I1529" s="7"/>
      <c r="J1529" s="7" t="s">
        <v>4802</v>
      </c>
      <c r="K1529" s="30"/>
      <c r="L1529" s="91" t="s">
        <v>20</v>
      </c>
      <c r="M1529" s="55">
        <v>45301.0</v>
      </c>
      <c r="N1529" s="77" t="str">
        <f t="shared" si="2"/>
        <v>novembro</v>
      </c>
    </row>
    <row r="1530">
      <c r="A1530" s="7" t="s">
        <v>4803</v>
      </c>
      <c r="B1530" s="8">
        <v>45255.4606428588</v>
      </c>
      <c r="C1530" s="7" t="s">
        <v>553</v>
      </c>
      <c r="D1530" s="7">
        <v>5318.0</v>
      </c>
      <c r="E1530" s="25" t="s">
        <v>15</v>
      </c>
      <c r="F1530" s="25" t="s">
        <v>86</v>
      </c>
      <c r="G1530" s="9" t="s">
        <v>4804</v>
      </c>
      <c r="H1530" s="25" t="s">
        <v>18</v>
      </c>
      <c r="I1530" s="7"/>
      <c r="J1530" s="7" t="s">
        <v>4805</v>
      </c>
      <c r="K1530" s="30"/>
      <c r="L1530" s="91" t="s">
        <v>20</v>
      </c>
      <c r="M1530" s="55">
        <v>45301.0</v>
      </c>
      <c r="N1530" s="77" t="str">
        <f t="shared" si="2"/>
        <v>novembro</v>
      </c>
    </row>
    <row r="1531">
      <c r="A1531" s="7" t="s">
        <v>4806</v>
      </c>
      <c r="B1531" s="8">
        <v>45257.409589780094</v>
      </c>
      <c r="C1531" s="7" t="s">
        <v>76</v>
      </c>
      <c r="D1531" s="7">
        <v>5340.0</v>
      </c>
      <c r="E1531" s="25" t="s">
        <v>70</v>
      </c>
      <c r="F1531" s="7" t="s">
        <v>16</v>
      </c>
      <c r="G1531" s="9" t="s">
        <v>4807</v>
      </c>
      <c r="H1531" s="7" t="s">
        <v>298</v>
      </c>
      <c r="I1531" s="7"/>
      <c r="J1531" s="7" t="s">
        <v>4808</v>
      </c>
      <c r="K1531" s="32"/>
      <c r="L1531" s="91" t="s">
        <v>20</v>
      </c>
      <c r="M1531" s="55">
        <v>45257.0</v>
      </c>
      <c r="N1531" s="77" t="str">
        <f t="shared" si="2"/>
        <v>novembro</v>
      </c>
    </row>
    <row r="1532">
      <c r="A1532" s="7" t="s">
        <v>4809</v>
      </c>
      <c r="B1532" s="8">
        <v>45257.41063283564</v>
      </c>
      <c r="C1532" s="7" t="s">
        <v>76</v>
      </c>
      <c r="D1532" s="7">
        <v>5340.0</v>
      </c>
      <c r="E1532" s="25" t="s">
        <v>70</v>
      </c>
      <c r="F1532" s="25" t="s">
        <v>86</v>
      </c>
      <c r="G1532" s="9" t="s">
        <v>2485</v>
      </c>
      <c r="H1532" s="7" t="s">
        <v>1734</v>
      </c>
      <c r="I1532" s="7"/>
      <c r="J1532" s="7" t="s">
        <v>4810</v>
      </c>
      <c r="K1532" s="32"/>
      <c r="L1532" s="91" t="s">
        <v>20</v>
      </c>
      <c r="M1532" s="69">
        <v>45257.0</v>
      </c>
      <c r="N1532" s="77" t="str">
        <f t="shared" si="2"/>
        <v>novembro</v>
      </c>
    </row>
    <row r="1533">
      <c r="A1533" s="7" t="s">
        <v>4811</v>
      </c>
      <c r="B1533" s="8">
        <v>45257.41171655092</v>
      </c>
      <c r="C1533" s="7" t="s">
        <v>4353</v>
      </c>
      <c r="D1533" s="7">
        <v>5333.0</v>
      </c>
      <c r="E1533" s="7" t="s">
        <v>41</v>
      </c>
      <c r="F1533" s="7" t="s">
        <v>42</v>
      </c>
      <c r="G1533" s="9" t="s">
        <v>3220</v>
      </c>
      <c r="H1533" s="7" t="s">
        <v>764</v>
      </c>
      <c r="I1533" s="7"/>
      <c r="J1533" s="7" t="s">
        <v>4812</v>
      </c>
      <c r="K1533" s="32" t="s">
        <v>4813</v>
      </c>
      <c r="L1533" s="91" t="s">
        <v>20</v>
      </c>
      <c r="M1533" s="18">
        <v>45264.0</v>
      </c>
      <c r="N1533" s="77" t="str">
        <f t="shared" si="2"/>
        <v>novembro</v>
      </c>
    </row>
    <row r="1534">
      <c r="A1534" s="7" t="s">
        <v>4814</v>
      </c>
      <c r="B1534" s="8">
        <v>45257.47226278935</v>
      </c>
      <c r="C1534" s="7" t="s">
        <v>4353</v>
      </c>
      <c r="D1534" s="7">
        <v>5333.0</v>
      </c>
      <c r="E1534" s="7" t="s">
        <v>41</v>
      </c>
      <c r="F1534" s="7" t="s">
        <v>42</v>
      </c>
      <c r="G1534" s="9" t="s">
        <v>135</v>
      </c>
      <c r="H1534" s="7" t="s">
        <v>79</v>
      </c>
      <c r="I1534" s="7"/>
      <c r="J1534" s="7" t="s">
        <v>4815</v>
      </c>
      <c r="K1534" s="32"/>
      <c r="L1534" s="91" t="s">
        <v>20</v>
      </c>
      <c r="M1534" s="69">
        <v>45258.0</v>
      </c>
      <c r="N1534" s="77" t="str">
        <f t="shared" si="2"/>
        <v>novembro</v>
      </c>
    </row>
    <row r="1535">
      <c r="A1535" s="7" t="s">
        <v>4816</v>
      </c>
      <c r="B1535" s="8">
        <v>45257.62637773148</v>
      </c>
      <c r="C1535" s="7" t="s">
        <v>76</v>
      </c>
      <c r="D1535" s="7">
        <v>5340.0</v>
      </c>
      <c r="E1535" s="25" t="s">
        <v>70</v>
      </c>
      <c r="F1535" s="7" t="s">
        <v>49</v>
      </c>
      <c r="G1535" s="9" t="s">
        <v>4817</v>
      </c>
      <c r="H1535" s="7" t="s">
        <v>1734</v>
      </c>
      <c r="I1535" s="7"/>
      <c r="J1535" s="7" t="s">
        <v>4818</v>
      </c>
      <c r="K1535" s="32"/>
      <c r="L1535" s="91" t="s">
        <v>20</v>
      </c>
      <c r="M1535" s="69">
        <v>45257.0</v>
      </c>
      <c r="N1535" s="77" t="str">
        <f t="shared" si="2"/>
        <v>novembro</v>
      </c>
    </row>
    <row r="1536">
      <c r="A1536" s="7" t="s">
        <v>4819</v>
      </c>
      <c r="B1536" s="8">
        <v>45257.62779539352</v>
      </c>
      <c r="C1536" s="7" t="s">
        <v>512</v>
      </c>
      <c r="D1536" s="7">
        <v>5340.0</v>
      </c>
      <c r="E1536" s="25" t="s">
        <v>70</v>
      </c>
      <c r="F1536" s="7" t="s">
        <v>49</v>
      </c>
      <c r="G1536" s="9" t="s">
        <v>813</v>
      </c>
      <c r="H1536" s="7" t="s">
        <v>79</v>
      </c>
      <c r="I1536" s="7"/>
      <c r="J1536" s="7" t="s">
        <v>4820</v>
      </c>
      <c r="K1536" s="32"/>
      <c r="L1536" s="91" t="s">
        <v>20</v>
      </c>
      <c r="M1536" s="69">
        <v>45258.0</v>
      </c>
      <c r="N1536" s="77" t="str">
        <f t="shared" si="2"/>
        <v>novembro</v>
      </c>
    </row>
    <row r="1537">
      <c r="A1537" s="7" t="s">
        <v>4821</v>
      </c>
      <c r="B1537" s="8">
        <v>45257.66045578704</v>
      </c>
      <c r="C1537" s="7" t="s">
        <v>3665</v>
      </c>
      <c r="D1537" s="7">
        <v>5340.0</v>
      </c>
      <c r="E1537" s="25" t="s">
        <v>70</v>
      </c>
      <c r="F1537" s="7" t="s">
        <v>188</v>
      </c>
      <c r="G1537" s="9" t="s">
        <v>4822</v>
      </c>
      <c r="H1537" s="7" t="s">
        <v>764</v>
      </c>
      <c r="I1537" s="7"/>
      <c r="J1537" s="7" t="s">
        <v>4823</v>
      </c>
      <c r="K1537" s="32"/>
      <c r="L1537" s="91" t="s">
        <v>20</v>
      </c>
      <c r="M1537" s="69">
        <v>45258.0</v>
      </c>
      <c r="N1537" s="77" t="str">
        <f t="shared" si="2"/>
        <v>novembro</v>
      </c>
    </row>
    <row r="1538">
      <c r="A1538" s="7" t="s">
        <v>4824</v>
      </c>
      <c r="B1538" s="8">
        <v>45257.66359646991</v>
      </c>
      <c r="C1538" s="7" t="s">
        <v>3665</v>
      </c>
      <c r="D1538" s="7">
        <v>5340.0</v>
      </c>
      <c r="E1538" s="25" t="s">
        <v>70</v>
      </c>
      <c r="F1538" s="7" t="s">
        <v>347</v>
      </c>
      <c r="G1538" s="9" t="s">
        <v>347</v>
      </c>
      <c r="H1538" s="25" t="s">
        <v>162</v>
      </c>
      <c r="I1538" s="7"/>
      <c r="J1538" s="7" t="s">
        <v>4825</v>
      </c>
      <c r="K1538" s="30"/>
      <c r="L1538" s="91" t="s">
        <v>20</v>
      </c>
      <c r="M1538" s="69">
        <v>45281.0</v>
      </c>
      <c r="N1538" s="77" t="str">
        <f t="shared" si="2"/>
        <v>novembro</v>
      </c>
    </row>
    <row r="1539">
      <c r="A1539" s="7" t="s">
        <v>4826</v>
      </c>
      <c r="B1539" s="8">
        <v>45257.68996581019</v>
      </c>
      <c r="C1539" s="7" t="s">
        <v>4353</v>
      </c>
      <c r="D1539" s="7">
        <v>5333.0</v>
      </c>
      <c r="E1539" s="7" t="s">
        <v>41</v>
      </c>
      <c r="F1539" s="7" t="s">
        <v>42</v>
      </c>
      <c r="G1539" s="9" t="s">
        <v>3304</v>
      </c>
      <c r="H1539" s="7" t="s">
        <v>764</v>
      </c>
      <c r="I1539" s="7"/>
      <c r="J1539" s="7" t="s">
        <v>4827</v>
      </c>
      <c r="K1539" s="32"/>
      <c r="L1539" s="91" t="s">
        <v>20</v>
      </c>
      <c r="M1539" s="18">
        <v>45264.0</v>
      </c>
      <c r="N1539" s="77" t="str">
        <f t="shared" si="2"/>
        <v>novembro</v>
      </c>
    </row>
    <row r="1540">
      <c r="A1540" s="7" t="s">
        <v>4828</v>
      </c>
      <c r="B1540" s="8">
        <v>45257.69254113426</v>
      </c>
      <c r="C1540" s="7" t="s">
        <v>4353</v>
      </c>
      <c r="D1540" s="7">
        <v>5333.0</v>
      </c>
      <c r="E1540" s="7" t="s">
        <v>41</v>
      </c>
      <c r="F1540" s="7" t="s">
        <v>42</v>
      </c>
      <c r="G1540" s="9" t="s">
        <v>4401</v>
      </c>
      <c r="H1540" s="7" t="s">
        <v>1734</v>
      </c>
      <c r="I1540" s="7"/>
      <c r="J1540" s="7" t="s">
        <v>4829</v>
      </c>
      <c r="K1540" s="32"/>
      <c r="L1540" s="91" t="s">
        <v>20</v>
      </c>
      <c r="M1540" s="18">
        <v>45264.0</v>
      </c>
      <c r="N1540" s="77" t="str">
        <f t="shared" si="2"/>
        <v>novembro</v>
      </c>
    </row>
    <row r="1541">
      <c r="A1541" s="7" t="s">
        <v>4830</v>
      </c>
      <c r="B1541" s="8">
        <v>45258.37918533565</v>
      </c>
      <c r="C1541" s="7" t="s">
        <v>512</v>
      </c>
      <c r="D1541" s="7">
        <v>5340.0</v>
      </c>
      <c r="E1541" s="25" t="s">
        <v>70</v>
      </c>
      <c r="F1541" s="7" t="s">
        <v>49</v>
      </c>
      <c r="G1541" s="9" t="s">
        <v>3693</v>
      </c>
      <c r="H1541" s="7" t="s">
        <v>764</v>
      </c>
      <c r="I1541" s="7"/>
      <c r="J1541" s="7" t="s">
        <v>4831</v>
      </c>
      <c r="K1541" s="32"/>
      <c r="L1541" s="91" t="s">
        <v>20</v>
      </c>
      <c r="M1541" s="69">
        <v>45258.0</v>
      </c>
      <c r="N1541" s="77" t="str">
        <f t="shared" si="2"/>
        <v>novembro</v>
      </c>
    </row>
    <row r="1542">
      <c r="A1542" s="7" t="s">
        <v>4832</v>
      </c>
      <c r="B1542" s="8">
        <v>45258.41719194445</v>
      </c>
      <c r="C1542" s="7" t="s">
        <v>346</v>
      </c>
      <c r="D1542" s="7" t="s">
        <v>4833</v>
      </c>
      <c r="E1542" s="25" t="s">
        <v>34</v>
      </c>
      <c r="F1542" s="7" t="s">
        <v>347</v>
      </c>
      <c r="G1542" s="9" t="s">
        <v>595</v>
      </c>
      <c r="H1542" s="7" t="s">
        <v>79</v>
      </c>
      <c r="I1542" s="7"/>
      <c r="J1542" s="7" t="s">
        <v>4834</v>
      </c>
      <c r="K1542" s="32"/>
      <c r="L1542" s="91" t="s">
        <v>20</v>
      </c>
      <c r="M1542" s="69">
        <v>45259.0</v>
      </c>
      <c r="N1542" s="77" t="str">
        <f t="shared" si="2"/>
        <v>novembro</v>
      </c>
    </row>
    <row r="1543">
      <c r="A1543" s="7" t="s">
        <v>4835</v>
      </c>
      <c r="B1543" s="8">
        <v>45258.47828855324</v>
      </c>
      <c r="C1543" s="7" t="s">
        <v>4544</v>
      </c>
      <c r="D1543" s="7">
        <v>1.6991538409E10</v>
      </c>
      <c r="E1543" s="7" t="s">
        <v>1127</v>
      </c>
      <c r="F1543" s="7" t="s">
        <v>35</v>
      </c>
      <c r="G1543" s="9" t="s">
        <v>4836</v>
      </c>
      <c r="H1543" s="7" t="s">
        <v>1734</v>
      </c>
      <c r="I1543" s="7"/>
      <c r="J1543" s="7" t="s">
        <v>4837</v>
      </c>
      <c r="K1543" s="7" t="s">
        <v>4838</v>
      </c>
      <c r="L1543" s="91" t="s">
        <v>74</v>
      </c>
      <c r="M1543" s="69"/>
      <c r="N1543" s="77" t="str">
        <f t="shared" si="2"/>
        <v>novembro</v>
      </c>
    </row>
    <row r="1544">
      <c r="A1544" s="7" t="s">
        <v>4839</v>
      </c>
      <c r="B1544" s="8">
        <v>45258.47828855324</v>
      </c>
      <c r="C1544" s="7" t="s">
        <v>4544</v>
      </c>
      <c r="D1544" s="7">
        <v>1.6991538409E10</v>
      </c>
      <c r="E1544" s="7" t="s">
        <v>1127</v>
      </c>
      <c r="F1544" s="7" t="s">
        <v>35</v>
      </c>
      <c r="G1544" s="9" t="s">
        <v>4836</v>
      </c>
      <c r="H1544" s="7" t="s">
        <v>1734</v>
      </c>
      <c r="I1544" s="7"/>
      <c r="J1544" s="7" t="s">
        <v>4837</v>
      </c>
      <c r="K1544" s="7" t="s">
        <v>4838</v>
      </c>
      <c r="L1544" s="91" t="s">
        <v>74</v>
      </c>
      <c r="M1544" s="69"/>
      <c r="N1544" s="77" t="str">
        <f t="shared" si="2"/>
        <v>novembro</v>
      </c>
    </row>
    <row r="1545">
      <c r="A1545" s="7" t="s">
        <v>4840</v>
      </c>
      <c r="B1545" s="8">
        <v>45258.506151747686</v>
      </c>
      <c r="C1545" s="7" t="s">
        <v>4014</v>
      </c>
      <c r="D1545" s="7">
        <v>6.2983318743E10</v>
      </c>
      <c r="E1545" s="7" t="s">
        <v>199</v>
      </c>
      <c r="F1545" s="25" t="s">
        <v>86</v>
      </c>
      <c r="G1545" s="9" t="s">
        <v>4841</v>
      </c>
      <c r="H1545" s="7" t="s">
        <v>1734</v>
      </c>
      <c r="I1545" s="7"/>
      <c r="J1545" s="7" t="s">
        <v>4842</v>
      </c>
      <c r="K1545" s="7"/>
      <c r="L1545" s="91" t="s">
        <v>20</v>
      </c>
      <c r="M1545" s="69">
        <v>45258.0</v>
      </c>
      <c r="N1545" s="77" t="str">
        <f t="shared" si="2"/>
        <v>novembro</v>
      </c>
    </row>
    <row r="1546">
      <c r="A1546" s="7" t="s">
        <v>4843</v>
      </c>
      <c r="B1546" s="8">
        <v>45258.528230613425</v>
      </c>
      <c r="C1546" s="7" t="s">
        <v>4353</v>
      </c>
      <c r="D1546" s="7">
        <v>5333.0</v>
      </c>
      <c r="E1546" s="7" t="s">
        <v>41</v>
      </c>
      <c r="F1546" s="7" t="s">
        <v>42</v>
      </c>
      <c r="G1546" s="9" t="s">
        <v>3304</v>
      </c>
      <c r="H1546" s="7" t="s">
        <v>1734</v>
      </c>
      <c r="I1546" s="7"/>
      <c r="J1546" s="7" t="s">
        <v>4844</v>
      </c>
      <c r="K1546" s="7"/>
      <c r="L1546" s="91" t="s">
        <v>20</v>
      </c>
      <c r="M1546" s="69">
        <v>45264.0</v>
      </c>
      <c r="N1546" s="77" t="str">
        <f t="shared" si="2"/>
        <v>novembro</v>
      </c>
    </row>
    <row r="1547">
      <c r="A1547" s="7" t="s">
        <v>4845</v>
      </c>
      <c r="B1547" s="8">
        <v>45258.5570093287</v>
      </c>
      <c r="C1547" s="7" t="s">
        <v>512</v>
      </c>
      <c r="D1547" s="7">
        <v>5340.0</v>
      </c>
      <c r="E1547" s="25" t="s">
        <v>70</v>
      </c>
      <c r="F1547" s="7" t="s">
        <v>77</v>
      </c>
      <c r="G1547" s="9" t="s">
        <v>1820</v>
      </c>
      <c r="H1547" s="7" t="s">
        <v>298</v>
      </c>
      <c r="I1547" s="7"/>
      <c r="J1547" s="7" t="s">
        <v>4846</v>
      </c>
      <c r="K1547" s="7"/>
      <c r="L1547" s="91" t="s">
        <v>20</v>
      </c>
      <c r="M1547" s="69">
        <v>45272.0</v>
      </c>
      <c r="N1547" s="77" t="str">
        <f t="shared" si="2"/>
        <v>novembro</v>
      </c>
    </row>
    <row r="1548">
      <c r="A1548" s="7" t="s">
        <v>4847</v>
      </c>
      <c r="B1548" s="8">
        <v>45258.602284259265</v>
      </c>
      <c r="C1548" s="7" t="s">
        <v>512</v>
      </c>
      <c r="D1548" s="7">
        <v>5340.0</v>
      </c>
      <c r="E1548" s="25" t="s">
        <v>70</v>
      </c>
      <c r="F1548" s="7" t="s">
        <v>77</v>
      </c>
      <c r="G1548" s="9" t="s">
        <v>4848</v>
      </c>
      <c r="H1548" s="7" t="s">
        <v>162</v>
      </c>
      <c r="I1548" s="7"/>
      <c r="J1548" s="7" t="s">
        <v>4849</v>
      </c>
      <c r="K1548" s="7"/>
      <c r="L1548" s="91" t="s">
        <v>20</v>
      </c>
      <c r="M1548" s="69">
        <v>45272.0</v>
      </c>
      <c r="N1548" s="77" t="str">
        <f t="shared" si="2"/>
        <v>novembro</v>
      </c>
    </row>
    <row r="1549">
      <c r="A1549" s="7" t="s">
        <v>4850</v>
      </c>
      <c r="B1549" s="8">
        <v>45258.0</v>
      </c>
      <c r="C1549" s="7" t="s">
        <v>522</v>
      </c>
      <c r="D1549" s="7">
        <v>5333.0</v>
      </c>
      <c r="E1549" s="7" t="s">
        <v>41</v>
      </c>
      <c r="F1549" s="7" t="s">
        <v>42</v>
      </c>
      <c r="G1549" s="9">
        <v>5333.0</v>
      </c>
      <c r="H1549" s="7" t="s">
        <v>79</v>
      </c>
      <c r="I1549" s="7"/>
      <c r="J1549" s="7" t="s">
        <v>4851</v>
      </c>
      <c r="K1549" s="7"/>
      <c r="L1549" s="91" t="s">
        <v>20</v>
      </c>
      <c r="M1549" s="69">
        <v>45268.0</v>
      </c>
      <c r="N1549" s="77" t="str">
        <f t="shared" si="2"/>
        <v>novembro</v>
      </c>
    </row>
    <row r="1550">
      <c r="A1550" s="7" t="s">
        <v>4852</v>
      </c>
      <c r="B1550" s="8">
        <v>45258.0</v>
      </c>
      <c r="C1550" s="7" t="s">
        <v>1302</v>
      </c>
      <c r="D1550" s="7">
        <v>5376.0</v>
      </c>
      <c r="E1550" s="25" t="s">
        <v>284</v>
      </c>
      <c r="F1550" s="25" t="s">
        <v>86</v>
      </c>
      <c r="G1550" s="9" t="s">
        <v>4853</v>
      </c>
      <c r="H1550" s="7" t="s">
        <v>79</v>
      </c>
      <c r="I1550" s="7"/>
      <c r="J1550" s="7" t="s">
        <v>4854</v>
      </c>
      <c r="K1550" s="7"/>
      <c r="L1550" s="91" t="s">
        <v>20</v>
      </c>
      <c r="M1550" s="69">
        <v>45259.0</v>
      </c>
      <c r="N1550" s="77" t="str">
        <f t="shared" si="2"/>
        <v>novembro</v>
      </c>
    </row>
    <row r="1551">
      <c r="A1551" s="7" t="s">
        <v>4855</v>
      </c>
      <c r="B1551" s="8">
        <v>45258.78020819444</v>
      </c>
      <c r="C1551" s="7" t="s">
        <v>138</v>
      </c>
      <c r="D1551" s="7">
        <v>5318.0</v>
      </c>
      <c r="E1551" s="25" t="s">
        <v>15</v>
      </c>
      <c r="F1551" s="25" t="s">
        <v>393</v>
      </c>
      <c r="G1551" s="9" t="s">
        <v>4856</v>
      </c>
      <c r="H1551" s="7" t="s">
        <v>18</v>
      </c>
      <c r="I1551" s="7"/>
      <c r="J1551" s="7" t="s">
        <v>4857</v>
      </c>
      <c r="K1551" s="7"/>
      <c r="L1551" s="91" t="s">
        <v>20</v>
      </c>
      <c r="M1551" s="69">
        <v>45261.0</v>
      </c>
      <c r="N1551" s="77" t="str">
        <f t="shared" si="2"/>
        <v>novembro</v>
      </c>
    </row>
    <row r="1552">
      <c r="A1552" s="7" t="s">
        <v>4858</v>
      </c>
      <c r="B1552" s="8">
        <v>45258.83225383102</v>
      </c>
      <c r="C1552" s="7" t="s">
        <v>4859</v>
      </c>
      <c r="D1552" s="7" t="s">
        <v>4860</v>
      </c>
      <c r="E1552" s="25" t="s">
        <v>580</v>
      </c>
      <c r="F1552" s="25" t="s">
        <v>393</v>
      </c>
      <c r="G1552" s="9" t="s">
        <v>4861</v>
      </c>
      <c r="H1552" s="7" t="s">
        <v>1734</v>
      </c>
      <c r="I1552" s="7"/>
      <c r="J1552" s="7" t="s">
        <v>4862</v>
      </c>
      <c r="K1552" s="7"/>
      <c r="L1552" s="91" t="s">
        <v>20</v>
      </c>
      <c r="M1552" s="69">
        <v>45259.0</v>
      </c>
      <c r="N1552" s="77" t="str">
        <f t="shared" si="2"/>
        <v>novembro</v>
      </c>
    </row>
    <row r="1553">
      <c r="A1553" s="7" t="s">
        <v>4863</v>
      </c>
      <c r="B1553" s="8">
        <v>45259.02303648148</v>
      </c>
      <c r="C1553" s="7" t="s">
        <v>4864</v>
      </c>
      <c r="D1553" s="7" t="s">
        <v>4865</v>
      </c>
      <c r="E1553" s="7" t="s">
        <v>41</v>
      </c>
      <c r="F1553" s="7" t="s">
        <v>42</v>
      </c>
      <c r="G1553" s="9" t="s">
        <v>4866</v>
      </c>
      <c r="H1553" s="7" t="s">
        <v>162</v>
      </c>
      <c r="I1553" s="7"/>
      <c r="J1553" s="7" t="s">
        <v>4867</v>
      </c>
      <c r="K1553" s="7" t="s">
        <v>4868</v>
      </c>
      <c r="L1553" s="91" t="s">
        <v>74</v>
      </c>
      <c r="M1553" s="69">
        <v>45259.0</v>
      </c>
      <c r="N1553" s="77" t="str">
        <f t="shared" si="2"/>
        <v>novembro</v>
      </c>
    </row>
    <row r="1554">
      <c r="A1554" s="7" t="s">
        <v>4869</v>
      </c>
      <c r="B1554" s="8">
        <v>45259.0513838426</v>
      </c>
      <c r="C1554" s="7" t="s">
        <v>4870</v>
      </c>
      <c r="D1554" s="7">
        <v>6.4993291054E10</v>
      </c>
      <c r="E1554" s="25" t="s">
        <v>580</v>
      </c>
      <c r="F1554" s="7" t="s">
        <v>4871</v>
      </c>
      <c r="G1554" s="9" t="s">
        <v>4872</v>
      </c>
      <c r="H1554" s="25" t="s">
        <v>44</v>
      </c>
      <c r="I1554" s="7"/>
      <c r="J1554" s="7" t="s">
        <v>4873</v>
      </c>
      <c r="K1554" s="7"/>
      <c r="L1554" s="91" t="s">
        <v>20</v>
      </c>
      <c r="M1554" s="69">
        <v>45259.0</v>
      </c>
      <c r="N1554" s="77" t="str">
        <f t="shared" si="2"/>
        <v>novembro</v>
      </c>
    </row>
    <row r="1555">
      <c r="A1555" s="7" t="s">
        <v>4874</v>
      </c>
      <c r="B1555" s="8">
        <v>45259.263114155096</v>
      </c>
      <c r="C1555" s="7" t="s">
        <v>65</v>
      </c>
      <c r="D1555" s="7">
        <v>5318.0</v>
      </c>
      <c r="E1555" s="25" t="s">
        <v>15</v>
      </c>
      <c r="F1555" s="7" t="s">
        <v>1957</v>
      </c>
      <c r="G1555" s="9" t="s">
        <v>4875</v>
      </c>
      <c r="H1555" s="7" t="s">
        <v>18</v>
      </c>
      <c r="I1555" s="7"/>
      <c r="J1555" s="7" t="s">
        <v>4876</v>
      </c>
      <c r="K1555" s="7"/>
      <c r="L1555" s="91" t="s">
        <v>20</v>
      </c>
      <c r="M1555" s="69">
        <v>45261.0</v>
      </c>
      <c r="N1555" s="77" t="str">
        <f t="shared" si="2"/>
        <v>novembro</v>
      </c>
    </row>
    <row r="1556">
      <c r="A1556" s="7" t="s">
        <v>4877</v>
      </c>
      <c r="B1556" s="8">
        <v>45259.34644292824</v>
      </c>
      <c r="C1556" s="7" t="s">
        <v>225</v>
      </c>
      <c r="D1556" s="7">
        <v>5365.0</v>
      </c>
      <c r="E1556" s="20" t="s">
        <v>226</v>
      </c>
      <c r="F1556" s="25" t="s">
        <v>61</v>
      </c>
      <c r="G1556" s="9">
        <v>320.0</v>
      </c>
      <c r="H1556" s="7" t="s">
        <v>1734</v>
      </c>
      <c r="I1556" s="7"/>
      <c r="J1556" s="7" t="s">
        <v>4878</v>
      </c>
      <c r="K1556" s="7" t="s">
        <v>4879</v>
      </c>
      <c r="L1556" s="91" t="s">
        <v>74</v>
      </c>
      <c r="M1556" s="69">
        <v>45259.0</v>
      </c>
      <c r="N1556" s="77" t="str">
        <f t="shared" si="2"/>
        <v>novembro</v>
      </c>
    </row>
    <row r="1557">
      <c r="A1557" s="7" t="s">
        <v>4880</v>
      </c>
      <c r="B1557" s="8">
        <v>45259.55068380787</v>
      </c>
      <c r="C1557" s="7" t="s">
        <v>1068</v>
      </c>
      <c r="D1557" s="7">
        <v>5311.0</v>
      </c>
      <c r="E1557" s="25" t="s">
        <v>251</v>
      </c>
      <c r="F1557" s="25" t="s">
        <v>100</v>
      </c>
      <c r="G1557" s="9" t="s">
        <v>1766</v>
      </c>
      <c r="H1557" s="7" t="s">
        <v>162</v>
      </c>
      <c r="I1557" s="7"/>
      <c r="J1557" s="7" t="s">
        <v>4881</v>
      </c>
      <c r="K1557" s="10"/>
      <c r="L1557" s="91" t="s">
        <v>20</v>
      </c>
      <c r="M1557" s="55">
        <v>45301.0</v>
      </c>
      <c r="N1557" s="77" t="str">
        <f t="shared" si="2"/>
        <v>novembro</v>
      </c>
    </row>
    <row r="1558">
      <c r="A1558" s="7" t="s">
        <v>4882</v>
      </c>
      <c r="B1558" s="8">
        <v>45259.58340341435</v>
      </c>
      <c r="C1558" s="7" t="s">
        <v>3938</v>
      </c>
      <c r="D1558" s="7">
        <v>5349.0</v>
      </c>
      <c r="E1558" s="25" t="s">
        <v>60</v>
      </c>
      <c r="F1558" s="25" t="s">
        <v>61</v>
      </c>
      <c r="G1558" s="9" t="s">
        <v>4883</v>
      </c>
      <c r="H1558" s="7" t="s">
        <v>162</v>
      </c>
      <c r="I1558" s="7"/>
      <c r="J1558" s="7" t="s">
        <v>4884</v>
      </c>
      <c r="K1558" s="7"/>
      <c r="L1558" s="91" t="s">
        <v>20</v>
      </c>
      <c r="M1558" s="69">
        <v>45260.0</v>
      </c>
      <c r="N1558" s="77" t="str">
        <f t="shared" si="2"/>
        <v>novembro</v>
      </c>
    </row>
    <row r="1559">
      <c r="A1559" s="7" t="s">
        <v>4885</v>
      </c>
      <c r="B1559" s="8">
        <v>45259.612132615744</v>
      </c>
      <c r="C1559" s="7" t="s">
        <v>2780</v>
      </c>
      <c r="D1559" s="7">
        <v>5335.0</v>
      </c>
      <c r="E1559" s="7" t="s">
        <v>674</v>
      </c>
      <c r="F1559" s="7" t="s">
        <v>82</v>
      </c>
      <c r="G1559" s="9" t="s">
        <v>3950</v>
      </c>
      <c r="H1559" s="7" t="s">
        <v>129</v>
      </c>
      <c r="I1559" s="7"/>
      <c r="J1559" s="7" t="s">
        <v>4886</v>
      </c>
      <c r="K1559" s="10"/>
      <c r="L1559" s="91" t="s">
        <v>3972</v>
      </c>
      <c r="M1559" s="69"/>
      <c r="N1559" s="77" t="str">
        <f t="shared" si="2"/>
        <v>novembro</v>
      </c>
    </row>
    <row r="1560">
      <c r="A1560" s="7" t="s">
        <v>4887</v>
      </c>
      <c r="B1560" s="8">
        <v>45259.62835290509</v>
      </c>
      <c r="C1560" s="7" t="s">
        <v>4888</v>
      </c>
      <c r="D1560" s="7">
        <v>9.8124024E8</v>
      </c>
      <c r="E1560" s="25" t="s">
        <v>251</v>
      </c>
      <c r="F1560" s="25" t="s">
        <v>100</v>
      </c>
      <c r="G1560" s="9" t="s">
        <v>4889</v>
      </c>
      <c r="H1560" s="7" t="s">
        <v>764</v>
      </c>
      <c r="I1560" s="7"/>
      <c r="J1560" s="7" t="s">
        <v>4890</v>
      </c>
      <c r="K1560" s="10" t="s">
        <v>4891</v>
      </c>
      <c r="L1560" s="91" t="s">
        <v>3972</v>
      </c>
      <c r="M1560" s="55"/>
      <c r="N1560" s="77" t="str">
        <f t="shared" si="2"/>
        <v>novembro</v>
      </c>
    </row>
    <row r="1561">
      <c r="A1561" s="7" t="s">
        <v>4892</v>
      </c>
      <c r="B1561" s="8">
        <v>45259.63561251157</v>
      </c>
      <c r="C1561" s="7" t="s">
        <v>339</v>
      </c>
      <c r="D1561" s="7">
        <v>7.7999477415E10</v>
      </c>
      <c r="E1561" s="25" t="s">
        <v>621</v>
      </c>
      <c r="F1561" s="25" t="s">
        <v>86</v>
      </c>
      <c r="G1561" s="9" t="s">
        <v>4893</v>
      </c>
      <c r="H1561" s="7" t="s">
        <v>79</v>
      </c>
      <c r="I1561" s="7"/>
      <c r="J1561" s="7" t="s">
        <v>4894</v>
      </c>
      <c r="K1561" s="7" t="s">
        <v>4895</v>
      </c>
      <c r="L1561" s="91" t="s">
        <v>74</v>
      </c>
      <c r="M1561" s="69">
        <v>45280.0</v>
      </c>
      <c r="N1561" s="77" t="str">
        <f t="shared" si="2"/>
        <v>novembro</v>
      </c>
    </row>
    <row r="1562">
      <c r="A1562" s="7" t="s">
        <v>4896</v>
      </c>
      <c r="B1562" s="8">
        <v>45259.64771554398</v>
      </c>
      <c r="C1562" s="7" t="s">
        <v>2780</v>
      </c>
      <c r="D1562" s="7">
        <v>5335.0</v>
      </c>
      <c r="E1562" s="7" t="s">
        <v>674</v>
      </c>
      <c r="F1562" s="7" t="s">
        <v>82</v>
      </c>
      <c r="G1562" s="9" t="s">
        <v>4897</v>
      </c>
      <c r="H1562" s="7" t="s">
        <v>129</v>
      </c>
      <c r="I1562" s="7"/>
      <c r="J1562" s="7" t="s">
        <v>4898</v>
      </c>
      <c r="K1562" s="10"/>
      <c r="L1562" s="91" t="s">
        <v>3650</v>
      </c>
      <c r="M1562" s="69"/>
      <c r="N1562" s="77" t="str">
        <f t="shared" si="2"/>
        <v>novembro</v>
      </c>
    </row>
    <row r="1563">
      <c r="A1563" s="7" t="s">
        <v>4899</v>
      </c>
      <c r="B1563" s="8">
        <v>45259.65316444445</v>
      </c>
      <c r="C1563" s="7" t="s">
        <v>273</v>
      </c>
      <c r="D1563" s="7" t="s">
        <v>2101</v>
      </c>
      <c r="E1563" s="7" t="s">
        <v>1097</v>
      </c>
      <c r="F1563" s="7" t="s">
        <v>16</v>
      </c>
      <c r="G1563" s="9" t="s">
        <v>4900</v>
      </c>
      <c r="H1563" s="7" t="s">
        <v>162</v>
      </c>
      <c r="I1563" s="7"/>
      <c r="J1563" s="7" t="s">
        <v>4901</v>
      </c>
      <c r="K1563" s="7"/>
      <c r="L1563" s="91" t="s">
        <v>20</v>
      </c>
      <c r="M1563" s="69">
        <v>45260.0</v>
      </c>
      <c r="N1563" s="77" t="str">
        <f t="shared" si="2"/>
        <v>novembro</v>
      </c>
    </row>
    <row r="1564">
      <c r="A1564" s="7" t="s">
        <v>4902</v>
      </c>
      <c r="B1564" s="8">
        <v>45259.67268898148</v>
      </c>
      <c r="C1564" s="7" t="s">
        <v>4540</v>
      </c>
      <c r="D1564" s="7">
        <v>5357.0</v>
      </c>
      <c r="E1564" s="20" t="s">
        <v>288</v>
      </c>
      <c r="F1564" s="7" t="s">
        <v>55</v>
      </c>
      <c r="G1564" s="9" t="s">
        <v>4903</v>
      </c>
      <c r="H1564" s="7" t="s">
        <v>1734</v>
      </c>
      <c r="I1564" s="7"/>
      <c r="J1564" s="7" t="s">
        <v>4904</v>
      </c>
      <c r="K1564" s="7"/>
      <c r="L1564" s="91" t="s">
        <v>20</v>
      </c>
      <c r="M1564" s="69">
        <v>45260.0</v>
      </c>
      <c r="N1564" s="77" t="str">
        <f t="shared" si="2"/>
        <v>novembro</v>
      </c>
    </row>
    <row r="1565">
      <c r="A1565" s="7" t="s">
        <v>4905</v>
      </c>
      <c r="B1565" s="8">
        <v>45259.69633068287</v>
      </c>
      <c r="C1565" s="7" t="s">
        <v>215</v>
      </c>
      <c r="D1565" s="7">
        <v>5333.0</v>
      </c>
      <c r="E1565" s="7" t="s">
        <v>41</v>
      </c>
      <c r="F1565" s="7" t="s">
        <v>42</v>
      </c>
      <c r="G1565" s="9" t="s">
        <v>4906</v>
      </c>
      <c r="H1565" s="7" t="s">
        <v>162</v>
      </c>
      <c r="I1565" s="7"/>
      <c r="J1565" s="7" t="s">
        <v>4907</v>
      </c>
      <c r="K1565" s="7"/>
      <c r="L1565" s="91" t="s">
        <v>20</v>
      </c>
      <c r="M1565" s="69">
        <v>45264.0</v>
      </c>
      <c r="N1565" s="77" t="str">
        <f t="shared" si="2"/>
        <v>novembro</v>
      </c>
    </row>
    <row r="1566">
      <c r="A1566" s="7" t="s">
        <v>4908</v>
      </c>
      <c r="B1566" s="8">
        <v>45260.32889916666</v>
      </c>
      <c r="C1566" s="7" t="s">
        <v>512</v>
      </c>
      <c r="D1566" s="7">
        <v>5340.0</v>
      </c>
      <c r="E1566" s="25" t="s">
        <v>70</v>
      </c>
      <c r="F1566" s="7" t="s">
        <v>142</v>
      </c>
      <c r="G1566" s="9" t="s">
        <v>4909</v>
      </c>
      <c r="H1566" s="7" t="s">
        <v>298</v>
      </c>
      <c r="I1566" s="7"/>
      <c r="J1566" s="7" t="s">
        <v>4910</v>
      </c>
      <c r="K1566" s="7"/>
      <c r="L1566" s="91" t="s">
        <v>20</v>
      </c>
      <c r="M1566" s="69">
        <v>45260.0</v>
      </c>
      <c r="N1566" s="77" t="str">
        <f t="shared" si="2"/>
        <v>novembro</v>
      </c>
    </row>
    <row r="1567">
      <c r="A1567" s="7" t="s">
        <v>4911</v>
      </c>
      <c r="B1567" s="8">
        <v>45260.329609513894</v>
      </c>
      <c r="C1567" s="7" t="s">
        <v>3665</v>
      </c>
      <c r="D1567" s="7">
        <v>5340.0</v>
      </c>
      <c r="E1567" s="25" t="s">
        <v>70</v>
      </c>
      <c r="F1567" s="7" t="s">
        <v>1957</v>
      </c>
      <c r="G1567" s="9" t="s">
        <v>4912</v>
      </c>
      <c r="H1567" s="7" t="s">
        <v>162</v>
      </c>
      <c r="I1567" s="7"/>
      <c r="J1567" s="7" t="s">
        <v>4913</v>
      </c>
      <c r="K1567" s="7"/>
      <c r="L1567" s="91" t="s">
        <v>20</v>
      </c>
      <c r="M1567" s="69">
        <v>45268.0</v>
      </c>
      <c r="N1567" s="77" t="str">
        <f t="shared" si="2"/>
        <v>novembro</v>
      </c>
    </row>
    <row r="1568">
      <c r="A1568" s="7" t="s">
        <v>4914</v>
      </c>
      <c r="B1568" s="8">
        <v>45260.33210630787</v>
      </c>
      <c r="C1568" s="7" t="s">
        <v>3665</v>
      </c>
      <c r="D1568" s="7">
        <v>5340.0</v>
      </c>
      <c r="E1568" s="25" t="s">
        <v>70</v>
      </c>
      <c r="F1568" s="7" t="s">
        <v>55</v>
      </c>
      <c r="G1568" s="9" t="s">
        <v>4915</v>
      </c>
      <c r="H1568" s="7" t="s">
        <v>1734</v>
      </c>
      <c r="I1568" s="7"/>
      <c r="J1568" s="7" t="s">
        <v>4916</v>
      </c>
      <c r="K1568" s="7"/>
      <c r="L1568" s="91" t="s">
        <v>20</v>
      </c>
      <c r="M1568" s="69">
        <v>45260.0</v>
      </c>
      <c r="N1568" s="77" t="str">
        <f t="shared" si="2"/>
        <v>novembro</v>
      </c>
    </row>
    <row r="1569">
      <c r="A1569" s="7" t="s">
        <v>4917</v>
      </c>
      <c r="B1569" s="8">
        <v>45260.34353806713</v>
      </c>
      <c r="C1569" s="7" t="s">
        <v>3665</v>
      </c>
      <c r="D1569" s="7">
        <v>5340.0</v>
      </c>
      <c r="E1569" s="25" t="s">
        <v>70</v>
      </c>
      <c r="F1569" s="7" t="s">
        <v>1957</v>
      </c>
      <c r="G1569" s="9" t="s">
        <v>4918</v>
      </c>
      <c r="H1569" s="7" t="s">
        <v>79</v>
      </c>
      <c r="I1569" s="7"/>
      <c r="J1569" s="7" t="s">
        <v>4919</v>
      </c>
      <c r="K1569" s="10"/>
      <c r="L1569" s="91" t="s">
        <v>20</v>
      </c>
      <c r="M1569" s="69">
        <v>45286.0</v>
      </c>
      <c r="N1569" s="77" t="str">
        <f t="shared" si="2"/>
        <v>novembro</v>
      </c>
    </row>
    <row r="1570">
      <c r="A1570" s="7" t="s">
        <v>4920</v>
      </c>
      <c r="B1570" s="8">
        <v>45260.39345472222</v>
      </c>
      <c r="C1570" s="7" t="s">
        <v>512</v>
      </c>
      <c r="D1570" s="7">
        <v>5340.0</v>
      </c>
      <c r="E1570" s="25" t="s">
        <v>70</v>
      </c>
      <c r="F1570" s="7" t="s">
        <v>82</v>
      </c>
      <c r="G1570" s="9" t="s">
        <v>3974</v>
      </c>
      <c r="H1570" s="7" t="s">
        <v>79</v>
      </c>
      <c r="I1570" s="7"/>
      <c r="J1570" s="7" t="s">
        <v>4921</v>
      </c>
      <c r="K1570" s="7"/>
      <c r="L1570" s="91" t="s">
        <v>20</v>
      </c>
      <c r="M1570" s="69">
        <v>45260.0</v>
      </c>
      <c r="N1570" s="77" t="str">
        <f t="shared" si="2"/>
        <v>novembro</v>
      </c>
    </row>
    <row r="1571">
      <c r="A1571" s="7" t="s">
        <v>4922</v>
      </c>
      <c r="B1571" s="8">
        <v>45260.40075052083</v>
      </c>
      <c r="C1571" s="7" t="s">
        <v>1272</v>
      </c>
      <c r="D1571" s="7">
        <v>5360.0</v>
      </c>
      <c r="E1571" s="7" t="s">
        <v>371</v>
      </c>
      <c r="F1571" s="7" t="s">
        <v>49</v>
      </c>
      <c r="G1571" s="9" t="s">
        <v>4923</v>
      </c>
      <c r="H1571" s="7" t="s">
        <v>764</v>
      </c>
      <c r="I1571" s="7"/>
      <c r="J1571" s="7" t="s">
        <v>4924</v>
      </c>
      <c r="K1571" s="7"/>
      <c r="L1571" s="91" t="s">
        <v>20</v>
      </c>
      <c r="M1571" s="69">
        <v>45264.0</v>
      </c>
      <c r="N1571" s="77" t="str">
        <f t="shared" si="2"/>
        <v>novembro</v>
      </c>
    </row>
    <row r="1572">
      <c r="A1572" s="7" t="s">
        <v>4925</v>
      </c>
      <c r="B1572" s="8">
        <v>45260.47383931713</v>
      </c>
      <c r="C1572" s="7" t="s">
        <v>512</v>
      </c>
      <c r="D1572" s="7">
        <v>5340.0</v>
      </c>
      <c r="E1572" s="25" t="s">
        <v>70</v>
      </c>
      <c r="F1572" s="7" t="s">
        <v>35</v>
      </c>
      <c r="G1572" s="9" t="s">
        <v>4926</v>
      </c>
      <c r="H1572" s="7" t="s">
        <v>79</v>
      </c>
      <c r="I1572" s="7"/>
      <c r="J1572" s="7" t="s">
        <v>4927</v>
      </c>
      <c r="K1572" s="7"/>
      <c r="L1572" s="91" t="s">
        <v>20</v>
      </c>
      <c r="M1572" s="69">
        <v>45260.0</v>
      </c>
      <c r="N1572" s="77" t="str">
        <f t="shared" si="2"/>
        <v>novembro</v>
      </c>
    </row>
    <row r="1573">
      <c r="A1573" s="7" t="s">
        <v>4928</v>
      </c>
      <c r="B1573" s="8">
        <v>45260.49319841435</v>
      </c>
      <c r="C1573" s="7" t="s">
        <v>4929</v>
      </c>
      <c r="D1573" s="7">
        <v>5345.0</v>
      </c>
      <c r="E1573" s="7" t="s">
        <v>4930</v>
      </c>
      <c r="F1573" s="7" t="s">
        <v>82</v>
      </c>
      <c r="G1573" s="9" t="s">
        <v>4600</v>
      </c>
      <c r="H1573" s="7" t="s">
        <v>1734</v>
      </c>
      <c r="I1573" s="7"/>
      <c r="J1573" s="7" t="s">
        <v>4931</v>
      </c>
      <c r="K1573" s="7"/>
      <c r="L1573" s="91" t="s">
        <v>20</v>
      </c>
      <c r="M1573" s="69">
        <v>45280.0</v>
      </c>
      <c r="N1573" s="77" t="str">
        <f t="shared" si="2"/>
        <v>novembro</v>
      </c>
    </row>
    <row r="1574">
      <c r="A1574" s="7" t="s">
        <v>4932</v>
      </c>
      <c r="B1574" s="8">
        <v>45260.5826959838</v>
      </c>
      <c r="C1574" s="7" t="s">
        <v>3665</v>
      </c>
      <c r="D1574" s="7">
        <v>5340.0</v>
      </c>
      <c r="E1574" s="25" t="s">
        <v>70</v>
      </c>
      <c r="F1574" s="7" t="s">
        <v>1957</v>
      </c>
      <c r="G1574" s="9" t="s">
        <v>4933</v>
      </c>
      <c r="H1574" s="7" t="s">
        <v>79</v>
      </c>
      <c r="I1574" s="7"/>
      <c r="J1574" s="7" t="s">
        <v>4934</v>
      </c>
      <c r="K1574" s="7"/>
      <c r="L1574" s="91" t="s">
        <v>20</v>
      </c>
      <c r="M1574" s="69">
        <v>45261.0</v>
      </c>
      <c r="N1574" s="77" t="str">
        <f t="shared" si="2"/>
        <v>novembro</v>
      </c>
    </row>
    <row r="1575">
      <c r="A1575" s="7" t="s">
        <v>4935</v>
      </c>
      <c r="B1575" s="8">
        <v>45260.64579085648</v>
      </c>
      <c r="C1575" s="7" t="s">
        <v>138</v>
      </c>
      <c r="D1575" s="7">
        <v>5318.0</v>
      </c>
      <c r="E1575" s="25" t="s">
        <v>15</v>
      </c>
      <c r="F1575" s="7" t="s">
        <v>49</v>
      </c>
      <c r="G1575" s="9" t="s">
        <v>4936</v>
      </c>
      <c r="H1575" s="7" t="s">
        <v>18</v>
      </c>
      <c r="I1575" s="7"/>
      <c r="J1575" s="7" t="s">
        <v>4937</v>
      </c>
      <c r="K1575" s="7"/>
      <c r="L1575" s="91" t="s">
        <v>20</v>
      </c>
      <c r="M1575" s="69">
        <v>45260.0</v>
      </c>
      <c r="N1575" s="77" t="str">
        <f t="shared" si="2"/>
        <v>novembro</v>
      </c>
    </row>
    <row r="1576">
      <c r="A1576" s="7" t="s">
        <v>4938</v>
      </c>
      <c r="B1576" s="8">
        <v>45260.66525064815</v>
      </c>
      <c r="C1576" s="7" t="s">
        <v>4939</v>
      </c>
      <c r="D1576" s="89" t="s">
        <v>959</v>
      </c>
      <c r="E1576" s="25" t="s">
        <v>195</v>
      </c>
      <c r="F1576" s="7" t="s">
        <v>35</v>
      </c>
      <c r="G1576" s="9" t="s">
        <v>4940</v>
      </c>
      <c r="H1576" s="7" t="s">
        <v>79</v>
      </c>
      <c r="I1576" s="7"/>
      <c r="J1576" s="7" t="s">
        <v>4941</v>
      </c>
      <c r="K1576" s="7"/>
      <c r="L1576" s="91" t="s">
        <v>20</v>
      </c>
      <c r="M1576" s="69">
        <v>45272.0</v>
      </c>
      <c r="N1576" s="77" t="str">
        <f t="shared" si="2"/>
        <v>novembro</v>
      </c>
    </row>
    <row r="1577">
      <c r="A1577" s="7" t="s">
        <v>4942</v>
      </c>
      <c r="B1577" s="8">
        <v>45260.86025585648</v>
      </c>
      <c r="C1577" s="7" t="s">
        <v>522</v>
      </c>
      <c r="D1577" s="7">
        <v>5333.0</v>
      </c>
      <c r="E1577" s="7" t="s">
        <v>41</v>
      </c>
      <c r="F1577" s="7" t="s">
        <v>42</v>
      </c>
      <c r="G1577" s="9" t="s">
        <v>2118</v>
      </c>
      <c r="H1577" s="7" t="s">
        <v>18</v>
      </c>
      <c r="I1577" s="7"/>
      <c r="J1577" s="7" t="s">
        <v>4943</v>
      </c>
      <c r="K1577" s="7"/>
      <c r="L1577" s="91" t="s">
        <v>20</v>
      </c>
      <c r="M1577" s="69">
        <v>45264.0</v>
      </c>
      <c r="N1577" s="77" t="str">
        <f t="shared" si="2"/>
        <v>novembro</v>
      </c>
    </row>
    <row r="1578">
      <c r="A1578" s="7" t="s">
        <v>4944</v>
      </c>
      <c r="B1578" s="8">
        <v>45261.4520752199</v>
      </c>
      <c r="C1578" s="7" t="s">
        <v>4353</v>
      </c>
      <c r="D1578" s="7">
        <v>5333.0</v>
      </c>
      <c r="E1578" s="7" t="s">
        <v>41</v>
      </c>
      <c r="F1578" s="7" t="s">
        <v>42</v>
      </c>
      <c r="G1578" s="9" t="s">
        <v>837</v>
      </c>
      <c r="H1578" s="7" t="s">
        <v>162</v>
      </c>
      <c r="I1578" s="7"/>
      <c r="J1578" s="7" t="s">
        <v>4945</v>
      </c>
      <c r="K1578" s="7"/>
      <c r="L1578" s="91" t="s">
        <v>20</v>
      </c>
      <c r="M1578" s="69">
        <v>45264.0</v>
      </c>
      <c r="N1578" s="77" t="str">
        <f t="shared" si="2"/>
        <v>dezembro</v>
      </c>
    </row>
    <row r="1579">
      <c r="A1579" s="7" t="s">
        <v>4946</v>
      </c>
      <c r="B1579" s="8">
        <v>45261.64268503472</v>
      </c>
      <c r="C1579" s="7" t="s">
        <v>512</v>
      </c>
      <c r="D1579" s="7">
        <v>5340.0</v>
      </c>
      <c r="E1579" s="25" t="s">
        <v>70</v>
      </c>
      <c r="F1579" s="25" t="s">
        <v>86</v>
      </c>
      <c r="G1579" s="9" t="s">
        <v>2084</v>
      </c>
      <c r="H1579" s="7" t="s">
        <v>129</v>
      </c>
      <c r="I1579" s="7"/>
      <c r="J1579" s="7" t="s">
        <v>4947</v>
      </c>
      <c r="K1579" s="7" t="s">
        <v>4948</v>
      </c>
      <c r="L1579" s="91" t="s">
        <v>74</v>
      </c>
      <c r="M1579" s="69">
        <v>45260.0</v>
      </c>
      <c r="N1579" s="77" t="str">
        <f t="shared" si="2"/>
        <v>dezembro</v>
      </c>
    </row>
    <row r="1580">
      <c r="A1580" s="7" t="s">
        <v>4949</v>
      </c>
      <c r="B1580" s="8">
        <v>45261.773409120375</v>
      </c>
      <c r="C1580" s="7" t="s">
        <v>215</v>
      </c>
      <c r="D1580" s="7">
        <v>5333.0</v>
      </c>
      <c r="E1580" s="7" t="s">
        <v>41</v>
      </c>
      <c r="F1580" s="7" t="s">
        <v>42</v>
      </c>
      <c r="G1580" s="9" t="s">
        <v>1906</v>
      </c>
      <c r="H1580" s="7" t="s">
        <v>1734</v>
      </c>
      <c r="I1580" s="7"/>
      <c r="J1580" s="7" t="s">
        <v>4950</v>
      </c>
      <c r="K1580" s="10"/>
      <c r="L1580" s="91" t="s">
        <v>20</v>
      </c>
      <c r="M1580" s="69">
        <v>45630.0</v>
      </c>
      <c r="N1580" s="77" t="str">
        <f t="shared" si="2"/>
        <v>dezembro</v>
      </c>
    </row>
    <row r="1581">
      <c r="A1581" s="7" t="s">
        <v>4951</v>
      </c>
      <c r="B1581" s="8">
        <v>45261.790260752314</v>
      </c>
      <c r="C1581" s="7" t="s">
        <v>215</v>
      </c>
      <c r="D1581" s="7">
        <v>5333.0</v>
      </c>
      <c r="E1581" s="7" t="s">
        <v>41</v>
      </c>
      <c r="F1581" s="7" t="s">
        <v>42</v>
      </c>
      <c r="G1581" s="9" t="s">
        <v>670</v>
      </c>
      <c r="H1581" s="7" t="s">
        <v>764</v>
      </c>
      <c r="I1581" s="7"/>
      <c r="J1581" s="7" t="s">
        <v>4952</v>
      </c>
      <c r="K1581" s="7"/>
      <c r="L1581" s="91" t="s">
        <v>20</v>
      </c>
      <c r="M1581" s="69">
        <v>45264.0</v>
      </c>
      <c r="N1581" s="77" t="str">
        <f t="shared" si="2"/>
        <v>dezembro</v>
      </c>
    </row>
    <row r="1582">
      <c r="A1582" s="7" t="s">
        <v>4953</v>
      </c>
      <c r="B1582" s="8">
        <v>45262.70845424768</v>
      </c>
      <c r="C1582" s="7" t="s">
        <v>138</v>
      </c>
      <c r="D1582" s="7">
        <v>5318.0</v>
      </c>
      <c r="E1582" s="25" t="s">
        <v>15</v>
      </c>
      <c r="F1582" s="25" t="s">
        <v>86</v>
      </c>
      <c r="G1582" s="9" t="s">
        <v>1919</v>
      </c>
      <c r="H1582" s="7" t="s">
        <v>18</v>
      </c>
      <c r="I1582" s="7"/>
      <c r="J1582" s="7" t="s">
        <v>3527</v>
      </c>
      <c r="K1582" s="7"/>
      <c r="L1582" s="91" t="s">
        <v>20</v>
      </c>
      <c r="M1582" s="69">
        <v>45264.0</v>
      </c>
      <c r="N1582" s="77" t="str">
        <f t="shared" si="2"/>
        <v>dezembro</v>
      </c>
    </row>
    <row r="1583">
      <c r="A1583" s="7" t="s">
        <v>4954</v>
      </c>
      <c r="B1583" s="8">
        <v>45262.70981344907</v>
      </c>
      <c r="C1583" s="7" t="s">
        <v>138</v>
      </c>
      <c r="D1583" s="7">
        <v>5318.0</v>
      </c>
      <c r="E1583" s="25" t="s">
        <v>15</v>
      </c>
      <c r="F1583" s="7" t="s">
        <v>347</v>
      </c>
      <c r="G1583" s="9" t="s">
        <v>4955</v>
      </c>
      <c r="H1583" s="7" t="s">
        <v>18</v>
      </c>
      <c r="I1583" s="7"/>
      <c r="J1583" s="7" t="s">
        <v>4956</v>
      </c>
      <c r="K1583" s="7"/>
      <c r="L1583" s="91" t="s">
        <v>20</v>
      </c>
      <c r="M1583" s="69">
        <v>45264.0</v>
      </c>
      <c r="N1583" s="77" t="str">
        <f t="shared" si="2"/>
        <v>dezembro</v>
      </c>
    </row>
    <row r="1584">
      <c r="A1584" s="7" t="s">
        <v>4957</v>
      </c>
      <c r="B1584" s="8">
        <v>45264.3120596875</v>
      </c>
      <c r="C1584" s="7" t="s">
        <v>4353</v>
      </c>
      <c r="D1584" s="7">
        <v>5333.0</v>
      </c>
      <c r="E1584" s="7" t="s">
        <v>41</v>
      </c>
      <c r="F1584" s="7" t="s">
        <v>42</v>
      </c>
      <c r="G1584" s="9" t="s">
        <v>1051</v>
      </c>
      <c r="H1584" s="7" t="s">
        <v>162</v>
      </c>
      <c r="I1584" s="7"/>
      <c r="J1584" s="7" t="s">
        <v>4958</v>
      </c>
      <c r="K1584" s="10"/>
      <c r="L1584" s="91" t="s">
        <v>20</v>
      </c>
      <c r="M1584" s="69">
        <v>45630.0</v>
      </c>
      <c r="N1584" s="77" t="str">
        <f t="shared" si="2"/>
        <v>dezembro</v>
      </c>
    </row>
    <row r="1585">
      <c r="A1585" s="7" t="s">
        <v>4959</v>
      </c>
      <c r="B1585" s="8">
        <v>45264.31542378472</v>
      </c>
      <c r="C1585" s="7" t="s">
        <v>4353</v>
      </c>
      <c r="D1585" s="7">
        <v>5333.0</v>
      </c>
      <c r="E1585" s="7" t="s">
        <v>41</v>
      </c>
      <c r="F1585" s="7" t="s">
        <v>42</v>
      </c>
      <c r="G1585" s="9" t="s">
        <v>4401</v>
      </c>
      <c r="H1585" s="7" t="s">
        <v>162</v>
      </c>
      <c r="I1585" s="7"/>
      <c r="J1585" s="7" t="s">
        <v>4960</v>
      </c>
      <c r="K1585" s="10"/>
      <c r="L1585" s="91" t="s">
        <v>20</v>
      </c>
      <c r="M1585" s="69">
        <v>45630.0</v>
      </c>
      <c r="N1585" s="77" t="str">
        <f t="shared" si="2"/>
        <v>dezembro</v>
      </c>
    </row>
    <row r="1586">
      <c r="A1586" s="7" t="s">
        <v>4961</v>
      </c>
      <c r="B1586" s="8">
        <v>45264.3189102662</v>
      </c>
      <c r="C1586" s="7" t="s">
        <v>4353</v>
      </c>
      <c r="D1586" s="7">
        <v>5333.0</v>
      </c>
      <c r="E1586" s="7" t="s">
        <v>41</v>
      </c>
      <c r="F1586" s="7" t="s">
        <v>42</v>
      </c>
      <c r="G1586" s="9" t="s">
        <v>4184</v>
      </c>
      <c r="H1586" s="7" t="s">
        <v>162</v>
      </c>
      <c r="I1586" s="7"/>
      <c r="J1586" s="7" t="s">
        <v>4962</v>
      </c>
      <c r="K1586" s="10"/>
      <c r="L1586" s="91" t="s">
        <v>20</v>
      </c>
      <c r="M1586" s="69">
        <v>45341.0</v>
      </c>
      <c r="N1586" s="77" t="str">
        <f t="shared" si="2"/>
        <v>dezembro</v>
      </c>
    </row>
    <row r="1587">
      <c r="A1587" s="7" t="s">
        <v>4963</v>
      </c>
      <c r="B1587" s="8">
        <v>45264.32295255787</v>
      </c>
      <c r="C1587" s="7" t="s">
        <v>4353</v>
      </c>
      <c r="D1587" s="7">
        <v>5333.0</v>
      </c>
      <c r="E1587" s="7" t="s">
        <v>41</v>
      </c>
      <c r="F1587" s="7" t="s">
        <v>42</v>
      </c>
      <c r="G1587" s="9" t="s">
        <v>212</v>
      </c>
      <c r="H1587" s="7" t="s">
        <v>162</v>
      </c>
      <c r="I1587" s="7"/>
      <c r="J1587" s="7" t="s">
        <v>4964</v>
      </c>
      <c r="K1587" s="7"/>
      <c r="L1587" s="91" t="s">
        <v>20</v>
      </c>
      <c r="M1587" s="69">
        <v>45264.0</v>
      </c>
      <c r="N1587" s="77" t="str">
        <f t="shared" si="2"/>
        <v>dezembro</v>
      </c>
    </row>
    <row r="1588">
      <c r="A1588" s="7" t="s">
        <v>4965</v>
      </c>
      <c r="B1588" s="8">
        <v>45264.324803553245</v>
      </c>
      <c r="C1588" s="7" t="s">
        <v>4353</v>
      </c>
      <c r="D1588" s="7">
        <v>5333.0</v>
      </c>
      <c r="E1588" s="7" t="s">
        <v>41</v>
      </c>
      <c r="F1588" s="7" t="s">
        <v>42</v>
      </c>
      <c r="G1588" s="9" t="s">
        <v>3429</v>
      </c>
      <c r="H1588" s="7" t="s">
        <v>764</v>
      </c>
      <c r="I1588" s="7"/>
      <c r="J1588" s="7" t="s">
        <v>4966</v>
      </c>
      <c r="K1588" s="7"/>
      <c r="L1588" s="91" t="s">
        <v>74</v>
      </c>
      <c r="M1588" s="69">
        <v>45264.0</v>
      </c>
      <c r="N1588" s="77" t="str">
        <f t="shared" si="2"/>
        <v>dezembro</v>
      </c>
    </row>
    <row r="1589">
      <c r="A1589" s="7" t="s">
        <v>4967</v>
      </c>
      <c r="B1589" s="8">
        <v>45264.328098136575</v>
      </c>
      <c r="C1589" s="7" t="s">
        <v>4353</v>
      </c>
      <c r="D1589" s="7">
        <v>5333.0</v>
      </c>
      <c r="E1589" s="7" t="s">
        <v>41</v>
      </c>
      <c r="F1589" s="7" t="s">
        <v>42</v>
      </c>
      <c r="G1589" s="9" t="s">
        <v>3429</v>
      </c>
      <c r="H1589" s="7" t="s">
        <v>79</v>
      </c>
      <c r="I1589" s="7"/>
      <c r="J1589" s="7" t="s">
        <v>4968</v>
      </c>
      <c r="K1589" s="10"/>
      <c r="L1589" s="91" t="s">
        <v>20</v>
      </c>
      <c r="M1589" s="69">
        <v>45630.0</v>
      </c>
      <c r="N1589" s="77" t="str">
        <f t="shared" si="2"/>
        <v>dezembro</v>
      </c>
    </row>
    <row r="1590">
      <c r="A1590" s="7" t="s">
        <v>4969</v>
      </c>
      <c r="B1590" s="8">
        <v>45264.344355023146</v>
      </c>
      <c r="C1590" s="7" t="s">
        <v>4353</v>
      </c>
      <c r="D1590" s="7">
        <v>5333.0</v>
      </c>
      <c r="E1590" s="7" t="s">
        <v>41</v>
      </c>
      <c r="F1590" s="7" t="s">
        <v>42</v>
      </c>
      <c r="G1590" s="9" t="s">
        <v>1020</v>
      </c>
      <c r="H1590" s="7" t="s">
        <v>162</v>
      </c>
      <c r="I1590" s="7"/>
      <c r="J1590" s="7" t="s">
        <v>4970</v>
      </c>
      <c r="K1590" s="7"/>
      <c r="L1590" s="91" t="s">
        <v>20</v>
      </c>
      <c r="M1590" s="69">
        <v>45264.0</v>
      </c>
      <c r="N1590" s="77" t="str">
        <f t="shared" si="2"/>
        <v>dezembro</v>
      </c>
    </row>
    <row r="1591">
      <c r="A1591" s="7" t="s">
        <v>4971</v>
      </c>
      <c r="B1591" s="8">
        <v>45264.46320508102</v>
      </c>
      <c r="C1591" s="7" t="s">
        <v>138</v>
      </c>
      <c r="D1591" s="7">
        <v>5318.0</v>
      </c>
      <c r="E1591" s="25" t="s">
        <v>15</v>
      </c>
      <c r="F1591" s="7" t="s">
        <v>77</v>
      </c>
      <c r="G1591" s="9" t="s">
        <v>1919</v>
      </c>
      <c r="H1591" s="7" t="s">
        <v>18</v>
      </c>
      <c r="I1591" s="7"/>
      <c r="J1591" s="7" t="s">
        <v>4972</v>
      </c>
      <c r="K1591" s="7"/>
      <c r="L1591" s="91" t="s">
        <v>20</v>
      </c>
      <c r="M1591" s="69">
        <v>45275.0</v>
      </c>
      <c r="N1591" s="77" t="str">
        <f t="shared" si="2"/>
        <v>dezembro</v>
      </c>
    </row>
    <row r="1592">
      <c r="A1592" s="7" t="s">
        <v>4973</v>
      </c>
      <c r="B1592" s="8">
        <v>45264.46416722222</v>
      </c>
      <c r="C1592" s="7" t="s">
        <v>138</v>
      </c>
      <c r="D1592" s="7">
        <v>5318.0</v>
      </c>
      <c r="E1592" s="25" t="s">
        <v>15</v>
      </c>
      <c r="F1592" s="25" t="s">
        <v>86</v>
      </c>
      <c r="G1592" s="9" t="s">
        <v>1742</v>
      </c>
      <c r="H1592" s="7" t="s">
        <v>18</v>
      </c>
      <c r="I1592" s="7"/>
      <c r="J1592" s="7" t="s">
        <v>3527</v>
      </c>
      <c r="K1592" s="7"/>
      <c r="L1592" s="91" t="s">
        <v>20</v>
      </c>
      <c r="M1592" s="69">
        <v>45268.0</v>
      </c>
      <c r="N1592" s="77" t="str">
        <f t="shared" si="2"/>
        <v>dezembro</v>
      </c>
    </row>
    <row r="1593">
      <c r="A1593" s="7" t="s">
        <v>4974</v>
      </c>
      <c r="B1593" s="8">
        <v>45264.50284303241</v>
      </c>
      <c r="C1593" s="7" t="s">
        <v>4353</v>
      </c>
      <c r="D1593" s="7">
        <v>5333.0</v>
      </c>
      <c r="E1593" s="7" t="s">
        <v>41</v>
      </c>
      <c r="F1593" s="7" t="s">
        <v>42</v>
      </c>
      <c r="G1593" s="9" t="s">
        <v>3223</v>
      </c>
      <c r="H1593" s="7" t="s">
        <v>162</v>
      </c>
      <c r="I1593" s="7"/>
      <c r="J1593" s="7" t="s">
        <v>4975</v>
      </c>
      <c r="K1593" s="7"/>
      <c r="L1593" s="91" t="s">
        <v>20</v>
      </c>
      <c r="M1593" s="69">
        <v>45273.0</v>
      </c>
      <c r="N1593" s="77" t="str">
        <f t="shared" si="2"/>
        <v>dezembro</v>
      </c>
    </row>
    <row r="1594">
      <c r="A1594" s="7" t="s">
        <v>4976</v>
      </c>
      <c r="B1594" s="8">
        <v>45264.56393429398</v>
      </c>
      <c r="C1594" s="7" t="s">
        <v>512</v>
      </c>
      <c r="D1594" s="7">
        <v>5340.0</v>
      </c>
      <c r="E1594" s="25" t="s">
        <v>70</v>
      </c>
      <c r="F1594" s="7" t="s">
        <v>77</v>
      </c>
      <c r="G1594" s="9" t="s">
        <v>3730</v>
      </c>
      <c r="H1594" s="7" t="s">
        <v>162</v>
      </c>
      <c r="I1594" s="7"/>
      <c r="J1594" s="7" t="s">
        <v>4977</v>
      </c>
      <c r="K1594" s="7"/>
      <c r="L1594" s="91" t="s">
        <v>20</v>
      </c>
      <c r="M1594" s="69">
        <v>45264.0</v>
      </c>
      <c r="N1594" s="77" t="str">
        <f t="shared" si="2"/>
        <v>dezembro</v>
      </c>
    </row>
    <row r="1595">
      <c r="A1595" s="7" t="s">
        <v>4978</v>
      </c>
      <c r="B1595" s="8">
        <v>45264.58469952546</v>
      </c>
      <c r="C1595" s="7" t="s">
        <v>3857</v>
      </c>
      <c r="D1595" s="7">
        <v>5323.0</v>
      </c>
      <c r="E1595" s="20" t="s">
        <v>226</v>
      </c>
      <c r="F1595" s="25" t="s">
        <v>61</v>
      </c>
      <c r="G1595" s="9" t="s">
        <v>4979</v>
      </c>
      <c r="H1595" s="7" t="s">
        <v>79</v>
      </c>
      <c r="I1595" s="7"/>
      <c r="J1595" s="7" t="s">
        <v>4980</v>
      </c>
      <c r="K1595" s="7"/>
      <c r="L1595" s="91" t="s">
        <v>20</v>
      </c>
      <c r="M1595" s="69">
        <v>45265.0</v>
      </c>
      <c r="N1595" s="77" t="str">
        <f t="shared" si="2"/>
        <v>dezembro</v>
      </c>
    </row>
    <row r="1596">
      <c r="A1596" s="7" t="s">
        <v>4981</v>
      </c>
      <c r="B1596" s="8">
        <v>45264.608387361106</v>
      </c>
      <c r="C1596" s="7" t="s">
        <v>266</v>
      </c>
      <c r="D1596" s="7">
        <v>5343.0</v>
      </c>
      <c r="E1596" s="7" t="s">
        <v>987</v>
      </c>
      <c r="F1596" s="7" t="s">
        <v>2814</v>
      </c>
      <c r="G1596" s="9" t="s">
        <v>850</v>
      </c>
      <c r="H1596" s="7" t="s">
        <v>18</v>
      </c>
      <c r="I1596" s="7"/>
      <c r="J1596" s="7" t="s">
        <v>4982</v>
      </c>
      <c r="K1596" s="7"/>
      <c r="L1596" s="91" t="s">
        <v>20</v>
      </c>
      <c r="M1596" s="69">
        <v>45268.0</v>
      </c>
      <c r="N1596" s="77" t="str">
        <f t="shared" si="2"/>
        <v>dezembro</v>
      </c>
    </row>
    <row r="1597">
      <c r="A1597" s="7" t="s">
        <v>4983</v>
      </c>
      <c r="B1597" s="8">
        <v>45264.6185778125</v>
      </c>
      <c r="C1597" s="7" t="s">
        <v>512</v>
      </c>
      <c r="D1597" s="7">
        <v>5340.0</v>
      </c>
      <c r="E1597" s="25" t="s">
        <v>70</v>
      </c>
      <c r="F1597" s="25" t="s">
        <v>86</v>
      </c>
      <c r="G1597" s="9" t="s">
        <v>4984</v>
      </c>
      <c r="H1597" s="7" t="s">
        <v>79</v>
      </c>
      <c r="I1597" s="7"/>
      <c r="J1597" s="7" t="s">
        <v>4985</v>
      </c>
      <c r="K1597" s="7"/>
      <c r="L1597" s="91" t="s">
        <v>20</v>
      </c>
      <c r="M1597" s="69">
        <v>45268.0</v>
      </c>
      <c r="N1597" s="77" t="str">
        <f t="shared" si="2"/>
        <v>dezembro</v>
      </c>
    </row>
    <row r="1598">
      <c r="A1598" s="7" t="s">
        <v>4986</v>
      </c>
      <c r="B1598" s="8">
        <v>45264.61938777778</v>
      </c>
      <c r="C1598" s="7" t="s">
        <v>512</v>
      </c>
      <c r="D1598" s="7">
        <v>5340.0</v>
      </c>
      <c r="E1598" s="25" t="s">
        <v>70</v>
      </c>
      <c r="F1598" s="25" t="s">
        <v>100</v>
      </c>
      <c r="G1598" s="9" t="s">
        <v>684</v>
      </c>
      <c r="H1598" s="7" t="s">
        <v>79</v>
      </c>
      <c r="I1598" s="7"/>
      <c r="J1598" s="7" t="s">
        <v>4987</v>
      </c>
      <c r="K1598" s="7"/>
      <c r="L1598" s="91" t="s">
        <v>20</v>
      </c>
      <c r="M1598" s="69">
        <v>45268.0</v>
      </c>
      <c r="N1598" s="77" t="str">
        <f t="shared" si="2"/>
        <v>dezembro</v>
      </c>
    </row>
    <row r="1599">
      <c r="A1599" s="7" t="s">
        <v>4988</v>
      </c>
      <c r="B1599" s="8">
        <v>45264.74590425926</v>
      </c>
      <c r="C1599" s="7" t="s">
        <v>4353</v>
      </c>
      <c r="D1599" s="7">
        <v>5333.0</v>
      </c>
      <c r="E1599" s="7" t="s">
        <v>41</v>
      </c>
      <c r="F1599" s="7" t="s">
        <v>42</v>
      </c>
      <c r="G1599" s="9" t="s">
        <v>1359</v>
      </c>
      <c r="H1599" s="7" t="s">
        <v>162</v>
      </c>
      <c r="I1599" s="7"/>
      <c r="J1599" s="7" t="s">
        <v>4989</v>
      </c>
      <c r="K1599" s="7"/>
      <c r="L1599" s="91" t="s">
        <v>20</v>
      </c>
      <c r="M1599" s="69">
        <v>45273.0</v>
      </c>
      <c r="N1599" s="77" t="str">
        <f t="shared" si="2"/>
        <v>dezembro</v>
      </c>
    </row>
    <row r="1600">
      <c r="A1600" s="7" t="s">
        <v>4990</v>
      </c>
      <c r="B1600" s="8">
        <v>45264.747121990746</v>
      </c>
      <c r="C1600" s="7" t="s">
        <v>4353</v>
      </c>
      <c r="D1600" s="7">
        <v>5333.0</v>
      </c>
      <c r="E1600" s="7" t="s">
        <v>41</v>
      </c>
      <c r="F1600" s="7" t="s">
        <v>42</v>
      </c>
      <c r="G1600" s="9" t="s">
        <v>1359</v>
      </c>
      <c r="H1600" s="7" t="s">
        <v>162</v>
      </c>
      <c r="I1600" s="7"/>
      <c r="J1600" s="7" t="s">
        <v>4991</v>
      </c>
      <c r="K1600" s="7"/>
      <c r="L1600" s="91" t="s">
        <v>20</v>
      </c>
      <c r="M1600" s="69">
        <v>45266.0</v>
      </c>
      <c r="N1600" s="77" t="str">
        <f t="shared" si="2"/>
        <v>dezembro</v>
      </c>
    </row>
    <row r="1601">
      <c r="A1601" s="7" t="s">
        <v>4992</v>
      </c>
      <c r="B1601" s="8">
        <v>45264.75147481481</v>
      </c>
      <c r="C1601" s="7" t="s">
        <v>4353</v>
      </c>
      <c r="D1601" s="7">
        <v>5333.0</v>
      </c>
      <c r="E1601" s="7" t="s">
        <v>41</v>
      </c>
      <c r="F1601" s="7" t="s">
        <v>42</v>
      </c>
      <c r="G1601" s="9" t="s">
        <v>1359</v>
      </c>
      <c r="H1601" s="7" t="s">
        <v>162</v>
      </c>
      <c r="I1601" s="7"/>
      <c r="J1601" s="7" t="s">
        <v>4993</v>
      </c>
      <c r="K1601" s="7"/>
      <c r="L1601" s="91" t="s">
        <v>20</v>
      </c>
      <c r="M1601" s="69">
        <v>45266.0</v>
      </c>
      <c r="N1601" s="77" t="str">
        <f t="shared" si="2"/>
        <v>dezembro</v>
      </c>
    </row>
    <row r="1602">
      <c r="A1602" s="7" t="s">
        <v>4994</v>
      </c>
      <c r="B1602" s="8">
        <v>45264.9315</v>
      </c>
      <c r="C1602" s="7" t="s">
        <v>4740</v>
      </c>
      <c r="D1602" s="7">
        <v>6.497400479E10</v>
      </c>
      <c r="E1602" s="7" t="s">
        <v>1372</v>
      </c>
      <c r="F1602" s="7" t="s">
        <v>554</v>
      </c>
      <c r="G1602" s="9" t="s">
        <v>4995</v>
      </c>
      <c r="H1602" s="25" t="s">
        <v>30</v>
      </c>
      <c r="I1602" s="7"/>
      <c r="J1602" s="7" t="s">
        <v>4996</v>
      </c>
      <c r="K1602" s="7" t="s">
        <v>987</v>
      </c>
      <c r="L1602" s="91" t="s">
        <v>74</v>
      </c>
      <c r="M1602" s="69">
        <v>45265.0</v>
      </c>
      <c r="N1602" s="77" t="str">
        <f t="shared" si="2"/>
        <v>dezembro</v>
      </c>
    </row>
    <row r="1603">
      <c r="A1603" s="7" t="s">
        <v>4997</v>
      </c>
      <c r="B1603" s="8">
        <v>45264.93417414352</v>
      </c>
      <c r="C1603" s="7" t="s">
        <v>4740</v>
      </c>
      <c r="D1603" s="7">
        <v>6.497400479E10</v>
      </c>
      <c r="E1603" s="7" t="s">
        <v>1372</v>
      </c>
      <c r="F1603" s="7" t="s">
        <v>4619</v>
      </c>
      <c r="G1603" s="9" t="s">
        <v>4998</v>
      </c>
      <c r="H1603" s="25" t="s">
        <v>30</v>
      </c>
      <c r="I1603" s="7"/>
      <c r="J1603" s="7" t="s">
        <v>4999</v>
      </c>
      <c r="K1603" s="7"/>
      <c r="L1603" s="91" t="s">
        <v>20</v>
      </c>
      <c r="M1603" s="69">
        <v>45268.0</v>
      </c>
      <c r="N1603" s="77" t="str">
        <f t="shared" si="2"/>
        <v>dezembro</v>
      </c>
    </row>
    <row r="1604">
      <c r="A1604" s="7" t="s">
        <v>5000</v>
      </c>
      <c r="B1604" s="8">
        <v>45264.93529072916</v>
      </c>
      <c r="C1604" s="7" t="s">
        <v>4740</v>
      </c>
      <c r="D1604" s="7">
        <v>6.497400479E10</v>
      </c>
      <c r="E1604" s="7" t="s">
        <v>1372</v>
      </c>
      <c r="F1604" s="7" t="s">
        <v>35</v>
      </c>
      <c r="G1604" s="9" t="s">
        <v>5001</v>
      </c>
      <c r="H1604" s="25" t="s">
        <v>30</v>
      </c>
      <c r="I1604" s="7"/>
      <c r="J1604" s="7" t="s">
        <v>5002</v>
      </c>
      <c r="K1604" s="7" t="s">
        <v>5003</v>
      </c>
      <c r="L1604" s="91" t="s">
        <v>74</v>
      </c>
      <c r="M1604" s="69">
        <v>45268.0</v>
      </c>
      <c r="N1604" s="77" t="str">
        <f t="shared" si="2"/>
        <v>dezembro</v>
      </c>
    </row>
    <row r="1605">
      <c r="A1605" s="7" t="s">
        <v>5004</v>
      </c>
      <c r="B1605" s="8">
        <v>45264.93699702546</v>
      </c>
      <c r="C1605" s="7" t="s">
        <v>4740</v>
      </c>
      <c r="D1605" s="7">
        <v>6.497400479E10</v>
      </c>
      <c r="E1605" s="7" t="s">
        <v>1372</v>
      </c>
      <c r="F1605" s="7" t="s">
        <v>554</v>
      </c>
      <c r="G1605" s="9" t="s">
        <v>4995</v>
      </c>
      <c r="H1605" s="7" t="s">
        <v>79</v>
      </c>
      <c r="I1605" s="7"/>
      <c r="J1605" s="7" t="s">
        <v>5005</v>
      </c>
      <c r="K1605" s="10"/>
      <c r="L1605" s="91" t="s">
        <v>74</v>
      </c>
      <c r="M1605" s="69">
        <v>45357.0</v>
      </c>
      <c r="N1605" s="77" t="str">
        <f t="shared" si="2"/>
        <v>dezembro</v>
      </c>
    </row>
    <row r="1606">
      <c r="A1606" s="7" t="s">
        <v>5006</v>
      </c>
      <c r="B1606" s="8">
        <v>45265.411532997685</v>
      </c>
      <c r="C1606" s="7" t="s">
        <v>3857</v>
      </c>
      <c r="D1606" s="7">
        <v>5323.0</v>
      </c>
      <c r="E1606" s="20" t="s">
        <v>226</v>
      </c>
      <c r="F1606" s="25" t="s">
        <v>61</v>
      </c>
      <c r="G1606" s="9">
        <v>320.0</v>
      </c>
      <c r="H1606" s="7" t="s">
        <v>764</v>
      </c>
      <c r="I1606" s="7"/>
      <c r="J1606" s="7" t="s">
        <v>5007</v>
      </c>
      <c r="K1606" s="7"/>
      <c r="L1606" s="91" t="s">
        <v>20</v>
      </c>
      <c r="M1606" s="69">
        <v>45268.0</v>
      </c>
      <c r="N1606" s="77" t="str">
        <f t="shared" si="2"/>
        <v>dezembro</v>
      </c>
    </row>
    <row r="1607">
      <c r="A1607" s="7" t="s">
        <v>5008</v>
      </c>
      <c r="B1607" s="8">
        <v>45265.41304969907</v>
      </c>
      <c r="C1607" s="7" t="s">
        <v>512</v>
      </c>
      <c r="D1607" s="7">
        <v>5340.0</v>
      </c>
      <c r="E1607" s="25" t="s">
        <v>70</v>
      </c>
      <c r="F1607" s="7" t="s">
        <v>49</v>
      </c>
      <c r="G1607" s="9" t="s">
        <v>3693</v>
      </c>
      <c r="H1607" s="7" t="s">
        <v>1734</v>
      </c>
      <c r="I1607" s="7"/>
      <c r="J1607" s="7" t="s">
        <v>5009</v>
      </c>
      <c r="K1607" s="7"/>
      <c r="L1607" s="91" t="s">
        <v>20</v>
      </c>
      <c r="M1607" s="69">
        <v>45268.0</v>
      </c>
      <c r="N1607" s="77" t="str">
        <f t="shared" si="2"/>
        <v>dezembro</v>
      </c>
    </row>
    <row r="1608">
      <c r="A1608" s="7" t="s">
        <v>5010</v>
      </c>
      <c r="B1608" s="8">
        <v>45265.41497162037</v>
      </c>
      <c r="C1608" s="7" t="s">
        <v>512</v>
      </c>
      <c r="D1608" s="7">
        <v>5340.0</v>
      </c>
      <c r="E1608" s="25" t="s">
        <v>70</v>
      </c>
      <c r="F1608" s="7" t="s">
        <v>1957</v>
      </c>
      <c r="G1608" s="9" t="s">
        <v>5011</v>
      </c>
      <c r="H1608" s="7" t="s">
        <v>1734</v>
      </c>
      <c r="I1608" s="7"/>
      <c r="J1608" s="7" t="s">
        <v>5012</v>
      </c>
      <c r="K1608" s="7"/>
      <c r="L1608" s="91" t="s">
        <v>20</v>
      </c>
      <c r="M1608" s="69">
        <v>45280.0</v>
      </c>
      <c r="N1608" s="77" t="str">
        <f t="shared" si="2"/>
        <v>dezembro</v>
      </c>
    </row>
    <row r="1609">
      <c r="A1609" s="7" t="s">
        <v>5013</v>
      </c>
      <c r="B1609" s="8">
        <v>45265.44856525463</v>
      </c>
      <c r="C1609" s="7" t="s">
        <v>4014</v>
      </c>
      <c r="D1609" s="7" t="s">
        <v>4015</v>
      </c>
      <c r="E1609" s="7" t="s">
        <v>199</v>
      </c>
      <c r="F1609" s="25" t="s">
        <v>86</v>
      </c>
      <c r="G1609" s="9" t="s">
        <v>5014</v>
      </c>
      <c r="H1609" s="7" t="s">
        <v>764</v>
      </c>
      <c r="I1609" s="7"/>
      <c r="J1609" s="7" t="s">
        <v>5015</v>
      </c>
      <c r="K1609" s="10" t="s">
        <v>5016</v>
      </c>
      <c r="L1609" s="91" t="s">
        <v>74</v>
      </c>
      <c r="M1609" s="69">
        <v>45286.0</v>
      </c>
      <c r="N1609" s="77" t="str">
        <f t="shared" si="2"/>
        <v>dezembro</v>
      </c>
    </row>
    <row r="1610">
      <c r="A1610" s="7" t="s">
        <v>5017</v>
      </c>
      <c r="B1610" s="8">
        <v>45265.52691612269</v>
      </c>
      <c r="C1610" s="7" t="s">
        <v>4353</v>
      </c>
      <c r="D1610" s="7">
        <v>5333.0</v>
      </c>
      <c r="E1610" s="7" t="s">
        <v>41</v>
      </c>
      <c r="F1610" s="7" t="s">
        <v>42</v>
      </c>
      <c r="G1610" s="9" t="s">
        <v>3304</v>
      </c>
      <c r="H1610" s="7" t="s">
        <v>162</v>
      </c>
      <c r="I1610" s="7"/>
      <c r="J1610" s="7" t="s">
        <v>5018</v>
      </c>
      <c r="K1610" s="7"/>
      <c r="L1610" s="91" t="s">
        <v>20</v>
      </c>
      <c r="M1610" s="69">
        <v>45268.0</v>
      </c>
      <c r="N1610" s="77" t="str">
        <f t="shared" si="2"/>
        <v>dezembro</v>
      </c>
    </row>
    <row r="1611">
      <c r="A1611" s="7" t="s">
        <v>5019</v>
      </c>
      <c r="B1611" s="8">
        <v>45265.528143171294</v>
      </c>
      <c r="C1611" s="7" t="s">
        <v>4353</v>
      </c>
      <c r="D1611" s="7">
        <v>5333.0</v>
      </c>
      <c r="E1611" s="7" t="s">
        <v>41</v>
      </c>
      <c r="F1611" s="7" t="s">
        <v>42</v>
      </c>
      <c r="G1611" s="9" t="s">
        <v>3304</v>
      </c>
      <c r="H1611" s="7" t="s">
        <v>79</v>
      </c>
      <c r="I1611" s="7"/>
      <c r="J1611" s="7" t="s">
        <v>5020</v>
      </c>
      <c r="K1611" s="7"/>
      <c r="L1611" s="91" t="s">
        <v>20</v>
      </c>
      <c r="M1611" s="69">
        <v>45268.0</v>
      </c>
      <c r="N1611" s="77" t="str">
        <f t="shared" si="2"/>
        <v>dezembro</v>
      </c>
    </row>
    <row r="1612">
      <c r="A1612" s="7" t="s">
        <v>5021</v>
      </c>
      <c r="B1612" s="8">
        <v>45265.56556454861</v>
      </c>
      <c r="C1612" s="7" t="s">
        <v>512</v>
      </c>
      <c r="D1612" s="7">
        <v>5340.0</v>
      </c>
      <c r="E1612" s="25" t="s">
        <v>70</v>
      </c>
      <c r="F1612" s="25" t="s">
        <v>100</v>
      </c>
      <c r="G1612" s="9" t="s">
        <v>179</v>
      </c>
      <c r="H1612" s="7" t="s">
        <v>79</v>
      </c>
      <c r="I1612" s="7"/>
      <c r="J1612" s="7" t="s">
        <v>5022</v>
      </c>
      <c r="K1612" s="10"/>
      <c r="L1612" s="91" t="s">
        <v>20</v>
      </c>
      <c r="M1612" s="69">
        <v>45301.0</v>
      </c>
      <c r="N1612" s="77" t="str">
        <f t="shared" si="2"/>
        <v>dezembro</v>
      </c>
    </row>
    <row r="1613">
      <c r="A1613" s="7" t="s">
        <v>5023</v>
      </c>
      <c r="B1613" s="8">
        <v>45265.56556454861</v>
      </c>
      <c r="C1613" s="7" t="s">
        <v>553</v>
      </c>
      <c r="D1613" s="7">
        <v>8518.0</v>
      </c>
      <c r="E1613" s="25" t="s">
        <v>15</v>
      </c>
      <c r="F1613" s="25" t="s">
        <v>86</v>
      </c>
      <c r="G1613" s="9" t="s">
        <v>5024</v>
      </c>
      <c r="H1613" s="7" t="s">
        <v>18</v>
      </c>
      <c r="I1613" s="7"/>
      <c r="J1613" s="7" t="s">
        <v>5025</v>
      </c>
      <c r="K1613" s="7"/>
      <c r="L1613" s="91" t="s">
        <v>20</v>
      </c>
      <c r="M1613" s="69">
        <v>45268.0</v>
      </c>
      <c r="N1613" s="77" t="str">
        <f t="shared" si="2"/>
        <v>dezembro</v>
      </c>
    </row>
    <row r="1614">
      <c r="A1614" s="7" t="s">
        <v>5026</v>
      </c>
      <c r="B1614" s="8">
        <v>45266.34678202546</v>
      </c>
      <c r="C1614" s="7" t="s">
        <v>4353</v>
      </c>
      <c r="D1614" s="7">
        <v>5333.0</v>
      </c>
      <c r="E1614" s="7" t="s">
        <v>41</v>
      </c>
      <c r="F1614" s="7" t="s">
        <v>42</v>
      </c>
      <c r="G1614" s="9" t="s">
        <v>4401</v>
      </c>
      <c r="H1614" s="7" t="s">
        <v>162</v>
      </c>
      <c r="I1614" s="7"/>
      <c r="J1614" s="7" t="s">
        <v>5027</v>
      </c>
      <c r="K1614" s="7"/>
      <c r="L1614" s="91" t="s">
        <v>20</v>
      </c>
      <c r="M1614" s="69">
        <v>45273.0</v>
      </c>
      <c r="N1614" s="77" t="str">
        <f t="shared" si="2"/>
        <v>dezembro</v>
      </c>
    </row>
    <row r="1615">
      <c r="A1615" s="7" t="s">
        <v>5028</v>
      </c>
      <c r="B1615" s="8">
        <v>45266.347113310185</v>
      </c>
      <c r="C1615" s="7" t="s">
        <v>292</v>
      </c>
      <c r="D1615" s="7">
        <v>5304.0</v>
      </c>
      <c r="E1615" s="7" t="s">
        <v>1097</v>
      </c>
      <c r="F1615" s="7" t="s">
        <v>16</v>
      </c>
      <c r="G1615" s="9" t="s">
        <v>3009</v>
      </c>
      <c r="H1615" s="7" t="s">
        <v>764</v>
      </c>
      <c r="I1615" s="7"/>
      <c r="J1615" s="7" t="s">
        <v>5029</v>
      </c>
      <c r="K1615" s="7"/>
      <c r="L1615" s="91" t="s">
        <v>20</v>
      </c>
      <c r="M1615" s="69">
        <v>45267.0</v>
      </c>
      <c r="N1615" s="77" t="str">
        <f t="shared" si="2"/>
        <v>dezembro</v>
      </c>
    </row>
    <row r="1616">
      <c r="A1616" s="7" t="s">
        <v>5030</v>
      </c>
      <c r="B1616" s="8">
        <v>45266.384386770835</v>
      </c>
      <c r="C1616" s="7" t="s">
        <v>2870</v>
      </c>
      <c r="D1616" s="7">
        <v>5315.0</v>
      </c>
      <c r="E1616" s="25" t="s">
        <v>116</v>
      </c>
      <c r="F1616" s="7" t="s">
        <v>82</v>
      </c>
      <c r="G1616" s="9" t="s">
        <v>5031</v>
      </c>
      <c r="H1616" s="7" t="s">
        <v>79</v>
      </c>
      <c r="I1616" s="7"/>
      <c r="J1616" s="7" t="s">
        <v>5032</v>
      </c>
      <c r="K1616" s="7"/>
      <c r="L1616" s="91" t="s">
        <v>20</v>
      </c>
      <c r="M1616" s="69">
        <v>45268.0</v>
      </c>
      <c r="N1616" s="77" t="str">
        <f t="shared" si="2"/>
        <v>dezembro</v>
      </c>
    </row>
    <row r="1617">
      <c r="A1617" s="7" t="s">
        <v>5033</v>
      </c>
      <c r="B1617" s="8">
        <v>45266.407766793986</v>
      </c>
      <c r="C1617" s="7" t="s">
        <v>3409</v>
      </c>
      <c r="D1617" s="7" t="s">
        <v>4599</v>
      </c>
      <c r="E1617" s="25" t="s">
        <v>187</v>
      </c>
      <c r="F1617" s="7" t="s">
        <v>347</v>
      </c>
      <c r="G1617" s="9" t="s">
        <v>4600</v>
      </c>
      <c r="H1617" s="7" t="s">
        <v>1734</v>
      </c>
      <c r="I1617" s="7"/>
      <c r="J1617" s="7" t="s">
        <v>5034</v>
      </c>
      <c r="K1617" s="7"/>
      <c r="L1617" s="91" t="s">
        <v>20</v>
      </c>
      <c r="M1617" s="69">
        <v>45267.0</v>
      </c>
      <c r="N1617" s="77" t="str">
        <f t="shared" si="2"/>
        <v>dezembro</v>
      </c>
    </row>
    <row r="1618">
      <c r="A1618" s="7" t="s">
        <v>5035</v>
      </c>
      <c r="B1618" s="8">
        <v>45266.45912591435</v>
      </c>
      <c r="C1618" s="7" t="s">
        <v>4353</v>
      </c>
      <c r="D1618" s="7">
        <v>5333.0</v>
      </c>
      <c r="E1618" s="7" t="s">
        <v>41</v>
      </c>
      <c r="F1618" s="7" t="s">
        <v>42</v>
      </c>
      <c r="G1618" s="9" t="s">
        <v>4401</v>
      </c>
      <c r="H1618" s="7" t="s">
        <v>129</v>
      </c>
      <c r="I1618" s="7"/>
      <c r="J1618" s="7" t="s">
        <v>5036</v>
      </c>
      <c r="K1618" s="7"/>
      <c r="L1618" s="91" t="s">
        <v>20</v>
      </c>
      <c r="M1618" s="69">
        <v>45266.0</v>
      </c>
      <c r="N1618" s="77" t="str">
        <f t="shared" si="2"/>
        <v>dezembro</v>
      </c>
    </row>
    <row r="1619">
      <c r="A1619" s="7" t="s">
        <v>5037</v>
      </c>
      <c r="B1619" s="8">
        <v>45266.477169652775</v>
      </c>
      <c r="C1619" s="7" t="s">
        <v>4353</v>
      </c>
      <c r="D1619" s="7">
        <v>5333.0</v>
      </c>
      <c r="E1619" s="7" t="s">
        <v>41</v>
      </c>
      <c r="F1619" s="7" t="s">
        <v>42</v>
      </c>
      <c r="G1619" s="9" t="s">
        <v>3223</v>
      </c>
      <c r="H1619" s="7" t="s">
        <v>764</v>
      </c>
      <c r="I1619" s="7"/>
      <c r="J1619" s="7" t="s">
        <v>5038</v>
      </c>
      <c r="K1619" s="10" t="s">
        <v>5039</v>
      </c>
      <c r="L1619" s="91" t="s">
        <v>738</v>
      </c>
      <c r="M1619" s="69"/>
      <c r="N1619" s="77" t="str">
        <f t="shared" si="2"/>
        <v>dezembro</v>
      </c>
    </row>
    <row r="1620">
      <c r="A1620" s="7" t="s">
        <v>5040</v>
      </c>
      <c r="B1620" s="8">
        <v>45266.6096446875</v>
      </c>
      <c r="C1620" s="7" t="s">
        <v>4353</v>
      </c>
      <c r="D1620" s="7">
        <v>5333.0</v>
      </c>
      <c r="E1620" s="7" t="s">
        <v>41</v>
      </c>
      <c r="F1620" s="7" t="s">
        <v>42</v>
      </c>
      <c r="G1620" s="9" t="s">
        <v>135</v>
      </c>
      <c r="H1620" s="7" t="s">
        <v>1734</v>
      </c>
      <c r="I1620" s="7"/>
      <c r="J1620" s="7" t="s">
        <v>5041</v>
      </c>
      <c r="K1620" s="10" t="s">
        <v>5042</v>
      </c>
      <c r="L1620" s="91" t="s">
        <v>20</v>
      </c>
      <c r="M1620" s="69">
        <v>45302.0</v>
      </c>
      <c r="N1620" s="77" t="str">
        <f t="shared" si="2"/>
        <v>dezembro</v>
      </c>
    </row>
    <row r="1621">
      <c r="A1621" s="7" t="s">
        <v>5043</v>
      </c>
      <c r="B1621" s="8">
        <v>45266.67005689815</v>
      </c>
      <c r="C1621" s="7" t="s">
        <v>3857</v>
      </c>
      <c r="D1621" s="7">
        <v>5323.0</v>
      </c>
      <c r="E1621" s="20" t="s">
        <v>226</v>
      </c>
      <c r="F1621" s="25" t="s">
        <v>61</v>
      </c>
      <c r="G1621" s="9" t="s">
        <v>5044</v>
      </c>
      <c r="H1621" s="7" t="s">
        <v>764</v>
      </c>
      <c r="I1621" s="7"/>
      <c r="J1621" s="7" t="s">
        <v>5045</v>
      </c>
      <c r="K1621" s="10"/>
      <c r="L1621" s="91" t="s">
        <v>20</v>
      </c>
      <c r="M1621" s="69">
        <v>45301.0</v>
      </c>
      <c r="N1621" s="77" t="str">
        <f t="shared" si="2"/>
        <v>dezembro</v>
      </c>
    </row>
    <row r="1622">
      <c r="A1622" s="7" t="s">
        <v>5046</v>
      </c>
      <c r="B1622" s="8">
        <v>45266.956206469906</v>
      </c>
      <c r="C1622" s="7" t="s">
        <v>2906</v>
      </c>
      <c r="D1622" s="7">
        <v>5318.0</v>
      </c>
      <c r="E1622" s="25" t="s">
        <v>15</v>
      </c>
      <c r="F1622" s="7" t="s">
        <v>90</v>
      </c>
      <c r="G1622" s="9" t="s">
        <v>5047</v>
      </c>
      <c r="H1622" s="7" t="s">
        <v>18</v>
      </c>
      <c r="I1622" s="7"/>
      <c r="J1622" s="7" t="s">
        <v>5048</v>
      </c>
      <c r="K1622" s="10"/>
      <c r="L1622" s="91" t="s">
        <v>74</v>
      </c>
      <c r="M1622" s="69">
        <v>45267.0</v>
      </c>
      <c r="N1622" s="77" t="str">
        <f t="shared" si="2"/>
        <v>dezembro</v>
      </c>
    </row>
    <row r="1623">
      <c r="A1623" s="7" t="s">
        <v>5049</v>
      </c>
      <c r="B1623" s="8">
        <v>45267.68562866898</v>
      </c>
      <c r="C1623" s="7" t="s">
        <v>4353</v>
      </c>
      <c r="D1623" s="7">
        <v>5333.0</v>
      </c>
      <c r="E1623" s="7" t="s">
        <v>41</v>
      </c>
      <c r="F1623" s="7" t="s">
        <v>42</v>
      </c>
      <c r="G1623" s="9" t="s">
        <v>3310</v>
      </c>
      <c r="H1623" s="7" t="s">
        <v>764</v>
      </c>
      <c r="I1623" s="7"/>
      <c r="J1623" s="7" t="s">
        <v>5050</v>
      </c>
      <c r="K1623" s="10"/>
      <c r="L1623" s="91" t="s">
        <v>20</v>
      </c>
      <c r="M1623" s="69">
        <v>45273.0</v>
      </c>
      <c r="N1623" s="77" t="str">
        <f t="shared" si="2"/>
        <v>dezembro</v>
      </c>
    </row>
    <row r="1624">
      <c r="A1624" s="7" t="s">
        <v>5051</v>
      </c>
      <c r="B1624" s="8">
        <v>45268.25057606482</v>
      </c>
      <c r="C1624" s="7" t="s">
        <v>4090</v>
      </c>
      <c r="D1624" s="7">
        <v>5318.0</v>
      </c>
      <c r="E1624" s="25" t="s">
        <v>15</v>
      </c>
      <c r="F1624" s="25" t="s">
        <v>86</v>
      </c>
      <c r="G1624" s="9" t="s">
        <v>3390</v>
      </c>
      <c r="H1624" s="7" t="s">
        <v>18</v>
      </c>
      <c r="I1624" s="7"/>
      <c r="J1624" s="7" t="s">
        <v>5052</v>
      </c>
      <c r="K1624" s="10"/>
      <c r="L1624" s="91" t="s">
        <v>20</v>
      </c>
      <c r="M1624" s="69">
        <v>45268.0</v>
      </c>
      <c r="N1624" s="77" t="str">
        <f t="shared" si="2"/>
        <v>dezembro</v>
      </c>
    </row>
    <row r="1625">
      <c r="A1625" s="7" t="s">
        <v>5053</v>
      </c>
      <c r="B1625" s="8">
        <v>45268.369244155096</v>
      </c>
      <c r="C1625" s="7" t="s">
        <v>4353</v>
      </c>
      <c r="D1625" s="7">
        <v>5333.0</v>
      </c>
      <c r="E1625" s="7" t="s">
        <v>41</v>
      </c>
      <c r="F1625" s="7" t="s">
        <v>42</v>
      </c>
      <c r="G1625" s="9">
        <v>402.0</v>
      </c>
      <c r="H1625" s="7" t="s">
        <v>1734</v>
      </c>
      <c r="I1625" s="7"/>
      <c r="J1625" s="7" t="s">
        <v>5054</v>
      </c>
      <c r="K1625" s="10"/>
      <c r="L1625" s="91" t="s">
        <v>20</v>
      </c>
      <c r="M1625" s="69">
        <v>45273.0</v>
      </c>
      <c r="N1625" s="77" t="str">
        <f t="shared" si="2"/>
        <v>dezembro</v>
      </c>
    </row>
    <row r="1626">
      <c r="A1626" s="7" t="s">
        <v>5055</v>
      </c>
      <c r="B1626" s="8">
        <v>45268.432552453705</v>
      </c>
      <c r="C1626" s="7" t="s">
        <v>4740</v>
      </c>
      <c r="D1626" s="7" t="s">
        <v>4750</v>
      </c>
      <c r="E1626" s="7" t="s">
        <v>1372</v>
      </c>
      <c r="F1626" s="7" t="s">
        <v>554</v>
      </c>
      <c r="G1626" s="9" t="s">
        <v>4742</v>
      </c>
      <c r="H1626" s="7" t="s">
        <v>162</v>
      </c>
      <c r="I1626" s="7"/>
      <c r="J1626" s="7" t="s">
        <v>5056</v>
      </c>
      <c r="K1626" s="10" t="s">
        <v>261</v>
      </c>
      <c r="L1626" s="91" t="s">
        <v>74</v>
      </c>
      <c r="M1626" s="69">
        <v>45274.0</v>
      </c>
      <c r="N1626" s="77" t="str">
        <f t="shared" si="2"/>
        <v>dezembro</v>
      </c>
    </row>
    <row r="1627">
      <c r="A1627" s="7" t="s">
        <v>5057</v>
      </c>
      <c r="B1627" s="8">
        <v>45268.4326089699</v>
      </c>
      <c r="C1627" s="7" t="s">
        <v>512</v>
      </c>
      <c r="D1627" s="7">
        <v>5340.0</v>
      </c>
      <c r="E1627" s="25" t="s">
        <v>70</v>
      </c>
      <c r="F1627" s="7" t="s">
        <v>82</v>
      </c>
      <c r="G1627" s="9" t="s">
        <v>5058</v>
      </c>
      <c r="H1627" s="7" t="s">
        <v>1734</v>
      </c>
      <c r="I1627" s="7"/>
      <c r="J1627" s="7" t="s">
        <v>5059</v>
      </c>
      <c r="K1627" s="10"/>
      <c r="L1627" s="91" t="s">
        <v>20</v>
      </c>
      <c r="M1627" s="69">
        <v>45268.0</v>
      </c>
      <c r="N1627" s="77" t="str">
        <f t="shared" si="2"/>
        <v>dezembro</v>
      </c>
    </row>
    <row r="1628">
      <c r="A1628" s="7" t="s">
        <v>5060</v>
      </c>
      <c r="B1628" s="8">
        <v>45268.433939062495</v>
      </c>
      <c r="C1628" s="7" t="s">
        <v>138</v>
      </c>
      <c r="D1628" s="7">
        <v>5318.0</v>
      </c>
      <c r="E1628" s="25" t="s">
        <v>15</v>
      </c>
      <c r="F1628" s="7" t="s">
        <v>35</v>
      </c>
      <c r="G1628" s="9" t="s">
        <v>5061</v>
      </c>
      <c r="H1628" s="7" t="s">
        <v>18</v>
      </c>
      <c r="I1628" s="7"/>
      <c r="J1628" s="7" t="s">
        <v>5062</v>
      </c>
      <c r="K1628" s="10" t="s">
        <v>5063</v>
      </c>
      <c r="L1628" s="91" t="s">
        <v>20</v>
      </c>
      <c r="M1628" s="69">
        <v>45302.0</v>
      </c>
      <c r="N1628" s="77" t="str">
        <f t="shared" si="2"/>
        <v>dezembro</v>
      </c>
    </row>
    <row r="1629">
      <c r="A1629" s="7" t="s">
        <v>5064</v>
      </c>
      <c r="B1629" s="8">
        <v>45268.43571880787</v>
      </c>
      <c r="C1629" s="7" t="s">
        <v>4740</v>
      </c>
      <c r="D1629" s="7" t="s">
        <v>4750</v>
      </c>
      <c r="E1629" s="7" t="s">
        <v>1372</v>
      </c>
      <c r="F1629" s="7" t="s">
        <v>554</v>
      </c>
      <c r="G1629" s="9" t="s">
        <v>5065</v>
      </c>
      <c r="H1629" s="7" t="s">
        <v>1734</v>
      </c>
      <c r="I1629" s="7"/>
      <c r="J1629" s="7" t="s">
        <v>5066</v>
      </c>
      <c r="K1629" s="7"/>
      <c r="L1629" s="91" t="s">
        <v>20</v>
      </c>
      <c r="M1629" s="69">
        <v>45273.0</v>
      </c>
      <c r="N1629" s="77" t="str">
        <f t="shared" si="2"/>
        <v>dezembro</v>
      </c>
    </row>
    <row r="1630">
      <c r="A1630" s="7" t="s">
        <v>5067</v>
      </c>
      <c r="B1630" s="8">
        <v>45268.44162167824</v>
      </c>
      <c r="C1630" s="7" t="s">
        <v>4740</v>
      </c>
      <c r="D1630" s="7" t="s">
        <v>5068</v>
      </c>
      <c r="E1630" s="7" t="s">
        <v>1372</v>
      </c>
      <c r="F1630" s="7" t="s">
        <v>35</v>
      </c>
      <c r="G1630" s="9" t="s">
        <v>5069</v>
      </c>
      <c r="H1630" s="7" t="s">
        <v>764</v>
      </c>
      <c r="I1630" s="7"/>
      <c r="J1630" s="7" t="s">
        <v>5070</v>
      </c>
      <c r="K1630" s="10"/>
      <c r="L1630" s="91" t="s">
        <v>20</v>
      </c>
      <c r="M1630" s="69">
        <v>45301.0</v>
      </c>
      <c r="N1630" s="77" t="str">
        <f t="shared" si="2"/>
        <v>dezembro</v>
      </c>
    </row>
    <row r="1631">
      <c r="A1631" s="7" t="s">
        <v>5071</v>
      </c>
      <c r="B1631" s="8">
        <v>45268.519760763884</v>
      </c>
      <c r="C1631" s="7" t="s">
        <v>673</v>
      </c>
      <c r="D1631" s="7">
        <v>5332.0</v>
      </c>
      <c r="E1631" s="25" t="s">
        <v>728</v>
      </c>
      <c r="F1631" s="7" t="s">
        <v>103</v>
      </c>
      <c r="G1631" s="9" t="s">
        <v>3009</v>
      </c>
      <c r="H1631" s="7" t="s">
        <v>162</v>
      </c>
      <c r="I1631" s="7"/>
      <c r="J1631" s="7" t="s">
        <v>5072</v>
      </c>
      <c r="K1631" s="7"/>
      <c r="L1631" s="91" t="s">
        <v>20</v>
      </c>
      <c r="M1631" s="69">
        <v>45269.0</v>
      </c>
      <c r="N1631" s="77" t="str">
        <f t="shared" si="2"/>
        <v>dezembro</v>
      </c>
    </row>
    <row r="1632">
      <c r="A1632" s="7" t="s">
        <v>5073</v>
      </c>
      <c r="B1632" s="8">
        <v>45268.52518611111</v>
      </c>
      <c r="C1632" s="7" t="s">
        <v>673</v>
      </c>
      <c r="D1632" s="7">
        <v>5332.0</v>
      </c>
      <c r="E1632" s="25" t="s">
        <v>728</v>
      </c>
      <c r="F1632" s="7" t="s">
        <v>103</v>
      </c>
      <c r="G1632" s="9" t="s">
        <v>452</v>
      </c>
      <c r="H1632" s="7" t="s">
        <v>764</v>
      </c>
      <c r="I1632" s="7"/>
      <c r="J1632" s="7" t="s">
        <v>5074</v>
      </c>
      <c r="K1632" s="7"/>
      <c r="L1632" s="91" t="s">
        <v>20</v>
      </c>
      <c r="M1632" s="69">
        <v>45272.0</v>
      </c>
      <c r="N1632" s="77" t="str">
        <f t="shared" si="2"/>
        <v>dezembro</v>
      </c>
    </row>
    <row r="1633">
      <c r="A1633" s="7" t="s">
        <v>5075</v>
      </c>
      <c r="B1633" s="8">
        <v>45268.57716240741</v>
      </c>
      <c r="C1633" s="7" t="s">
        <v>3857</v>
      </c>
      <c r="D1633" s="7">
        <v>5323.0</v>
      </c>
      <c r="E1633" s="20" t="s">
        <v>226</v>
      </c>
      <c r="F1633" s="25" t="s">
        <v>61</v>
      </c>
      <c r="G1633" s="9" t="s">
        <v>5044</v>
      </c>
      <c r="H1633" s="7" t="s">
        <v>18</v>
      </c>
      <c r="I1633" s="7"/>
      <c r="J1633" s="7" t="s">
        <v>5076</v>
      </c>
      <c r="K1633" s="10"/>
      <c r="L1633" s="91" t="s">
        <v>20</v>
      </c>
      <c r="M1633" s="69">
        <v>45273.0</v>
      </c>
      <c r="N1633" s="77" t="str">
        <f t="shared" si="2"/>
        <v>dezembro</v>
      </c>
    </row>
    <row r="1634">
      <c r="A1634" s="7" t="s">
        <v>5077</v>
      </c>
      <c r="B1634" s="8">
        <v>45269.02801414352</v>
      </c>
      <c r="C1634" s="7" t="s">
        <v>5078</v>
      </c>
      <c r="D1634" s="7">
        <v>5318.0</v>
      </c>
      <c r="E1634" s="25" t="s">
        <v>15</v>
      </c>
      <c r="F1634" s="25" t="s">
        <v>393</v>
      </c>
      <c r="G1634" s="9" t="s">
        <v>5079</v>
      </c>
      <c r="H1634" s="7" t="s">
        <v>18</v>
      </c>
      <c r="I1634" s="7"/>
      <c r="J1634" s="7" t="s">
        <v>5080</v>
      </c>
      <c r="K1634" s="10"/>
      <c r="L1634" s="91" t="s">
        <v>20</v>
      </c>
      <c r="M1634" s="69">
        <v>45271.0</v>
      </c>
      <c r="N1634" s="77" t="str">
        <f t="shared" si="2"/>
        <v>dezembro</v>
      </c>
    </row>
    <row r="1635">
      <c r="A1635" s="7" t="s">
        <v>5081</v>
      </c>
      <c r="B1635" s="8">
        <v>45269.030291874995</v>
      </c>
      <c r="C1635" s="7" t="s">
        <v>5082</v>
      </c>
      <c r="D1635" s="7">
        <v>5318.0</v>
      </c>
      <c r="E1635" s="25" t="s">
        <v>15</v>
      </c>
      <c r="F1635" s="7" t="s">
        <v>55</v>
      </c>
      <c r="G1635" s="9" t="s">
        <v>5083</v>
      </c>
      <c r="H1635" s="7" t="s">
        <v>18</v>
      </c>
      <c r="I1635" s="7"/>
      <c r="J1635" s="7" t="s">
        <v>5084</v>
      </c>
      <c r="K1635" s="10"/>
      <c r="L1635" s="91" t="s">
        <v>20</v>
      </c>
      <c r="M1635" s="69">
        <v>45271.0</v>
      </c>
      <c r="N1635" s="77" t="str">
        <f t="shared" si="2"/>
        <v>dezembro</v>
      </c>
    </row>
    <row r="1636">
      <c r="A1636" s="7" t="s">
        <v>5085</v>
      </c>
      <c r="B1636" s="8">
        <v>45270.27577436343</v>
      </c>
      <c r="C1636" s="7" t="s">
        <v>169</v>
      </c>
      <c r="D1636" s="7">
        <v>5318.0</v>
      </c>
      <c r="E1636" s="25" t="s">
        <v>15</v>
      </c>
      <c r="F1636" s="7" t="s">
        <v>82</v>
      </c>
      <c r="G1636" s="9" t="s">
        <v>5086</v>
      </c>
      <c r="H1636" s="7" t="s">
        <v>18</v>
      </c>
      <c r="I1636" s="7"/>
      <c r="J1636" s="7" t="s">
        <v>5087</v>
      </c>
      <c r="K1636" s="10"/>
      <c r="L1636" s="91" t="s">
        <v>20</v>
      </c>
      <c r="M1636" s="69">
        <v>45271.0</v>
      </c>
      <c r="N1636" s="77" t="str">
        <f t="shared" si="2"/>
        <v>dezembro</v>
      </c>
    </row>
    <row r="1637">
      <c r="A1637" s="7" t="s">
        <v>5088</v>
      </c>
      <c r="B1637" s="8">
        <v>45271.365388101854</v>
      </c>
      <c r="C1637" s="7" t="s">
        <v>2870</v>
      </c>
      <c r="D1637" s="7">
        <v>5315.0</v>
      </c>
      <c r="E1637" s="25" t="s">
        <v>116</v>
      </c>
      <c r="F1637" s="7" t="s">
        <v>82</v>
      </c>
      <c r="G1637" s="9" t="s">
        <v>5089</v>
      </c>
      <c r="H1637" s="7" t="s">
        <v>1734</v>
      </c>
      <c r="I1637" s="7"/>
      <c r="J1637" s="7" t="s">
        <v>5090</v>
      </c>
      <c r="K1637" s="10" t="s">
        <v>261</v>
      </c>
      <c r="L1637" s="91" t="s">
        <v>74</v>
      </c>
      <c r="M1637" s="69">
        <v>45271.0</v>
      </c>
      <c r="N1637" s="77" t="str">
        <f t="shared" si="2"/>
        <v>dezembro</v>
      </c>
    </row>
    <row r="1638">
      <c r="A1638" s="7" t="s">
        <v>5091</v>
      </c>
      <c r="B1638" s="8">
        <v>45271.37347357639</v>
      </c>
      <c r="C1638" s="7" t="s">
        <v>5092</v>
      </c>
      <c r="D1638" s="7" t="s">
        <v>5093</v>
      </c>
      <c r="E1638" s="20" t="s">
        <v>288</v>
      </c>
      <c r="F1638" s="7" t="s">
        <v>55</v>
      </c>
      <c r="G1638" s="9">
        <v>103.0</v>
      </c>
      <c r="H1638" s="7" t="s">
        <v>1734</v>
      </c>
      <c r="I1638" s="7"/>
      <c r="J1638" s="7" t="s">
        <v>5094</v>
      </c>
      <c r="K1638" s="10"/>
      <c r="L1638" s="91" t="s">
        <v>20</v>
      </c>
      <c r="M1638" s="69">
        <v>45272.0</v>
      </c>
      <c r="N1638" s="77" t="str">
        <f t="shared" si="2"/>
        <v>dezembro</v>
      </c>
    </row>
    <row r="1639">
      <c r="A1639" s="7" t="s">
        <v>5095</v>
      </c>
      <c r="B1639" s="8">
        <v>45271.387987905095</v>
      </c>
      <c r="C1639" s="7" t="s">
        <v>4353</v>
      </c>
      <c r="D1639" s="7">
        <v>5333.0</v>
      </c>
      <c r="E1639" s="7" t="s">
        <v>41</v>
      </c>
      <c r="F1639" s="7" t="s">
        <v>42</v>
      </c>
      <c r="G1639" s="9" t="s">
        <v>973</v>
      </c>
      <c r="H1639" s="7" t="s">
        <v>1734</v>
      </c>
      <c r="I1639" s="7"/>
      <c r="J1639" s="7" t="s">
        <v>5096</v>
      </c>
      <c r="K1639" s="10"/>
      <c r="L1639" s="91" t="s">
        <v>20</v>
      </c>
      <c r="M1639" s="69">
        <v>45273.0</v>
      </c>
      <c r="N1639" s="77" t="str">
        <f t="shared" si="2"/>
        <v>dezembro</v>
      </c>
    </row>
    <row r="1640">
      <c r="A1640" s="7" t="s">
        <v>5097</v>
      </c>
      <c r="B1640" s="8">
        <v>45271.45663380787</v>
      </c>
      <c r="C1640" s="7" t="s">
        <v>186</v>
      </c>
      <c r="D1640" s="7" t="s">
        <v>2643</v>
      </c>
      <c r="E1640" s="25" t="s">
        <v>187</v>
      </c>
      <c r="F1640" s="7" t="s">
        <v>347</v>
      </c>
      <c r="G1640" s="9">
        <v>115.0</v>
      </c>
      <c r="H1640" s="7" t="s">
        <v>79</v>
      </c>
      <c r="I1640" s="7"/>
      <c r="J1640" s="7" t="s">
        <v>5098</v>
      </c>
      <c r="K1640" s="10"/>
      <c r="L1640" s="91" t="s">
        <v>20</v>
      </c>
      <c r="M1640" s="69">
        <v>45272.0</v>
      </c>
      <c r="N1640" s="77" t="str">
        <f t="shared" si="2"/>
        <v>dezembro</v>
      </c>
    </row>
    <row r="1641" ht="27.0" customHeight="1">
      <c r="A1641" s="7" t="s">
        <v>5099</v>
      </c>
      <c r="B1641" s="8">
        <v>45271.45663380787</v>
      </c>
      <c r="C1641" s="7" t="s">
        <v>1728</v>
      </c>
      <c r="D1641" s="7">
        <v>5337.0</v>
      </c>
      <c r="E1641" s="7" t="s">
        <v>262</v>
      </c>
      <c r="F1641" s="7" t="s">
        <v>262</v>
      </c>
      <c r="G1641" s="9" t="s">
        <v>5100</v>
      </c>
      <c r="H1641" s="7" t="s">
        <v>1734</v>
      </c>
      <c r="I1641" s="7"/>
      <c r="J1641" s="7" t="s">
        <v>5101</v>
      </c>
      <c r="K1641" s="10" t="s">
        <v>261</v>
      </c>
      <c r="L1641" s="91" t="s">
        <v>74</v>
      </c>
      <c r="M1641" s="69">
        <v>45271.0</v>
      </c>
      <c r="N1641" s="77" t="str">
        <f t="shared" si="2"/>
        <v>dezembro</v>
      </c>
    </row>
    <row r="1642" ht="27.0" customHeight="1">
      <c r="A1642" s="7" t="s">
        <v>5102</v>
      </c>
      <c r="B1642" s="8">
        <v>45272.33903320602</v>
      </c>
      <c r="C1642" s="7" t="s">
        <v>1272</v>
      </c>
      <c r="D1642" s="7">
        <v>5306.0</v>
      </c>
      <c r="E1642" s="7" t="s">
        <v>371</v>
      </c>
      <c r="F1642" s="7" t="s">
        <v>49</v>
      </c>
      <c r="G1642" s="9" t="s">
        <v>5103</v>
      </c>
      <c r="H1642" s="7" t="s">
        <v>1734</v>
      </c>
      <c r="I1642" s="7"/>
      <c r="J1642" s="7" t="s">
        <v>5104</v>
      </c>
      <c r="K1642" s="10"/>
      <c r="L1642" s="91" t="s">
        <v>20</v>
      </c>
      <c r="M1642" s="69">
        <v>45272.0</v>
      </c>
      <c r="N1642" s="77" t="str">
        <f t="shared" si="2"/>
        <v>dezembro</v>
      </c>
    </row>
    <row r="1643" ht="27.0" customHeight="1">
      <c r="A1643" s="7" t="s">
        <v>5105</v>
      </c>
      <c r="B1643" s="8">
        <v>45272.34150285879</v>
      </c>
      <c r="C1643" s="7" t="s">
        <v>539</v>
      </c>
      <c r="D1643" s="7">
        <v>7620.0</v>
      </c>
      <c r="E1643" s="7" t="s">
        <v>540</v>
      </c>
      <c r="F1643" s="7" t="s">
        <v>82</v>
      </c>
      <c r="G1643" s="9">
        <v>122.0</v>
      </c>
      <c r="H1643" s="7" t="s">
        <v>1734</v>
      </c>
      <c r="I1643" s="7"/>
      <c r="J1643" s="7" t="s">
        <v>5106</v>
      </c>
      <c r="K1643" s="10"/>
      <c r="L1643" s="91" t="s">
        <v>20</v>
      </c>
      <c r="M1643" s="69">
        <v>45273.0</v>
      </c>
      <c r="N1643" s="77" t="str">
        <f t="shared" si="2"/>
        <v>dezembro</v>
      </c>
    </row>
    <row r="1644" ht="27.0" customHeight="1">
      <c r="A1644" s="7" t="s">
        <v>5107</v>
      </c>
      <c r="B1644" s="8">
        <v>45272.384581446764</v>
      </c>
      <c r="C1644" s="7" t="s">
        <v>1704</v>
      </c>
      <c r="D1644" s="7">
        <v>5305.0</v>
      </c>
      <c r="E1644" s="25" t="s">
        <v>183</v>
      </c>
      <c r="F1644" s="7" t="s">
        <v>142</v>
      </c>
      <c r="G1644" s="9" t="s">
        <v>5108</v>
      </c>
      <c r="H1644" s="7" t="s">
        <v>1734</v>
      </c>
      <c r="I1644" s="7"/>
      <c r="J1644" s="7" t="s">
        <v>5109</v>
      </c>
      <c r="K1644" s="10"/>
      <c r="L1644" s="91" t="s">
        <v>20</v>
      </c>
      <c r="M1644" s="69">
        <v>45273.0</v>
      </c>
      <c r="N1644" s="77" t="str">
        <f t="shared" si="2"/>
        <v>dezembro</v>
      </c>
    </row>
    <row r="1645" ht="27.0" customHeight="1">
      <c r="A1645" s="7" t="s">
        <v>5110</v>
      </c>
      <c r="B1645" s="8">
        <v>45272.38717444445</v>
      </c>
      <c r="C1645" s="7" t="s">
        <v>1704</v>
      </c>
      <c r="D1645" s="7">
        <v>5305.0</v>
      </c>
      <c r="E1645" s="25" t="s">
        <v>183</v>
      </c>
      <c r="F1645" s="7" t="s">
        <v>367</v>
      </c>
      <c r="G1645" s="9" t="s">
        <v>5111</v>
      </c>
      <c r="H1645" s="7" t="s">
        <v>1734</v>
      </c>
      <c r="I1645" s="7"/>
      <c r="J1645" s="7" t="s">
        <v>5112</v>
      </c>
      <c r="K1645" s="10"/>
      <c r="L1645" s="91" t="s">
        <v>20</v>
      </c>
      <c r="M1645" s="69">
        <v>45273.0</v>
      </c>
      <c r="N1645" s="77" t="str">
        <f t="shared" si="2"/>
        <v>dezembro</v>
      </c>
    </row>
    <row r="1646" ht="27.0" customHeight="1">
      <c r="A1646" s="7" t="s">
        <v>5113</v>
      </c>
      <c r="B1646" s="8">
        <v>45272.41959810186</v>
      </c>
      <c r="C1646" s="7" t="s">
        <v>5114</v>
      </c>
      <c r="D1646" s="7" t="s">
        <v>5115</v>
      </c>
      <c r="E1646" s="7" t="s">
        <v>2560</v>
      </c>
      <c r="F1646" s="7" t="s">
        <v>347</v>
      </c>
      <c r="G1646" s="9">
        <v>214.0</v>
      </c>
      <c r="H1646" s="7" t="s">
        <v>764</v>
      </c>
      <c r="I1646" s="7"/>
      <c r="J1646" s="7" t="s">
        <v>5116</v>
      </c>
      <c r="K1646" s="10"/>
      <c r="L1646" s="91" t="s">
        <v>20</v>
      </c>
      <c r="M1646" s="69">
        <v>45275.0</v>
      </c>
      <c r="N1646" s="77" t="str">
        <f t="shared" si="2"/>
        <v>dezembro</v>
      </c>
    </row>
    <row r="1647" ht="27.0" customHeight="1">
      <c r="A1647" s="7" t="s">
        <v>5117</v>
      </c>
      <c r="B1647" s="8">
        <v>45272.587535555554</v>
      </c>
      <c r="C1647" s="7" t="s">
        <v>2870</v>
      </c>
      <c r="D1647" s="7">
        <v>5315.0</v>
      </c>
      <c r="E1647" s="25" t="s">
        <v>116</v>
      </c>
      <c r="F1647" s="7" t="s">
        <v>82</v>
      </c>
      <c r="G1647" s="9" t="s">
        <v>5118</v>
      </c>
      <c r="H1647" s="7" t="s">
        <v>1734</v>
      </c>
      <c r="I1647" s="7"/>
      <c r="J1647" s="7" t="s">
        <v>5119</v>
      </c>
      <c r="K1647" s="10"/>
      <c r="L1647" s="91" t="s">
        <v>20</v>
      </c>
      <c r="M1647" s="69">
        <v>45280.0</v>
      </c>
      <c r="N1647" s="77" t="str">
        <f t="shared" si="2"/>
        <v>dezembro</v>
      </c>
    </row>
    <row r="1648" ht="27.0" customHeight="1">
      <c r="A1648" s="7" t="s">
        <v>5120</v>
      </c>
      <c r="B1648" s="8">
        <v>45272.65596694444</v>
      </c>
      <c r="C1648" s="7" t="s">
        <v>2441</v>
      </c>
      <c r="D1648" s="7">
        <v>6.2982410124E10</v>
      </c>
      <c r="E1648" s="25" t="s">
        <v>621</v>
      </c>
      <c r="F1648" s="25" t="s">
        <v>86</v>
      </c>
      <c r="G1648" s="9" t="s">
        <v>5121</v>
      </c>
      <c r="H1648" s="7" t="s">
        <v>79</v>
      </c>
      <c r="I1648" s="7"/>
      <c r="J1648" s="7" t="s">
        <v>5122</v>
      </c>
      <c r="K1648" s="10"/>
      <c r="L1648" s="91" t="s">
        <v>20</v>
      </c>
      <c r="M1648" s="69">
        <v>45341.0</v>
      </c>
      <c r="N1648" s="77" t="str">
        <f t="shared" si="2"/>
        <v>dezembro</v>
      </c>
    </row>
    <row r="1649" ht="27.0" customHeight="1">
      <c r="A1649" s="7" t="s">
        <v>5123</v>
      </c>
      <c r="B1649" s="8">
        <v>45272.676023796295</v>
      </c>
      <c r="C1649" s="7" t="s">
        <v>3857</v>
      </c>
      <c r="D1649" s="7">
        <v>5323.0</v>
      </c>
      <c r="E1649" s="20" t="s">
        <v>226</v>
      </c>
      <c r="F1649" s="25" t="s">
        <v>61</v>
      </c>
      <c r="G1649" s="9" t="s">
        <v>5044</v>
      </c>
      <c r="H1649" s="7" t="s">
        <v>18</v>
      </c>
      <c r="I1649" s="7"/>
      <c r="J1649" s="7" t="s">
        <v>5124</v>
      </c>
      <c r="K1649" s="10" t="s">
        <v>5125</v>
      </c>
      <c r="L1649" s="91" t="s">
        <v>20</v>
      </c>
      <c r="M1649" s="69">
        <v>45338.0</v>
      </c>
      <c r="N1649" s="77" t="str">
        <f t="shared" si="2"/>
        <v>dezembro</v>
      </c>
    </row>
    <row r="1650" ht="27.0" customHeight="1">
      <c r="A1650" s="7" t="s">
        <v>5126</v>
      </c>
      <c r="B1650" s="8">
        <v>45273.32922150463</v>
      </c>
      <c r="C1650" s="7" t="s">
        <v>512</v>
      </c>
      <c r="D1650" s="7">
        <v>5340.0</v>
      </c>
      <c r="E1650" s="25" t="s">
        <v>70</v>
      </c>
      <c r="F1650" s="7" t="s">
        <v>332</v>
      </c>
      <c r="G1650" s="9" t="s">
        <v>684</v>
      </c>
      <c r="H1650" s="7" t="s">
        <v>79</v>
      </c>
      <c r="I1650" s="7"/>
      <c r="J1650" s="7" t="s">
        <v>626</v>
      </c>
      <c r="K1650" s="10"/>
      <c r="L1650" s="91" t="s">
        <v>20</v>
      </c>
      <c r="M1650" s="69">
        <v>45273.0</v>
      </c>
      <c r="N1650" s="77" t="str">
        <f t="shared" si="2"/>
        <v>dezembro</v>
      </c>
    </row>
    <row r="1651" ht="27.0" customHeight="1">
      <c r="A1651" s="7" t="s">
        <v>5127</v>
      </c>
      <c r="B1651" s="8">
        <v>45273.33291262732</v>
      </c>
      <c r="C1651" s="7" t="s">
        <v>512</v>
      </c>
      <c r="D1651" s="7">
        <v>5340.0</v>
      </c>
      <c r="E1651" s="25" t="s">
        <v>70</v>
      </c>
      <c r="F1651" s="7" t="s">
        <v>1957</v>
      </c>
      <c r="G1651" s="9" t="s">
        <v>5128</v>
      </c>
      <c r="H1651" s="7" t="s">
        <v>764</v>
      </c>
      <c r="I1651" s="7"/>
      <c r="J1651" s="7" t="s">
        <v>5129</v>
      </c>
      <c r="K1651" s="10"/>
      <c r="L1651" s="91" t="s">
        <v>20</v>
      </c>
      <c r="M1651" s="69">
        <v>45275.0</v>
      </c>
      <c r="N1651" s="77" t="str">
        <f t="shared" si="2"/>
        <v>dezembro</v>
      </c>
    </row>
    <row r="1652" ht="27.0" customHeight="1">
      <c r="A1652" s="7" t="s">
        <v>5130</v>
      </c>
      <c r="B1652" s="8">
        <v>45273.35553460648</v>
      </c>
      <c r="C1652" s="7" t="s">
        <v>5131</v>
      </c>
      <c r="D1652" s="7">
        <v>6.4984191576E10</v>
      </c>
      <c r="E1652" s="25" t="s">
        <v>853</v>
      </c>
      <c r="F1652" s="25" t="s">
        <v>86</v>
      </c>
      <c r="G1652" s="9" t="s">
        <v>5132</v>
      </c>
      <c r="H1652" s="7" t="s">
        <v>79</v>
      </c>
      <c r="I1652" s="7"/>
      <c r="J1652" s="7" t="s">
        <v>5133</v>
      </c>
      <c r="K1652" s="10"/>
      <c r="L1652" s="91" t="s">
        <v>20</v>
      </c>
      <c r="M1652" s="69">
        <v>45273.0</v>
      </c>
      <c r="N1652" s="77" t="str">
        <f t="shared" si="2"/>
        <v>dezembro</v>
      </c>
    </row>
    <row r="1653" ht="27.0" customHeight="1">
      <c r="A1653" s="7" t="s">
        <v>5134</v>
      </c>
      <c r="B1653" s="8">
        <v>45273.43742138889</v>
      </c>
      <c r="C1653" s="7" t="s">
        <v>1438</v>
      </c>
      <c r="D1653" s="7">
        <v>5311.0</v>
      </c>
      <c r="E1653" s="25" t="s">
        <v>251</v>
      </c>
      <c r="F1653" s="25" t="s">
        <v>100</v>
      </c>
      <c r="G1653" s="9" t="s">
        <v>1967</v>
      </c>
      <c r="H1653" s="7" t="s">
        <v>1734</v>
      </c>
      <c r="I1653" s="7"/>
      <c r="J1653" s="7" t="s">
        <v>5135</v>
      </c>
      <c r="K1653" s="10"/>
      <c r="L1653" s="91" t="s">
        <v>20</v>
      </c>
      <c r="M1653" s="69">
        <v>45273.0</v>
      </c>
      <c r="N1653" s="77" t="str">
        <f t="shared" si="2"/>
        <v>dezembro</v>
      </c>
    </row>
    <row r="1654" ht="27.0" customHeight="1">
      <c r="A1654" s="7" t="s">
        <v>5136</v>
      </c>
      <c r="B1654" s="8">
        <v>45273.60804153935</v>
      </c>
      <c r="C1654" s="7" t="s">
        <v>1845</v>
      </c>
      <c r="D1654" s="7">
        <v>5320.0</v>
      </c>
      <c r="E1654" s="20" t="s">
        <v>206</v>
      </c>
      <c r="F1654" s="7" t="s">
        <v>178</v>
      </c>
      <c r="G1654" s="9" t="s">
        <v>5137</v>
      </c>
      <c r="H1654" s="7" t="s">
        <v>764</v>
      </c>
      <c r="I1654" s="7"/>
      <c r="J1654" s="7" t="s">
        <v>5138</v>
      </c>
      <c r="K1654" s="10"/>
      <c r="L1654" s="91" t="s">
        <v>20</v>
      </c>
      <c r="M1654" s="69">
        <v>45275.0</v>
      </c>
      <c r="N1654" s="77" t="str">
        <f t="shared" si="2"/>
        <v>dezembro</v>
      </c>
    </row>
    <row r="1655" ht="27.0" customHeight="1">
      <c r="A1655" s="7" t="s">
        <v>5139</v>
      </c>
      <c r="B1655" s="8">
        <v>45273.60804153935</v>
      </c>
      <c r="C1655" s="7" t="s">
        <v>531</v>
      </c>
      <c r="D1655" s="7">
        <v>5341.0</v>
      </c>
      <c r="E1655" s="7" t="s">
        <v>532</v>
      </c>
      <c r="F1655" s="7" t="s">
        <v>188</v>
      </c>
      <c r="G1655" s="9" t="s">
        <v>1711</v>
      </c>
      <c r="H1655" s="7" t="s">
        <v>79</v>
      </c>
      <c r="I1655" s="7"/>
      <c r="J1655" s="7" t="s">
        <v>5140</v>
      </c>
      <c r="K1655" s="10"/>
      <c r="L1655" s="91" t="s">
        <v>20</v>
      </c>
      <c r="M1655" s="69">
        <v>45274.0</v>
      </c>
      <c r="N1655" s="77" t="str">
        <f t="shared" si="2"/>
        <v>dezembro</v>
      </c>
    </row>
    <row r="1656" ht="27.0" customHeight="1">
      <c r="A1656" s="7" t="s">
        <v>5141</v>
      </c>
      <c r="B1656" s="8">
        <v>45273.910035925925</v>
      </c>
      <c r="C1656" s="7" t="s">
        <v>186</v>
      </c>
      <c r="D1656" s="7" t="s">
        <v>2643</v>
      </c>
      <c r="E1656" s="25" t="s">
        <v>187</v>
      </c>
      <c r="F1656" s="7" t="s">
        <v>347</v>
      </c>
      <c r="G1656" s="9" t="s">
        <v>5142</v>
      </c>
      <c r="H1656" s="7" t="s">
        <v>1734</v>
      </c>
      <c r="I1656" s="7"/>
      <c r="J1656" s="7" t="s">
        <v>5143</v>
      </c>
      <c r="K1656" s="10"/>
      <c r="L1656" s="91" t="s">
        <v>20</v>
      </c>
      <c r="M1656" s="69">
        <v>45274.0</v>
      </c>
      <c r="N1656" s="77" t="str">
        <f t="shared" si="2"/>
        <v>dezembro</v>
      </c>
    </row>
    <row r="1657" ht="27.0" customHeight="1">
      <c r="A1657" s="7" t="s">
        <v>5144</v>
      </c>
      <c r="B1657" s="8">
        <v>45274.32715444444</v>
      </c>
      <c r="C1657" s="7" t="s">
        <v>512</v>
      </c>
      <c r="D1657" s="7">
        <v>5340.0</v>
      </c>
      <c r="E1657" s="25" t="s">
        <v>70</v>
      </c>
      <c r="F1657" s="25" t="s">
        <v>393</v>
      </c>
      <c r="G1657" s="9" t="s">
        <v>1820</v>
      </c>
      <c r="H1657" s="7" t="s">
        <v>1734</v>
      </c>
      <c r="I1657" s="7"/>
      <c r="J1657" s="7" t="s">
        <v>5145</v>
      </c>
      <c r="K1657" s="10"/>
      <c r="L1657" s="91" t="s">
        <v>20</v>
      </c>
      <c r="M1657" s="69">
        <v>45274.0</v>
      </c>
      <c r="N1657" s="77" t="str">
        <f t="shared" si="2"/>
        <v>dezembro</v>
      </c>
    </row>
    <row r="1658" ht="27.0" customHeight="1">
      <c r="A1658" s="7" t="s">
        <v>5146</v>
      </c>
      <c r="B1658" s="8">
        <v>45274.36807946759</v>
      </c>
      <c r="C1658" s="7" t="s">
        <v>446</v>
      </c>
      <c r="D1658" s="7">
        <v>5312.0</v>
      </c>
      <c r="E1658" s="7" t="s">
        <v>446</v>
      </c>
      <c r="F1658" s="7" t="s">
        <v>82</v>
      </c>
      <c r="G1658" s="9">
        <v>20.0</v>
      </c>
      <c r="H1658" s="7" t="s">
        <v>79</v>
      </c>
      <c r="I1658" s="7"/>
      <c r="J1658" s="7" t="s">
        <v>5147</v>
      </c>
      <c r="K1658" s="10"/>
      <c r="L1658" s="91" t="s">
        <v>20</v>
      </c>
      <c r="M1658" s="69">
        <v>45274.0</v>
      </c>
      <c r="N1658" s="77" t="str">
        <f t="shared" si="2"/>
        <v>dezembro</v>
      </c>
    </row>
    <row r="1659" ht="27.0" customHeight="1">
      <c r="A1659" s="7" t="s">
        <v>5148</v>
      </c>
      <c r="B1659" s="8">
        <v>45274.400661481486</v>
      </c>
      <c r="C1659" s="7" t="s">
        <v>4014</v>
      </c>
      <c r="D1659" s="7" t="s">
        <v>4015</v>
      </c>
      <c r="E1659" s="7" t="s">
        <v>199</v>
      </c>
      <c r="F1659" s="25" t="s">
        <v>86</v>
      </c>
      <c r="G1659" s="9" t="s">
        <v>5149</v>
      </c>
      <c r="H1659" s="7" t="s">
        <v>1734</v>
      </c>
      <c r="I1659" s="7"/>
      <c r="J1659" s="7" t="s">
        <v>5150</v>
      </c>
      <c r="K1659" s="10"/>
      <c r="L1659" s="91" t="s">
        <v>20</v>
      </c>
      <c r="M1659" s="69">
        <v>45278.0</v>
      </c>
      <c r="N1659" s="77" t="str">
        <f t="shared" si="2"/>
        <v>dezembro</v>
      </c>
    </row>
    <row r="1660" ht="27.0" customHeight="1">
      <c r="A1660" s="7" t="s">
        <v>5151</v>
      </c>
      <c r="B1660" s="8">
        <v>45274.43351335648</v>
      </c>
      <c r="C1660" s="7" t="s">
        <v>5152</v>
      </c>
      <c r="D1660" s="7">
        <v>5320.0</v>
      </c>
      <c r="E1660" s="20" t="s">
        <v>206</v>
      </c>
      <c r="F1660" s="7" t="s">
        <v>178</v>
      </c>
      <c r="G1660" s="9" t="s">
        <v>5153</v>
      </c>
      <c r="H1660" s="7" t="s">
        <v>1734</v>
      </c>
      <c r="I1660" s="7"/>
      <c r="J1660" s="7" t="s">
        <v>5154</v>
      </c>
      <c r="K1660" s="10"/>
      <c r="L1660" s="91" t="s">
        <v>20</v>
      </c>
      <c r="M1660" s="69">
        <v>45278.0</v>
      </c>
      <c r="N1660" s="77" t="str">
        <f t="shared" si="2"/>
        <v>dezembro</v>
      </c>
    </row>
    <row r="1661" ht="27.0" customHeight="1">
      <c r="A1661" s="7" t="s">
        <v>5155</v>
      </c>
      <c r="B1661" s="8">
        <v>45274.4440649537</v>
      </c>
      <c r="C1661" s="7" t="s">
        <v>186</v>
      </c>
      <c r="D1661" s="7" t="s">
        <v>2643</v>
      </c>
      <c r="E1661" s="25" t="s">
        <v>187</v>
      </c>
      <c r="F1661" s="7" t="s">
        <v>347</v>
      </c>
      <c r="G1661" s="9">
        <v>115.0</v>
      </c>
      <c r="H1661" s="7" t="s">
        <v>79</v>
      </c>
      <c r="I1661" s="7"/>
      <c r="J1661" s="7" t="s">
        <v>5156</v>
      </c>
      <c r="K1661" s="10"/>
      <c r="L1661" s="91" t="s">
        <v>20</v>
      </c>
      <c r="M1661" s="69">
        <v>45327.0</v>
      </c>
      <c r="N1661" s="77" t="str">
        <f t="shared" si="2"/>
        <v>dezembro</v>
      </c>
    </row>
    <row r="1662" ht="27.0" customHeight="1">
      <c r="A1662" s="7" t="s">
        <v>5157</v>
      </c>
      <c r="B1662" s="8">
        <v>45274.45252864584</v>
      </c>
      <c r="C1662" s="7" t="s">
        <v>512</v>
      </c>
      <c r="D1662" s="7">
        <v>5340.0</v>
      </c>
      <c r="E1662" s="25" t="s">
        <v>70</v>
      </c>
      <c r="F1662" s="7" t="s">
        <v>1957</v>
      </c>
      <c r="G1662" s="9" t="s">
        <v>5158</v>
      </c>
      <c r="H1662" s="7" t="s">
        <v>129</v>
      </c>
      <c r="I1662" s="7"/>
      <c r="J1662" s="7" t="s">
        <v>5159</v>
      </c>
      <c r="K1662" s="10"/>
      <c r="L1662" s="91" t="s">
        <v>20</v>
      </c>
      <c r="M1662" s="69">
        <v>45274.0</v>
      </c>
      <c r="N1662" s="77" t="str">
        <f t="shared" si="2"/>
        <v>dezembro</v>
      </c>
    </row>
    <row r="1663" ht="27.0" customHeight="1">
      <c r="A1663" s="7" t="s">
        <v>5160</v>
      </c>
      <c r="B1663" s="8">
        <v>45274.725301388884</v>
      </c>
      <c r="C1663" s="7" t="s">
        <v>5161</v>
      </c>
      <c r="D1663" s="7">
        <v>5320.0</v>
      </c>
      <c r="E1663" s="20" t="s">
        <v>206</v>
      </c>
      <c r="F1663" s="7" t="s">
        <v>178</v>
      </c>
      <c r="G1663" s="9" t="s">
        <v>5162</v>
      </c>
      <c r="H1663" s="7" t="s">
        <v>764</v>
      </c>
      <c r="I1663" s="7"/>
      <c r="J1663" s="7" t="s">
        <v>5163</v>
      </c>
      <c r="K1663" s="10"/>
      <c r="L1663" s="91" t="s">
        <v>20</v>
      </c>
      <c r="M1663" s="69">
        <v>45320.0</v>
      </c>
      <c r="N1663" s="77" t="str">
        <f t="shared" si="2"/>
        <v>dezembro</v>
      </c>
    </row>
    <row r="1664" ht="27.0" customHeight="1">
      <c r="A1664" s="7" t="s">
        <v>5164</v>
      </c>
      <c r="B1664" s="8">
        <v>45275.18362414352</v>
      </c>
      <c r="C1664" s="7" t="s">
        <v>65</v>
      </c>
      <c r="D1664" s="7">
        <v>5318.0</v>
      </c>
      <c r="E1664" s="25" t="s">
        <v>15</v>
      </c>
      <c r="F1664" s="7" t="s">
        <v>16</v>
      </c>
      <c r="G1664" s="9" t="s">
        <v>5165</v>
      </c>
      <c r="H1664" s="7" t="s">
        <v>18</v>
      </c>
      <c r="I1664" s="7"/>
      <c r="J1664" s="7" t="s">
        <v>5166</v>
      </c>
      <c r="K1664" s="10"/>
      <c r="L1664" s="91" t="s">
        <v>20</v>
      </c>
      <c r="M1664" s="69">
        <v>45278.0</v>
      </c>
      <c r="N1664" s="77" t="str">
        <f t="shared" si="2"/>
        <v>dezembro</v>
      </c>
    </row>
    <row r="1665" ht="27.0" customHeight="1">
      <c r="A1665" s="7" t="s">
        <v>5167</v>
      </c>
      <c r="B1665" s="8">
        <v>45275.383260138886</v>
      </c>
      <c r="C1665" s="7" t="s">
        <v>432</v>
      </c>
      <c r="D1665" s="7">
        <v>6.4981321757E10</v>
      </c>
      <c r="E1665" s="25" t="s">
        <v>187</v>
      </c>
      <c r="F1665" s="7" t="s">
        <v>347</v>
      </c>
      <c r="G1665" s="9" t="s">
        <v>1463</v>
      </c>
      <c r="H1665" s="7" t="s">
        <v>129</v>
      </c>
      <c r="I1665" s="7"/>
      <c r="J1665" s="7" t="s">
        <v>5168</v>
      </c>
      <c r="K1665" s="10"/>
      <c r="L1665" s="91" t="s">
        <v>20</v>
      </c>
      <c r="M1665" s="69">
        <v>45341.0</v>
      </c>
      <c r="N1665" s="77" t="str">
        <f t="shared" si="2"/>
        <v>dezembro</v>
      </c>
    </row>
    <row r="1666" ht="27.0" customHeight="1">
      <c r="A1666" s="7" t="s">
        <v>5169</v>
      </c>
      <c r="B1666" s="8">
        <v>45276.564495451385</v>
      </c>
      <c r="C1666" s="7" t="s">
        <v>138</v>
      </c>
      <c r="D1666" s="7">
        <v>5318.0</v>
      </c>
      <c r="E1666" s="25" t="s">
        <v>15</v>
      </c>
      <c r="F1666" s="7" t="s">
        <v>49</v>
      </c>
      <c r="G1666" s="9" t="s">
        <v>5170</v>
      </c>
      <c r="H1666" s="7" t="s">
        <v>18</v>
      </c>
      <c r="I1666" s="7"/>
      <c r="J1666" s="7" t="s">
        <v>5171</v>
      </c>
      <c r="K1666" s="10"/>
      <c r="L1666" s="91" t="s">
        <v>20</v>
      </c>
      <c r="M1666" s="69">
        <v>45301.0</v>
      </c>
      <c r="N1666" s="77" t="str">
        <f t="shared" si="2"/>
        <v>dezembro</v>
      </c>
    </row>
    <row r="1667" ht="27.0" customHeight="1">
      <c r="A1667" s="7" t="s">
        <v>5172</v>
      </c>
      <c r="B1667" s="8">
        <v>45277.22280880787</v>
      </c>
      <c r="C1667" s="7" t="s">
        <v>65</v>
      </c>
      <c r="D1667" s="7">
        <v>5318.0</v>
      </c>
      <c r="E1667" s="25" t="s">
        <v>15</v>
      </c>
      <c r="F1667" s="25" t="s">
        <v>393</v>
      </c>
      <c r="G1667" s="9" t="s">
        <v>14</v>
      </c>
      <c r="H1667" s="7" t="s">
        <v>18</v>
      </c>
      <c r="I1667" s="7"/>
      <c r="J1667" s="7" t="s">
        <v>5173</v>
      </c>
      <c r="K1667" s="10"/>
      <c r="L1667" s="91" t="s">
        <v>20</v>
      </c>
      <c r="M1667" s="69">
        <v>45279.0</v>
      </c>
      <c r="N1667" s="77" t="str">
        <f t="shared" si="2"/>
        <v>dezembro</v>
      </c>
    </row>
    <row r="1668" ht="27.0" customHeight="1">
      <c r="A1668" s="7" t="s">
        <v>5174</v>
      </c>
      <c r="B1668" s="8">
        <v>45278.37665184028</v>
      </c>
      <c r="C1668" s="7" t="s">
        <v>4353</v>
      </c>
      <c r="D1668" s="7">
        <v>5333.0</v>
      </c>
      <c r="E1668" s="7" t="s">
        <v>41</v>
      </c>
      <c r="F1668" s="7" t="s">
        <v>42</v>
      </c>
      <c r="G1668" s="9" t="s">
        <v>976</v>
      </c>
      <c r="H1668" s="7" t="s">
        <v>162</v>
      </c>
      <c r="I1668" s="7"/>
      <c r="J1668" s="7" t="s">
        <v>5175</v>
      </c>
      <c r="K1668" s="10"/>
      <c r="L1668" s="91" t="s">
        <v>20</v>
      </c>
      <c r="M1668" s="69">
        <v>45286.0</v>
      </c>
      <c r="N1668" s="77" t="str">
        <f t="shared" si="2"/>
        <v>dezembro</v>
      </c>
    </row>
    <row r="1669" ht="27.0" customHeight="1">
      <c r="A1669" s="7" t="s">
        <v>5176</v>
      </c>
      <c r="B1669" s="8">
        <v>45278.60024010416</v>
      </c>
      <c r="C1669" s="7" t="s">
        <v>5177</v>
      </c>
      <c r="D1669" s="7" t="s">
        <v>5178</v>
      </c>
      <c r="E1669" s="7" t="s">
        <v>1127</v>
      </c>
      <c r="F1669" s="7" t="s">
        <v>82</v>
      </c>
      <c r="G1669" s="9">
        <v>112.0</v>
      </c>
      <c r="H1669" s="7" t="s">
        <v>79</v>
      </c>
      <c r="I1669" s="7"/>
      <c r="J1669" s="7" t="s">
        <v>5179</v>
      </c>
      <c r="K1669" s="10" t="s">
        <v>261</v>
      </c>
      <c r="L1669" s="91" t="s">
        <v>74</v>
      </c>
      <c r="M1669" s="10"/>
      <c r="N1669" s="77" t="str">
        <f t="shared" si="2"/>
        <v>dezembro</v>
      </c>
    </row>
    <row r="1670" ht="27.0" customHeight="1">
      <c r="A1670" s="7" t="s">
        <v>5180</v>
      </c>
      <c r="B1670" s="8">
        <v>45278.702808692135</v>
      </c>
      <c r="C1670" s="7" t="s">
        <v>2870</v>
      </c>
      <c r="D1670" s="7">
        <v>5315.0</v>
      </c>
      <c r="E1670" s="25" t="s">
        <v>116</v>
      </c>
      <c r="F1670" s="7" t="s">
        <v>82</v>
      </c>
      <c r="G1670" s="9" t="s">
        <v>5181</v>
      </c>
      <c r="H1670" s="7" t="s">
        <v>1734</v>
      </c>
      <c r="I1670" s="7"/>
      <c r="J1670" s="7" t="s">
        <v>5182</v>
      </c>
      <c r="K1670" s="10"/>
      <c r="L1670" s="91" t="s">
        <v>20</v>
      </c>
      <c r="M1670" s="69">
        <v>45279.0</v>
      </c>
      <c r="N1670" s="77" t="str">
        <f t="shared" si="2"/>
        <v>dezembro</v>
      </c>
    </row>
    <row r="1671" ht="27.0" customHeight="1">
      <c r="A1671" s="7" t="s">
        <v>5183</v>
      </c>
      <c r="B1671" s="8">
        <v>45278.801471597224</v>
      </c>
      <c r="C1671" s="7" t="s">
        <v>339</v>
      </c>
      <c r="D1671" s="7" t="s">
        <v>5184</v>
      </c>
      <c r="E1671" s="25" t="s">
        <v>284</v>
      </c>
      <c r="F1671" s="25" t="s">
        <v>86</v>
      </c>
      <c r="G1671" s="9" t="s">
        <v>5185</v>
      </c>
      <c r="H1671" s="7" t="s">
        <v>1734</v>
      </c>
      <c r="I1671" s="7"/>
      <c r="J1671" s="7" t="s">
        <v>5186</v>
      </c>
      <c r="K1671" s="10"/>
      <c r="L1671" s="91" t="s">
        <v>20</v>
      </c>
      <c r="M1671" s="69">
        <v>44934.0</v>
      </c>
      <c r="N1671" s="77" t="str">
        <f t="shared" si="2"/>
        <v>dezembro</v>
      </c>
    </row>
    <row r="1672" ht="27.0" customHeight="1">
      <c r="A1672" s="7" t="s">
        <v>5187</v>
      </c>
      <c r="B1672" s="8">
        <v>45278.855863599536</v>
      </c>
      <c r="C1672" s="7" t="s">
        <v>4740</v>
      </c>
      <c r="D1672" s="7" t="s">
        <v>5188</v>
      </c>
      <c r="E1672" s="7" t="s">
        <v>1372</v>
      </c>
      <c r="F1672" s="7" t="s">
        <v>35</v>
      </c>
      <c r="G1672" s="9" t="s">
        <v>4568</v>
      </c>
      <c r="H1672" s="7" t="s">
        <v>79</v>
      </c>
      <c r="I1672" s="7"/>
      <c r="J1672" s="7" t="s">
        <v>5189</v>
      </c>
      <c r="K1672" s="10"/>
      <c r="L1672" s="91" t="s">
        <v>20</v>
      </c>
      <c r="M1672" s="69">
        <v>45281.0</v>
      </c>
      <c r="N1672" s="77" t="str">
        <f t="shared" si="2"/>
        <v>dezembro</v>
      </c>
    </row>
    <row r="1673" ht="27.0" customHeight="1">
      <c r="A1673" s="7" t="s">
        <v>5190</v>
      </c>
      <c r="B1673" s="8">
        <v>45279.36103721065</v>
      </c>
      <c r="C1673" s="7" t="s">
        <v>76</v>
      </c>
      <c r="D1673" s="7">
        <v>5340.0</v>
      </c>
      <c r="E1673" s="25" t="s">
        <v>70</v>
      </c>
      <c r="F1673" s="7" t="s">
        <v>5191</v>
      </c>
      <c r="G1673" s="9" t="s">
        <v>5192</v>
      </c>
      <c r="H1673" s="7" t="s">
        <v>162</v>
      </c>
      <c r="I1673" s="7"/>
      <c r="J1673" s="7" t="s">
        <v>5193</v>
      </c>
      <c r="K1673" s="10"/>
      <c r="L1673" s="91" t="s">
        <v>20</v>
      </c>
      <c r="M1673" s="69">
        <v>45337.0</v>
      </c>
      <c r="N1673" s="77" t="str">
        <f t="shared" si="2"/>
        <v>dezembro</v>
      </c>
    </row>
    <row r="1674" ht="27.0" customHeight="1">
      <c r="A1674" s="7" t="s">
        <v>5194</v>
      </c>
      <c r="B1674" s="8">
        <v>45279.373468564816</v>
      </c>
      <c r="C1674" s="7" t="s">
        <v>512</v>
      </c>
      <c r="D1674" s="7">
        <v>5340.0</v>
      </c>
      <c r="E1674" s="25" t="s">
        <v>70</v>
      </c>
      <c r="F1674" s="7" t="s">
        <v>5195</v>
      </c>
      <c r="G1674" s="9" t="s">
        <v>5196</v>
      </c>
      <c r="H1674" s="7" t="s">
        <v>162</v>
      </c>
      <c r="I1674" s="7"/>
      <c r="J1674" s="7" t="s">
        <v>5197</v>
      </c>
      <c r="K1674" s="10"/>
      <c r="L1674" s="91" t="s">
        <v>20</v>
      </c>
      <c r="M1674" s="69">
        <v>45337.0</v>
      </c>
      <c r="N1674" s="77" t="str">
        <f t="shared" si="2"/>
        <v>dezembro</v>
      </c>
    </row>
    <row r="1675" ht="27.0" customHeight="1">
      <c r="A1675" s="7" t="s">
        <v>5198</v>
      </c>
      <c r="B1675" s="8">
        <v>45279.430350925926</v>
      </c>
      <c r="C1675" s="7" t="s">
        <v>5199</v>
      </c>
      <c r="D1675" s="7" t="s">
        <v>1027</v>
      </c>
      <c r="E1675" s="25" t="s">
        <v>187</v>
      </c>
      <c r="F1675" s="7" t="s">
        <v>188</v>
      </c>
      <c r="G1675" s="9" t="s">
        <v>4703</v>
      </c>
      <c r="H1675" s="7" t="s">
        <v>1734</v>
      </c>
      <c r="I1675" s="7"/>
      <c r="J1675" s="7" t="s">
        <v>5200</v>
      </c>
      <c r="K1675" s="10"/>
      <c r="L1675" s="91" t="s">
        <v>20</v>
      </c>
      <c r="M1675" s="69">
        <v>45280.0</v>
      </c>
      <c r="N1675" s="77" t="str">
        <f t="shared" si="2"/>
        <v>dezembro</v>
      </c>
    </row>
    <row r="1676" ht="27.0" customHeight="1">
      <c r="A1676" s="7" t="s">
        <v>5201</v>
      </c>
      <c r="B1676" s="8">
        <v>45279.443772604165</v>
      </c>
      <c r="C1676" s="7" t="s">
        <v>512</v>
      </c>
      <c r="D1676" s="7">
        <v>5340.0</v>
      </c>
      <c r="E1676" s="25" t="s">
        <v>70</v>
      </c>
      <c r="F1676" s="7" t="s">
        <v>5195</v>
      </c>
      <c r="G1676" s="9" t="s">
        <v>5202</v>
      </c>
      <c r="H1676" s="7" t="s">
        <v>1734</v>
      </c>
      <c r="I1676" s="7"/>
      <c r="J1676" s="7" t="s">
        <v>5203</v>
      </c>
      <c r="K1676" s="10"/>
      <c r="L1676" s="91" t="s">
        <v>20</v>
      </c>
      <c r="M1676" s="69">
        <v>45281.0</v>
      </c>
      <c r="N1676" s="77" t="str">
        <f t="shared" si="2"/>
        <v>dezembro</v>
      </c>
    </row>
    <row r="1677" ht="27.0" customHeight="1">
      <c r="A1677" s="7" t="s">
        <v>5204</v>
      </c>
      <c r="B1677" s="8">
        <v>45279.47769645833</v>
      </c>
      <c r="C1677" s="7" t="s">
        <v>5205</v>
      </c>
      <c r="D1677" s="7">
        <v>5333.0</v>
      </c>
      <c r="E1677" s="7" t="s">
        <v>41</v>
      </c>
      <c r="F1677" s="7" t="s">
        <v>82</v>
      </c>
      <c r="G1677" s="9">
        <v>104.0</v>
      </c>
      <c r="H1677" s="7" t="s">
        <v>1734</v>
      </c>
      <c r="I1677" s="7"/>
      <c r="J1677" s="7" t="s">
        <v>5206</v>
      </c>
      <c r="K1677" s="10" t="s">
        <v>987</v>
      </c>
      <c r="L1677" s="91" t="s">
        <v>74</v>
      </c>
      <c r="M1677" s="69"/>
      <c r="N1677" s="77" t="str">
        <f t="shared" si="2"/>
        <v>dezembro</v>
      </c>
    </row>
    <row r="1678" ht="27.0" customHeight="1">
      <c r="A1678" s="7" t="s">
        <v>5207</v>
      </c>
      <c r="B1678" s="8">
        <v>45279.79584460648</v>
      </c>
      <c r="C1678" s="7" t="s">
        <v>5208</v>
      </c>
      <c r="D1678" s="7">
        <v>5349.0</v>
      </c>
      <c r="E1678" s="25" t="s">
        <v>60</v>
      </c>
      <c r="F1678" s="25" t="s">
        <v>61</v>
      </c>
      <c r="G1678" s="9" t="s">
        <v>5209</v>
      </c>
      <c r="H1678" s="7" t="s">
        <v>1734</v>
      </c>
      <c r="I1678" s="7"/>
      <c r="J1678" s="7" t="s">
        <v>5210</v>
      </c>
      <c r="K1678" s="10"/>
      <c r="L1678" s="91" t="s">
        <v>20</v>
      </c>
      <c r="M1678" s="69">
        <v>45281.0</v>
      </c>
      <c r="N1678" s="77" t="str">
        <f t="shared" si="2"/>
        <v>dezembro</v>
      </c>
    </row>
    <row r="1679" ht="27.0" customHeight="1">
      <c r="A1679" s="7" t="s">
        <v>5211</v>
      </c>
      <c r="B1679" s="8">
        <v>45279.921543703706</v>
      </c>
      <c r="C1679" s="7" t="s">
        <v>4740</v>
      </c>
      <c r="D1679" s="7" t="s">
        <v>5212</v>
      </c>
      <c r="E1679" s="7" t="s">
        <v>1372</v>
      </c>
      <c r="F1679" s="7" t="s">
        <v>35</v>
      </c>
      <c r="G1679" s="9" t="s">
        <v>4568</v>
      </c>
      <c r="H1679" s="25" t="s">
        <v>44</v>
      </c>
      <c r="I1679" s="7"/>
      <c r="J1679" s="7" t="s">
        <v>5213</v>
      </c>
      <c r="K1679" s="10"/>
      <c r="L1679" s="91" t="s">
        <v>20</v>
      </c>
      <c r="M1679" s="18">
        <v>45366.0</v>
      </c>
      <c r="N1679" s="77" t="str">
        <f t="shared" si="2"/>
        <v>dezembro</v>
      </c>
    </row>
    <row r="1680" ht="27.0" customHeight="1">
      <c r="A1680" s="7" t="s">
        <v>5214</v>
      </c>
      <c r="B1680" s="8">
        <v>45279.923931400466</v>
      </c>
      <c r="C1680" s="7" t="s">
        <v>4740</v>
      </c>
      <c r="D1680" s="7" t="s">
        <v>5212</v>
      </c>
      <c r="E1680" s="7" t="s">
        <v>1372</v>
      </c>
      <c r="F1680" s="7" t="s">
        <v>35</v>
      </c>
      <c r="G1680" s="9" t="s">
        <v>5215</v>
      </c>
      <c r="H1680" s="25" t="s">
        <v>44</v>
      </c>
      <c r="I1680" s="7"/>
      <c r="J1680" s="7" t="s">
        <v>5216</v>
      </c>
      <c r="K1680" s="10"/>
      <c r="L1680" s="91" t="s">
        <v>20</v>
      </c>
      <c r="M1680" s="69">
        <v>45366.0</v>
      </c>
      <c r="N1680" s="77" t="str">
        <f t="shared" si="2"/>
        <v>dezembro</v>
      </c>
    </row>
    <row r="1681" ht="27.0" customHeight="1">
      <c r="A1681" s="7" t="s">
        <v>5217</v>
      </c>
      <c r="B1681" s="8">
        <v>45280.400500601856</v>
      </c>
      <c r="C1681" s="7" t="s">
        <v>531</v>
      </c>
      <c r="D1681" s="7">
        <v>5341.0</v>
      </c>
      <c r="E1681" s="7" t="s">
        <v>532</v>
      </c>
      <c r="F1681" s="25" t="s">
        <v>86</v>
      </c>
      <c r="G1681" s="9" t="s">
        <v>97</v>
      </c>
      <c r="H1681" s="7" t="s">
        <v>79</v>
      </c>
      <c r="I1681" s="7"/>
      <c r="J1681" s="7" t="s">
        <v>5218</v>
      </c>
      <c r="K1681" s="10"/>
      <c r="L1681" s="91" t="s">
        <v>20</v>
      </c>
      <c r="M1681" s="69">
        <v>45366.0</v>
      </c>
      <c r="N1681" s="77" t="str">
        <f t="shared" si="2"/>
        <v>dezembro</v>
      </c>
    </row>
    <row r="1682" ht="27.0" customHeight="1">
      <c r="A1682" s="7" t="s">
        <v>5219</v>
      </c>
      <c r="B1682" s="8">
        <v>45280.40256523148</v>
      </c>
      <c r="C1682" s="7" t="s">
        <v>531</v>
      </c>
      <c r="D1682" s="7">
        <v>5341.0</v>
      </c>
      <c r="E1682" s="7" t="s">
        <v>532</v>
      </c>
      <c r="F1682" s="7" t="s">
        <v>178</v>
      </c>
      <c r="G1682" s="9" t="s">
        <v>97</v>
      </c>
      <c r="H1682" s="7" t="s">
        <v>79</v>
      </c>
      <c r="I1682" s="7"/>
      <c r="J1682" s="7" t="s">
        <v>5220</v>
      </c>
      <c r="K1682" s="10"/>
      <c r="L1682" s="91" t="s">
        <v>20</v>
      </c>
      <c r="M1682" s="69">
        <v>45366.0</v>
      </c>
      <c r="N1682" s="77" t="str">
        <f t="shared" si="2"/>
        <v>dezembro</v>
      </c>
    </row>
    <row r="1683" ht="27.0" customHeight="1">
      <c r="A1683" s="7" t="s">
        <v>5221</v>
      </c>
      <c r="B1683" s="8">
        <v>45280.41023634259</v>
      </c>
      <c r="C1683" s="7" t="s">
        <v>5222</v>
      </c>
      <c r="D1683" s="7" t="s">
        <v>5223</v>
      </c>
      <c r="E1683" s="7" t="s">
        <v>199</v>
      </c>
      <c r="F1683" s="25" t="s">
        <v>86</v>
      </c>
      <c r="G1683" s="9" t="s">
        <v>5224</v>
      </c>
      <c r="H1683" s="7" t="s">
        <v>129</v>
      </c>
      <c r="I1683" s="7"/>
      <c r="J1683" s="7" t="s">
        <v>5225</v>
      </c>
      <c r="K1683" s="10"/>
      <c r="L1683" s="91" t="s">
        <v>3650</v>
      </c>
      <c r="M1683" s="69">
        <v>45341.0</v>
      </c>
      <c r="N1683" s="77" t="str">
        <f t="shared" si="2"/>
        <v>dezembro</v>
      </c>
    </row>
    <row r="1684" ht="27.0" customHeight="1">
      <c r="A1684" s="7" t="s">
        <v>5226</v>
      </c>
      <c r="B1684" s="8">
        <v>45280.412386145836</v>
      </c>
      <c r="C1684" s="7" t="s">
        <v>512</v>
      </c>
      <c r="D1684" s="7">
        <v>5340.0</v>
      </c>
      <c r="E1684" s="25" t="s">
        <v>70</v>
      </c>
      <c r="F1684" s="7" t="s">
        <v>82</v>
      </c>
      <c r="G1684" s="9" t="s">
        <v>5227</v>
      </c>
      <c r="H1684" s="7" t="s">
        <v>18</v>
      </c>
      <c r="I1684" s="7"/>
      <c r="J1684" s="7" t="s">
        <v>5228</v>
      </c>
      <c r="K1684" s="10"/>
      <c r="L1684" s="91" t="s">
        <v>20</v>
      </c>
      <c r="M1684" s="69">
        <v>45280.0</v>
      </c>
      <c r="N1684" s="77" t="str">
        <f t="shared" si="2"/>
        <v>dezembro</v>
      </c>
    </row>
    <row r="1685" ht="27.0" customHeight="1">
      <c r="A1685" s="7" t="s">
        <v>5229</v>
      </c>
      <c r="B1685" s="8">
        <v>45280.43543467592</v>
      </c>
      <c r="C1685" s="7" t="s">
        <v>47</v>
      </c>
      <c r="D1685" s="7">
        <v>5351.0</v>
      </c>
      <c r="E1685" s="25" t="s">
        <v>48</v>
      </c>
      <c r="F1685" s="7" t="s">
        <v>49</v>
      </c>
      <c r="G1685" s="9" t="s">
        <v>5230</v>
      </c>
      <c r="H1685" s="7" t="s">
        <v>1734</v>
      </c>
      <c r="I1685" s="7"/>
      <c r="J1685" s="7" t="s">
        <v>5231</v>
      </c>
      <c r="K1685" s="10"/>
      <c r="L1685" s="91" t="s">
        <v>20</v>
      </c>
      <c r="M1685" s="69">
        <v>45307.0</v>
      </c>
      <c r="N1685" s="77" t="str">
        <f t="shared" si="2"/>
        <v>dezembro</v>
      </c>
    </row>
    <row r="1686" ht="27.0" customHeight="1">
      <c r="A1686" s="7" t="s">
        <v>5232</v>
      </c>
      <c r="B1686" s="8">
        <v>45280.44509824074</v>
      </c>
      <c r="C1686" s="7" t="s">
        <v>76</v>
      </c>
      <c r="D1686" s="7">
        <v>5340.0</v>
      </c>
      <c r="E1686" s="25" t="s">
        <v>70</v>
      </c>
      <c r="F1686" s="25" t="s">
        <v>86</v>
      </c>
      <c r="G1686" s="9" t="s">
        <v>796</v>
      </c>
      <c r="H1686" s="7" t="s">
        <v>79</v>
      </c>
      <c r="I1686" s="7"/>
      <c r="J1686" s="7" t="s">
        <v>5233</v>
      </c>
      <c r="K1686" s="10"/>
      <c r="L1686" s="91" t="s">
        <v>20</v>
      </c>
      <c r="M1686" s="69">
        <v>45281.0</v>
      </c>
      <c r="N1686" s="77" t="str">
        <f t="shared" si="2"/>
        <v>dezembro</v>
      </c>
    </row>
    <row r="1687" ht="27.0" customHeight="1">
      <c r="A1687" s="7" t="s">
        <v>5234</v>
      </c>
      <c r="B1687" s="8">
        <v>45281.304413460646</v>
      </c>
      <c r="C1687" s="7" t="s">
        <v>512</v>
      </c>
      <c r="D1687" s="7">
        <v>5340.0</v>
      </c>
      <c r="E1687" s="25" t="s">
        <v>70</v>
      </c>
      <c r="F1687" s="7" t="s">
        <v>5195</v>
      </c>
      <c r="G1687" s="9" t="s">
        <v>5235</v>
      </c>
      <c r="H1687" s="7" t="s">
        <v>1734</v>
      </c>
      <c r="I1687" s="7"/>
      <c r="J1687" s="7" t="s">
        <v>5236</v>
      </c>
      <c r="K1687" s="10" t="s">
        <v>5237</v>
      </c>
      <c r="L1687" s="91" t="s">
        <v>74</v>
      </c>
      <c r="M1687" s="69">
        <v>45281.0</v>
      </c>
      <c r="N1687" s="77" t="str">
        <f t="shared" si="2"/>
        <v>dezembro</v>
      </c>
    </row>
    <row r="1688" ht="27.0" customHeight="1">
      <c r="A1688" s="7" t="s">
        <v>5238</v>
      </c>
      <c r="B1688" s="8">
        <v>45281.35198234954</v>
      </c>
      <c r="C1688" s="7" t="s">
        <v>553</v>
      </c>
      <c r="D1688" s="7">
        <v>5318.0</v>
      </c>
      <c r="E1688" s="25" t="s">
        <v>15</v>
      </c>
      <c r="F1688" s="7" t="s">
        <v>82</v>
      </c>
      <c r="G1688" s="9" t="s">
        <v>5239</v>
      </c>
      <c r="H1688" s="7" t="s">
        <v>18</v>
      </c>
      <c r="I1688" s="7"/>
      <c r="J1688" s="7" t="s">
        <v>5240</v>
      </c>
      <c r="K1688" s="10"/>
      <c r="L1688" s="91" t="s">
        <v>20</v>
      </c>
      <c r="M1688" s="69">
        <v>45286.0</v>
      </c>
      <c r="N1688" s="77" t="str">
        <f t="shared" si="2"/>
        <v>dezembro</v>
      </c>
    </row>
    <row r="1689" ht="27.0" customHeight="1">
      <c r="A1689" s="7" t="s">
        <v>5241</v>
      </c>
      <c r="B1689" s="8">
        <v>45281.74502545139</v>
      </c>
      <c r="C1689" s="7" t="s">
        <v>553</v>
      </c>
      <c r="D1689" s="7">
        <v>5318.0</v>
      </c>
      <c r="E1689" s="25" t="s">
        <v>15</v>
      </c>
      <c r="F1689" s="25" t="s">
        <v>86</v>
      </c>
      <c r="G1689" s="9" t="s">
        <v>5242</v>
      </c>
      <c r="H1689" s="7" t="s">
        <v>18</v>
      </c>
      <c r="I1689" s="7"/>
      <c r="J1689" s="7" t="s">
        <v>5243</v>
      </c>
      <c r="K1689" s="10"/>
      <c r="L1689" s="91" t="s">
        <v>20</v>
      </c>
      <c r="M1689" s="69">
        <v>45285.0</v>
      </c>
      <c r="N1689" s="77" t="str">
        <f t="shared" si="2"/>
        <v>dezembro</v>
      </c>
    </row>
    <row r="1690" ht="27.0" customHeight="1">
      <c r="A1690" s="7" t="s">
        <v>5244</v>
      </c>
      <c r="B1690" s="8">
        <v>45285.770143333335</v>
      </c>
      <c r="C1690" s="7" t="s">
        <v>65</v>
      </c>
      <c r="D1690" s="7">
        <v>5318.0</v>
      </c>
      <c r="E1690" s="25" t="s">
        <v>15</v>
      </c>
      <c r="F1690" s="7" t="s">
        <v>347</v>
      </c>
      <c r="G1690" s="9" t="s">
        <v>347</v>
      </c>
      <c r="H1690" s="7" t="s">
        <v>18</v>
      </c>
      <c r="I1690" s="7"/>
      <c r="J1690" s="7" t="s">
        <v>5245</v>
      </c>
      <c r="K1690" s="10"/>
      <c r="L1690" s="91" t="s">
        <v>20</v>
      </c>
      <c r="M1690" s="69">
        <v>45286.0</v>
      </c>
      <c r="N1690" s="77" t="str">
        <f t="shared" si="2"/>
        <v>dezembro</v>
      </c>
    </row>
    <row r="1691" ht="27.0" customHeight="1">
      <c r="A1691" s="7" t="s">
        <v>5246</v>
      </c>
      <c r="B1691" s="8">
        <v>45286.337507743054</v>
      </c>
      <c r="C1691" s="7" t="s">
        <v>40</v>
      </c>
      <c r="D1691" s="7">
        <v>5333.0</v>
      </c>
      <c r="E1691" s="7" t="s">
        <v>41</v>
      </c>
      <c r="F1691" s="7" t="s">
        <v>42</v>
      </c>
      <c r="G1691" s="9" t="s">
        <v>5247</v>
      </c>
      <c r="H1691" s="7" t="s">
        <v>18</v>
      </c>
      <c r="I1691" s="7"/>
      <c r="J1691" s="7" t="s">
        <v>5248</v>
      </c>
      <c r="K1691" s="10"/>
      <c r="L1691" s="91" t="s">
        <v>20</v>
      </c>
      <c r="M1691" s="69">
        <v>45286.0</v>
      </c>
      <c r="N1691" s="77" t="str">
        <f t="shared" si="2"/>
        <v>dezembro</v>
      </c>
    </row>
    <row r="1692" ht="27.0" customHeight="1">
      <c r="A1692" s="7" t="s">
        <v>5249</v>
      </c>
      <c r="B1692" s="8">
        <v>45286.42450155092</v>
      </c>
      <c r="C1692" s="7" t="s">
        <v>186</v>
      </c>
      <c r="D1692" s="7" t="s">
        <v>2643</v>
      </c>
      <c r="E1692" s="25" t="s">
        <v>187</v>
      </c>
      <c r="F1692" s="7" t="s">
        <v>347</v>
      </c>
      <c r="G1692" s="9">
        <v>113.0</v>
      </c>
      <c r="H1692" s="7" t="s">
        <v>1734</v>
      </c>
      <c r="I1692" s="7"/>
      <c r="J1692" s="7" t="s">
        <v>5250</v>
      </c>
      <c r="K1692" s="10"/>
      <c r="L1692" s="91" t="s">
        <v>20</v>
      </c>
      <c r="M1692" s="69">
        <v>45286.0</v>
      </c>
      <c r="N1692" s="77" t="str">
        <f t="shared" si="2"/>
        <v>dezembro</v>
      </c>
    </row>
    <row r="1693" ht="27.0" customHeight="1">
      <c r="A1693" s="7" t="s">
        <v>5251</v>
      </c>
      <c r="B1693" s="8">
        <v>45286.44657075232</v>
      </c>
      <c r="C1693" s="7" t="s">
        <v>512</v>
      </c>
      <c r="D1693" s="7">
        <v>5340.0</v>
      </c>
      <c r="E1693" s="25" t="s">
        <v>70</v>
      </c>
      <c r="F1693" s="7" t="s">
        <v>5191</v>
      </c>
      <c r="G1693" s="9" t="s">
        <v>254</v>
      </c>
      <c r="H1693" s="7" t="s">
        <v>129</v>
      </c>
      <c r="I1693" s="7"/>
      <c r="J1693" s="7" t="s">
        <v>5252</v>
      </c>
      <c r="K1693" s="10"/>
      <c r="L1693" s="91" t="s">
        <v>20</v>
      </c>
      <c r="M1693" s="69">
        <v>45307.0</v>
      </c>
      <c r="N1693" s="77" t="str">
        <f t="shared" si="2"/>
        <v>dezembro</v>
      </c>
    </row>
    <row r="1694" ht="27.0" customHeight="1">
      <c r="A1694" s="7" t="s">
        <v>5253</v>
      </c>
      <c r="B1694" s="8">
        <v>45286.44880475695</v>
      </c>
      <c r="C1694" s="7" t="s">
        <v>512</v>
      </c>
      <c r="D1694" s="7">
        <v>5340.0</v>
      </c>
      <c r="E1694" s="25" t="s">
        <v>70</v>
      </c>
      <c r="F1694" s="7" t="s">
        <v>178</v>
      </c>
      <c r="G1694" s="9" t="s">
        <v>5254</v>
      </c>
      <c r="H1694" s="7" t="s">
        <v>79</v>
      </c>
      <c r="I1694" s="7"/>
      <c r="J1694" s="7" t="s">
        <v>5255</v>
      </c>
      <c r="K1694" s="10"/>
      <c r="L1694" s="91" t="s">
        <v>20</v>
      </c>
      <c r="M1694" s="69">
        <v>45300.0</v>
      </c>
      <c r="N1694" s="77" t="str">
        <f t="shared" si="2"/>
        <v>dezembro</v>
      </c>
    </row>
    <row r="1695" ht="27.0" customHeight="1">
      <c r="A1695" s="7" t="s">
        <v>5256</v>
      </c>
      <c r="B1695" s="8">
        <v>45286.449716076386</v>
      </c>
      <c r="C1695" s="7" t="s">
        <v>512</v>
      </c>
      <c r="D1695" s="7">
        <v>5340.0</v>
      </c>
      <c r="E1695" s="25" t="s">
        <v>70</v>
      </c>
      <c r="F1695" s="7" t="s">
        <v>90</v>
      </c>
      <c r="G1695" s="9" t="s">
        <v>5254</v>
      </c>
      <c r="H1695" s="7" t="s">
        <v>79</v>
      </c>
      <c r="I1695" s="7"/>
      <c r="J1695" s="7" t="s">
        <v>5257</v>
      </c>
      <c r="K1695" s="10"/>
      <c r="L1695" s="91" t="s">
        <v>20</v>
      </c>
      <c r="M1695" s="69"/>
      <c r="N1695" s="77" t="str">
        <f t="shared" si="2"/>
        <v>dezembro</v>
      </c>
    </row>
    <row r="1696" ht="27.0" customHeight="1">
      <c r="A1696" s="7" t="s">
        <v>5258</v>
      </c>
      <c r="B1696" s="8">
        <v>45286.60522225694</v>
      </c>
      <c r="C1696" s="7" t="s">
        <v>4353</v>
      </c>
      <c r="D1696" s="7">
        <v>5333.0</v>
      </c>
      <c r="E1696" s="7" t="s">
        <v>41</v>
      </c>
      <c r="F1696" s="7" t="s">
        <v>42</v>
      </c>
      <c r="G1696" s="9" t="s">
        <v>5259</v>
      </c>
      <c r="H1696" s="7" t="s">
        <v>162</v>
      </c>
      <c r="I1696" s="7"/>
      <c r="J1696" s="7" t="s">
        <v>5260</v>
      </c>
      <c r="K1696" s="10"/>
      <c r="L1696" s="91" t="s">
        <v>20</v>
      </c>
      <c r="M1696" s="69">
        <v>45302.0</v>
      </c>
      <c r="N1696" s="77" t="str">
        <f t="shared" si="2"/>
        <v>dezembro</v>
      </c>
    </row>
    <row r="1697" ht="27.0" customHeight="1">
      <c r="A1697" s="7" t="s">
        <v>5261</v>
      </c>
      <c r="B1697" s="8">
        <v>45286.68639483796</v>
      </c>
      <c r="C1697" s="7" t="s">
        <v>512</v>
      </c>
      <c r="D1697" s="7">
        <v>5340.0</v>
      </c>
      <c r="E1697" s="25" t="s">
        <v>70</v>
      </c>
      <c r="F1697" s="7" t="s">
        <v>3683</v>
      </c>
      <c r="G1697" s="9" t="s">
        <v>945</v>
      </c>
      <c r="H1697" s="7" t="s">
        <v>79</v>
      </c>
      <c r="I1697" s="7"/>
      <c r="J1697" s="7" t="s">
        <v>5262</v>
      </c>
      <c r="K1697" s="10"/>
      <c r="L1697" s="91" t="s">
        <v>20</v>
      </c>
      <c r="M1697" s="69">
        <v>45300.0</v>
      </c>
      <c r="N1697" s="77" t="str">
        <f t="shared" si="2"/>
        <v>dezembro</v>
      </c>
    </row>
    <row r="1698" ht="27.0" customHeight="1">
      <c r="A1698" s="7" t="s">
        <v>5263</v>
      </c>
      <c r="B1698" s="8">
        <v>45287.30748564815</v>
      </c>
      <c r="C1698" s="7" t="s">
        <v>65</v>
      </c>
      <c r="D1698" s="7">
        <v>5318.0</v>
      </c>
      <c r="E1698" s="25" t="s">
        <v>15</v>
      </c>
      <c r="F1698" s="7" t="s">
        <v>35</v>
      </c>
      <c r="G1698" s="9" t="s">
        <v>5264</v>
      </c>
      <c r="H1698" s="7" t="s">
        <v>18</v>
      </c>
      <c r="I1698" s="7"/>
      <c r="J1698" s="7" t="s">
        <v>5265</v>
      </c>
      <c r="K1698" s="10"/>
      <c r="L1698" s="91" t="s">
        <v>20</v>
      </c>
      <c r="M1698" s="18">
        <v>45302.0</v>
      </c>
      <c r="N1698" s="77" t="str">
        <f t="shared" si="2"/>
        <v>dezembro</v>
      </c>
    </row>
    <row r="1699" ht="27.0" customHeight="1">
      <c r="A1699" s="7" t="s">
        <v>5266</v>
      </c>
      <c r="B1699" s="8">
        <v>45287.38724364583</v>
      </c>
      <c r="C1699" s="7" t="s">
        <v>4014</v>
      </c>
      <c r="D1699" s="7" t="s">
        <v>4015</v>
      </c>
      <c r="E1699" s="7" t="s">
        <v>199</v>
      </c>
      <c r="F1699" s="25" t="s">
        <v>86</v>
      </c>
      <c r="G1699" s="9" t="s">
        <v>5267</v>
      </c>
      <c r="H1699" s="7" t="s">
        <v>79</v>
      </c>
      <c r="I1699" s="7"/>
      <c r="J1699" s="7" t="s">
        <v>5268</v>
      </c>
      <c r="K1699" s="10"/>
      <c r="L1699" s="91" t="s">
        <v>20</v>
      </c>
      <c r="M1699" s="69">
        <v>45295.0</v>
      </c>
      <c r="N1699" s="77" t="str">
        <f t="shared" si="2"/>
        <v>dezembro</v>
      </c>
    </row>
    <row r="1700" ht="27.0" customHeight="1">
      <c r="A1700" s="7" t="s">
        <v>5269</v>
      </c>
      <c r="B1700" s="8">
        <v>45287.45272541667</v>
      </c>
      <c r="C1700" s="7" t="s">
        <v>604</v>
      </c>
      <c r="D1700" s="7">
        <v>5304.0</v>
      </c>
      <c r="E1700" s="7" t="s">
        <v>1097</v>
      </c>
      <c r="F1700" s="7" t="s">
        <v>16</v>
      </c>
      <c r="G1700" s="9" t="s">
        <v>5270</v>
      </c>
      <c r="H1700" s="7" t="s">
        <v>1734</v>
      </c>
      <c r="I1700" s="7"/>
      <c r="J1700" s="7" t="s">
        <v>5271</v>
      </c>
      <c r="K1700" s="10" t="s">
        <v>987</v>
      </c>
      <c r="L1700" s="91" t="s">
        <v>20</v>
      </c>
      <c r="M1700" s="69">
        <v>45286.0</v>
      </c>
      <c r="N1700" s="77" t="str">
        <f t="shared" si="2"/>
        <v>dezembro</v>
      </c>
    </row>
    <row r="1701" ht="27.0" customHeight="1">
      <c r="A1701" s="7" t="s">
        <v>5272</v>
      </c>
      <c r="B1701" s="8">
        <v>45287.612870694444</v>
      </c>
      <c r="C1701" s="7" t="s">
        <v>750</v>
      </c>
      <c r="D1701" s="7">
        <v>5399.0</v>
      </c>
      <c r="E1701" s="7" t="s">
        <v>540</v>
      </c>
      <c r="F1701" s="7" t="s">
        <v>82</v>
      </c>
      <c r="G1701" s="9">
        <v>108.0</v>
      </c>
      <c r="H1701" s="7" t="s">
        <v>1734</v>
      </c>
      <c r="I1701" s="7"/>
      <c r="J1701" s="7" t="s">
        <v>5273</v>
      </c>
      <c r="K1701" s="10"/>
      <c r="L1701" s="91" t="s">
        <v>20</v>
      </c>
      <c r="M1701" s="69">
        <v>45293.0</v>
      </c>
      <c r="N1701" s="77" t="str">
        <f t="shared" si="2"/>
        <v>dezembro</v>
      </c>
    </row>
    <row r="1702">
      <c r="A1702" s="70"/>
      <c r="B1702" s="71"/>
      <c r="C1702" s="72"/>
      <c r="D1702" s="72"/>
      <c r="E1702" s="72"/>
      <c r="F1702" s="72"/>
      <c r="G1702" s="72"/>
      <c r="H1702" s="72"/>
      <c r="I1702" s="72"/>
      <c r="J1702" s="72"/>
      <c r="K1702" s="72"/>
      <c r="L1702" s="73"/>
      <c r="M1702" s="74"/>
      <c r="N1702" s="77">
        <f t="shared" si="2"/>
        <v>0</v>
      </c>
    </row>
    <row r="1703">
      <c r="A1703" s="70"/>
      <c r="B1703" s="71"/>
      <c r="C1703" s="72"/>
      <c r="D1703" s="72"/>
      <c r="E1703" s="72"/>
      <c r="F1703" s="72"/>
      <c r="G1703" s="72"/>
      <c r="H1703" s="72"/>
      <c r="I1703" s="72"/>
      <c r="J1703" s="72"/>
      <c r="K1703" s="72"/>
      <c r="L1703" s="73"/>
      <c r="M1703" s="74"/>
      <c r="N1703" s="77">
        <f t="shared" si="2"/>
        <v>0</v>
      </c>
    </row>
    <row r="1704">
      <c r="A1704" s="70"/>
      <c r="B1704" s="71"/>
      <c r="C1704" s="72"/>
      <c r="D1704" s="72"/>
      <c r="E1704" s="72"/>
      <c r="F1704" s="72"/>
      <c r="G1704" s="72"/>
      <c r="H1704" s="72"/>
      <c r="I1704" s="72"/>
      <c r="J1704" s="72"/>
      <c r="K1704" s="72"/>
      <c r="L1704" s="73"/>
      <c r="M1704" s="74"/>
      <c r="N1704" s="77">
        <f t="shared" si="2"/>
        <v>0</v>
      </c>
    </row>
    <row r="1705">
      <c r="A1705" s="70"/>
      <c r="B1705" s="71"/>
      <c r="C1705" s="72"/>
      <c r="D1705" s="72"/>
      <c r="E1705" s="72"/>
      <c r="F1705" s="72"/>
      <c r="G1705" s="72"/>
      <c r="H1705" s="72"/>
      <c r="I1705" s="72"/>
      <c r="J1705" s="72"/>
      <c r="K1705" s="72"/>
      <c r="L1705" s="73"/>
      <c r="M1705" s="74"/>
      <c r="N1705" s="77">
        <f t="shared" si="2"/>
        <v>0</v>
      </c>
    </row>
    <row r="1706">
      <c r="A1706" s="70"/>
      <c r="B1706" s="71"/>
      <c r="C1706" s="72"/>
      <c r="D1706" s="72"/>
      <c r="E1706" s="72"/>
      <c r="F1706" s="72"/>
      <c r="G1706" s="72"/>
      <c r="H1706" s="72"/>
      <c r="I1706" s="72"/>
      <c r="J1706" s="72"/>
      <c r="K1706" s="72"/>
      <c r="L1706" s="73"/>
      <c r="M1706" s="74"/>
      <c r="N1706" s="77">
        <f t="shared" si="2"/>
        <v>0</v>
      </c>
    </row>
    <row r="1707">
      <c r="A1707" s="70"/>
      <c r="B1707" s="71"/>
      <c r="C1707" s="72"/>
      <c r="D1707" s="72"/>
      <c r="E1707" s="72"/>
      <c r="F1707" s="72"/>
      <c r="G1707" s="72"/>
      <c r="H1707" s="72"/>
      <c r="I1707" s="72"/>
      <c r="J1707" s="72"/>
      <c r="K1707" s="72"/>
      <c r="L1707" s="73"/>
      <c r="M1707" s="74"/>
      <c r="N1707" s="77">
        <f t="shared" si="2"/>
        <v>0</v>
      </c>
    </row>
    <row r="1708">
      <c r="A1708" s="70"/>
      <c r="B1708" s="71"/>
      <c r="C1708" s="72"/>
      <c r="D1708" s="72"/>
      <c r="E1708" s="72"/>
      <c r="F1708" s="72"/>
      <c r="G1708" s="72"/>
      <c r="H1708" s="72"/>
      <c r="I1708" s="72"/>
      <c r="J1708" s="72"/>
      <c r="K1708" s="72"/>
      <c r="L1708" s="73"/>
      <c r="M1708" s="74"/>
      <c r="N1708" s="77">
        <f t="shared" si="2"/>
        <v>0</v>
      </c>
    </row>
    <row r="1709">
      <c r="A1709" s="70"/>
      <c r="B1709" s="71"/>
      <c r="C1709" s="72"/>
      <c r="D1709" s="72"/>
      <c r="E1709" s="72"/>
      <c r="F1709" s="72"/>
      <c r="G1709" s="72"/>
      <c r="H1709" s="72"/>
      <c r="I1709" s="72"/>
      <c r="J1709" s="72"/>
      <c r="K1709" s="72"/>
      <c r="L1709" s="73"/>
      <c r="M1709" s="74"/>
      <c r="N1709" s="77">
        <f t="shared" si="2"/>
        <v>0</v>
      </c>
    </row>
    <row r="1710">
      <c r="A1710" s="70"/>
      <c r="B1710" s="71"/>
      <c r="C1710" s="72"/>
      <c r="D1710" s="72"/>
      <c r="E1710" s="72"/>
      <c r="F1710" s="72"/>
      <c r="G1710" s="72"/>
      <c r="H1710" s="72"/>
      <c r="I1710" s="72"/>
      <c r="J1710" s="72"/>
      <c r="K1710" s="72"/>
      <c r="L1710" s="73"/>
      <c r="M1710" s="74"/>
      <c r="N1710" s="77">
        <f t="shared" si="2"/>
        <v>0</v>
      </c>
    </row>
    <row r="1711">
      <c r="A1711" s="70"/>
      <c r="B1711" s="71"/>
      <c r="C1711" s="72"/>
      <c r="D1711" s="72"/>
      <c r="E1711" s="72"/>
      <c r="F1711" s="72"/>
      <c r="G1711" s="72"/>
      <c r="H1711" s="72"/>
      <c r="I1711" s="72"/>
      <c r="J1711" s="72"/>
      <c r="K1711" s="72"/>
      <c r="L1711" s="73"/>
      <c r="M1711" s="74"/>
      <c r="N1711" s="77">
        <f t="shared" si="2"/>
        <v>0</v>
      </c>
    </row>
    <row r="1712">
      <c r="A1712" s="70"/>
      <c r="B1712" s="71"/>
      <c r="C1712" s="72"/>
      <c r="D1712" s="72"/>
      <c r="E1712" s="72"/>
      <c r="F1712" s="72"/>
      <c r="G1712" s="72"/>
      <c r="H1712" s="72"/>
      <c r="I1712" s="72"/>
      <c r="J1712" s="72"/>
      <c r="K1712" s="72"/>
      <c r="L1712" s="73"/>
      <c r="M1712" s="74"/>
      <c r="N1712" s="77">
        <f t="shared" si="2"/>
        <v>0</v>
      </c>
    </row>
    <row r="1713">
      <c r="A1713" s="70"/>
      <c r="B1713" s="71"/>
      <c r="C1713" s="72"/>
      <c r="D1713" s="72"/>
      <c r="E1713" s="72"/>
      <c r="F1713" s="72"/>
      <c r="G1713" s="72"/>
      <c r="H1713" s="72"/>
      <c r="I1713" s="72"/>
      <c r="J1713" s="72"/>
      <c r="K1713" s="72"/>
      <c r="L1713" s="73"/>
      <c r="M1713" s="74"/>
      <c r="N1713" s="77">
        <f t="shared" si="2"/>
        <v>0</v>
      </c>
    </row>
    <row r="1714">
      <c r="A1714" s="70"/>
      <c r="B1714" s="71"/>
      <c r="C1714" s="72"/>
      <c r="D1714" s="72"/>
      <c r="E1714" s="72"/>
      <c r="F1714" s="72"/>
      <c r="G1714" s="72"/>
      <c r="H1714" s="72"/>
      <c r="I1714" s="72"/>
      <c r="J1714" s="72"/>
      <c r="K1714" s="72"/>
      <c r="L1714" s="73"/>
      <c r="M1714" s="74"/>
      <c r="N1714" s="77">
        <f t="shared" si="2"/>
        <v>0</v>
      </c>
    </row>
    <row r="1715">
      <c r="A1715" s="70"/>
      <c r="B1715" s="71"/>
      <c r="C1715" s="72"/>
      <c r="D1715" s="72"/>
      <c r="E1715" s="72"/>
      <c r="F1715" s="72"/>
      <c r="G1715" s="72"/>
      <c r="H1715" s="72"/>
      <c r="I1715" s="72"/>
      <c r="J1715" s="72"/>
      <c r="K1715" s="72"/>
      <c r="L1715" s="73"/>
      <c r="M1715" s="74"/>
      <c r="N1715" s="77">
        <f t="shared" si="2"/>
        <v>0</v>
      </c>
    </row>
    <row r="1716">
      <c r="A1716" s="70"/>
      <c r="B1716" s="71"/>
      <c r="C1716" s="72"/>
      <c r="D1716" s="72"/>
      <c r="E1716" s="72"/>
      <c r="F1716" s="72"/>
      <c r="G1716" s="72"/>
      <c r="H1716" s="72"/>
      <c r="I1716" s="72"/>
      <c r="J1716" s="72"/>
      <c r="K1716" s="72"/>
      <c r="L1716" s="73"/>
      <c r="M1716" s="74"/>
      <c r="N1716" s="77">
        <f t="shared" si="2"/>
        <v>0</v>
      </c>
    </row>
    <row r="1717">
      <c r="A1717" s="70"/>
      <c r="B1717" s="71"/>
      <c r="C1717" s="72"/>
      <c r="D1717" s="72"/>
      <c r="E1717" s="72"/>
      <c r="F1717" s="72"/>
      <c r="G1717" s="72"/>
      <c r="H1717" s="72"/>
      <c r="I1717" s="72"/>
      <c r="J1717" s="72"/>
      <c r="K1717" s="72"/>
      <c r="L1717" s="73"/>
      <c r="M1717" s="74"/>
      <c r="N1717" s="77">
        <f t="shared" si="2"/>
        <v>0</v>
      </c>
    </row>
    <row r="1718">
      <c r="A1718" s="70"/>
      <c r="B1718" s="71"/>
      <c r="C1718" s="72"/>
      <c r="D1718" s="72"/>
      <c r="E1718" s="72"/>
      <c r="F1718" s="72"/>
      <c r="G1718" s="72"/>
      <c r="H1718" s="72"/>
      <c r="I1718" s="72"/>
      <c r="J1718" s="72"/>
      <c r="K1718" s="72"/>
      <c r="L1718" s="73"/>
      <c r="M1718" s="74"/>
      <c r="N1718" s="77">
        <f t="shared" si="2"/>
        <v>0</v>
      </c>
    </row>
    <row r="1719">
      <c r="A1719" s="70"/>
      <c r="B1719" s="71"/>
      <c r="C1719" s="72"/>
      <c r="D1719" s="72"/>
      <c r="E1719" s="72"/>
      <c r="F1719" s="72"/>
      <c r="G1719" s="72"/>
      <c r="H1719" s="72"/>
      <c r="I1719" s="72"/>
      <c r="J1719" s="72"/>
      <c r="K1719" s="72"/>
      <c r="L1719" s="73"/>
      <c r="M1719" s="74"/>
      <c r="N1719" s="77">
        <f t="shared" si="2"/>
        <v>0</v>
      </c>
    </row>
    <row r="1720">
      <c r="A1720" s="70"/>
      <c r="B1720" s="71"/>
      <c r="C1720" s="72"/>
      <c r="D1720" s="72"/>
      <c r="E1720" s="72"/>
      <c r="F1720" s="72"/>
      <c r="G1720" s="72"/>
      <c r="H1720" s="72"/>
      <c r="I1720" s="72"/>
      <c r="J1720" s="72"/>
      <c r="K1720" s="72"/>
      <c r="L1720" s="73"/>
      <c r="M1720" s="74"/>
      <c r="N1720" s="77">
        <f t="shared" si="2"/>
        <v>0</v>
      </c>
    </row>
    <row r="1721">
      <c r="A1721" s="70"/>
      <c r="B1721" s="71"/>
      <c r="C1721" s="72"/>
      <c r="D1721" s="72"/>
      <c r="E1721" s="72"/>
      <c r="F1721" s="72"/>
      <c r="G1721" s="72"/>
      <c r="H1721" s="72"/>
      <c r="I1721" s="72"/>
      <c r="J1721" s="72"/>
      <c r="K1721" s="72"/>
      <c r="L1721" s="73"/>
      <c r="M1721" s="74"/>
      <c r="N1721" s="77">
        <f t="shared" si="2"/>
        <v>0</v>
      </c>
    </row>
    <row r="1722">
      <c r="A1722" s="70"/>
      <c r="B1722" s="71"/>
      <c r="C1722" s="72"/>
      <c r="D1722" s="72"/>
      <c r="E1722" s="72"/>
      <c r="F1722" s="72"/>
      <c r="G1722" s="72"/>
      <c r="H1722" s="72"/>
      <c r="I1722" s="72"/>
      <c r="J1722" s="72"/>
      <c r="K1722" s="72"/>
      <c r="L1722" s="73"/>
      <c r="M1722" s="74"/>
      <c r="N1722" s="77">
        <f t="shared" si="2"/>
        <v>0</v>
      </c>
    </row>
    <row r="1723">
      <c r="A1723" s="70"/>
      <c r="B1723" s="71"/>
      <c r="C1723" s="72"/>
      <c r="D1723" s="72"/>
      <c r="E1723" s="72"/>
      <c r="F1723" s="72"/>
      <c r="G1723" s="72"/>
      <c r="H1723" s="72"/>
      <c r="I1723" s="72"/>
      <c r="J1723" s="72"/>
      <c r="K1723" s="72"/>
      <c r="L1723" s="73"/>
      <c r="M1723" s="74"/>
      <c r="N1723" s="77">
        <f t="shared" si="2"/>
        <v>0</v>
      </c>
    </row>
    <row r="1724">
      <c r="A1724" s="70"/>
      <c r="B1724" s="71"/>
      <c r="C1724" s="72"/>
      <c r="D1724" s="72"/>
      <c r="E1724" s="72"/>
      <c r="F1724" s="72"/>
      <c r="G1724" s="72"/>
      <c r="H1724" s="72"/>
      <c r="I1724" s="72"/>
      <c r="J1724" s="72"/>
      <c r="K1724" s="72"/>
      <c r="L1724" s="73"/>
      <c r="M1724" s="74"/>
      <c r="N1724" s="77">
        <f t="shared" si="2"/>
        <v>0</v>
      </c>
    </row>
    <row r="1725">
      <c r="A1725" s="70"/>
      <c r="B1725" s="71"/>
      <c r="C1725" s="72"/>
      <c r="D1725" s="72"/>
      <c r="E1725" s="72"/>
      <c r="F1725" s="72"/>
      <c r="G1725" s="72"/>
      <c r="H1725" s="72"/>
      <c r="I1725" s="72"/>
      <c r="J1725" s="72"/>
      <c r="K1725" s="72"/>
      <c r="L1725" s="73"/>
      <c r="M1725" s="74"/>
      <c r="N1725" s="77">
        <f t="shared" si="2"/>
        <v>0</v>
      </c>
    </row>
    <row r="1726">
      <c r="A1726" s="70"/>
      <c r="B1726" s="71"/>
      <c r="C1726" s="72"/>
      <c r="D1726" s="72"/>
      <c r="E1726" s="72"/>
      <c r="F1726" s="72"/>
      <c r="G1726" s="72"/>
      <c r="H1726" s="72"/>
      <c r="I1726" s="72"/>
      <c r="J1726" s="72"/>
      <c r="K1726" s="72"/>
      <c r="L1726" s="73"/>
      <c r="M1726" s="74"/>
      <c r="N1726" s="77">
        <f t="shared" si="2"/>
        <v>0</v>
      </c>
    </row>
    <row r="1727">
      <c r="A1727" s="70"/>
      <c r="B1727" s="71"/>
      <c r="C1727" s="72"/>
      <c r="D1727" s="72"/>
      <c r="E1727" s="72"/>
      <c r="F1727" s="72"/>
      <c r="G1727" s="72"/>
      <c r="H1727" s="72"/>
      <c r="I1727" s="72"/>
      <c r="J1727" s="72"/>
      <c r="K1727" s="72"/>
      <c r="L1727" s="73"/>
      <c r="M1727" s="74"/>
      <c r="N1727" s="77">
        <f t="shared" si="2"/>
        <v>0</v>
      </c>
    </row>
    <row r="1728">
      <c r="A1728" s="70"/>
      <c r="B1728" s="71"/>
      <c r="C1728" s="72"/>
      <c r="D1728" s="72"/>
      <c r="E1728" s="72"/>
      <c r="F1728" s="72"/>
      <c r="G1728" s="72"/>
      <c r="H1728" s="72"/>
      <c r="I1728" s="72"/>
      <c r="J1728" s="72"/>
      <c r="K1728" s="72"/>
      <c r="L1728" s="73"/>
      <c r="M1728" s="74"/>
      <c r="N1728" s="77">
        <f t="shared" si="2"/>
        <v>0</v>
      </c>
    </row>
    <row r="1729">
      <c r="A1729" s="70"/>
      <c r="B1729" s="71"/>
      <c r="C1729" s="72"/>
      <c r="D1729" s="72"/>
      <c r="E1729" s="72"/>
      <c r="F1729" s="72"/>
      <c r="G1729" s="72"/>
      <c r="H1729" s="72"/>
      <c r="I1729" s="72"/>
      <c r="J1729" s="72"/>
      <c r="K1729" s="72"/>
      <c r="L1729" s="73"/>
      <c r="M1729" s="74"/>
      <c r="N1729" s="77">
        <f t="shared" si="2"/>
        <v>0</v>
      </c>
    </row>
    <row r="1730">
      <c r="A1730" s="70"/>
      <c r="B1730" s="71"/>
      <c r="C1730" s="72"/>
      <c r="D1730" s="72"/>
      <c r="E1730" s="72"/>
      <c r="F1730" s="72"/>
      <c r="G1730" s="72"/>
      <c r="H1730" s="72"/>
      <c r="I1730" s="72"/>
      <c r="J1730" s="72"/>
      <c r="K1730" s="72"/>
      <c r="L1730" s="73"/>
      <c r="M1730" s="74"/>
      <c r="N1730" s="77">
        <f t="shared" si="2"/>
        <v>0</v>
      </c>
    </row>
    <row r="1731">
      <c r="A1731" s="70"/>
      <c r="B1731" s="71"/>
      <c r="C1731" s="72"/>
      <c r="D1731" s="72"/>
      <c r="E1731" s="72"/>
      <c r="F1731" s="72"/>
      <c r="G1731" s="72"/>
      <c r="H1731" s="72"/>
      <c r="I1731" s="72"/>
      <c r="J1731" s="72"/>
      <c r="K1731" s="72"/>
      <c r="L1731" s="73"/>
      <c r="M1731" s="74"/>
      <c r="N1731" s="77">
        <f t="shared" si="2"/>
        <v>0</v>
      </c>
    </row>
    <row r="1732">
      <c r="A1732" s="70"/>
      <c r="B1732" s="71"/>
      <c r="C1732" s="72"/>
      <c r="D1732" s="72"/>
      <c r="E1732" s="72"/>
      <c r="F1732" s="72"/>
      <c r="G1732" s="72"/>
      <c r="H1732" s="72"/>
      <c r="I1732" s="72"/>
      <c r="J1732" s="72"/>
      <c r="K1732" s="72"/>
      <c r="L1732" s="73"/>
      <c r="M1732" s="74"/>
      <c r="N1732" s="77">
        <f t="shared" si="2"/>
        <v>0</v>
      </c>
    </row>
    <row r="1733">
      <c r="A1733" s="70"/>
      <c r="B1733" s="71"/>
      <c r="C1733" s="72"/>
      <c r="D1733" s="72"/>
      <c r="E1733" s="72"/>
      <c r="F1733" s="72"/>
      <c r="G1733" s="72"/>
      <c r="H1733" s="72"/>
      <c r="I1733" s="72"/>
      <c r="J1733" s="72"/>
      <c r="K1733" s="72"/>
      <c r="L1733" s="73"/>
      <c r="M1733" s="74"/>
      <c r="N1733" s="77">
        <f t="shared" si="2"/>
        <v>0</v>
      </c>
    </row>
    <row r="1734">
      <c r="A1734" s="70"/>
      <c r="B1734" s="71"/>
      <c r="C1734" s="72"/>
      <c r="D1734" s="72"/>
      <c r="E1734" s="72"/>
      <c r="F1734" s="72"/>
      <c r="G1734" s="72"/>
      <c r="H1734" s="72"/>
      <c r="I1734" s="72"/>
      <c r="J1734" s="72"/>
      <c r="K1734" s="72"/>
      <c r="L1734" s="73"/>
      <c r="M1734" s="74"/>
      <c r="N1734" s="77">
        <f t="shared" si="2"/>
        <v>0</v>
      </c>
    </row>
    <row r="1735">
      <c r="A1735" s="70"/>
      <c r="B1735" s="71"/>
      <c r="C1735" s="72"/>
      <c r="D1735" s="72"/>
      <c r="E1735" s="72"/>
      <c r="F1735" s="72"/>
      <c r="G1735" s="72"/>
      <c r="H1735" s="72"/>
      <c r="I1735" s="72"/>
      <c r="J1735" s="72"/>
      <c r="K1735" s="72"/>
      <c r="L1735" s="73"/>
      <c r="M1735" s="74"/>
      <c r="N1735" s="77">
        <f t="shared" si="2"/>
        <v>0</v>
      </c>
    </row>
    <row r="1736">
      <c r="A1736" s="70"/>
      <c r="B1736" s="71"/>
      <c r="C1736" s="72"/>
      <c r="D1736" s="72"/>
      <c r="E1736" s="72"/>
      <c r="F1736" s="72"/>
      <c r="G1736" s="72"/>
      <c r="H1736" s="72"/>
      <c r="I1736" s="72"/>
      <c r="J1736" s="72"/>
      <c r="K1736" s="72"/>
      <c r="L1736" s="73"/>
      <c r="M1736" s="74"/>
      <c r="N1736" s="77">
        <f t="shared" si="2"/>
        <v>0</v>
      </c>
    </row>
    <row r="1737">
      <c r="A1737" s="70"/>
      <c r="B1737" s="71"/>
      <c r="C1737" s="72"/>
      <c r="D1737" s="72"/>
      <c r="E1737" s="72"/>
      <c r="F1737" s="72"/>
      <c r="G1737" s="72"/>
      <c r="H1737" s="72"/>
      <c r="I1737" s="72"/>
      <c r="J1737" s="72"/>
      <c r="K1737" s="72"/>
      <c r="L1737" s="73"/>
      <c r="M1737" s="74"/>
      <c r="N1737" s="77">
        <f t="shared" si="2"/>
        <v>0</v>
      </c>
    </row>
    <row r="1738">
      <c r="A1738" s="70"/>
      <c r="B1738" s="71"/>
      <c r="C1738" s="72"/>
      <c r="D1738" s="72"/>
      <c r="E1738" s="72"/>
      <c r="F1738" s="72"/>
      <c r="G1738" s="72"/>
      <c r="H1738" s="72"/>
      <c r="I1738" s="72"/>
      <c r="J1738" s="72"/>
      <c r="K1738" s="72"/>
      <c r="L1738" s="73"/>
      <c r="M1738" s="74"/>
      <c r="N1738" s="77">
        <f t="shared" si="2"/>
        <v>0</v>
      </c>
    </row>
    <row r="1739">
      <c r="A1739" s="70"/>
      <c r="B1739" s="71"/>
      <c r="C1739" s="72"/>
      <c r="D1739" s="72"/>
      <c r="E1739" s="72"/>
      <c r="F1739" s="72"/>
      <c r="G1739" s="72"/>
      <c r="H1739" s="72"/>
      <c r="I1739" s="72"/>
      <c r="J1739" s="72"/>
      <c r="K1739" s="72"/>
      <c r="L1739" s="73"/>
      <c r="M1739" s="74"/>
      <c r="N1739" s="77">
        <f t="shared" si="2"/>
        <v>0</v>
      </c>
    </row>
    <row r="1740">
      <c r="A1740" s="70"/>
      <c r="B1740" s="71"/>
      <c r="C1740" s="72"/>
      <c r="D1740" s="72"/>
      <c r="E1740" s="72"/>
      <c r="F1740" s="72"/>
      <c r="G1740" s="72"/>
      <c r="H1740" s="72"/>
      <c r="I1740" s="72"/>
      <c r="J1740" s="72"/>
      <c r="K1740" s="72"/>
      <c r="L1740" s="73"/>
      <c r="M1740" s="74"/>
      <c r="N1740" s="77">
        <f t="shared" si="2"/>
        <v>0</v>
      </c>
    </row>
    <row r="1741">
      <c r="A1741" s="70"/>
      <c r="B1741" s="71"/>
      <c r="C1741" s="72"/>
      <c r="D1741" s="72"/>
      <c r="E1741" s="72"/>
      <c r="F1741" s="72"/>
      <c r="G1741" s="72"/>
      <c r="H1741" s="72"/>
      <c r="I1741" s="72"/>
      <c r="J1741" s="72"/>
      <c r="K1741" s="72"/>
      <c r="L1741" s="73"/>
      <c r="M1741" s="74"/>
      <c r="N1741" s="77">
        <f t="shared" si="2"/>
        <v>0</v>
      </c>
    </row>
    <row r="1742">
      <c r="A1742" s="70"/>
      <c r="B1742" s="71"/>
      <c r="C1742" s="72"/>
      <c r="D1742" s="72"/>
      <c r="E1742" s="72"/>
      <c r="F1742" s="72"/>
      <c r="G1742" s="72"/>
      <c r="H1742" s="72"/>
      <c r="I1742" s="72"/>
      <c r="J1742" s="72"/>
      <c r="K1742" s="72"/>
      <c r="L1742" s="73"/>
      <c r="M1742" s="74"/>
      <c r="N1742" s="77">
        <f t="shared" si="2"/>
        <v>0</v>
      </c>
    </row>
    <row r="1743">
      <c r="A1743" s="70"/>
      <c r="B1743" s="71"/>
      <c r="C1743" s="72"/>
      <c r="D1743" s="72"/>
      <c r="E1743" s="72"/>
      <c r="F1743" s="72"/>
      <c r="G1743" s="72"/>
      <c r="H1743" s="72"/>
      <c r="I1743" s="72"/>
      <c r="J1743" s="72"/>
      <c r="K1743" s="72"/>
      <c r="L1743" s="73"/>
      <c r="M1743" s="74"/>
      <c r="N1743" s="77">
        <f t="shared" si="2"/>
        <v>0</v>
      </c>
    </row>
    <row r="1744">
      <c r="A1744" s="70"/>
      <c r="B1744" s="71"/>
      <c r="C1744" s="72"/>
      <c r="D1744" s="72"/>
      <c r="E1744" s="72"/>
      <c r="F1744" s="72"/>
      <c r="G1744" s="72"/>
      <c r="H1744" s="72"/>
      <c r="I1744" s="72"/>
      <c r="J1744" s="72"/>
      <c r="K1744" s="72"/>
      <c r="L1744" s="73"/>
      <c r="M1744" s="74"/>
      <c r="N1744" s="77">
        <f t="shared" si="2"/>
        <v>0</v>
      </c>
    </row>
    <row r="1745">
      <c r="A1745" s="70"/>
      <c r="B1745" s="71"/>
      <c r="C1745" s="72"/>
      <c r="D1745" s="72"/>
      <c r="E1745" s="72"/>
      <c r="F1745" s="72"/>
      <c r="G1745" s="72"/>
      <c r="H1745" s="72"/>
      <c r="I1745" s="72"/>
      <c r="J1745" s="72"/>
      <c r="K1745" s="72"/>
      <c r="L1745" s="73"/>
      <c r="M1745" s="74"/>
      <c r="N1745" s="77">
        <f t="shared" si="2"/>
        <v>0</v>
      </c>
    </row>
    <row r="1746">
      <c r="A1746" s="70"/>
      <c r="B1746" s="71"/>
      <c r="C1746" s="72"/>
      <c r="D1746" s="72"/>
      <c r="E1746" s="72"/>
      <c r="F1746" s="72"/>
      <c r="G1746" s="72"/>
      <c r="H1746" s="72"/>
      <c r="I1746" s="72"/>
      <c r="J1746" s="72"/>
      <c r="K1746" s="72"/>
      <c r="L1746" s="73"/>
      <c r="M1746" s="74"/>
      <c r="N1746" s="77">
        <f t="shared" si="2"/>
        <v>0</v>
      </c>
    </row>
    <row r="1747">
      <c r="A1747" s="70"/>
      <c r="B1747" s="71"/>
      <c r="C1747" s="72"/>
      <c r="D1747" s="72"/>
      <c r="E1747" s="72"/>
      <c r="F1747" s="72"/>
      <c r="G1747" s="72"/>
      <c r="H1747" s="72"/>
      <c r="I1747" s="72"/>
      <c r="J1747" s="72"/>
      <c r="K1747" s="72"/>
      <c r="L1747" s="73"/>
      <c r="M1747" s="74"/>
      <c r="N1747" s="77">
        <f t="shared" si="2"/>
        <v>0</v>
      </c>
    </row>
    <row r="1748">
      <c r="A1748" s="70"/>
      <c r="B1748" s="71"/>
      <c r="C1748" s="72"/>
      <c r="D1748" s="72"/>
      <c r="E1748" s="72"/>
      <c r="F1748" s="72"/>
      <c r="G1748" s="72"/>
      <c r="H1748" s="72"/>
      <c r="I1748" s="72"/>
      <c r="J1748" s="72"/>
      <c r="K1748" s="72"/>
      <c r="L1748" s="73"/>
      <c r="M1748" s="74"/>
      <c r="N1748" s="77">
        <f t="shared" si="2"/>
        <v>0</v>
      </c>
    </row>
    <row r="1749">
      <c r="A1749" s="70"/>
      <c r="B1749" s="71"/>
      <c r="C1749" s="72"/>
      <c r="D1749" s="72"/>
      <c r="E1749" s="72"/>
      <c r="F1749" s="72"/>
      <c r="G1749" s="72"/>
      <c r="H1749" s="72"/>
      <c r="I1749" s="72"/>
      <c r="J1749" s="72"/>
      <c r="K1749" s="72"/>
      <c r="L1749" s="73"/>
      <c r="M1749" s="74"/>
      <c r="N1749" s="77">
        <f t="shared" si="2"/>
        <v>0</v>
      </c>
    </row>
    <row r="1750">
      <c r="A1750" s="70"/>
      <c r="B1750" s="71"/>
      <c r="C1750" s="72"/>
      <c r="D1750" s="72"/>
      <c r="E1750" s="72"/>
      <c r="F1750" s="72"/>
      <c r="G1750" s="72"/>
      <c r="H1750" s="72"/>
      <c r="I1750" s="72"/>
      <c r="J1750" s="72"/>
      <c r="K1750" s="72"/>
      <c r="L1750" s="73"/>
      <c r="M1750" s="74"/>
      <c r="N1750" s="77">
        <f t="shared" si="2"/>
        <v>0</v>
      </c>
    </row>
    <row r="1751">
      <c r="A1751" s="70"/>
      <c r="B1751" s="71"/>
      <c r="C1751" s="72"/>
      <c r="D1751" s="72"/>
      <c r="E1751" s="72"/>
      <c r="F1751" s="72"/>
      <c r="G1751" s="72"/>
      <c r="H1751" s="72"/>
      <c r="I1751" s="72"/>
      <c r="J1751" s="72"/>
      <c r="K1751" s="72"/>
      <c r="L1751" s="73"/>
      <c r="M1751" s="74"/>
      <c r="N1751" s="77">
        <f t="shared" si="2"/>
        <v>0</v>
      </c>
    </row>
    <row r="1752">
      <c r="A1752" s="70"/>
      <c r="B1752" s="71"/>
      <c r="C1752" s="72"/>
      <c r="D1752" s="72"/>
      <c r="E1752" s="72"/>
      <c r="F1752" s="72"/>
      <c r="G1752" s="72"/>
      <c r="H1752" s="72"/>
      <c r="I1752" s="72"/>
      <c r="J1752" s="72"/>
      <c r="K1752" s="72"/>
      <c r="L1752" s="73"/>
      <c r="M1752" s="74"/>
      <c r="N1752" s="77">
        <f t="shared" si="2"/>
        <v>0</v>
      </c>
    </row>
    <row r="1753">
      <c r="A1753" s="70"/>
      <c r="B1753" s="71"/>
      <c r="C1753" s="72"/>
      <c r="D1753" s="72"/>
      <c r="E1753" s="72"/>
      <c r="F1753" s="72"/>
      <c r="G1753" s="72"/>
      <c r="H1753" s="72"/>
      <c r="I1753" s="72"/>
      <c r="J1753" s="72"/>
      <c r="K1753" s="72"/>
      <c r="L1753" s="73"/>
      <c r="M1753" s="74"/>
      <c r="N1753" s="77">
        <f t="shared" si="2"/>
        <v>0</v>
      </c>
    </row>
    <row r="1754">
      <c r="A1754" s="70"/>
      <c r="B1754" s="71"/>
      <c r="C1754" s="72"/>
      <c r="D1754" s="72"/>
      <c r="E1754" s="72"/>
      <c r="F1754" s="72"/>
      <c r="G1754" s="72"/>
      <c r="H1754" s="72"/>
      <c r="I1754" s="72"/>
      <c r="J1754" s="72"/>
      <c r="K1754" s="72"/>
      <c r="L1754" s="73"/>
      <c r="M1754" s="74"/>
      <c r="N1754" s="77">
        <f t="shared" si="2"/>
        <v>0</v>
      </c>
    </row>
    <row r="1755">
      <c r="A1755" s="70"/>
      <c r="B1755" s="71"/>
      <c r="C1755" s="72"/>
      <c r="D1755" s="72"/>
      <c r="E1755" s="72"/>
      <c r="F1755" s="72"/>
      <c r="G1755" s="72"/>
      <c r="H1755" s="72"/>
      <c r="I1755" s="72"/>
      <c r="J1755" s="72"/>
      <c r="K1755" s="72"/>
      <c r="L1755" s="73"/>
      <c r="M1755" s="74"/>
      <c r="N1755" s="77">
        <f t="shared" si="2"/>
        <v>0</v>
      </c>
    </row>
    <row r="1756">
      <c r="A1756" s="70"/>
      <c r="B1756" s="71"/>
      <c r="C1756" s="72"/>
      <c r="D1756" s="72"/>
      <c r="E1756" s="72"/>
      <c r="F1756" s="72"/>
      <c r="G1756" s="72"/>
      <c r="H1756" s="72"/>
      <c r="I1756" s="72"/>
      <c r="J1756" s="72"/>
      <c r="K1756" s="72"/>
      <c r="L1756" s="73"/>
      <c r="M1756" s="74"/>
      <c r="N1756" s="77">
        <f t="shared" si="2"/>
        <v>0</v>
      </c>
    </row>
    <row r="1757">
      <c r="A1757" s="70"/>
      <c r="B1757" s="71"/>
      <c r="C1757" s="72"/>
      <c r="D1757" s="72"/>
      <c r="E1757" s="72"/>
      <c r="F1757" s="72"/>
      <c r="G1757" s="72"/>
      <c r="H1757" s="72"/>
      <c r="I1757" s="72"/>
      <c r="J1757" s="72"/>
      <c r="K1757" s="72"/>
      <c r="L1757" s="73"/>
      <c r="M1757" s="74"/>
      <c r="N1757" s="77">
        <f t="shared" si="2"/>
        <v>0</v>
      </c>
    </row>
    <row r="1758">
      <c r="A1758" s="70"/>
      <c r="B1758" s="71"/>
      <c r="C1758" s="72"/>
      <c r="D1758" s="72"/>
      <c r="E1758" s="72"/>
      <c r="F1758" s="72"/>
      <c r="G1758" s="72"/>
      <c r="H1758" s="72"/>
      <c r="I1758" s="72"/>
      <c r="J1758" s="72"/>
      <c r="K1758" s="72"/>
      <c r="L1758" s="73"/>
      <c r="M1758" s="74"/>
      <c r="N1758" s="77">
        <f t="shared" si="2"/>
        <v>0</v>
      </c>
    </row>
    <row r="1759">
      <c r="A1759" s="70"/>
      <c r="B1759" s="71"/>
      <c r="C1759" s="72"/>
      <c r="D1759" s="72"/>
      <c r="E1759" s="72"/>
      <c r="F1759" s="72"/>
      <c r="G1759" s="72"/>
      <c r="H1759" s="72"/>
      <c r="I1759" s="72"/>
      <c r="J1759" s="72"/>
      <c r="K1759" s="72"/>
      <c r="L1759" s="73"/>
      <c r="M1759" s="74"/>
      <c r="N1759" s="77">
        <f t="shared" si="2"/>
        <v>0</v>
      </c>
    </row>
    <row r="1760">
      <c r="A1760" s="70"/>
      <c r="B1760" s="71"/>
      <c r="C1760" s="72"/>
      <c r="D1760" s="72"/>
      <c r="E1760" s="72"/>
      <c r="F1760" s="72"/>
      <c r="G1760" s="72"/>
      <c r="H1760" s="72"/>
      <c r="I1760" s="72"/>
      <c r="J1760" s="72"/>
      <c r="K1760" s="72"/>
      <c r="L1760" s="73"/>
      <c r="M1760" s="74"/>
      <c r="N1760" s="77">
        <f t="shared" si="2"/>
        <v>0</v>
      </c>
    </row>
    <row r="1761">
      <c r="A1761" s="70"/>
      <c r="B1761" s="71"/>
      <c r="C1761" s="72"/>
      <c r="D1761" s="72"/>
      <c r="E1761" s="72"/>
      <c r="F1761" s="72"/>
      <c r="G1761" s="72"/>
      <c r="H1761" s="72"/>
      <c r="I1761" s="72"/>
      <c r="J1761" s="72"/>
      <c r="K1761" s="72"/>
      <c r="L1761" s="73"/>
      <c r="M1761" s="74"/>
      <c r="N1761" s="77">
        <f t="shared" si="2"/>
        <v>0</v>
      </c>
    </row>
    <row r="1762">
      <c r="A1762" s="70"/>
      <c r="B1762" s="71"/>
      <c r="C1762" s="72"/>
      <c r="D1762" s="72"/>
      <c r="E1762" s="72"/>
      <c r="F1762" s="72"/>
      <c r="G1762" s="72"/>
      <c r="H1762" s="72"/>
      <c r="I1762" s="72"/>
      <c r="J1762" s="72"/>
      <c r="K1762" s="72"/>
      <c r="L1762" s="73"/>
      <c r="M1762" s="74"/>
      <c r="N1762" s="77">
        <f t="shared" si="2"/>
        <v>0</v>
      </c>
    </row>
    <row r="1763">
      <c r="A1763" s="70"/>
      <c r="B1763" s="71"/>
      <c r="C1763" s="72"/>
      <c r="D1763" s="72"/>
      <c r="E1763" s="72"/>
      <c r="F1763" s="72"/>
      <c r="G1763" s="72"/>
      <c r="H1763" s="72"/>
      <c r="I1763" s="72"/>
      <c r="J1763" s="72"/>
      <c r="K1763" s="72"/>
      <c r="L1763" s="73"/>
      <c r="M1763" s="74"/>
      <c r="N1763" s="77">
        <f t="shared" si="2"/>
        <v>0</v>
      </c>
    </row>
    <row r="1764">
      <c r="A1764" s="70"/>
      <c r="B1764" s="71"/>
      <c r="C1764" s="72"/>
      <c r="D1764" s="72"/>
      <c r="E1764" s="72"/>
      <c r="F1764" s="72"/>
      <c r="G1764" s="72"/>
      <c r="H1764" s="72"/>
      <c r="I1764" s="72"/>
      <c r="J1764" s="72"/>
      <c r="K1764" s="72"/>
      <c r="L1764" s="73"/>
      <c r="M1764" s="74"/>
      <c r="N1764" s="77">
        <f t="shared" si="2"/>
        <v>0</v>
      </c>
    </row>
    <row r="1765">
      <c r="A1765" s="70"/>
      <c r="B1765" s="71"/>
      <c r="C1765" s="72"/>
      <c r="D1765" s="72"/>
      <c r="E1765" s="72"/>
      <c r="F1765" s="72"/>
      <c r="G1765" s="72"/>
      <c r="H1765" s="72"/>
      <c r="I1765" s="72"/>
      <c r="J1765" s="72"/>
      <c r="K1765" s="72"/>
      <c r="L1765" s="73"/>
      <c r="M1765" s="74"/>
      <c r="N1765" s="77">
        <f t="shared" si="2"/>
        <v>0</v>
      </c>
    </row>
    <row r="1766">
      <c r="A1766" s="70"/>
      <c r="B1766" s="71"/>
      <c r="C1766" s="72"/>
      <c r="D1766" s="72"/>
      <c r="E1766" s="72"/>
      <c r="F1766" s="72"/>
      <c r="G1766" s="72"/>
      <c r="H1766" s="72"/>
      <c r="I1766" s="72"/>
      <c r="J1766" s="72"/>
      <c r="K1766" s="72"/>
      <c r="L1766" s="73"/>
      <c r="M1766" s="74"/>
      <c r="N1766" s="77">
        <f t="shared" si="2"/>
        <v>0</v>
      </c>
    </row>
    <row r="1767">
      <c r="A1767" s="70"/>
      <c r="B1767" s="71"/>
      <c r="C1767" s="72"/>
      <c r="D1767" s="72"/>
      <c r="E1767" s="72"/>
      <c r="F1767" s="72"/>
      <c r="G1767" s="72"/>
      <c r="H1767" s="72"/>
      <c r="I1767" s="72"/>
      <c r="J1767" s="72"/>
      <c r="K1767" s="72"/>
      <c r="L1767" s="73"/>
      <c r="M1767" s="74"/>
      <c r="N1767" s="77">
        <f t="shared" si="2"/>
        <v>0</v>
      </c>
    </row>
    <row r="1768">
      <c r="A1768" s="70"/>
      <c r="B1768" s="71"/>
      <c r="C1768" s="72"/>
      <c r="D1768" s="72"/>
      <c r="E1768" s="72"/>
      <c r="F1768" s="72"/>
      <c r="G1768" s="72"/>
      <c r="H1768" s="72"/>
      <c r="I1768" s="72"/>
      <c r="J1768" s="72"/>
      <c r="K1768" s="72"/>
      <c r="L1768" s="73"/>
      <c r="M1768" s="74"/>
      <c r="N1768" s="77">
        <f t="shared" si="2"/>
        <v>0</v>
      </c>
    </row>
    <row r="1769">
      <c r="A1769" s="70"/>
      <c r="B1769" s="71"/>
      <c r="C1769" s="72"/>
      <c r="D1769" s="72"/>
      <c r="E1769" s="72"/>
      <c r="F1769" s="72"/>
      <c r="G1769" s="72"/>
      <c r="H1769" s="72"/>
      <c r="I1769" s="72"/>
      <c r="J1769" s="72"/>
      <c r="K1769" s="72"/>
      <c r="L1769" s="73"/>
      <c r="M1769" s="74"/>
      <c r="N1769" s="77">
        <f t="shared" si="2"/>
        <v>0</v>
      </c>
    </row>
    <row r="1770">
      <c r="A1770" s="70"/>
      <c r="B1770" s="71"/>
      <c r="C1770" s="72"/>
      <c r="D1770" s="72"/>
      <c r="E1770" s="72"/>
      <c r="F1770" s="72"/>
      <c r="G1770" s="72"/>
      <c r="H1770" s="72"/>
      <c r="I1770" s="72"/>
      <c r="J1770" s="72"/>
      <c r="K1770" s="72"/>
      <c r="L1770" s="73"/>
      <c r="M1770" s="74"/>
      <c r="N1770" s="77">
        <f t="shared" si="2"/>
        <v>0</v>
      </c>
    </row>
    <row r="1771">
      <c r="A1771" s="70"/>
      <c r="B1771" s="71"/>
      <c r="C1771" s="72"/>
      <c r="D1771" s="72"/>
      <c r="E1771" s="72"/>
      <c r="F1771" s="72"/>
      <c r="G1771" s="72"/>
      <c r="H1771" s="72"/>
      <c r="I1771" s="72"/>
      <c r="J1771" s="72"/>
      <c r="K1771" s="72"/>
      <c r="L1771" s="73"/>
      <c r="M1771" s="74"/>
      <c r="N1771" s="77">
        <f t="shared" si="2"/>
        <v>0</v>
      </c>
    </row>
    <row r="1772">
      <c r="A1772" s="70"/>
      <c r="B1772" s="71"/>
      <c r="C1772" s="72"/>
      <c r="D1772" s="72"/>
      <c r="E1772" s="72"/>
      <c r="F1772" s="72"/>
      <c r="G1772" s="72"/>
      <c r="H1772" s="72"/>
      <c r="I1772" s="72"/>
      <c r="J1772" s="72"/>
      <c r="K1772" s="72"/>
      <c r="L1772" s="73"/>
      <c r="M1772" s="74"/>
      <c r="N1772" s="77">
        <f t="shared" si="2"/>
        <v>0</v>
      </c>
    </row>
    <row r="1773">
      <c r="A1773" s="70"/>
      <c r="B1773" s="71"/>
      <c r="C1773" s="72"/>
      <c r="D1773" s="72"/>
      <c r="E1773" s="72"/>
      <c r="F1773" s="72"/>
      <c r="G1773" s="72"/>
      <c r="H1773" s="72"/>
      <c r="I1773" s="72"/>
      <c r="J1773" s="72"/>
      <c r="K1773" s="72"/>
      <c r="L1773" s="73"/>
      <c r="M1773" s="74"/>
      <c r="N1773" s="77">
        <f t="shared" si="2"/>
        <v>0</v>
      </c>
    </row>
    <row r="1774">
      <c r="A1774" s="70"/>
      <c r="B1774" s="71"/>
      <c r="C1774" s="72"/>
      <c r="D1774" s="72"/>
      <c r="E1774" s="72"/>
      <c r="F1774" s="72"/>
      <c r="G1774" s="72"/>
      <c r="H1774" s="72"/>
      <c r="I1774" s="72"/>
      <c r="J1774" s="72"/>
      <c r="K1774" s="72"/>
      <c r="L1774" s="73"/>
      <c r="M1774" s="74"/>
      <c r="N1774" s="77">
        <f t="shared" si="2"/>
        <v>0</v>
      </c>
    </row>
    <row r="1775">
      <c r="A1775" s="70"/>
      <c r="B1775" s="71"/>
      <c r="C1775" s="72"/>
      <c r="D1775" s="72"/>
      <c r="E1775" s="72"/>
      <c r="F1775" s="72"/>
      <c r="G1775" s="72"/>
      <c r="H1775" s="72"/>
      <c r="I1775" s="72"/>
      <c r="J1775" s="72"/>
      <c r="K1775" s="72"/>
      <c r="L1775" s="73"/>
      <c r="M1775" s="74"/>
      <c r="N1775" s="77">
        <f t="shared" si="2"/>
        <v>0</v>
      </c>
    </row>
    <row r="1776">
      <c r="A1776" s="70"/>
      <c r="B1776" s="71"/>
      <c r="C1776" s="72"/>
      <c r="D1776" s="72"/>
      <c r="E1776" s="72"/>
      <c r="F1776" s="72"/>
      <c r="G1776" s="72"/>
      <c r="H1776" s="72"/>
      <c r="I1776" s="72"/>
      <c r="J1776" s="72"/>
      <c r="K1776" s="72"/>
      <c r="L1776" s="73"/>
      <c r="M1776" s="74"/>
      <c r="N1776" s="77">
        <f t="shared" si="2"/>
        <v>0</v>
      </c>
    </row>
    <row r="1777">
      <c r="A1777" s="70"/>
      <c r="B1777" s="71"/>
      <c r="C1777" s="72"/>
      <c r="D1777" s="72"/>
      <c r="E1777" s="72"/>
      <c r="F1777" s="72"/>
      <c r="G1777" s="72"/>
      <c r="H1777" s="72"/>
      <c r="I1777" s="72"/>
      <c r="J1777" s="72"/>
      <c r="K1777" s="72"/>
      <c r="L1777" s="73"/>
      <c r="M1777" s="74"/>
      <c r="N1777" s="77">
        <f t="shared" si="2"/>
        <v>0</v>
      </c>
    </row>
    <row r="1778">
      <c r="A1778" s="70"/>
      <c r="B1778" s="71"/>
      <c r="C1778" s="72"/>
      <c r="D1778" s="72"/>
      <c r="E1778" s="72"/>
      <c r="F1778" s="72"/>
      <c r="G1778" s="72"/>
      <c r="H1778" s="72"/>
      <c r="I1778" s="72"/>
      <c r="J1778" s="72"/>
      <c r="K1778" s="72"/>
      <c r="L1778" s="73"/>
      <c r="M1778" s="74"/>
      <c r="N1778" s="77">
        <f t="shared" si="2"/>
        <v>0</v>
      </c>
    </row>
    <row r="1779">
      <c r="A1779" s="70"/>
      <c r="B1779" s="71"/>
      <c r="C1779" s="72"/>
      <c r="D1779" s="72"/>
      <c r="E1779" s="72"/>
      <c r="F1779" s="72"/>
      <c r="G1779" s="72"/>
      <c r="H1779" s="72"/>
      <c r="I1779" s="72"/>
      <c r="J1779" s="72"/>
      <c r="K1779" s="72"/>
      <c r="L1779" s="73"/>
      <c r="M1779" s="74"/>
      <c r="N1779" s="77">
        <f t="shared" si="2"/>
        <v>0</v>
      </c>
    </row>
    <row r="1780">
      <c r="A1780" s="70"/>
      <c r="B1780" s="71"/>
      <c r="C1780" s="72"/>
      <c r="D1780" s="72"/>
      <c r="E1780" s="72"/>
      <c r="F1780" s="72"/>
      <c r="G1780" s="72"/>
      <c r="H1780" s="72"/>
      <c r="I1780" s="72"/>
      <c r="J1780" s="72"/>
      <c r="K1780" s="72"/>
      <c r="L1780" s="73"/>
      <c r="M1780" s="74"/>
      <c r="N1780" s="77">
        <f t="shared" si="2"/>
        <v>0</v>
      </c>
    </row>
    <row r="1781">
      <c r="A1781" s="70"/>
      <c r="B1781" s="71"/>
      <c r="C1781" s="72"/>
      <c r="D1781" s="72"/>
      <c r="E1781" s="72"/>
      <c r="F1781" s="72"/>
      <c r="G1781" s="72"/>
      <c r="H1781" s="72"/>
      <c r="I1781" s="72"/>
      <c r="J1781" s="72"/>
      <c r="K1781" s="72"/>
      <c r="L1781" s="73"/>
      <c r="M1781" s="74"/>
      <c r="N1781" s="77">
        <f t="shared" si="2"/>
        <v>0</v>
      </c>
    </row>
    <row r="1782">
      <c r="A1782" s="70"/>
      <c r="B1782" s="71"/>
      <c r="C1782" s="72"/>
      <c r="D1782" s="72"/>
      <c r="E1782" s="72"/>
      <c r="F1782" s="72"/>
      <c r="G1782" s="72"/>
      <c r="H1782" s="72"/>
      <c r="I1782" s="72"/>
      <c r="J1782" s="72"/>
      <c r="K1782" s="72"/>
      <c r="L1782" s="73"/>
      <c r="M1782" s="74"/>
      <c r="N1782" s="77">
        <f t="shared" si="2"/>
        <v>0</v>
      </c>
    </row>
    <row r="1783">
      <c r="A1783" s="70"/>
      <c r="B1783" s="71"/>
      <c r="C1783" s="72"/>
      <c r="D1783" s="72"/>
      <c r="E1783" s="72"/>
      <c r="F1783" s="72"/>
      <c r="G1783" s="72"/>
      <c r="H1783" s="72"/>
      <c r="I1783" s="72"/>
      <c r="J1783" s="72"/>
      <c r="K1783" s="72"/>
      <c r="L1783" s="73"/>
      <c r="M1783" s="74"/>
      <c r="N1783" s="77">
        <f t="shared" si="2"/>
        <v>0</v>
      </c>
    </row>
    <row r="1784">
      <c r="A1784" s="70"/>
      <c r="B1784" s="71"/>
      <c r="C1784" s="72"/>
      <c r="D1784" s="72"/>
      <c r="E1784" s="72"/>
      <c r="F1784" s="72"/>
      <c r="G1784" s="72"/>
      <c r="H1784" s="72"/>
      <c r="I1784" s="72"/>
      <c r="J1784" s="72"/>
      <c r="K1784" s="72"/>
      <c r="L1784" s="73"/>
      <c r="M1784" s="74"/>
      <c r="N1784" s="77">
        <f t="shared" si="2"/>
        <v>0</v>
      </c>
    </row>
    <row r="1785">
      <c r="A1785" s="70"/>
      <c r="B1785" s="71"/>
      <c r="C1785" s="72"/>
      <c r="D1785" s="72"/>
      <c r="E1785" s="72"/>
      <c r="F1785" s="72"/>
      <c r="G1785" s="72"/>
      <c r="H1785" s="72"/>
      <c r="I1785" s="72"/>
      <c r="J1785" s="72"/>
      <c r="K1785" s="72"/>
      <c r="L1785" s="73"/>
      <c r="M1785" s="74"/>
      <c r="N1785" s="77">
        <f t="shared" si="2"/>
        <v>0</v>
      </c>
    </row>
    <row r="1786">
      <c r="A1786" s="70"/>
      <c r="B1786" s="71"/>
      <c r="C1786" s="72"/>
      <c r="D1786" s="72"/>
      <c r="E1786" s="72"/>
      <c r="F1786" s="72"/>
      <c r="G1786" s="72"/>
      <c r="H1786" s="72"/>
      <c r="I1786" s="72"/>
      <c r="J1786" s="72"/>
      <c r="K1786" s="72"/>
      <c r="L1786" s="73"/>
      <c r="M1786" s="74"/>
      <c r="N1786" s="77">
        <f t="shared" si="2"/>
        <v>0</v>
      </c>
    </row>
    <row r="1787">
      <c r="A1787" s="70"/>
      <c r="B1787" s="71"/>
      <c r="C1787" s="72"/>
      <c r="D1787" s="72"/>
      <c r="E1787" s="72"/>
      <c r="F1787" s="72"/>
      <c r="G1787" s="72"/>
      <c r="H1787" s="72"/>
      <c r="I1787" s="72"/>
      <c r="J1787" s="72"/>
      <c r="K1787" s="72"/>
      <c r="L1787" s="73"/>
      <c r="M1787" s="74"/>
      <c r="N1787" s="77">
        <f t="shared" si="2"/>
        <v>0</v>
      </c>
    </row>
    <row r="1788">
      <c r="A1788" s="70"/>
      <c r="B1788" s="71"/>
      <c r="C1788" s="72"/>
      <c r="D1788" s="72"/>
      <c r="E1788" s="72"/>
      <c r="F1788" s="72"/>
      <c r="G1788" s="72"/>
      <c r="H1788" s="72"/>
      <c r="I1788" s="72"/>
      <c r="J1788" s="72"/>
      <c r="K1788" s="72"/>
      <c r="L1788" s="73"/>
      <c r="M1788" s="74"/>
      <c r="N1788" s="77">
        <f t="shared" si="2"/>
        <v>0</v>
      </c>
    </row>
    <row r="1789">
      <c r="A1789" s="70"/>
      <c r="B1789" s="71"/>
      <c r="C1789" s="72"/>
      <c r="D1789" s="72"/>
      <c r="E1789" s="72"/>
      <c r="F1789" s="72"/>
      <c r="G1789" s="72"/>
      <c r="H1789" s="72"/>
      <c r="I1789" s="72"/>
      <c r="J1789" s="72"/>
      <c r="K1789" s="72"/>
      <c r="L1789" s="73"/>
      <c r="M1789" s="74"/>
      <c r="N1789" s="77">
        <f t="shared" si="2"/>
        <v>0</v>
      </c>
    </row>
    <row r="1790">
      <c r="A1790" s="70"/>
      <c r="B1790" s="71"/>
      <c r="C1790" s="72"/>
      <c r="D1790" s="72"/>
      <c r="E1790" s="72"/>
      <c r="F1790" s="72"/>
      <c r="G1790" s="72"/>
      <c r="H1790" s="72"/>
      <c r="I1790" s="72"/>
      <c r="J1790" s="72"/>
      <c r="K1790" s="72"/>
      <c r="L1790" s="73"/>
      <c r="M1790" s="74"/>
      <c r="N1790" s="77">
        <f t="shared" si="2"/>
        <v>0</v>
      </c>
    </row>
    <row r="1791">
      <c r="A1791" s="70"/>
      <c r="B1791" s="71"/>
      <c r="C1791" s="72"/>
      <c r="D1791" s="72"/>
      <c r="E1791" s="72"/>
      <c r="F1791" s="72"/>
      <c r="G1791" s="72"/>
      <c r="H1791" s="72"/>
      <c r="I1791" s="72"/>
      <c r="J1791" s="72"/>
      <c r="K1791" s="72"/>
      <c r="L1791" s="73"/>
      <c r="M1791" s="74"/>
      <c r="N1791" s="77">
        <f t="shared" si="2"/>
        <v>0</v>
      </c>
    </row>
    <row r="1792">
      <c r="A1792" s="70"/>
      <c r="B1792" s="71"/>
      <c r="C1792" s="72"/>
      <c r="D1792" s="72"/>
      <c r="E1792" s="72"/>
      <c r="F1792" s="72"/>
      <c r="G1792" s="72"/>
      <c r="H1792" s="72"/>
      <c r="I1792" s="72"/>
      <c r="J1792" s="72"/>
      <c r="K1792" s="72"/>
      <c r="L1792" s="73"/>
      <c r="M1792" s="74"/>
      <c r="N1792" s="77">
        <f t="shared" si="2"/>
        <v>0</v>
      </c>
    </row>
    <row r="1793">
      <c r="A1793" s="70"/>
      <c r="B1793" s="71"/>
      <c r="C1793" s="72"/>
      <c r="D1793" s="72"/>
      <c r="E1793" s="72"/>
      <c r="F1793" s="72"/>
      <c r="G1793" s="72"/>
      <c r="H1793" s="72"/>
      <c r="I1793" s="72"/>
      <c r="J1793" s="72"/>
      <c r="K1793" s="72"/>
      <c r="L1793" s="73"/>
      <c r="M1793" s="74"/>
      <c r="N1793" s="77">
        <f t="shared" si="2"/>
        <v>0</v>
      </c>
    </row>
    <row r="1794">
      <c r="A1794" s="70"/>
      <c r="B1794" s="71"/>
      <c r="C1794" s="72"/>
      <c r="D1794" s="72"/>
      <c r="E1794" s="72"/>
      <c r="F1794" s="72"/>
      <c r="G1794" s="72"/>
      <c r="H1794" s="72"/>
      <c r="I1794" s="72"/>
      <c r="J1794" s="72"/>
      <c r="K1794" s="72"/>
      <c r="L1794" s="73"/>
      <c r="M1794" s="74"/>
      <c r="N1794" s="77">
        <f t="shared" si="2"/>
        <v>0</v>
      </c>
    </row>
    <row r="1795">
      <c r="A1795" s="70"/>
      <c r="B1795" s="71"/>
      <c r="C1795" s="72"/>
      <c r="D1795" s="72"/>
      <c r="E1795" s="72"/>
      <c r="F1795" s="72"/>
      <c r="G1795" s="72"/>
      <c r="H1795" s="72"/>
      <c r="I1795" s="72"/>
      <c r="J1795" s="72"/>
      <c r="K1795" s="72"/>
      <c r="L1795" s="73"/>
      <c r="M1795" s="74"/>
      <c r="N1795" s="77">
        <f t="shared" si="2"/>
        <v>0</v>
      </c>
    </row>
    <row r="1796">
      <c r="A1796" s="70"/>
      <c r="B1796" s="71"/>
      <c r="C1796" s="72"/>
      <c r="D1796" s="72"/>
      <c r="E1796" s="72"/>
      <c r="F1796" s="72"/>
      <c r="G1796" s="72"/>
      <c r="H1796" s="72"/>
      <c r="I1796" s="72"/>
      <c r="J1796" s="72"/>
      <c r="K1796" s="72"/>
      <c r="L1796" s="73"/>
      <c r="M1796" s="74"/>
      <c r="N1796" s="77">
        <f t="shared" si="2"/>
        <v>0</v>
      </c>
    </row>
    <row r="1797">
      <c r="A1797" s="70"/>
      <c r="B1797" s="71"/>
      <c r="C1797" s="72"/>
      <c r="D1797" s="72"/>
      <c r="E1797" s="72"/>
      <c r="F1797" s="72"/>
      <c r="G1797" s="72"/>
      <c r="H1797" s="72"/>
      <c r="I1797" s="72"/>
      <c r="J1797" s="72"/>
      <c r="K1797" s="72"/>
      <c r="L1797" s="73"/>
      <c r="M1797" s="74"/>
      <c r="N1797" s="77">
        <f t="shared" si="2"/>
        <v>0</v>
      </c>
    </row>
    <row r="1798">
      <c r="A1798" s="70"/>
      <c r="B1798" s="71"/>
      <c r="C1798" s="72"/>
      <c r="D1798" s="72"/>
      <c r="E1798" s="72"/>
      <c r="F1798" s="72"/>
      <c r="G1798" s="72"/>
      <c r="H1798" s="72"/>
      <c r="I1798" s="72"/>
      <c r="J1798" s="72"/>
      <c r="K1798" s="72"/>
      <c r="L1798" s="73"/>
      <c r="M1798" s="74"/>
      <c r="N1798" s="77">
        <f t="shared" si="2"/>
        <v>0</v>
      </c>
    </row>
    <row r="1799">
      <c r="A1799" s="70"/>
      <c r="B1799" s="71"/>
      <c r="C1799" s="72"/>
      <c r="D1799" s="72"/>
      <c r="E1799" s="72"/>
      <c r="F1799" s="72"/>
      <c r="G1799" s="72"/>
      <c r="H1799" s="72"/>
      <c r="I1799" s="72"/>
      <c r="J1799" s="72"/>
      <c r="K1799" s="72"/>
      <c r="L1799" s="73"/>
      <c r="M1799" s="74"/>
      <c r="N1799" s="77">
        <f t="shared" si="2"/>
        <v>0</v>
      </c>
    </row>
    <row r="1800">
      <c r="A1800" s="70"/>
      <c r="B1800" s="71"/>
      <c r="C1800" s="72"/>
      <c r="D1800" s="72"/>
      <c r="E1800" s="72"/>
      <c r="F1800" s="72"/>
      <c r="G1800" s="72"/>
      <c r="H1800" s="72"/>
      <c r="I1800" s="72"/>
      <c r="J1800" s="72"/>
      <c r="K1800" s="72"/>
      <c r="L1800" s="73"/>
      <c r="M1800" s="74"/>
      <c r="N1800" s="77">
        <f t="shared" si="2"/>
        <v>0</v>
      </c>
    </row>
    <row r="1801">
      <c r="A1801" s="70"/>
      <c r="B1801" s="71"/>
      <c r="C1801" s="72"/>
      <c r="D1801" s="72"/>
      <c r="E1801" s="72"/>
      <c r="F1801" s="72"/>
      <c r="G1801" s="72"/>
      <c r="H1801" s="72"/>
      <c r="I1801" s="72"/>
      <c r="J1801" s="72"/>
      <c r="K1801" s="72"/>
      <c r="L1801" s="73"/>
      <c r="M1801" s="74"/>
      <c r="N1801" s="77">
        <f t="shared" si="2"/>
        <v>0</v>
      </c>
    </row>
    <row r="1802">
      <c r="A1802" s="70"/>
      <c r="B1802" s="71"/>
      <c r="C1802" s="72"/>
      <c r="D1802" s="72"/>
      <c r="E1802" s="72"/>
      <c r="F1802" s="72"/>
      <c r="G1802" s="72"/>
      <c r="H1802" s="72"/>
      <c r="I1802" s="72"/>
      <c r="J1802" s="72"/>
      <c r="K1802" s="72"/>
      <c r="L1802" s="73"/>
      <c r="M1802" s="74"/>
      <c r="N1802" s="77">
        <f t="shared" si="2"/>
        <v>0</v>
      </c>
    </row>
    <row r="1803">
      <c r="A1803" s="70"/>
      <c r="B1803" s="71"/>
      <c r="C1803" s="72"/>
      <c r="D1803" s="72"/>
      <c r="E1803" s="72"/>
      <c r="F1803" s="72"/>
      <c r="G1803" s="72"/>
      <c r="H1803" s="72"/>
      <c r="I1803" s="72"/>
      <c r="J1803" s="72"/>
      <c r="K1803" s="72"/>
      <c r="L1803" s="73"/>
      <c r="M1803" s="74"/>
      <c r="N1803" s="77">
        <f t="shared" si="2"/>
        <v>0</v>
      </c>
    </row>
    <row r="1804">
      <c r="A1804" s="70"/>
      <c r="B1804" s="71"/>
      <c r="C1804" s="72"/>
      <c r="D1804" s="72"/>
      <c r="E1804" s="72"/>
      <c r="F1804" s="72"/>
      <c r="G1804" s="72"/>
      <c r="H1804" s="72"/>
      <c r="I1804" s="72"/>
      <c r="J1804" s="72"/>
      <c r="K1804" s="72"/>
      <c r="L1804" s="73"/>
      <c r="M1804" s="74"/>
      <c r="N1804" s="77">
        <f t="shared" si="2"/>
        <v>0</v>
      </c>
    </row>
    <row r="1805">
      <c r="A1805" s="70"/>
      <c r="B1805" s="71"/>
      <c r="C1805" s="72"/>
      <c r="D1805" s="72"/>
      <c r="E1805" s="72"/>
      <c r="F1805" s="72"/>
      <c r="G1805" s="72"/>
      <c r="H1805" s="72"/>
      <c r="I1805" s="72"/>
      <c r="J1805" s="72"/>
      <c r="K1805" s="72"/>
      <c r="L1805" s="73"/>
      <c r="M1805" s="74"/>
      <c r="N1805" s="77">
        <f t="shared" si="2"/>
        <v>0</v>
      </c>
    </row>
    <row r="1806">
      <c r="A1806" s="70"/>
      <c r="B1806" s="71"/>
      <c r="C1806" s="72"/>
      <c r="D1806" s="72"/>
      <c r="E1806" s="72"/>
      <c r="F1806" s="72"/>
      <c r="G1806" s="72"/>
      <c r="H1806" s="72"/>
      <c r="I1806" s="72"/>
      <c r="J1806" s="72"/>
      <c r="K1806" s="72"/>
      <c r="L1806" s="73"/>
      <c r="M1806" s="74"/>
      <c r="N1806" s="77">
        <f t="shared" si="2"/>
        <v>0</v>
      </c>
    </row>
    <row r="1807">
      <c r="A1807" s="70"/>
      <c r="B1807" s="71"/>
      <c r="C1807" s="72"/>
      <c r="D1807" s="72"/>
      <c r="E1807" s="72"/>
      <c r="F1807" s="72"/>
      <c r="G1807" s="72"/>
      <c r="H1807" s="72"/>
      <c r="I1807" s="72"/>
      <c r="J1807" s="72"/>
      <c r="K1807" s="72"/>
      <c r="L1807" s="73"/>
      <c r="M1807" s="74"/>
      <c r="N1807" s="77">
        <f t="shared" si="2"/>
        <v>0</v>
      </c>
    </row>
    <row r="1808">
      <c r="A1808" s="70"/>
      <c r="B1808" s="71"/>
      <c r="C1808" s="72"/>
      <c r="D1808" s="72"/>
      <c r="E1808" s="72"/>
      <c r="F1808" s="72"/>
      <c r="G1808" s="72"/>
      <c r="H1808" s="72"/>
      <c r="I1808" s="72"/>
      <c r="J1808" s="72"/>
      <c r="K1808" s="72"/>
      <c r="L1808" s="73"/>
      <c r="M1808" s="74"/>
      <c r="N1808" s="77">
        <f t="shared" si="2"/>
        <v>0</v>
      </c>
    </row>
    <row r="1809">
      <c r="A1809" s="70"/>
      <c r="B1809" s="71"/>
      <c r="C1809" s="72"/>
      <c r="D1809" s="72"/>
      <c r="E1809" s="72"/>
      <c r="F1809" s="72"/>
      <c r="G1809" s="72"/>
      <c r="H1809" s="72"/>
      <c r="I1809" s="72"/>
      <c r="J1809" s="72"/>
      <c r="K1809" s="72"/>
      <c r="L1809" s="73"/>
      <c r="M1809" s="74"/>
      <c r="N1809" s="77">
        <f t="shared" si="2"/>
        <v>0</v>
      </c>
    </row>
    <row r="1810">
      <c r="A1810" s="70"/>
      <c r="B1810" s="71"/>
      <c r="C1810" s="72"/>
      <c r="D1810" s="72"/>
      <c r="E1810" s="72"/>
      <c r="F1810" s="72"/>
      <c r="G1810" s="72"/>
      <c r="H1810" s="72"/>
      <c r="I1810" s="72"/>
      <c r="J1810" s="72"/>
      <c r="K1810" s="72"/>
      <c r="L1810" s="73"/>
      <c r="M1810" s="74"/>
      <c r="N1810" s="77">
        <f t="shared" si="2"/>
        <v>0</v>
      </c>
    </row>
    <row r="1811">
      <c r="A1811" s="70"/>
      <c r="B1811" s="71"/>
      <c r="C1811" s="72"/>
      <c r="D1811" s="72"/>
      <c r="E1811" s="72"/>
      <c r="F1811" s="72"/>
      <c r="G1811" s="72"/>
      <c r="H1811" s="72"/>
      <c r="I1811" s="72"/>
      <c r="J1811" s="72"/>
      <c r="K1811" s="72"/>
      <c r="L1811" s="73"/>
      <c r="M1811" s="74"/>
      <c r="N1811" s="77">
        <f t="shared" si="2"/>
        <v>0</v>
      </c>
    </row>
    <row r="1812">
      <c r="A1812" s="70"/>
      <c r="B1812" s="71"/>
      <c r="C1812" s="72"/>
      <c r="D1812" s="72"/>
      <c r="E1812" s="72"/>
      <c r="F1812" s="72"/>
      <c r="G1812" s="72"/>
      <c r="H1812" s="72"/>
      <c r="I1812" s="72"/>
      <c r="J1812" s="72"/>
      <c r="K1812" s="72"/>
      <c r="L1812" s="73"/>
      <c r="M1812" s="74"/>
      <c r="N1812" s="77">
        <f t="shared" si="2"/>
        <v>0</v>
      </c>
    </row>
    <row r="1813">
      <c r="A1813" s="70"/>
      <c r="B1813" s="71"/>
      <c r="C1813" s="72"/>
      <c r="D1813" s="72"/>
      <c r="E1813" s="72"/>
      <c r="F1813" s="72"/>
      <c r="G1813" s="72"/>
      <c r="H1813" s="72"/>
      <c r="I1813" s="72"/>
      <c r="J1813" s="72"/>
      <c r="K1813" s="72"/>
      <c r="L1813" s="73"/>
      <c r="M1813" s="74"/>
      <c r="N1813" s="77">
        <f t="shared" si="2"/>
        <v>0</v>
      </c>
    </row>
    <row r="1814">
      <c r="A1814" s="70"/>
      <c r="B1814" s="71"/>
      <c r="C1814" s="72"/>
      <c r="D1814" s="72"/>
      <c r="E1814" s="72"/>
      <c r="F1814" s="72"/>
      <c r="G1814" s="72"/>
      <c r="H1814" s="72"/>
      <c r="I1814" s="72"/>
      <c r="J1814" s="72"/>
      <c r="K1814" s="72"/>
      <c r="L1814" s="73"/>
      <c r="M1814" s="74"/>
      <c r="N1814" s="77">
        <f t="shared" si="2"/>
        <v>0</v>
      </c>
    </row>
    <row r="1815">
      <c r="A1815" s="70"/>
      <c r="B1815" s="71"/>
      <c r="C1815" s="72"/>
      <c r="D1815" s="72"/>
      <c r="E1815" s="72"/>
      <c r="F1815" s="72"/>
      <c r="G1815" s="72"/>
      <c r="H1815" s="72"/>
      <c r="I1815" s="72"/>
      <c r="J1815" s="72"/>
      <c r="K1815" s="72"/>
      <c r="L1815" s="73"/>
      <c r="M1815" s="74"/>
      <c r="N1815" s="77">
        <f t="shared" si="2"/>
        <v>0</v>
      </c>
    </row>
    <row r="1816">
      <c r="A1816" s="70"/>
      <c r="B1816" s="71"/>
      <c r="C1816" s="72"/>
      <c r="D1816" s="72"/>
      <c r="E1816" s="72"/>
      <c r="F1816" s="72"/>
      <c r="G1816" s="72"/>
      <c r="H1816" s="72"/>
      <c r="I1816" s="72"/>
      <c r="J1816" s="72"/>
      <c r="K1816" s="72"/>
      <c r="L1816" s="73"/>
      <c r="M1816" s="74"/>
      <c r="N1816" s="77">
        <f t="shared" si="2"/>
        <v>0</v>
      </c>
    </row>
    <row r="1817">
      <c r="A1817" s="70"/>
      <c r="B1817" s="71"/>
      <c r="C1817" s="72"/>
      <c r="D1817" s="72"/>
      <c r="E1817" s="72"/>
      <c r="F1817" s="72"/>
      <c r="G1817" s="72"/>
      <c r="H1817" s="72"/>
      <c r="I1817" s="72"/>
      <c r="J1817" s="72"/>
      <c r="K1817" s="72"/>
      <c r="L1817" s="73"/>
      <c r="M1817" s="74"/>
      <c r="N1817" s="77">
        <f t="shared" si="2"/>
        <v>0</v>
      </c>
    </row>
    <row r="1818">
      <c r="A1818" s="70"/>
      <c r="B1818" s="71"/>
      <c r="C1818" s="72"/>
      <c r="D1818" s="72"/>
      <c r="E1818" s="72"/>
      <c r="F1818" s="72"/>
      <c r="G1818" s="72"/>
      <c r="H1818" s="72"/>
      <c r="I1818" s="72"/>
      <c r="J1818" s="72"/>
      <c r="K1818" s="72"/>
      <c r="L1818" s="73"/>
      <c r="M1818" s="74"/>
      <c r="N1818" s="77">
        <f t="shared" si="2"/>
        <v>0</v>
      </c>
    </row>
    <row r="1819">
      <c r="A1819" s="70"/>
      <c r="B1819" s="71"/>
      <c r="C1819" s="72"/>
      <c r="D1819" s="72"/>
      <c r="E1819" s="72"/>
      <c r="F1819" s="72"/>
      <c r="G1819" s="72"/>
      <c r="H1819" s="72"/>
      <c r="I1819" s="72"/>
      <c r="J1819" s="72"/>
      <c r="K1819" s="72"/>
      <c r="L1819" s="73"/>
      <c r="M1819" s="74"/>
      <c r="N1819" s="77">
        <f t="shared" si="2"/>
        <v>0</v>
      </c>
    </row>
    <row r="1820">
      <c r="A1820" s="70"/>
      <c r="B1820" s="71"/>
      <c r="C1820" s="72"/>
      <c r="D1820" s="72"/>
      <c r="E1820" s="72"/>
      <c r="F1820" s="72"/>
      <c r="G1820" s="72"/>
      <c r="H1820" s="72"/>
      <c r="I1820" s="72"/>
      <c r="J1820" s="72"/>
      <c r="K1820" s="72"/>
      <c r="L1820" s="73"/>
      <c r="M1820" s="74"/>
      <c r="N1820" s="77">
        <f t="shared" si="2"/>
        <v>0</v>
      </c>
    </row>
    <row r="1821">
      <c r="A1821" s="70"/>
      <c r="B1821" s="71"/>
      <c r="C1821" s="72"/>
      <c r="D1821" s="72"/>
      <c r="E1821" s="72"/>
      <c r="F1821" s="72"/>
      <c r="G1821" s="72"/>
      <c r="H1821" s="72"/>
      <c r="I1821" s="72"/>
      <c r="J1821" s="72"/>
      <c r="K1821" s="72"/>
      <c r="L1821" s="73"/>
      <c r="M1821" s="74"/>
      <c r="N1821" s="77">
        <f t="shared" si="2"/>
        <v>0</v>
      </c>
    </row>
    <row r="1822">
      <c r="A1822" s="70"/>
      <c r="B1822" s="71"/>
      <c r="C1822" s="72"/>
      <c r="D1822" s="72"/>
      <c r="E1822" s="72"/>
      <c r="F1822" s="72"/>
      <c r="G1822" s="72"/>
      <c r="H1822" s="72"/>
      <c r="I1822" s="72"/>
      <c r="J1822" s="72"/>
      <c r="K1822" s="72"/>
      <c r="L1822" s="73"/>
      <c r="M1822" s="74"/>
      <c r="N1822" s="77">
        <f t="shared" si="2"/>
        <v>0</v>
      </c>
    </row>
    <row r="1823">
      <c r="A1823" s="70"/>
      <c r="B1823" s="71"/>
      <c r="C1823" s="72"/>
      <c r="D1823" s="72"/>
      <c r="E1823" s="72"/>
      <c r="F1823" s="72"/>
      <c r="G1823" s="72"/>
      <c r="H1823" s="72"/>
      <c r="I1823" s="72"/>
      <c r="J1823" s="72"/>
      <c r="K1823" s="72"/>
      <c r="L1823" s="73"/>
      <c r="M1823" s="74"/>
      <c r="N1823" s="77">
        <f t="shared" si="2"/>
        <v>0</v>
      </c>
    </row>
    <row r="1824">
      <c r="A1824" s="70"/>
      <c r="B1824" s="71"/>
      <c r="C1824" s="72"/>
      <c r="D1824" s="72"/>
      <c r="E1824" s="72"/>
      <c r="F1824" s="72"/>
      <c r="G1824" s="72"/>
      <c r="H1824" s="72"/>
      <c r="I1824" s="72"/>
      <c r="J1824" s="72"/>
      <c r="K1824" s="72"/>
      <c r="L1824" s="73"/>
      <c r="M1824" s="74"/>
      <c r="N1824" s="77">
        <f t="shared" si="2"/>
        <v>0</v>
      </c>
    </row>
    <row r="1825">
      <c r="A1825" s="70"/>
      <c r="B1825" s="71"/>
      <c r="C1825" s="72"/>
      <c r="D1825" s="72"/>
      <c r="E1825" s="72"/>
      <c r="F1825" s="72"/>
      <c r="G1825" s="72"/>
      <c r="H1825" s="72"/>
      <c r="I1825" s="72"/>
      <c r="J1825" s="72"/>
      <c r="K1825" s="72"/>
      <c r="L1825" s="73"/>
      <c r="M1825" s="74"/>
      <c r="N1825" s="77">
        <f t="shared" si="2"/>
        <v>0</v>
      </c>
    </row>
    <row r="1826">
      <c r="A1826" s="70"/>
      <c r="B1826" s="71"/>
      <c r="C1826" s="72"/>
      <c r="D1826" s="72"/>
      <c r="E1826" s="72"/>
      <c r="F1826" s="72"/>
      <c r="G1826" s="72"/>
      <c r="H1826" s="72"/>
      <c r="I1826" s="72"/>
      <c r="J1826" s="72"/>
      <c r="K1826" s="72"/>
      <c r="L1826" s="73"/>
      <c r="M1826" s="74"/>
      <c r="N1826" s="77">
        <f t="shared" si="2"/>
        <v>0</v>
      </c>
    </row>
    <row r="1827">
      <c r="A1827" s="70"/>
      <c r="B1827" s="71"/>
      <c r="C1827" s="72"/>
      <c r="D1827" s="72"/>
      <c r="E1827" s="72"/>
      <c r="F1827" s="72"/>
      <c r="G1827" s="72"/>
      <c r="H1827" s="72"/>
      <c r="I1827" s="72"/>
      <c r="J1827" s="72"/>
      <c r="K1827" s="72"/>
      <c r="L1827" s="73"/>
      <c r="M1827" s="74"/>
      <c r="N1827" s="77">
        <f t="shared" si="2"/>
        <v>0</v>
      </c>
    </row>
    <row r="1828">
      <c r="A1828" s="70"/>
      <c r="B1828" s="71"/>
      <c r="C1828" s="72"/>
      <c r="D1828" s="72"/>
      <c r="E1828" s="72"/>
      <c r="F1828" s="72"/>
      <c r="G1828" s="72"/>
      <c r="H1828" s="72"/>
      <c r="I1828" s="72"/>
      <c r="J1828" s="72"/>
      <c r="K1828" s="72"/>
      <c r="L1828" s="73"/>
      <c r="M1828" s="74"/>
      <c r="N1828" s="77">
        <f t="shared" si="2"/>
        <v>0</v>
      </c>
    </row>
    <row r="1829">
      <c r="A1829" s="70"/>
      <c r="B1829" s="71"/>
      <c r="C1829" s="72"/>
      <c r="D1829" s="72"/>
      <c r="E1829" s="72"/>
      <c r="F1829" s="72"/>
      <c r="G1829" s="72"/>
      <c r="H1829" s="72"/>
      <c r="I1829" s="72"/>
      <c r="J1829" s="72"/>
      <c r="K1829" s="72"/>
      <c r="L1829" s="73"/>
      <c r="M1829" s="74"/>
      <c r="N1829" s="77">
        <f t="shared" si="2"/>
        <v>0</v>
      </c>
    </row>
    <row r="1830">
      <c r="A1830" s="70"/>
      <c r="B1830" s="71"/>
      <c r="C1830" s="72"/>
      <c r="D1830" s="72"/>
      <c r="E1830" s="72"/>
      <c r="F1830" s="72"/>
      <c r="G1830" s="72"/>
      <c r="H1830" s="72"/>
      <c r="I1830" s="72"/>
      <c r="J1830" s="72"/>
      <c r="K1830" s="72"/>
      <c r="L1830" s="73"/>
      <c r="M1830" s="74"/>
      <c r="N1830" s="77">
        <f t="shared" si="2"/>
        <v>0</v>
      </c>
    </row>
    <row r="1831">
      <c r="A1831" s="70"/>
      <c r="B1831" s="71"/>
      <c r="C1831" s="72"/>
      <c r="D1831" s="72"/>
      <c r="E1831" s="72"/>
      <c r="F1831" s="72"/>
      <c r="G1831" s="72"/>
      <c r="H1831" s="72"/>
      <c r="I1831" s="72"/>
      <c r="J1831" s="72"/>
      <c r="K1831" s="72"/>
      <c r="L1831" s="73"/>
      <c r="M1831" s="74"/>
      <c r="N1831" s="77">
        <f t="shared" si="2"/>
        <v>0</v>
      </c>
    </row>
    <row r="1832">
      <c r="A1832" s="70"/>
      <c r="B1832" s="71"/>
      <c r="C1832" s="72"/>
      <c r="D1832" s="72"/>
      <c r="E1832" s="72"/>
      <c r="F1832" s="72"/>
      <c r="G1832" s="72"/>
      <c r="H1832" s="72"/>
      <c r="I1832" s="72"/>
      <c r="J1832" s="72"/>
      <c r="K1832" s="72"/>
      <c r="L1832" s="73"/>
      <c r="M1832" s="74"/>
      <c r="N1832" s="77">
        <f t="shared" si="2"/>
        <v>0</v>
      </c>
    </row>
    <row r="1833">
      <c r="A1833" s="70"/>
      <c r="B1833" s="71"/>
      <c r="C1833" s="72"/>
      <c r="D1833" s="72"/>
      <c r="E1833" s="72"/>
      <c r="F1833" s="72"/>
      <c r="G1833" s="72"/>
      <c r="H1833" s="72"/>
      <c r="I1833" s="72"/>
      <c r="J1833" s="72"/>
      <c r="K1833" s="72"/>
      <c r="L1833" s="73"/>
      <c r="M1833" s="74"/>
      <c r="N1833" s="77">
        <f t="shared" si="2"/>
        <v>0</v>
      </c>
    </row>
    <row r="1834">
      <c r="A1834" s="70"/>
      <c r="B1834" s="71"/>
      <c r="C1834" s="72"/>
      <c r="D1834" s="72"/>
      <c r="E1834" s="72"/>
      <c r="F1834" s="72"/>
      <c r="G1834" s="72"/>
      <c r="H1834" s="72"/>
      <c r="I1834" s="72"/>
      <c r="J1834" s="72"/>
      <c r="K1834" s="72"/>
      <c r="L1834" s="73"/>
      <c r="M1834" s="74"/>
      <c r="N1834" s="77">
        <f t="shared" si="2"/>
        <v>0</v>
      </c>
    </row>
    <row r="1835">
      <c r="A1835" s="70"/>
      <c r="B1835" s="71"/>
      <c r="C1835" s="72"/>
      <c r="D1835" s="72"/>
      <c r="E1835" s="72"/>
      <c r="F1835" s="72"/>
      <c r="G1835" s="72"/>
      <c r="H1835" s="72"/>
      <c r="I1835" s="72"/>
      <c r="J1835" s="72"/>
      <c r="K1835" s="72"/>
      <c r="L1835" s="73"/>
      <c r="M1835" s="74"/>
      <c r="N1835" s="77">
        <f t="shared" si="2"/>
        <v>0</v>
      </c>
    </row>
    <row r="1836">
      <c r="A1836" s="70"/>
      <c r="B1836" s="71"/>
      <c r="C1836" s="72"/>
      <c r="D1836" s="72"/>
      <c r="E1836" s="72"/>
      <c r="F1836" s="72"/>
      <c r="G1836" s="72"/>
      <c r="H1836" s="72"/>
      <c r="I1836" s="72"/>
      <c r="J1836" s="72"/>
      <c r="K1836" s="72"/>
      <c r="L1836" s="73"/>
      <c r="M1836" s="74"/>
      <c r="N1836" s="77">
        <f t="shared" si="2"/>
        <v>0</v>
      </c>
    </row>
    <row r="1837">
      <c r="A1837" s="70"/>
      <c r="B1837" s="71"/>
      <c r="C1837" s="72"/>
      <c r="D1837" s="72"/>
      <c r="E1837" s="72"/>
      <c r="F1837" s="72"/>
      <c r="G1837" s="72"/>
      <c r="H1837" s="72"/>
      <c r="I1837" s="72"/>
      <c r="J1837" s="72"/>
      <c r="K1837" s="72"/>
      <c r="L1837" s="73"/>
      <c r="M1837" s="74"/>
      <c r="N1837" s="77">
        <f t="shared" si="2"/>
        <v>0</v>
      </c>
    </row>
    <row r="1838">
      <c r="A1838" s="70"/>
      <c r="B1838" s="71"/>
      <c r="C1838" s="72"/>
      <c r="D1838" s="72"/>
      <c r="E1838" s="72"/>
      <c r="F1838" s="72"/>
      <c r="G1838" s="72"/>
      <c r="H1838" s="72"/>
      <c r="I1838" s="72"/>
      <c r="J1838" s="72"/>
      <c r="K1838" s="72"/>
      <c r="L1838" s="73"/>
      <c r="M1838" s="74"/>
      <c r="N1838" s="77">
        <f t="shared" si="2"/>
        <v>0</v>
      </c>
    </row>
    <row r="1839">
      <c r="A1839" s="70"/>
      <c r="B1839" s="71"/>
      <c r="C1839" s="72"/>
      <c r="D1839" s="72"/>
      <c r="E1839" s="72"/>
      <c r="F1839" s="72"/>
      <c r="G1839" s="72"/>
      <c r="H1839" s="72"/>
      <c r="I1839" s="72"/>
      <c r="J1839" s="72"/>
      <c r="K1839" s="72"/>
      <c r="L1839" s="73"/>
      <c r="M1839" s="74"/>
      <c r="N1839" s="77">
        <f t="shared" si="2"/>
        <v>0</v>
      </c>
    </row>
    <row r="1840">
      <c r="A1840" s="70"/>
      <c r="B1840" s="71"/>
      <c r="C1840" s="72"/>
      <c r="D1840" s="72"/>
      <c r="E1840" s="72"/>
      <c r="F1840" s="72"/>
      <c r="G1840" s="72"/>
      <c r="H1840" s="72"/>
      <c r="I1840" s="72"/>
      <c r="J1840" s="72"/>
      <c r="K1840" s="72"/>
      <c r="L1840" s="73"/>
      <c r="M1840" s="74"/>
      <c r="N1840" s="77">
        <f t="shared" si="2"/>
        <v>0</v>
      </c>
    </row>
    <row r="1841">
      <c r="A1841" s="70"/>
      <c r="B1841" s="71"/>
      <c r="C1841" s="72"/>
      <c r="D1841" s="72"/>
      <c r="E1841" s="72"/>
      <c r="F1841" s="72"/>
      <c r="G1841" s="72"/>
      <c r="H1841" s="72"/>
      <c r="I1841" s="72"/>
      <c r="J1841" s="72"/>
      <c r="K1841" s="72"/>
      <c r="L1841" s="73"/>
      <c r="M1841" s="74"/>
      <c r="N1841" s="77">
        <f t="shared" si="2"/>
        <v>0</v>
      </c>
    </row>
    <row r="1842">
      <c r="A1842" s="70"/>
      <c r="B1842" s="71"/>
      <c r="C1842" s="72"/>
      <c r="D1842" s="72"/>
      <c r="E1842" s="72"/>
      <c r="F1842" s="72"/>
      <c r="G1842" s="72"/>
      <c r="H1842" s="72"/>
      <c r="I1842" s="72"/>
      <c r="J1842" s="72"/>
      <c r="K1842" s="72"/>
      <c r="L1842" s="73"/>
      <c r="M1842" s="74"/>
      <c r="N1842" s="77">
        <f t="shared" si="2"/>
        <v>0</v>
      </c>
    </row>
    <row r="1843">
      <c r="A1843" s="70"/>
      <c r="B1843" s="71"/>
      <c r="C1843" s="72"/>
      <c r="D1843" s="72"/>
      <c r="E1843" s="72"/>
      <c r="F1843" s="72"/>
      <c r="G1843" s="72"/>
      <c r="H1843" s="72"/>
      <c r="I1843" s="72"/>
      <c r="J1843" s="72"/>
      <c r="K1843" s="72"/>
      <c r="L1843" s="73"/>
      <c r="M1843" s="74"/>
      <c r="N1843" s="77">
        <f t="shared" si="2"/>
        <v>0</v>
      </c>
    </row>
    <row r="1844">
      <c r="A1844" s="70"/>
      <c r="B1844" s="71"/>
      <c r="C1844" s="72"/>
      <c r="D1844" s="72"/>
      <c r="E1844" s="72"/>
      <c r="F1844" s="72"/>
      <c r="G1844" s="72"/>
      <c r="H1844" s="72"/>
      <c r="I1844" s="72"/>
      <c r="J1844" s="72"/>
      <c r="K1844" s="72"/>
      <c r="L1844" s="73"/>
      <c r="M1844" s="74"/>
      <c r="N1844" s="77">
        <f t="shared" si="2"/>
        <v>0</v>
      </c>
    </row>
    <row r="1845">
      <c r="A1845" s="70"/>
      <c r="B1845" s="71"/>
      <c r="C1845" s="72"/>
      <c r="D1845" s="72"/>
      <c r="E1845" s="72"/>
      <c r="F1845" s="72"/>
      <c r="G1845" s="72"/>
      <c r="H1845" s="72"/>
      <c r="I1845" s="72"/>
      <c r="J1845" s="72"/>
      <c r="K1845" s="72"/>
      <c r="L1845" s="73"/>
      <c r="M1845" s="74"/>
      <c r="N1845" s="77">
        <f t="shared" si="2"/>
        <v>0</v>
      </c>
    </row>
    <row r="1846">
      <c r="A1846" s="70"/>
      <c r="B1846" s="71"/>
      <c r="C1846" s="72"/>
      <c r="D1846" s="72"/>
      <c r="E1846" s="72"/>
      <c r="F1846" s="72"/>
      <c r="G1846" s="72"/>
      <c r="H1846" s="72"/>
      <c r="I1846" s="72"/>
      <c r="J1846" s="72"/>
      <c r="K1846" s="72"/>
      <c r="L1846" s="73"/>
      <c r="M1846" s="74"/>
      <c r="N1846" s="77">
        <f t="shared" si="2"/>
        <v>0</v>
      </c>
    </row>
    <row r="1847">
      <c r="A1847" s="70"/>
      <c r="B1847" s="71"/>
      <c r="C1847" s="72"/>
      <c r="D1847" s="72"/>
      <c r="E1847" s="72"/>
      <c r="F1847" s="72"/>
      <c r="G1847" s="72"/>
      <c r="H1847" s="72"/>
      <c r="I1847" s="72"/>
      <c r="J1847" s="72"/>
      <c r="K1847" s="72"/>
      <c r="L1847" s="73"/>
      <c r="M1847" s="74"/>
      <c r="N1847" s="77">
        <f t="shared" si="2"/>
        <v>0</v>
      </c>
    </row>
    <row r="1848">
      <c r="A1848" s="70"/>
      <c r="B1848" s="71"/>
      <c r="C1848" s="72"/>
      <c r="D1848" s="72"/>
      <c r="E1848" s="72"/>
      <c r="F1848" s="72"/>
      <c r="G1848" s="72"/>
      <c r="H1848" s="72"/>
      <c r="I1848" s="72"/>
      <c r="J1848" s="72"/>
      <c r="K1848" s="72"/>
      <c r="L1848" s="73"/>
      <c r="M1848" s="74"/>
      <c r="N1848" s="77">
        <f t="shared" si="2"/>
        <v>0</v>
      </c>
    </row>
    <row r="1849">
      <c r="A1849" s="70"/>
      <c r="B1849" s="71"/>
      <c r="C1849" s="72"/>
      <c r="D1849" s="72"/>
      <c r="E1849" s="72"/>
      <c r="F1849" s="72"/>
      <c r="G1849" s="72"/>
      <c r="H1849" s="72"/>
      <c r="I1849" s="72"/>
      <c r="J1849" s="72"/>
      <c r="K1849" s="72"/>
      <c r="L1849" s="73"/>
      <c r="M1849" s="74"/>
      <c r="N1849" s="77">
        <f t="shared" si="2"/>
        <v>0</v>
      </c>
    </row>
    <row r="1850">
      <c r="A1850" s="70"/>
      <c r="B1850" s="71"/>
      <c r="C1850" s="72"/>
      <c r="D1850" s="72"/>
      <c r="E1850" s="72"/>
      <c r="F1850" s="72"/>
      <c r="G1850" s="72"/>
      <c r="H1850" s="72"/>
      <c r="I1850" s="72"/>
      <c r="J1850" s="72"/>
      <c r="K1850" s="72"/>
      <c r="L1850" s="73"/>
      <c r="M1850" s="74"/>
      <c r="N1850" s="77">
        <f t="shared" si="2"/>
        <v>0</v>
      </c>
    </row>
    <row r="1851">
      <c r="A1851" s="70"/>
      <c r="B1851" s="71"/>
      <c r="C1851" s="72"/>
      <c r="D1851" s="72"/>
      <c r="E1851" s="72"/>
      <c r="F1851" s="72"/>
      <c r="G1851" s="72"/>
      <c r="H1851" s="72"/>
      <c r="I1851" s="72"/>
      <c r="J1851" s="72"/>
      <c r="K1851" s="72"/>
      <c r="L1851" s="73"/>
      <c r="M1851" s="74"/>
      <c r="N1851" s="77">
        <f t="shared" si="2"/>
        <v>0</v>
      </c>
    </row>
    <row r="1852">
      <c r="A1852" s="70"/>
      <c r="B1852" s="71"/>
      <c r="C1852" s="72"/>
      <c r="D1852" s="72"/>
      <c r="E1852" s="72"/>
      <c r="F1852" s="72"/>
      <c r="G1852" s="72"/>
      <c r="H1852" s="72"/>
      <c r="I1852" s="72"/>
      <c r="J1852" s="72"/>
      <c r="K1852" s="72"/>
      <c r="L1852" s="73"/>
      <c r="M1852" s="74"/>
      <c r="N1852" s="77">
        <f t="shared" si="2"/>
        <v>0</v>
      </c>
    </row>
    <row r="1853">
      <c r="A1853" s="70"/>
      <c r="B1853" s="71"/>
      <c r="C1853" s="72"/>
      <c r="D1853" s="72"/>
      <c r="E1853" s="72"/>
      <c r="F1853" s="72"/>
      <c r="G1853" s="72"/>
      <c r="H1853" s="72"/>
      <c r="I1853" s="72"/>
      <c r="J1853" s="72"/>
      <c r="K1853" s="72"/>
      <c r="L1853" s="73"/>
      <c r="M1853" s="74"/>
      <c r="N1853" s="77">
        <f t="shared" si="2"/>
        <v>0</v>
      </c>
    </row>
    <row r="1854">
      <c r="A1854" s="70"/>
      <c r="B1854" s="71"/>
      <c r="C1854" s="72"/>
      <c r="D1854" s="72"/>
      <c r="E1854" s="72"/>
      <c r="F1854" s="72"/>
      <c r="G1854" s="72"/>
      <c r="H1854" s="72"/>
      <c r="I1854" s="72"/>
      <c r="J1854" s="72"/>
      <c r="K1854" s="72"/>
      <c r="L1854" s="73"/>
      <c r="M1854" s="74"/>
      <c r="N1854" s="77">
        <f t="shared" si="2"/>
        <v>0</v>
      </c>
    </row>
    <row r="1855">
      <c r="A1855" s="70"/>
      <c r="B1855" s="71"/>
      <c r="C1855" s="72"/>
      <c r="D1855" s="72"/>
      <c r="E1855" s="72"/>
      <c r="F1855" s="72"/>
      <c r="G1855" s="72"/>
      <c r="H1855" s="72"/>
      <c r="I1855" s="72"/>
      <c r="J1855" s="72"/>
      <c r="K1855" s="72"/>
      <c r="L1855" s="73"/>
      <c r="M1855" s="74"/>
      <c r="N1855" s="77">
        <f t="shared" si="2"/>
        <v>0</v>
      </c>
    </row>
    <row r="1856">
      <c r="A1856" s="70"/>
      <c r="B1856" s="71"/>
      <c r="C1856" s="72"/>
      <c r="D1856" s="72"/>
      <c r="E1856" s="72"/>
      <c r="F1856" s="72"/>
      <c r="G1856" s="72"/>
      <c r="H1856" s="72"/>
      <c r="I1856" s="72"/>
      <c r="J1856" s="72"/>
      <c r="K1856" s="72"/>
      <c r="L1856" s="73"/>
      <c r="M1856" s="74"/>
      <c r="N1856" s="77">
        <f t="shared" si="2"/>
        <v>0</v>
      </c>
    </row>
    <row r="1857">
      <c r="A1857" s="70"/>
      <c r="B1857" s="71"/>
      <c r="C1857" s="72"/>
      <c r="D1857" s="72"/>
      <c r="E1857" s="72"/>
      <c r="F1857" s="72"/>
      <c r="G1857" s="72"/>
      <c r="H1857" s="72"/>
      <c r="I1857" s="72"/>
      <c r="J1857" s="72"/>
      <c r="K1857" s="72"/>
      <c r="L1857" s="73"/>
      <c r="M1857" s="74"/>
      <c r="N1857" s="77">
        <f t="shared" si="2"/>
        <v>0</v>
      </c>
    </row>
    <row r="1858">
      <c r="A1858" s="70"/>
      <c r="B1858" s="71"/>
      <c r="C1858" s="72"/>
      <c r="D1858" s="72"/>
      <c r="E1858" s="72"/>
      <c r="F1858" s="72"/>
      <c r="G1858" s="72"/>
      <c r="H1858" s="72"/>
      <c r="I1858" s="72"/>
      <c r="J1858" s="72"/>
      <c r="K1858" s="72"/>
      <c r="L1858" s="73"/>
      <c r="M1858" s="74"/>
      <c r="N1858" s="77">
        <f t="shared" si="2"/>
        <v>0</v>
      </c>
    </row>
    <row r="1859">
      <c r="A1859" s="70"/>
      <c r="B1859" s="71"/>
      <c r="C1859" s="72"/>
      <c r="D1859" s="72"/>
      <c r="E1859" s="72"/>
      <c r="F1859" s="72"/>
      <c r="G1859" s="72"/>
      <c r="H1859" s="72"/>
      <c r="I1859" s="72"/>
      <c r="J1859" s="72"/>
      <c r="K1859" s="72"/>
      <c r="L1859" s="73"/>
      <c r="M1859" s="74"/>
      <c r="N1859" s="77">
        <f t="shared" si="2"/>
        <v>0</v>
      </c>
    </row>
    <row r="1860">
      <c r="A1860" s="70"/>
      <c r="B1860" s="71"/>
      <c r="C1860" s="72"/>
      <c r="D1860" s="72"/>
      <c r="E1860" s="72"/>
      <c r="F1860" s="72"/>
      <c r="G1860" s="72"/>
      <c r="H1860" s="72"/>
      <c r="I1860" s="72"/>
      <c r="J1860" s="72"/>
      <c r="K1860" s="72"/>
      <c r="L1860" s="73"/>
      <c r="M1860" s="74"/>
      <c r="N1860" s="77">
        <f t="shared" si="2"/>
        <v>0</v>
      </c>
    </row>
    <row r="1861">
      <c r="A1861" s="70"/>
      <c r="B1861" s="71"/>
      <c r="C1861" s="72"/>
      <c r="D1861" s="72"/>
      <c r="E1861" s="72"/>
      <c r="F1861" s="72"/>
      <c r="G1861" s="72"/>
      <c r="H1861" s="72"/>
      <c r="I1861" s="72"/>
      <c r="J1861" s="72"/>
      <c r="K1861" s="72"/>
      <c r="L1861" s="73"/>
      <c r="M1861" s="74"/>
      <c r="N1861" s="77">
        <f t="shared" si="2"/>
        <v>0</v>
      </c>
    </row>
    <row r="1862">
      <c r="A1862" s="70"/>
      <c r="B1862" s="71"/>
      <c r="C1862" s="72"/>
      <c r="D1862" s="72"/>
      <c r="E1862" s="72"/>
      <c r="F1862" s="72"/>
      <c r="G1862" s="72"/>
      <c r="H1862" s="72"/>
      <c r="I1862" s="72"/>
      <c r="J1862" s="72"/>
      <c r="K1862" s="72"/>
      <c r="L1862" s="73"/>
      <c r="M1862" s="74"/>
      <c r="N1862" s="77">
        <f t="shared" si="2"/>
        <v>0</v>
      </c>
    </row>
    <row r="1863">
      <c r="A1863" s="70"/>
      <c r="B1863" s="71"/>
      <c r="C1863" s="72"/>
      <c r="D1863" s="72"/>
      <c r="E1863" s="72"/>
      <c r="F1863" s="72"/>
      <c r="G1863" s="72"/>
      <c r="H1863" s="72"/>
      <c r="I1863" s="72"/>
      <c r="J1863" s="72"/>
      <c r="K1863" s="72"/>
      <c r="L1863" s="73"/>
      <c r="M1863" s="74"/>
      <c r="N1863" s="77">
        <f t="shared" si="2"/>
        <v>0</v>
      </c>
    </row>
    <row r="1864">
      <c r="A1864" s="70"/>
      <c r="B1864" s="71"/>
      <c r="C1864" s="72"/>
      <c r="D1864" s="72"/>
      <c r="E1864" s="72"/>
      <c r="F1864" s="72"/>
      <c r="G1864" s="72"/>
      <c r="H1864" s="72"/>
      <c r="I1864" s="72"/>
      <c r="J1864" s="72"/>
      <c r="K1864" s="72"/>
      <c r="L1864" s="73"/>
      <c r="M1864" s="74"/>
      <c r="N1864" s="77">
        <f t="shared" si="2"/>
        <v>0</v>
      </c>
    </row>
    <row r="1865">
      <c r="A1865" s="70"/>
      <c r="B1865" s="71"/>
      <c r="C1865" s="72"/>
      <c r="D1865" s="72"/>
      <c r="E1865" s="72"/>
      <c r="F1865" s="72"/>
      <c r="G1865" s="72"/>
      <c r="H1865" s="72"/>
      <c r="I1865" s="72"/>
      <c r="J1865" s="72"/>
      <c r="K1865" s="72"/>
      <c r="L1865" s="73"/>
      <c r="M1865" s="74"/>
      <c r="N1865" s="77">
        <f t="shared" si="2"/>
        <v>0</v>
      </c>
    </row>
    <row r="1866">
      <c r="A1866" s="70"/>
      <c r="B1866" s="71"/>
      <c r="C1866" s="72"/>
      <c r="D1866" s="72"/>
      <c r="E1866" s="72"/>
      <c r="F1866" s="72"/>
      <c r="G1866" s="72"/>
      <c r="H1866" s="72"/>
      <c r="I1866" s="72"/>
      <c r="J1866" s="72"/>
      <c r="K1866" s="72"/>
      <c r="L1866" s="73"/>
      <c r="M1866" s="74"/>
      <c r="N1866" s="77">
        <f t="shared" si="2"/>
        <v>0</v>
      </c>
    </row>
    <row r="1867">
      <c r="A1867" s="70"/>
      <c r="B1867" s="71"/>
      <c r="C1867" s="72"/>
      <c r="D1867" s="72"/>
      <c r="E1867" s="72"/>
      <c r="F1867" s="72"/>
      <c r="G1867" s="72"/>
      <c r="H1867" s="72"/>
      <c r="I1867" s="72"/>
      <c r="J1867" s="72"/>
      <c r="K1867" s="72"/>
      <c r="L1867" s="73"/>
      <c r="M1867" s="74"/>
      <c r="N1867" s="77">
        <f t="shared" si="2"/>
        <v>0</v>
      </c>
    </row>
    <row r="1868">
      <c r="A1868" s="70"/>
      <c r="B1868" s="71"/>
      <c r="C1868" s="72"/>
      <c r="D1868" s="72"/>
      <c r="E1868" s="72"/>
      <c r="F1868" s="72"/>
      <c r="G1868" s="72"/>
      <c r="H1868" s="72"/>
      <c r="I1868" s="72"/>
      <c r="J1868" s="72"/>
      <c r="K1868" s="72"/>
      <c r="L1868" s="73"/>
      <c r="M1868" s="74"/>
      <c r="N1868" s="77">
        <f t="shared" si="2"/>
        <v>0</v>
      </c>
    </row>
    <row r="1869">
      <c r="A1869" s="70"/>
      <c r="B1869" s="71"/>
      <c r="C1869" s="72"/>
      <c r="D1869" s="72"/>
      <c r="E1869" s="72"/>
      <c r="F1869" s="72"/>
      <c r="G1869" s="72"/>
      <c r="H1869" s="72"/>
      <c r="I1869" s="72"/>
      <c r="J1869" s="72"/>
      <c r="K1869" s="72"/>
      <c r="L1869" s="73"/>
      <c r="M1869" s="74"/>
      <c r="N1869" s="77">
        <f t="shared" si="2"/>
        <v>0</v>
      </c>
    </row>
    <row r="1870">
      <c r="A1870" s="70"/>
      <c r="B1870" s="71"/>
      <c r="C1870" s="72"/>
      <c r="D1870" s="72"/>
      <c r="E1870" s="72"/>
      <c r="F1870" s="72"/>
      <c r="G1870" s="72"/>
      <c r="H1870" s="72"/>
      <c r="I1870" s="72"/>
      <c r="J1870" s="72"/>
      <c r="K1870" s="72"/>
      <c r="L1870" s="73"/>
      <c r="M1870" s="74"/>
      <c r="N1870" s="77">
        <f t="shared" si="2"/>
        <v>0</v>
      </c>
    </row>
    <row r="1871">
      <c r="A1871" s="70"/>
      <c r="B1871" s="71"/>
      <c r="C1871" s="72"/>
      <c r="D1871" s="72"/>
      <c r="E1871" s="72"/>
      <c r="F1871" s="72"/>
      <c r="G1871" s="72"/>
      <c r="H1871" s="72"/>
      <c r="I1871" s="72"/>
      <c r="J1871" s="72"/>
      <c r="K1871" s="72"/>
      <c r="L1871" s="73"/>
      <c r="M1871" s="74"/>
      <c r="N1871" s="77">
        <f t="shared" si="2"/>
        <v>0</v>
      </c>
    </row>
    <row r="1872">
      <c r="A1872" s="70"/>
      <c r="B1872" s="71"/>
      <c r="C1872" s="72"/>
      <c r="D1872" s="72"/>
      <c r="E1872" s="72"/>
      <c r="F1872" s="72"/>
      <c r="G1872" s="72"/>
      <c r="H1872" s="72"/>
      <c r="I1872" s="72"/>
      <c r="J1872" s="72"/>
      <c r="K1872" s="72"/>
      <c r="L1872" s="73"/>
      <c r="M1872" s="74"/>
      <c r="N1872" s="77">
        <f t="shared" si="2"/>
        <v>0</v>
      </c>
    </row>
    <row r="1873">
      <c r="A1873" s="70"/>
      <c r="B1873" s="71"/>
      <c r="C1873" s="72"/>
      <c r="D1873" s="72"/>
      <c r="E1873" s="72"/>
      <c r="F1873" s="72"/>
      <c r="G1873" s="72"/>
      <c r="H1873" s="72"/>
      <c r="I1873" s="72"/>
      <c r="J1873" s="72"/>
      <c r="K1873" s="72"/>
      <c r="L1873" s="73"/>
      <c r="M1873" s="74"/>
      <c r="N1873" s="77">
        <f t="shared" si="2"/>
        <v>0</v>
      </c>
    </row>
    <row r="1874">
      <c r="A1874" s="70"/>
      <c r="B1874" s="71"/>
      <c r="C1874" s="72"/>
      <c r="D1874" s="72"/>
      <c r="E1874" s="72"/>
      <c r="F1874" s="72"/>
      <c r="G1874" s="72"/>
      <c r="H1874" s="72"/>
      <c r="I1874" s="72"/>
      <c r="J1874" s="72"/>
      <c r="K1874" s="72"/>
      <c r="L1874" s="73"/>
      <c r="M1874" s="74"/>
      <c r="N1874" s="77">
        <f t="shared" si="2"/>
        <v>0</v>
      </c>
    </row>
    <row r="1875">
      <c r="A1875" s="70"/>
      <c r="B1875" s="71"/>
      <c r="C1875" s="72"/>
      <c r="D1875" s="72"/>
      <c r="E1875" s="72"/>
      <c r="F1875" s="72"/>
      <c r="G1875" s="72"/>
      <c r="H1875" s="72"/>
      <c r="I1875" s="72"/>
      <c r="J1875" s="72"/>
      <c r="K1875" s="72"/>
      <c r="L1875" s="73"/>
      <c r="M1875" s="74"/>
      <c r="N1875" s="77">
        <f t="shared" si="2"/>
        <v>0</v>
      </c>
    </row>
    <row r="1876">
      <c r="A1876" s="70"/>
      <c r="B1876" s="71"/>
      <c r="C1876" s="72"/>
      <c r="D1876" s="72"/>
      <c r="E1876" s="72"/>
      <c r="F1876" s="72"/>
      <c r="G1876" s="72"/>
      <c r="H1876" s="72"/>
      <c r="I1876" s="72"/>
      <c r="J1876" s="72"/>
      <c r="K1876" s="72"/>
      <c r="L1876" s="73"/>
      <c r="M1876" s="74"/>
      <c r="N1876" s="77">
        <f t="shared" si="2"/>
        <v>0</v>
      </c>
    </row>
    <row r="1877">
      <c r="A1877" s="70"/>
      <c r="B1877" s="71"/>
      <c r="C1877" s="72"/>
      <c r="D1877" s="72"/>
      <c r="E1877" s="72"/>
      <c r="F1877" s="72"/>
      <c r="G1877" s="72"/>
      <c r="H1877" s="72"/>
      <c r="I1877" s="72"/>
      <c r="J1877" s="72"/>
      <c r="K1877" s="72"/>
      <c r="L1877" s="73"/>
      <c r="M1877" s="74"/>
      <c r="N1877" s="77">
        <f t="shared" si="2"/>
        <v>0</v>
      </c>
    </row>
    <row r="1878">
      <c r="A1878" s="70"/>
      <c r="B1878" s="71"/>
      <c r="C1878" s="72"/>
      <c r="D1878" s="72"/>
      <c r="E1878" s="72"/>
      <c r="F1878" s="72"/>
      <c r="G1878" s="72"/>
      <c r="H1878" s="72"/>
      <c r="I1878" s="72"/>
      <c r="J1878" s="72"/>
      <c r="K1878" s="72"/>
      <c r="L1878" s="73"/>
      <c r="M1878" s="74"/>
      <c r="N1878" s="77">
        <f t="shared" si="2"/>
        <v>0</v>
      </c>
    </row>
    <row r="1879">
      <c r="A1879" s="70"/>
      <c r="B1879" s="71"/>
      <c r="C1879" s="72"/>
      <c r="D1879" s="72"/>
      <c r="E1879" s="72"/>
      <c r="F1879" s="72"/>
      <c r="G1879" s="72"/>
      <c r="H1879" s="72"/>
      <c r="I1879" s="72"/>
      <c r="J1879" s="72"/>
      <c r="K1879" s="72"/>
      <c r="L1879" s="73"/>
      <c r="M1879" s="74"/>
      <c r="N1879" s="77">
        <f t="shared" si="2"/>
        <v>0</v>
      </c>
    </row>
    <row r="1880">
      <c r="A1880" s="70"/>
      <c r="B1880" s="71"/>
      <c r="C1880" s="72"/>
      <c r="D1880" s="72"/>
      <c r="E1880" s="72"/>
      <c r="F1880" s="72"/>
      <c r="G1880" s="72"/>
      <c r="H1880" s="72"/>
      <c r="I1880" s="72"/>
      <c r="J1880" s="72"/>
      <c r="K1880" s="72"/>
      <c r="L1880" s="73"/>
      <c r="M1880" s="74"/>
      <c r="N1880" s="77">
        <f t="shared" si="2"/>
        <v>0</v>
      </c>
    </row>
    <row r="1881">
      <c r="A1881" s="70"/>
      <c r="B1881" s="71"/>
      <c r="C1881" s="72"/>
      <c r="D1881" s="72"/>
      <c r="E1881" s="72"/>
      <c r="F1881" s="72"/>
      <c r="G1881" s="72"/>
      <c r="H1881" s="72"/>
      <c r="I1881" s="72"/>
      <c r="J1881" s="72"/>
      <c r="K1881" s="72"/>
      <c r="L1881" s="73"/>
      <c r="M1881" s="74"/>
      <c r="N1881" s="77">
        <f t="shared" si="2"/>
        <v>0</v>
      </c>
    </row>
    <row r="1882">
      <c r="A1882" s="70"/>
      <c r="B1882" s="71"/>
      <c r="C1882" s="72"/>
      <c r="D1882" s="72"/>
      <c r="E1882" s="72"/>
      <c r="F1882" s="72"/>
      <c r="G1882" s="72"/>
      <c r="H1882" s="72"/>
      <c r="I1882" s="72"/>
      <c r="J1882" s="72"/>
      <c r="K1882" s="72"/>
      <c r="L1882" s="73"/>
      <c r="M1882" s="74"/>
      <c r="N1882" s="77">
        <f t="shared" si="2"/>
        <v>0</v>
      </c>
    </row>
    <row r="1883">
      <c r="A1883" s="70"/>
      <c r="B1883" s="71"/>
      <c r="C1883" s="72"/>
      <c r="D1883" s="72"/>
      <c r="E1883" s="72"/>
      <c r="F1883" s="72"/>
      <c r="G1883" s="72"/>
      <c r="H1883" s="72"/>
      <c r="I1883" s="72"/>
      <c r="J1883" s="72"/>
      <c r="K1883" s="72"/>
      <c r="L1883" s="73"/>
      <c r="M1883" s="74"/>
      <c r="N1883" s="77">
        <f t="shared" si="2"/>
        <v>0</v>
      </c>
    </row>
    <row r="1884">
      <c r="A1884" s="70"/>
      <c r="B1884" s="71"/>
      <c r="C1884" s="72"/>
      <c r="D1884" s="72"/>
      <c r="E1884" s="72"/>
      <c r="F1884" s="72"/>
      <c r="G1884" s="72"/>
      <c r="H1884" s="72"/>
      <c r="I1884" s="72"/>
      <c r="J1884" s="72"/>
      <c r="K1884" s="72"/>
      <c r="L1884" s="73"/>
      <c r="M1884" s="74"/>
      <c r="N1884" s="77">
        <f t="shared" si="2"/>
        <v>0</v>
      </c>
    </row>
    <row r="1885">
      <c r="A1885" s="70"/>
      <c r="B1885" s="71"/>
      <c r="C1885" s="72"/>
      <c r="D1885" s="72"/>
      <c r="E1885" s="72"/>
      <c r="F1885" s="72"/>
      <c r="G1885" s="72"/>
      <c r="H1885" s="72"/>
      <c r="I1885" s="72"/>
      <c r="J1885" s="72"/>
      <c r="K1885" s="72"/>
      <c r="L1885" s="73"/>
      <c r="M1885" s="74"/>
      <c r="N1885" s="77">
        <f t="shared" si="2"/>
        <v>0</v>
      </c>
    </row>
    <row r="1886">
      <c r="A1886" s="70"/>
      <c r="B1886" s="71"/>
      <c r="C1886" s="72"/>
      <c r="D1886" s="72"/>
      <c r="E1886" s="72"/>
      <c r="F1886" s="72"/>
      <c r="G1886" s="72"/>
      <c r="H1886" s="72"/>
      <c r="I1886" s="72"/>
      <c r="J1886" s="72"/>
      <c r="K1886" s="72"/>
      <c r="L1886" s="73"/>
      <c r="M1886" s="74"/>
      <c r="N1886" s="77">
        <f t="shared" si="2"/>
        <v>0</v>
      </c>
    </row>
    <row r="1887">
      <c r="A1887" s="70"/>
      <c r="B1887" s="71"/>
      <c r="C1887" s="72"/>
      <c r="D1887" s="72"/>
      <c r="E1887" s="72"/>
      <c r="F1887" s="72"/>
      <c r="G1887" s="72"/>
      <c r="H1887" s="72"/>
      <c r="I1887" s="72"/>
      <c r="J1887" s="72"/>
      <c r="K1887" s="72"/>
      <c r="L1887" s="73"/>
      <c r="M1887" s="74"/>
      <c r="N1887" s="77">
        <f t="shared" si="2"/>
        <v>0</v>
      </c>
    </row>
    <row r="1888">
      <c r="A1888" s="70"/>
      <c r="B1888" s="71"/>
      <c r="C1888" s="72"/>
      <c r="D1888" s="72"/>
      <c r="E1888" s="72"/>
      <c r="F1888" s="72"/>
      <c r="G1888" s="72"/>
      <c r="H1888" s="72"/>
      <c r="I1888" s="72"/>
      <c r="J1888" s="72"/>
      <c r="K1888" s="72"/>
      <c r="L1888" s="73"/>
      <c r="M1888" s="74"/>
      <c r="N1888" s="77">
        <f t="shared" si="2"/>
        <v>0</v>
      </c>
    </row>
    <row r="1889">
      <c r="A1889" s="70"/>
      <c r="B1889" s="71"/>
      <c r="C1889" s="72"/>
      <c r="D1889" s="72"/>
      <c r="E1889" s="72"/>
      <c r="F1889" s="72"/>
      <c r="G1889" s="72"/>
      <c r="H1889" s="72"/>
      <c r="I1889" s="72"/>
      <c r="J1889" s="72"/>
      <c r="K1889" s="72"/>
      <c r="L1889" s="73"/>
      <c r="M1889" s="74"/>
      <c r="N1889" s="77">
        <f t="shared" si="2"/>
        <v>0</v>
      </c>
    </row>
    <row r="1890">
      <c r="A1890" s="70"/>
      <c r="B1890" s="71"/>
      <c r="C1890" s="72"/>
      <c r="D1890" s="72"/>
      <c r="E1890" s="72"/>
      <c r="F1890" s="72"/>
      <c r="G1890" s="72"/>
      <c r="H1890" s="72"/>
      <c r="I1890" s="72"/>
      <c r="J1890" s="72"/>
      <c r="K1890" s="72"/>
      <c r="L1890" s="73"/>
      <c r="M1890" s="74"/>
      <c r="N1890" s="77">
        <f t="shared" si="2"/>
        <v>0</v>
      </c>
    </row>
    <row r="1891">
      <c r="A1891" s="70"/>
      <c r="B1891" s="71"/>
      <c r="C1891" s="72"/>
      <c r="D1891" s="72"/>
      <c r="E1891" s="72"/>
      <c r="F1891" s="72"/>
      <c r="G1891" s="72"/>
      <c r="H1891" s="72"/>
      <c r="I1891" s="72"/>
      <c r="J1891" s="72"/>
      <c r="K1891" s="72"/>
      <c r="L1891" s="73"/>
      <c r="M1891" s="74"/>
      <c r="N1891" s="77">
        <f t="shared" si="2"/>
        <v>0</v>
      </c>
    </row>
    <row r="1892">
      <c r="A1892" s="70"/>
      <c r="B1892" s="71"/>
      <c r="C1892" s="72"/>
      <c r="D1892" s="72"/>
      <c r="E1892" s="72"/>
      <c r="F1892" s="72"/>
      <c r="G1892" s="72"/>
      <c r="H1892" s="72"/>
      <c r="I1892" s="72"/>
      <c r="J1892" s="72"/>
      <c r="K1892" s="72"/>
      <c r="L1892" s="73"/>
      <c r="M1892" s="74"/>
      <c r="N1892" s="77">
        <f t="shared" si="2"/>
        <v>0</v>
      </c>
    </row>
    <row r="1893">
      <c r="A1893" s="70"/>
      <c r="B1893" s="71"/>
      <c r="C1893" s="72"/>
      <c r="D1893" s="72"/>
      <c r="E1893" s="72"/>
      <c r="F1893" s="72"/>
      <c r="G1893" s="72"/>
      <c r="H1893" s="72"/>
      <c r="I1893" s="72"/>
      <c r="J1893" s="72"/>
      <c r="K1893" s="72"/>
      <c r="L1893" s="73"/>
      <c r="M1893" s="74"/>
      <c r="N1893" s="77">
        <f t="shared" si="2"/>
        <v>0</v>
      </c>
    </row>
    <row r="1894">
      <c r="A1894" s="70"/>
      <c r="B1894" s="71"/>
      <c r="C1894" s="72"/>
      <c r="D1894" s="72"/>
      <c r="E1894" s="72"/>
      <c r="F1894" s="72"/>
      <c r="G1894" s="72"/>
      <c r="H1894" s="72"/>
      <c r="I1894" s="72"/>
      <c r="J1894" s="72"/>
      <c r="K1894" s="72"/>
      <c r="L1894" s="73"/>
      <c r="M1894" s="74"/>
      <c r="N1894" s="77">
        <f t="shared" si="2"/>
        <v>0</v>
      </c>
    </row>
    <row r="1895">
      <c r="A1895" s="70"/>
      <c r="B1895" s="71"/>
      <c r="C1895" s="72"/>
      <c r="D1895" s="72"/>
      <c r="E1895" s="72"/>
      <c r="F1895" s="72"/>
      <c r="G1895" s="72"/>
      <c r="H1895" s="72"/>
      <c r="I1895" s="72"/>
      <c r="J1895" s="72"/>
      <c r="K1895" s="72"/>
      <c r="L1895" s="73"/>
      <c r="M1895" s="74"/>
      <c r="N1895" s="77">
        <f t="shared" si="2"/>
        <v>0</v>
      </c>
    </row>
    <row r="1896">
      <c r="A1896" s="70"/>
      <c r="B1896" s="71"/>
      <c r="C1896" s="72"/>
      <c r="D1896" s="72"/>
      <c r="E1896" s="72"/>
      <c r="F1896" s="72"/>
      <c r="G1896" s="72"/>
      <c r="H1896" s="72"/>
      <c r="I1896" s="72"/>
      <c r="J1896" s="72"/>
      <c r="K1896" s="72"/>
      <c r="L1896" s="73"/>
      <c r="M1896" s="74"/>
      <c r="N1896" s="77">
        <f t="shared" si="2"/>
        <v>0</v>
      </c>
    </row>
    <row r="1897">
      <c r="A1897" s="70"/>
      <c r="B1897" s="71"/>
      <c r="C1897" s="72"/>
      <c r="D1897" s="72"/>
      <c r="E1897" s="72"/>
      <c r="F1897" s="72"/>
      <c r="G1897" s="72"/>
      <c r="H1897" s="72"/>
      <c r="I1897" s="72"/>
      <c r="J1897" s="72"/>
      <c r="K1897" s="72"/>
      <c r="L1897" s="73"/>
      <c r="M1897" s="74"/>
      <c r="N1897" s="77">
        <f t="shared" si="2"/>
        <v>0</v>
      </c>
    </row>
    <row r="1898">
      <c r="A1898" s="70"/>
      <c r="B1898" s="71"/>
      <c r="C1898" s="72"/>
      <c r="D1898" s="72"/>
      <c r="E1898" s="72"/>
      <c r="F1898" s="72"/>
      <c r="G1898" s="72"/>
      <c r="H1898" s="72"/>
      <c r="I1898" s="72"/>
      <c r="J1898" s="72"/>
      <c r="K1898" s="72"/>
      <c r="L1898" s="73"/>
      <c r="M1898" s="74"/>
      <c r="N1898" s="77">
        <f t="shared" si="2"/>
        <v>0</v>
      </c>
    </row>
    <row r="1899">
      <c r="A1899" s="70"/>
      <c r="B1899" s="71"/>
      <c r="C1899" s="72"/>
      <c r="D1899" s="72"/>
      <c r="E1899" s="72"/>
      <c r="F1899" s="72"/>
      <c r="G1899" s="72"/>
      <c r="H1899" s="72"/>
      <c r="I1899" s="72"/>
      <c r="J1899" s="72"/>
      <c r="K1899" s="72"/>
      <c r="L1899" s="73"/>
      <c r="M1899" s="74"/>
      <c r="N1899" s="77">
        <f t="shared" si="2"/>
        <v>0</v>
      </c>
    </row>
    <row r="1900">
      <c r="A1900" s="70"/>
      <c r="B1900" s="71"/>
      <c r="C1900" s="72"/>
      <c r="D1900" s="72"/>
      <c r="E1900" s="72"/>
      <c r="F1900" s="72"/>
      <c r="G1900" s="72"/>
      <c r="H1900" s="72"/>
      <c r="I1900" s="72"/>
      <c r="J1900" s="72"/>
      <c r="K1900" s="72"/>
      <c r="L1900" s="73"/>
      <c r="M1900" s="74"/>
      <c r="N1900" s="77">
        <f t="shared" si="2"/>
        <v>0</v>
      </c>
    </row>
    <row r="1901">
      <c r="A1901" s="70"/>
      <c r="B1901" s="71"/>
      <c r="C1901" s="72"/>
      <c r="D1901" s="72"/>
      <c r="E1901" s="72"/>
      <c r="F1901" s="72"/>
      <c r="G1901" s="72"/>
      <c r="H1901" s="72"/>
      <c r="I1901" s="72"/>
      <c r="J1901" s="72"/>
      <c r="K1901" s="72"/>
      <c r="L1901" s="73"/>
      <c r="M1901" s="74"/>
      <c r="N1901" s="77">
        <f t="shared" si="2"/>
        <v>0</v>
      </c>
    </row>
    <row r="1902">
      <c r="A1902" s="70"/>
      <c r="B1902" s="71"/>
      <c r="C1902" s="72"/>
      <c r="D1902" s="72"/>
      <c r="E1902" s="72"/>
      <c r="F1902" s="72"/>
      <c r="G1902" s="72"/>
      <c r="H1902" s="72"/>
      <c r="I1902" s="72"/>
      <c r="J1902" s="72"/>
      <c r="K1902" s="72"/>
      <c r="L1902" s="73"/>
      <c r="M1902" s="74"/>
      <c r="N1902" s="77">
        <f t="shared" si="2"/>
        <v>0</v>
      </c>
    </row>
    <row r="1903">
      <c r="A1903" s="70"/>
      <c r="B1903" s="71"/>
      <c r="C1903" s="72"/>
      <c r="D1903" s="72"/>
      <c r="E1903" s="72"/>
      <c r="F1903" s="72"/>
      <c r="G1903" s="72"/>
      <c r="H1903" s="72"/>
      <c r="I1903" s="72"/>
      <c r="J1903" s="72"/>
      <c r="K1903" s="72"/>
      <c r="L1903" s="73"/>
      <c r="M1903" s="74"/>
      <c r="N1903" s="77">
        <f t="shared" si="2"/>
        <v>0</v>
      </c>
    </row>
    <row r="1904">
      <c r="A1904" s="70"/>
      <c r="B1904" s="71"/>
      <c r="C1904" s="72"/>
      <c r="D1904" s="72"/>
      <c r="E1904" s="72"/>
      <c r="F1904" s="72"/>
      <c r="G1904" s="72"/>
      <c r="H1904" s="72"/>
      <c r="I1904" s="72"/>
      <c r="J1904" s="72"/>
      <c r="K1904" s="72"/>
      <c r="L1904" s="73"/>
      <c r="M1904" s="74"/>
      <c r="N1904" s="77">
        <f t="shared" si="2"/>
        <v>0</v>
      </c>
    </row>
    <row r="1905">
      <c r="A1905" s="70"/>
      <c r="B1905" s="71"/>
      <c r="C1905" s="72"/>
      <c r="D1905" s="72"/>
      <c r="E1905" s="72"/>
      <c r="F1905" s="72"/>
      <c r="G1905" s="72"/>
      <c r="H1905" s="72"/>
      <c r="I1905" s="72"/>
      <c r="J1905" s="72"/>
      <c r="K1905" s="72"/>
      <c r="L1905" s="73"/>
      <c r="M1905" s="74"/>
      <c r="N1905" s="77">
        <f t="shared" si="2"/>
        <v>0</v>
      </c>
    </row>
    <row r="1906">
      <c r="A1906" s="70"/>
      <c r="B1906" s="71"/>
      <c r="C1906" s="72"/>
      <c r="D1906" s="72"/>
      <c r="E1906" s="72"/>
      <c r="F1906" s="72"/>
      <c r="G1906" s="72"/>
      <c r="H1906" s="72"/>
      <c r="I1906" s="72"/>
      <c r="J1906" s="72"/>
      <c r="K1906" s="72"/>
      <c r="L1906" s="73"/>
      <c r="M1906" s="74"/>
      <c r="N1906" s="77">
        <f t="shared" si="2"/>
        <v>0</v>
      </c>
    </row>
    <row r="1907">
      <c r="A1907" s="70"/>
      <c r="B1907" s="71"/>
      <c r="C1907" s="72"/>
      <c r="D1907" s="72"/>
      <c r="E1907" s="72"/>
      <c r="F1907" s="72"/>
      <c r="G1907" s="72"/>
      <c r="H1907" s="72"/>
      <c r="I1907" s="72"/>
      <c r="J1907" s="72"/>
      <c r="K1907" s="72"/>
      <c r="L1907" s="73"/>
      <c r="M1907" s="74"/>
      <c r="N1907" s="77">
        <f t="shared" si="2"/>
        <v>0</v>
      </c>
    </row>
    <row r="1908">
      <c r="A1908" s="70"/>
      <c r="B1908" s="71"/>
      <c r="C1908" s="72"/>
      <c r="D1908" s="72"/>
      <c r="E1908" s="72"/>
      <c r="F1908" s="72"/>
      <c r="G1908" s="72"/>
      <c r="H1908" s="72"/>
      <c r="I1908" s="72"/>
      <c r="J1908" s="72"/>
      <c r="K1908" s="72"/>
      <c r="L1908" s="73"/>
      <c r="M1908" s="74"/>
      <c r="N1908" s="77">
        <f t="shared" si="2"/>
        <v>0</v>
      </c>
    </row>
    <row r="1909">
      <c r="A1909" s="70"/>
      <c r="B1909" s="71"/>
      <c r="C1909" s="72"/>
      <c r="D1909" s="72"/>
      <c r="E1909" s="72"/>
      <c r="F1909" s="72"/>
      <c r="G1909" s="72"/>
      <c r="H1909" s="72"/>
      <c r="I1909" s="72"/>
      <c r="J1909" s="72"/>
      <c r="K1909" s="72"/>
      <c r="L1909" s="73"/>
      <c r="M1909" s="74"/>
      <c r="N1909" s="77">
        <f t="shared" si="2"/>
        <v>0</v>
      </c>
    </row>
    <row r="1910">
      <c r="A1910" s="70"/>
      <c r="B1910" s="71"/>
      <c r="C1910" s="72"/>
      <c r="D1910" s="72"/>
      <c r="E1910" s="72"/>
      <c r="F1910" s="72"/>
      <c r="G1910" s="72"/>
      <c r="H1910" s="72"/>
      <c r="I1910" s="72"/>
      <c r="J1910" s="72"/>
      <c r="K1910" s="72"/>
      <c r="L1910" s="73"/>
      <c r="M1910" s="74"/>
      <c r="N1910" s="77">
        <f t="shared" si="2"/>
        <v>0</v>
      </c>
    </row>
    <row r="1911">
      <c r="A1911" s="70"/>
      <c r="B1911" s="71"/>
      <c r="C1911" s="72"/>
      <c r="D1911" s="72"/>
      <c r="E1911" s="72"/>
      <c r="F1911" s="72"/>
      <c r="G1911" s="72"/>
      <c r="H1911" s="72"/>
      <c r="I1911" s="72"/>
      <c r="J1911" s="72"/>
      <c r="K1911" s="72"/>
      <c r="L1911" s="73"/>
      <c r="M1911" s="74"/>
      <c r="N1911" s="77">
        <f t="shared" si="2"/>
        <v>0</v>
      </c>
    </row>
    <row r="1912">
      <c r="A1912" s="70"/>
      <c r="B1912" s="71"/>
      <c r="C1912" s="72"/>
      <c r="D1912" s="72"/>
      <c r="E1912" s="72"/>
      <c r="F1912" s="72"/>
      <c r="G1912" s="72"/>
      <c r="H1912" s="72"/>
      <c r="I1912" s="72"/>
      <c r="J1912" s="72"/>
      <c r="K1912" s="72"/>
      <c r="L1912" s="73"/>
      <c r="M1912" s="74"/>
      <c r="N1912" s="77">
        <f t="shared" si="2"/>
        <v>0</v>
      </c>
    </row>
    <row r="1913">
      <c r="A1913" s="70"/>
      <c r="B1913" s="71"/>
      <c r="C1913" s="72"/>
      <c r="D1913" s="72"/>
      <c r="E1913" s="72"/>
      <c r="F1913" s="72"/>
      <c r="G1913" s="72"/>
      <c r="H1913" s="72"/>
      <c r="I1913" s="72"/>
      <c r="J1913" s="72"/>
      <c r="K1913" s="72"/>
      <c r="L1913" s="73"/>
      <c r="M1913" s="74"/>
      <c r="N1913" s="77">
        <f t="shared" si="2"/>
        <v>0</v>
      </c>
    </row>
    <row r="1914">
      <c r="A1914" s="70"/>
      <c r="B1914" s="71"/>
      <c r="C1914" s="72"/>
      <c r="D1914" s="72"/>
      <c r="E1914" s="72"/>
      <c r="F1914" s="72"/>
      <c r="G1914" s="72"/>
      <c r="H1914" s="72"/>
      <c r="I1914" s="72"/>
      <c r="J1914" s="72"/>
      <c r="K1914" s="72"/>
      <c r="L1914" s="73"/>
      <c r="M1914" s="74"/>
      <c r="N1914" s="77">
        <f t="shared" si="2"/>
        <v>0</v>
      </c>
    </row>
    <row r="1915">
      <c r="A1915" s="70"/>
      <c r="B1915" s="71"/>
      <c r="C1915" s="72"/>
      <c r="D1915" s="72"/>
      <c r="E1915" s="72"/>
      <c r="F1915" s="72"/>
      <c r="G1915" s="72"/>
      <c r="H1915" s="72"/>
      <c r="I1915" s="72"/>
      <c r="J1915" s="72"/>
      <c r="K1915" s="72"/>
      <c r="L1915" s="73"/>
      <c r="M1915" s="74"/>
      <c r="N1915" s="77">
        <f t="shared" si="2"/>
        <v>0</v>
      </c>
    </row>
    <row r="1916">
      <c r="A1916" s="70"/>
      <c r="B1916" s="71"/>
      <c r="C1916" s="72"/>
      <c r="D1916" s="72"/>
      <c r="E1916" s="72"/>
      <c r="F1916" s="72"/>
      <c r="G1916" s="72"/>
      <c r="H1916" s="72"/>
      <c r="I1916" s="72"/>
      <c r="J1916" s="72"/>
      <c r="K1916" s="72"/>
      <c r="L1916" s="73"/>
      <c r="M1916" s="74"/>
      <c r="N1916" s="77">
        <f t="shared" si="2"/>
        <v>0</v>
      </c>
    </row>
    <row r="1917">
      <c r="A1917" s="70"/>
      <c r="B1917" s="71"/>
      <c r="C1917" s="72"/>
      <c r="D1917" s="72"/>
      <c r="E1917" s="72"/>
      <c r="F1917" s="72"/>
      <c r="G1917" s="72"/>
      <c r="H1917" s="72"/>
      <c r="I1917" s="72"/>
      <c r="J1917" s="72"/>
      <c r="K1917" s="72"/>
      <c r="L1917" s="73"/>
      <c r="M1917" s="74"/>
      <c r="N1917" s="77">
        <f t="shared" si="2"/>
        <v>0</v>
      </c>
    </row>
    <row r="1918">
      <c r="A1918" s="70"/>
      <c r="B1918" s="71"/>
      <c r="C1918" s="72"/>
      <c r="D1918" s="72"/>
      <c r="E1918" s="72"/>
      <c r="F1918" s="72"/>
      <c r="G1918" s="72"/>
      <c r="H1918" s="72"/>
      <c r="I1918" s="72"/>
      <c r="J1918" s="72"/>
      <c r="K1918" s="72"/>
      <c r="L1918" s="73"/>
      <c r="M1918" s="74"/>
      <c r="N1918" s="77">
        <f t="shared" si="2"/>
        <v>0</v>
      </c>
    </row>
    <row r="1919">
      <c r="A1919" s="70"/>
      <c r="B1919" s="71"/>
      <c r="C1919" s="72"/>
      <c r="D1919" s="72"/>
      <c r="E1919" s="72"/>
      <c r="F1919" s="72"/>
      <c r="G1919" s="72"/>
      <c r="H1919" s="72"/>
      <c r="I1919" s="72"/>
      <c r="J1919" s="72"/>
      <c r="K1919" s="72"/>
      <c r="L1919" s="73"/>
      <c r="M1919" s="74"/>
      <c r="N1919" s="77">
        <f t="shared" si="2"/>
        <v>0</v>
      </c>
    </row>
    <row r="1920">
      <c r="A1920" s="70"/>
      <c r="B1920" s="71"/>
      <c r="C1920" s="72"/>
      <c r="D1920" s="72"/>
      <c r="E1920" s="72"/>
      <c r="F1920" s="72"/>
      <c r="G1920" s="72"/>
      <c r="H1920" s="72"/>
      <c r="I1920" s="72"/>
      <c r="J1920" s="72"/>
      <c r="K1920" s="72"/>
      <c r="L1920" s="73"/>
      <c r="M1920" s="74"/>
      <c r="N1920" s="77">
        <f t="shared" si="2"/>
        <v>0</v>
      </c>
    </row>
    <row r="1921">
      <c r="A1921" s="70"/>
      <c r="B1921" s="71"/>
      <c r="C1921" s="72"/>
      <c r="D1921" s="72"/>
      <c r="E1921" s="72"/>
      <c r="F1921" s="72"/>
      <c r="G1921" s="72"/>
      <c r="H1921" s="72"/>
      <c r="I1921" s="72"/>
      <c r="J1921" s="72"/>
      <c r="K1921" s="72"/>
      <c r="L1921" s="73"/>
      <c r="M1921" s="74"/>
      <c r="N1921" s="77">
        <f t="shared" si="2"/>
        <v>0</v>
      </c>
    </row>
    <row r="1922">
      <c r="A1922" s="70"/>
      <c r="B1922" s="71"/>
      <c r="C1922" s="72"/>
      <c r="D1922" s="72"/>
      <c r="E1922" s="72"/>
      <c r="F1922" s="72"/>
      <c r="G1922" s="72"/>
      <c r="H1922" s="72"/>
      <c r="I1922" s="72"/>
      <c r="J1922" s="72"/>
      <c r="K1922" s="72"/>
      <c r="L1922" s="73"/>
      <c r="M1922" s="74"/>
      <c r="N1922" s="77">
        <f t="shared" si="2"/>
        <v>0</v>
      </c>
    </row>
    <row r="1923">
      <c r="A1923" s="70"/>
      <c r="B1923" s="71"/>
      <c r="C1923" s="72"/>
      <c r="D1923" s="72"/>
      <c r="E1923" s="72"/>
      <c r="F1923" s="72"/>
      <c r="G1923" s="72"/>
      <c r="H1923" s="72"/>
      <c r="I1923" s="72"/>
      <c r="J1923" s="72"/>
      <c r="K1923" s="72"/>
      <c r="L1923" s="73"/>
      <c r="M1923" s="74"/>
      <c r="N1923" s="77">
        <f t="shared" si="2"/>
        <v>0</v>
      </c>
    </row>
    <row r="1924">
      <c r="A1924" s="70"/>
      <c r="B1924" s="71"/>
      <c r="C1924" s="72"/>
      <c r="D1924" s="72"/>
      <c r="E1924" s="72"/>
      <c r="F1924" s="72"/>
      <c r="G1924" s="72"/>
      <c r="H1924" s="72"/>
      <c r="I1924" s="72"/>
      <c r="J1924" s="72"/>
      <c r="K1924" s="72"/>
      <c r="L1924" s="73"/>
      <c r="M1924" s="74"/>
      <c r="N1924" s="77">
        <f t="shared" si="2"/>
        <v>0</v>
      </c>
    </row>
    <row r="1925">
      <c r="A1925" s="70"/>
      <c r="B1925" s="71"/>
      <c r="C1925" s="72"/>
      <c r="D1925" s="72"/>
      <c r="E1925" s="72"/>
      <c r="F1925" s="72"/>
      <c r="G1925" s="72"/>
      <c r="H1925" s="72"/>
      <c r="I1925" s="72"/>
      <c r="J1925" s="72"/>
      <c r="K1925" s="72"/>
      <c r="L1925" s="73"/>
      <c r="M1925" s="74"/>
      <c r="N1925" s="77">
        <f t="shared" si="2"/>
        <v>0</v>
      </c>
    </row>
    <row r="1926">
      <c r="A1926" s="70"/>
      <c r="B1926" s="71"/>
      <c r="C1926" s="72"/>
      <c r="D1926" s="72"/>
      <c r="E1926" s="72"/>
      <c r="F1926" s="72"/>
      <c r="G1926" s="72"/>
      <c r="H1926" s="72"/>
      <c r="I1926" s="72"/>
      <c r="J1926" s="72"/>
      <c r="K1926" s="72"/>
      <c r="L1926" s="73"/>
      <c r="M1926" s="74"/>
      <c r="N1926" s="77">
        <f t="shared" si="2"/>
        <v>0</v>
      </c>
    </row>
    <row r="1927">
      <c r="A1927" s="70"/>
      <c r="B1927" s="71"/>
      <c r="C1927" s="72"/>
      <c r="D1927" s="72"/>
      <c r="E1927" s="72"/>
      <c r="F1927" s="72"/>
      <c r="G1927" s="72"/>
      <c r="H1927" s="72"/>
      <c r="I1927" s="72"/>
      <c r="J1927" s="72"/>
      <c r="K1927" s="72"/>
      <c r="L1927" s="73"/>
      <c r="M1927" s="74"/>
      <c r="N1927" s="77">
        <f t="shared" si="2"/>
        <v>0</v>
      </c>
    </row>
    <row r="1928">
      <c r="A1928" s="70"/>
      <c r="B1928" s="71"/>
      <c r="C1928" s="72"/>
      <c r="D1928" s="72"/>
      <c r="E1928" s="72"/>
      <c r="F1928" s="72"/>
      <c r="G1928" s="72"/>
      <c r="H1928" s="72"/>
      <c r="I1928" s="72"/>
      <c r="J1928" s="72"/>
      <c r="K1928" s="72"/>
      <c r="L1928" s="73"/>
      <c r="M1928" s="74"/>
      <c r="N1928" s="77">
        <f t="shared" si="2"/>
        <v>0</v>
      </c>
    </row>
    <row r="1929">
      <c r="A1929" s="70"/>
      <c r="B1929" s="71"/>
      <c r="C1929" s="72"/>
      <c r="D1929" s="72"/>
      <c r="E1929" s="72"/>
      <c r="F1929" s="72"/>
      <c r="G1929" s="72"/>
      <c r="H1929" s="72"/>
      <c r="I1929" s="72"/>
      <c r="J1929" s="72"/>
      <c r="K1929" s="72"/>
      <c r="L1929" s="73"/>
      <c r="M1929" s="74"/>
      <c r="N1929" s="77">
        <f t="shared" si="2"/>
        <v>0</v>
      </c>
    </row>
    <row r="1930">
      <c r="A1930" s="70"/>
      <c r="B1930" s="71"/>
      <c r="C1930" s="72"/>
      <c r="D1930" s="72"/>
      <c r="E1930" s="72"/>
      <c r="F1930" s="72"/>
      <c r="G1930" s="72"/>
      <c r="H1930" s="72"/>
      <c r="I1930" s="72"/>
      <c r="J1930" s="72"/>
      <c r="K1930" s="72"/>
      <c r="L1930" s="73"/>
      <c r="M1930" s="74"/>
      <c r="N1930" s="77">
        <f t="shared" si="2"/>
        <v>0</v>
      </c>
    </row>
    <row r="1931">
      <c r="A1931" s="70"/>
      <c r="B1931" s="71"/>
      <c r="C1931" s="72"/>
      <c r="D1931" s="72"/>
      <c r="E1931" s="72"/>
      <c r="F1931" s="72"/>
      <c r="G1931" s="72"/>
      <c r="H1931" s="72"/>
      <c r="I1931" s="72"/>
      <c r="J1931" s="72"/>
      <c r="K1931" s="72"/>
      <c r="L1931" s="73"/>
      <c r="M1931" s="74"/>
      <c r="N1931" s="77">
        <f t="shared" si="2"/>
        <v>0</v>
      </c>
    </row>
    <row r="1932">
      <c r="A1932" s="70"/>
      <c r="B1932" s="71"/>
      <c r="C1932" s="72"/>
      <c r="D1932" s="72"/>
      <c r="E1932" s="72"/>
      <c r="F1932" s="72"/>
      <c r="G1932" s="72"/>
      <c r="H1932" s="72"/>
      <c r="I1932" s="72"/>
      <c r="J1932" s="72"/>
      <c r="K1932" s="72"/>
      <c r="L1932" s="73"/>
      <c r="M1932" s="74"/>
      <c r="N1932" s="77">
        <f t="shared" si="2"/>
        <v>0</v>
      </c>
    </row>
    <row r="1933">
      <c r="A1933" s="70"/>
      <c r="B1933" s="71"/>
      <c r="C1933" s="72"/>
      <c r="D1933" s="72"/>
      <c r="E1933" s="72"/>
      <c r="F1933" s="72"/>
      <c r="G1933" s="72"/>
      <c r="H1933" s="72"/>
      <c r="I1933" s="72"/>
      <c r="J1933" s="72"/>
      <c r="K1933" s="72"/>
      <c r="L1933" s="73"/>
      <c r="M1933" s="74"/>
      <c r="N1933" s="77">
        <f t="shared" si="2"/>
        <v>0</v>
      </c>
    </row>
    <row r="1934">
      <c r="A1934" s="70"/>
      <c r="B1934" s="71"/>
      <c r="C1934" s="72"/>
      <c r="D1934" s="72"/>
      <c r="E1934" s="72"/>
      <c r="F1934" s="72"/>
      <c r="G1934" s="72"/>
      <c r="H1934" s="72"/>
      <c r="I1934" s="72"/>
      <c r="J1934" s="72"/>
      <c r="K1934" s="72"/>
      <c r="L1934" s="73"/>
      <c r="M1934" s="74"/>
      <c r="N1934" s="77">
        <f t="shared" si="2"/>
        <v>0</v>
      </c>
    </row>
    <row r="1935">
      <c r="A1935" s="70"/>
      <c r="B1935" s="71"/>
      <c r="C1935" s="72"/>
      <c r="D1935" s="72"/>
      <c r="E1935" s="72"/>
      <c r="F1935" s="72"/>
      <c r="G1935" s="72"/>
      <c r="H1935" s="72"/>
      <c r="I1935" s="72"/>
      <c r="J1935" s="72"/>
      <c r="K1935" s="72"/>
      <c r="L1935" s="73"/>
      <c r="M1935" s="74"/>
      <c r="N1935" s="77">
        <f t="shared" si="2"/>
        <v>0</v>
      </c>
    </row>
    <row r="1936">
      <c r="A1936" s="70"/>
      <c r="B1936" s="71"/>
      <c r="C1936" s="72"/>
      <c r="D1936" s="72"/>
      <c r="E1936" s="72"/>
      <c r="F1936" s="72"/>
      <c r="G1936" s="72"/>
      <c r="H1936" s="72"/>
      <c r="I1936" s="72"/>
      <c r="J1936" s="72"/>
      <c r="K1936" s="72"/>
      <c r="L1936" s="73"/>
      <c r="M1936" s="74"/>
      <c r="N1936" s="77">
        <f t="shared" si="2"/>
        <v>0</v>
      </c>
    </row>
    <row r="1937">
      <c r="A1937" s="70"/>
      <c r="B1937" s="71"/>
      <c r="C1937" s="72"/>
      <c r="D1937" s="72"/>
      <c r="E1937" s="72"/>
      <c r="F1937" s="72"/>
      <c r="G1937" s="72"/>
      <c r="H1937" s="72"/>
      <c r="I1937" s="72"/>
      <c r="J1937" s="72"/>
      <c r="K1937" s="72"/>
      <c r="L1937" s="73"/>
      <c r="M1937" s="74"/>
      <c r="N1937" s="77">
        <f t="shared" si="2"/>
        <v>0</v>
      </c>
    </row>
    <row r="1938">
      <c r="A1938" s="70"/>
      <c r="B1938" s="71"/>
      <c r="C1938" s="72"/>
      <c r="D1938" s="72"/>
      <c r="E1938" s="72"/>
      <c r="F1938" s="72"/>
      <c r="G1938" s="72"/>
      <c r="H1938" s="72"/>
      <c r="I1938" s="72"/>
      <c r="J1938" s="72"/>
      <c r="K1938" s="72"/>
      <c r="L1938" s="73"/>
      <c r="M1938" s="74"/>
      <c r="N1938" s="77">
        <f t="shared" si="2"/>
        <v>0</v>
      </c>
    </row>
    <row r="1939">
      <c r="A1939" s="70"/>
      <c r="B1939" s="71"/>
      <c r="C1939" s="72"/>
      <c r="D1939" s="72"/>
      <c r="E1939" s="72"/>
      <c r="F1939" s="72"/>
      <c r="G1939" s="72"/>
      <c r="H1939" s="72"/>
      <c r="I1939" s="72"/>
      <c r="J1939" s="72"/>
      <c r="K1939" s="72"/>
      <c r="L1939" s="73"/>
      <c r="M1939" s="74"/>
      <c r="N1939" s="77">
        <f t="shared" si="2"/>
        <v>0</v>
      </c>
    </row>
    <row r="1940">
      <c r="A1940" s="70"/>
      <c r="B1940" s="71"/>
      <c r="C1940" s="72"/>
      <c r="D1940" s="72"/>
      <c r="E1940" s="72"/>
      <c r="F1940" s="72"/>
      <c r="G1940" s="72"/>
      <c r="H1940" s="72"/>
      <c r="I1940" s="72"/>
      <c r="J1940" s="72"/>
      <c r="K1940" s="72"/>
      <c r="L1940" s="73"/>
      <c r="M1940" s="74"/>
      <c r="N1940" s="77">
        <f t="shared" si="2"/>
        <v>0</v>
      </c>
    </row>
    <row r="1941">
      <c r="A1941" s="70"/>
      <c r="B1941" s="71"/>
      <c r="C1941" s="72"/>
      <c r="D1941" s="72"/>
      <c r="E1941" s="72"/>
      <c r="F1941" s="72"/>
      <c r="G1941" s="72"/>
      <c r="H1941" s="72"/>
      <c r="I1941" s="72"/>
      <c r="J1941" s="72"/>
      <c r="K1941" s="72"/>
      <c r="L1941" s="73"/>
      <c r="M1941" s="74"/>
      <c r="N1941" s="77">
        <f t="shared" si="2"/>
        <v>0</v>
      </c>
    </row>
    <row r="1942">
      <c r="A1942" s="70"/>
      <c r="B1942" s="71"/>
      <c r="C1942" s="72"/>
      <c r="D1942" s="72"/>
      <c r="E1942" s="72"/>
      <c r="F1942" s="72"/>
      <c r="G1942" s="72"/>
      <c r="H1942" s="72"/>
      <c r="I1942" s="72"/>
      <c r="J1942" s="72"/>
      <c r="K1942" s="72"/>
      <c r="L1942" s="73"/>
      <c r="M1942" s="74"/>
      <c r="N1942" s="77">
        <f t="shared" si="2"/>
        <v>0</v>
      </c>
    </row>
    <row r="1943">
      <c r="A1943" s="70"/>
      <c r="B1943" s="71"/>
      <c r="C1943" s="72"/>
      <c r="D1943" s="72"/>
      <c r="E1943" s="72"/>
      <c r="F1943" s="72"/>
      <c r="G1943" s="72"/>
      <c r="H1943" s="72"/>
      <c r="I1943" s="72"/>
      <c r="J1943" s="72"/>
      <c r="K1943" s="72"/>
      <c r="L1943" s="73"/>
      <c r="M1943" s="74"/>
      <c r="N1943" s="77">
        <f t="shared" si="2"/>
        <v>0</v>
      </c>
    </row>
    <row r="1944">
      <c r="A1944" s="70"/>
      <c r="B1944" s="71"/>
      <c r="C1944" s="72"/>
      <c r="D1944" s="72"/>
      <c r="E1944" s="72"/>
      <c r="F1944" s="72"/>
      <c r="G1944" s="72"/>
      <c r="H1944" s="72"/>
      <c r="I1944" s="72"/>
      <c r="J1944" s="72"/>
      <c r="K1944" s="72"/>
      <c r="L1944" s="73"/>
      <c r="M1944" s="74"/>
      <c r="N1944" s="77">
        <f t="shared" si="2"/>
        <v>0</v>
      </c>
    </row>
    <row r="1945">
      <c r="A1945" s="70"/>
      <c r="B1945" s="71"/>
      <c r="C1945" s="72"/>
      <c r="D1945" s="72"/>
      <c r="E1945" s="72"/>
      <c r="F1945" s="72"/>
      <c r="G1945" s="72"/>
      <c r="H1945" s="72"/>
      <c r="I1945" s="72"/>
      <c r="J1945" s="72"/>
      <c r="K1945" s="72"/>
      <c r="L1945" s="73"/>
      <c r="M1945" s="74"/>
      <c r="N1945" s="77">
        <f t="shared" si="2"/>
        <v>0</v>
      </c>
    </row>
    <row r="1946">
      <c r="A1946" s="70"/>
      <c r="B1946" s="71"/>
      <c r="C1946" s="72"/>
      <c r="D1946" s="72"/>
      <c r="E1946" s="72"/>
      <c r="F1946" s="72"/>
      <c r="G1946" s="72"/>
      <c r="H1946" s="72"/>
      <c r="I1946" s="72"/>
      <c r="J1946" s="72"/>
      <c r="K1946" s="72"/>
      <c r="L1946" s="73"/>
      <c r="M1946" s="74"/>
      <c r="N1946" s="77">
        <f t="shared" si="2"/>
        <v>0</v>
      </c>
    </row>
    <row r="1947">
      <c r="A1947" s="70"/>
      <c r="B1947" s="71"/>
      <c r="C1947" s="72"/>
      <c r="D1947" s="72"/>
      <c r="E1947" s="72"/>
      <c r="F1947" s="72"/>
      <c r="G1947" s="72"/>
      <c r="H1947" s="72"/>
      <c r="I1947" s="72"/>
      <c r="J1947" s="72"/>
      <c r="K1947" s="72"/>
      <c r="L1947" s="73"/>
      <c r="M1947" s="74"/>
      <c r="N1947" s="77">
        <f t="shared" si="2"/>
        <v>0</v>
      </c>
    </row>
    <row r="1948">
      <c r="A1948" s="70"/>
      <c r="B1948" s="71"/>
      <c r="C1948" s="72"/>
      <c r="D1948" s="72"/>
      <c r="E1948" s="72"/>
      <c r="F1948" s="72"/>
      <c r="G1948" s="72"/>
      <c r="H1948" s="72"/>
      <c r="I1948" s="72"/>
      <c r="J1948" s="72"/>
      <c r="K1948" s="72"/>
      <c r="L1948" s="73"/>
      <c r="M1948" s="74"/>
      <c r="N1948" s="77">
        <f t="shared" si="2"/>
        <v>0</v>
      </c>
    </row>
    <row r="1949">
      <c r="A1949" s="70"/>
      <c r="B1949" s="71"/>
      <c r="C1949" s="72"/>
      <c r="D1949" s="72"/>
      <c r="E1949" s="72"/>
      <c r="F1949" s="72"/>
      <c r="G1949" s="72"/>
      <c r="H1949" s="72"/>
      <c r="I1949" s="72"/>
      <c r="J1949" s="72"/>
      <c r="K1949" s="72"/>
      <c r="L1949" s="73"/>
      <c r="M1949" s="74"/>
      <c r="N1949" s="77">
        <f t="shared" si="2"/>
        <v>0</v>
      </c>
    </row>
    <row r="1950">
      <c r="A1950" s="70"/>
      <c r="B1950" s="71"/>
      <c r="C1950" s="72"/>
      <c r="D1950" s="72"/>
      <c r="E1950" s="72"/>
      <c r="F1950" s="72"/>
      <c r="G1950" s="72"/>
      <c r="H1950" s="72"/>
      <c r="I1950" s="72"/>
      <c r="J1950" s="72"/>
      <c r="K1950" s="72"/>
      <c r="L1950" s="73"/>
      <c r="M1950" s="74"/>
      <c r="N1950" s="77">
        <f t="shared" si="2"/>
        <v>0</v>
      </c>
    </row>
    <row r="1951">
      <c r="A1951" s="70"/>
      <c r="B1951" s="71"/>
      <c r="C1951" s="72"/>
      <c r="D1951" s="72"/>
      <c r="E1951" s="72"/>
      <c r="F1951" s="72"/>
      <c r="G1951" s="72"/>
      <c r="H1951" s="72"/>
      <c r="I1951" s="72"/>
      <c r="J1951" s="72"/>
      <c r="K1951" s="72"/>
      <c r="L1951" s="73"/>
      <c r="M1951" s="74"/>
      <c r="N1951" s="77">
        <f t="shared" si="2"/>
        <v>0</v>
      </c>
    </row>
    <row r="1952">
      <c r="A1952" s="70"/>
      <c r="B1952" s="71"/>
      <c r="C1952" s="72"/>
      <c r="D1952" s="72"/>
      <c r="E1952" s="72"/>
      <c r="F1952" s="72"/>
      <c r="G1952" s="72"/>
      <c r="H1952" s="72"/>
      <c r="I1952" s="72"/>
      <c r="J1952" s="72"/>
      <c r="K1952" s="72"/>
      <c r="L1952" s="73"/>
      <c r="M1952" s="74"/>
      <c r="N1952" s="77">
        <f t="shared" si="2"/>
        <v>0</v>
      </c>
    </row>
    <row r="1953">
      <c r="A1953" s="70"/>
      <c r="B1953" s="71"/>
      <c r="C1953" s="72"/>
      <c r="D1953" s="72"/>
      <c r="E1953" s="72"/>
      <c r="F1953" s="72"/>
      <c r="G1953" s="72"/>
      <c r="H1953" s="72"/>
      <c r="I1953" s="72"/>
      <c r="J1953" s="72"/>
      <c r="K1953" s="72"/>
      <c r="L1953" s="73"/>
      <c r="M1953" s="74"/>
      <c r="N1953" s="77">
        <f t="shared" si="2"/>
        <v>0</v>
      </c>
    </row>
    <row r="1954">
      <c r="A1954" s="70"/>
      <c r="B1954" s="71"/>
      <c r="C1954" s="72"/>
      <c r="D1954" s="72"/>
      <c r="E1954" s="72"/>
      <c r="F1954" s="72"/>
      <c r="G1954" s="72"/>
      <c r="H1954" s="72"/>
      <c r="I1954" s="72"/>
      <c r="J1954" s="72"/>
      <c r="K1954" s="72"/>
      <c r="L1954" s="73"/>
      <c r="M1954" s="74"/>
      <c r="N1954" s="77">
        <f t="shared" si="2"/>
        <v>0</v>
      </c>
    </row>
    <row r="1955">
      <c r="A1955" s="70"/>
      <c r="B1955" s="71"/>
      <c r="C1955" s="72"/>
      <c r="D1955" s="72"/>
      <c r="E1955" s="72"/>
      <c r="F1955" s="72"/>
      <c r="G1955" s="72"/>
      <c r="H1955" s="72"/>
      <c r="I1955" s="72"/>
      <c r="J1955" s="72"/>
      <c r="K1955" s="72"/>
      <c r="L1955" s="73"/>
      <c r="M1955" s="74"/>
      <c r="N1955" s="77">
        <f t="shared" si="2"/>
        <v>0</v>
      </c>
    </row>
    <row r="1956">
      <c r="A1956" s="70"/>
      <c r="B1956" s="71"/>
      <c r="C1956" s="72"/>
      <c r="D1956" s="72"/>
      <c r="E1956" s="72"/>
      <c r="F1956" s="72"/>
      <c r="G1956" s="72"/>
      <c r="H1956" s="72"/>
      <c r="I1956" s="72"/>
      <c r="J1956" s="72"/>
      <c r="K1956" s="72"/>
      <c r="L1956" s="73"/>
      <c r="M1956" s="74"/>
      <c r="N1956" s="77">
        <f t="shared" si="2"/>
        <v>0</v>
      </c>
    </row>
    <row r="1957">
      <c r="A1957" s="70"/>
      <c r="B1957" s="71"/>
      <c r="C1957" s="72"/>
      <c r="D1957" s="72"/>
      <c r="E1957" s="72"/>
      <c r="F1957" s="72"/>
      <c r="G1957" s="72"/>
      <c r="H1957" s="72"/>
      <c r="I1957" s="72"/>
      <c r="J1957" s="72"/>
      <c r="K1957" s="72"/>
      <c r="L1957" s="73"/>
      <c r="M1957" s="74"/>
      <c r="N1957" s="77">
        <f t="shared" si="2"/>
        <v>0</v>
      </c>
    </row>
    <row r="1958">
      <c r="A1958" s="70"/>
      <c r="B1958" s="71"/>
      <c r="C1958" s="72"/>
      <c r="D1958" s="72"/>
      <c r="E1958" s="72"/>
      <c r="F1958" s="72"/>
      <c r="G1958" s="72"/>
      <c r="H1958" s="72"/>
      <c r="I1958" s="72"/>
      <c r="J1958" s="72"/>
      <c r="K1958" s="72"/>
      <c r="L1958" s="73"/>
      <c r="M1958" s="74"/>
      <c r="N1958" s="77">
        <f t="shared" si="2"/>
        <v>0</v>
      </c>
    </row>
    <row r="1959">
      <c r="A1959" s="70"/>
      <c r="B1959" s="71"/>
      <c r="C1959" s="72"/>
      <c r="D1959" s="72"/>
      <c r="E1959" s="72"/>
      <c r="F1959" s="72"/>
      <c r="G1959" s="72"/>
      <c r="H1959" s="72"/>
      <c r="I1959" s="72"/>
      <c r="J1959" s="72"/>
      <c r="K1959" s="72"/>
      <c r="L1959" s="73"/>
      <c r="M1959" s="74"/>
      <c r="N1959" s="77">
        <f t="shared" si="2"/>
        <v>0</v>
      </c>
    </row>
    <row r="1960">
      <c r="A1960" s="70"/>
      <c r="B1960" s="71"/>
      <c r="C1960" s="72"/>
      <c r="D1960" s="72"/>
      <c r="E1960" s="72"/>
      <c r="F1960" s="72"/>
      <c r="G1960" s="72"/>
      <c r="H1960" s="72"/>
      <c r="I1960" s="72"/>
      <c r="J1960" s="72"/>
      <c r="K1960" s="72"/>
      <c r="L1960" s="73"/>
      <c r="M1960" s="74"/>
      <c r="N1960" s="77">
        <f t="shared" si="2"/>
        <v>0</v>
      </c>
    </row>
    <row r="1961">
      <c r="A1961" s="70"/>
      <c r="B1961" s="71"/>
      <c r="C1961" s="72"/>
      <c r="D1961" s="72"/>
      <c r="E1961" s="72"/>
      <c r="F1961" s="72"/>
      <c r="G1961" s="72"/>
      <c r="H1961" s="72"/>
      <c r="I1961" s="72"/>
      <c r="J1961" s="72"/>
      <c r="K1961" s="72"/>
      <c r="L1961" s="73"/>
      <c r="M1961" s="74"/>
      <c r="N1961" s="77">
        <f t="shared" si="2"/>
        <v>0</v>
      </c>
    </row>
    <row r="1962">
      <c r="A1962" s="70"/>
      <c r="B1962" s="71"/>
      <c r="C1962" s="72"/>
      <c r="D1962" s="72"/>
      <c r="E1962" s="72"/>
      <c r="F1962" s="72"/>
      <c r="G1962" s="72"/>
      <c r="H1962" s="72"/>
      <c r="I1962" s="72"/>
      <c r="J1962" s="72"/>
      <c r="K1962" s="72"/>
      <c r="L1962" s="73"/>
      <c r="M1962" s="74"/>
      <c r="N1962" s="77">
        <f t="shared" si="2"/>
        <v>0</v>
      </c>
    </row>
    <row r="1963">
      <c r="A1963" s="70"/>
      <c r="B1963" s="71"/>
      <c r="C1963" s="72"/>
      <c r="D1963" s="72"/>
      <c r="E1963" s="72"/>
      <c r="F1963" s="72"/>
      <c r="G1963" s="72"/>
      <c r="H1963" s="72"/>
      <c r="I1963" s="72"/>
      <c r="J1963" s="72"/>
      <c r="K1963" s="72"/>
      <c r="L1963" s="73"/>
      <c r="M1963" s="74"/>
      <c r="N1963" s="77">
        <f t="shared" si="2"/>
        <v>0</v>
      </c>
    </row>
    <row r="1964">
      <c r="A1964" s="70"/>
      <c r="B1964" s="71"/>
      <c r="C1964" s="72"/>
      <c r="D1964" s="72"/>
      <c r="E1964" s="72"/>
      <c r="F1964" s="72"/>
      <c r="G1964" s="72"/>
      <c r="H1964" s="72"/>
      <c r="I1964" s="72"/>
      <c r="J1964" s="72"/>
      <c r="K1964" s="72"/>
      <c r="L1964" s="73"/>
      <c r="M1964" s="74"/>
      <c r="N1964" s="77">
        <f t="shared" si="2"/>
        <v>0</v>
      </c>
    </row>
    <row r="1965">
      <c r="A1965" s="70"/>
      <c r="B1965" s="71"/>
      <c r="C1965" s="72"/>
      <c r="D1965" s="72"/>
      <c r="E1965" s="72"/>
      <c r="F1965" s="72"/>
      <c r="G1965" s="72"/>
      <c r="H1965" s="72"/>
      <c r="I1965" s="72"/>
      <c r="J1965" s="72"/>
      <c r="K1965" s="72"/>
      <c r="L1965" s="73"/>
      <c r="M1965" s="74"/>
      <c r="N1965" s="77">
        <f t="shared" si="2"/>
        <v>0</v>
      </c>
    </row>
    <row r="1966">
      <c r="A1966" s="70"/>
      <c r="B1966" s="71"/>
      <c r="C1966" s="72"/>
      <c r="D1966" s="72"/>
      <c r="E1966" s="72"/>
      <c r="F1966" s="72"/>
      <c r="G1966" s="72"/>
      <c r="H1966" s="72"/>
      <c r="I1966" s="72"/>
      <c r="J1966" s="72"/>
      <c r="K1966" s="72"/>
      <c r="L1966" s="73"/>
      <c r="M1966" s="74"/>
      <c r="N1966" s="77">
        <f t="shared" si="2"/>
        <v>0</v>
      </c>
    </row>
    <row r="1967">
      <c r="A1967" s="70"/>
      <c r="B1967" s="71"/>
      <c r="C1967" s="72"/>
      <c r="D1967" s="72"/>
      <c r="E1967" s="72"/>
      <c r="F1967" s="72"/>
      <c r="G1967" s="72"/>
      <c r="H1967" s="72"/>
      <c r="I1967" s="72"/>
      <c r="J1967" s="72"/>
      <c r="K1967" s="72"/>
      <c r="L1967" s="73"/>
      <c r="M1967" s="74"/>
      <c r="N1967" s="77">
        <f t="shared" si="2"/>
        <v>0</v>
      </c>
    </row>
    <row r="1968">
      <c r="A1968" s="70"/>
      <c r="B1968" s="71"/>
      <c r="C1968" s="72"/>
      <c r="D1968" s="72"/>
      <c r="E1968" s="72"/>
      <c r="F1968" s="72"/>
      <c r="G1968" s="72"/>
      <c r="H1968" s="72"/>
      <c r="I1968" s="72"/>
      <c r="J1968" s="72"/>
      <c r="K1968" s="72"/>
      <c r="L1968" s="73"/>
      <c r="M1968" s="74"/>
      <c r="N1968" s="77">
        <f t="shared" si="2"/>
        <v>0</v>
      </c>
    </row>
    <row r="1969">
      <c r="A1969" s="70"/>
      <c r="B1969" s="71"/>
      <c r="C1969" s="72"/>
      <c r="D1969" s="72"/>
      <c r="E1969" s="72"/>
      <c r="F1969" s="72"/>
      <c r="G1969" s="72"/>
      <c r="H1969" s="72"/>
      <c r="I1969" s="72"/>
      <c r="J1969" s="72"/>
      <c r="K1969" s="72"/>
      <c r="L1969" s="73"/>
      <c r="M1969" s="74"/>
      <c r="N1969" s="77">
        <f t="shared" si="2"/>
        <v>0</v>
      </c>
    </row>
    <row r="1970">
      <c r="A1970" s="70"/>
      <c r="B1970" s="71"/>
      <c r="C1970" s="72"/>
      <c r="D1970" s="72"/>
      <c r="E1970" s="72"/>
      <c r="F1970" s="72"/>
      <c r="G1970" s="72"/>
      <c r="H1970" s="72"/>
      <c r="I1970" s="72"/>
      <c r="J1970" s="72"/>
      <c r="K1970" s="72"/>
      <c r="L1970" s="73"/>
      <c r="M1970" s="74"/>
      <c r="N1970" s="77">
        <f t="shared" si="2"/>
        <v>0</v>
      </c>
    </row>
    <row r="1971">
      <c r="A1971" s="70"/>
      <c r="B1971" s="71"/>
      <c r="C1971" s="72"/>
      <c r="D1971" s="72"/>
      <c r="E1971" s="72"/>
      <c r="F1971" s="72"/>
      <c r="G1971" s="72"/>
      <c r="H1971" s="72"/>
      <c r="I1971" s="72"/>
      <c r="J1971" s="72"/>
      <c r="K1971" s="72"/>
      <c r="L1971" s="73"/>
      <c r="M1971" s="74"/>
      <c r="N1971" s="77">
        <f t="shared" si="2"/>
        <v>0</v>
      </c>
    </row>
    <row r="1972">
      <c r="A1972" s="70"/>
      <c r="B1972" s="71"/>
      <c r="C1972" s="72"/>
      <c r="D1972" s="72"/>
      <c r="E1972" s="72"/>
      <c r="F1972" s="72"/>
      <c r="G1972" s="72"/>
      <c r="H1972" s="72"/>
      <c r="I1972" s="72"/>
      <c r="J1972" s="72"/>
      <c r="K1972" s="72"/>
      <c r="L1972" s="73"/>
      <c r="M1972" s="74"/>
      <c r="N1972" s="77">
        <f t="shared" si="2"/>
        <v>0</v>
      </c>
    </row>
    <row r="1973">
      <c r="A1973" s="70"/>
      <c r="B1973" s="71"/>
      <c r="C1973" s="72"/>
      <c r="D1973" s="72"/>
      <c r="E1973" s="72"/>
      <c r="F1973" s="72"/>
      <c r="G1973" s="72"/>
      <c r="H1973" s="72"/>
      <c r="I1973" s="72"/>
      <c r="J1973" s="72"/>
      <c r="K1973" s="72"/>
      <c r="L1973" s="73"/>
      <c r="M1973" s="74"/>
      <c r="N1973" s="77">
        <f t="shared" si="2"/>
        <v>0</v>
      </c>
    </row>
    <row r="1974">
      <c r="A1974" s="70"/>
      <c r="B1974" s="71"/>
      <c r="C1974" s="72"/>
      <c r="D1974" s="72"/>
      <c r="E1974" s="72"/>
      <c r="F1974" s="72"/>
      <c r="G1974" s="72"/>
      <c r="H1974" s="72"/>
      <c r="I1974" s="72"/>
      <c r="J1974" s="72"/>
      <c r="K1974" s="72"/>
      <c r="L1974" s="73"/>
      <c r="M1974" s="74"/>
      <c r="N1974" s="77">
        <f t="shared" si="2"/>
        <v>0</v>
      </c>
    </row>
    <row r="1975">
      <c r="A1975" s="70"/>
      <c r="B1975" s="71"/>
      <c r="C1975" s="72"/>
      <c r="D1975" s="72"/>
      <c r="E1975" s="72"/>
      <c r="F1975" s="72"/>
      <c r="G1975" s="72"/>
      <c r="H1975" s="72"/>
      <c r="I1975" s="72"/>
      <c r="J1975" s="72"/>
      <c r="K1975" s="72"/>
      <c r="L1975" s="73"/>
      <c r="M1975" s="74"/>
      <c r="N1975" s="77">
        <f t="shared" si="2"/>
        <v>0</v>
      </c>
    </row>
    <row r="1976">
      <c r="A1976" s="70"/>
      <c r="B1976" s="71"/>
      <c r="C1976" s="72"/>
      <c r="D1976" s="72"/>
      <c r="E1976" s="72"/>
      <c r="F1976" s="72"/>
      <c r="G1976" s="72"/>
      <c r="H1976" s="72"/>
      <c r="I1976" s="72"/>
      <c r="J1976" s="72"/>
      <c r="K1976" s="72"/>
      <c r="L1976" s="73"/>
      <c r="M1976" s="74"/>
      <c r="N1976" s="77">
        <f t="shared" si="2"/>
        <v>0</v>
      </c>
    </row>
    <row r="1977">
      <c r="A1977" s="70"/>
      <c r="B1977" s="71"/>
      <c r="C1977" s="72"/>
      <c r="D1977" s="72"/>
      <c r="E1977" s="72"/>
      <c r="F1977" s="72"/>
      <c r="G1977" s="72"/>
      <c r="H1977" s="72"/>
      <c r="I1977" s="72"/>
      <c r="J1977" s="72"/>
      <c r="K1977" s="72"/>
      <c r="L1977" s="73"/>
      <c r="M1977" s="74"/>
      <c r="N1977" s="77">
        <f t="shared" si="2"/>
        <v>0</v>
      </c>
    </row>
    <row r="1978">
      <c r="A1978" s="70"/>
      <c r="B1978" s="71"/>
      <c r="C1978" s="72"/>
      <c r="D1978" s="72"/>
      <c r="E1978" s="72"/>
      <c r="F1978" s="72"/>
      <c r="G1978" s="72"/>
      <c r="H1978" s="72"/>
      <c r="I1978" s="72"/>
      <c r="J1978" s="72"/>
      <c r="K1978" s="72"/>
      <c r="L1978" s="73"/>
      <c r="M1978" s="74"/>
      <c r="N1978" s="77">
        <f t="shared" si="2"/>
        <v>0</v>
      </c>
    </row>
    <row r="1979">
      <c r="A1979" s="70"/>
      <c r="B1979" s="71"/>
      <c r="C1979" s="72"/>
      <c r="D1979" s="72"/>
      <c r="E1979" s="72"/>
      <c r="F1979" s="72"/>
      <c r="G1979" s="72"/>
      <c r="H1979" s="72"/>
      <c r="I1979" s="72"/>
      <c r="J1979" s="72"/>
      <c r="K1979" s="72"/>
      <c r="L1979" s="73"/>
      <c r="M1979" s="74"/>
      <c r="N1979" s="77">
        <f t="shared" si="2"/>
        <v>0</v>
      </c>
    </row>
    <row r="1980">
      <c r="A1980" s="70"/>
      <c r="B1980" s="71"/>
      <c r="C1980" s="72"/>
      <c r="D1980" s="72"/>
      <c r="E1980" s="72"/>
      <c r="F1980" s="72"/>
      <c r="G1980" s="72"/>
      <c r="H1980" s="72"/>
      <c r="I1980" s="72"/>
      <c r="J1980" s="72"/>
      <c r="K1980" s="72"/>
      <c r="L1980" s="73"/>
      <c r="M1980" s="74"/>
      <c r="N1980" s="77">
        <f t="shared" si="2"/>
        <v>0</v>
      </c>
    </row>
    <row r="1981">
      <c r="A1981" s="70"/>
      <c r="B1981" s="71"/>
      <c r="C1981" s="72"/>
      <c r="D1981" s="72"/>
      <c r="E1981" s="72"/>
      <c r="F1981" s="72"/>
      <c r="G1981" s="72"/>
      <c r="H1981" s="72"/>
      <c r="I1981" s="72"/>
      <c r="J1981" s="72"/>
      <c r="K1981" s="72"/>
      <c r="L1981" s="73"/>
      <c r="M1981" s="74"/>
      <c r="N1981" s="77">
        <f t="shared" si="2"/>
        <v>0</v>
      </c>
    </row>
    <row r="1982">
      <c r="A1982" s="70"/>
      <c r="B1982" s="71"/>
      <c r="C1982" s="72"/>
      <c r="D1982" s="72"/>
      <c r="E1982" s="72"/>
      <c r="F1982" s="72"/>
      <c r="G1982" s="72"/>
      <c r="H1982" s="72"/>
      <c r="I1982" s="72"/>
      <c r="J1982" s="72"/>
      <c r="K1982" s="72"/>
      <c r="L1982" s="73"/>
      <c r="M1982" s="74"/>
      <c r="N1982" s="77">
        <f t="shared" si="2"/>
        <v>0</v>
      </c>
    </row>
    <row r="1983">
      <c r="A1983" s="70"/>
      <c r="B1983" s="71"/>
      <c r="C1983" s="72"/>
      <c r="D1983" s="72"/>
      <c r="E1983" s="72"/>
      <c r="F1983" s="72"/>
      <c r="G1983" s="72"/>
      <c r="H1983" s="72"/>
      <c r="I1983" s="72"/>
      <c r="J1983" s="72"/>
      <c r="K1983" s="72"/>
      <c r="L1983" s="73"/>
      <c r="M1983" s="74"/>
      <c r="N1983" s="77">
        <f t="shared" si="2"/>
        <v>0</v>
      </c>
    </row>
    <row r="1984">
      <c r="A1984" s="70"/>
      <c r="B1984" s="71"/>
      <c r="C1984" s="72"/>
      <c r="D1984" s="72"/>
      <c r="E1984" s="72"/>
      <c r="F1984" s="72"/>
      <c r="G1984" s="72"/>
      <c r="H1984" s="72"/>
      <c r="I1984" s="72"/>
      <c r="J1984" s="72"/>
      <c r="K1984" s="72"/>
      <c r="L1984" s="73"/>
      <c r="M1984" s="74"/>
      <c r="N1984" s="77">
        <f t="shared" si="2"/>
        <v>0</v>
      </c>
    </row>
    <row r="1985">
      <c r="A1985" s="70"/>
      <c r="B1985" s="71"/>
      <c r="C1985" s="72"/>
      <c r="D1985" s="72"/>
      <c r="E1985" s="72"/>
      <c r="F1985" s="72"/>
      <c r="G1985" s="72"/>
      <c r="H1985" s="72"/>
      <c r="I1985" s="72"/>
      <c r="J1985" s="72"/>
      <c r="K1985" s="72"/>
      <c r="L1985" s="73"/>
      <c r="M1985" s="74"/>
      <c r="N1985" s="77">
        <f t="shared" si="2"/>
        <v>0</v>
      </c>
    </row>
    <row r="1986">
      <c r="A1986" s="70"/>
      <c r="B1986" s="71"/>
      <c r="C1986" s="72"/>
      <c r="D1986" s="72"/>
      <c r="E1986" s="72"/>
      <c r="F1986" s="72"/>
      <c r="G1986" s="72"/>
      <c r="H1986" s="72"/>
      <c r="I1986" s="72"/>
      <c r="J1986" s="72"/>
      <c r="K1986" s="72"/>
      <c r="L1986" s="73"/>
      <c r="M1986" s="74"/>
      <c r="N1986" s="77">
        <f t="shared" si="2"/>
        <v>0</v>
      </c>
    </row>
    <row r="1987">
      <c r="A1987" s="70"/>
      <c r="B1987" s="71"/>
      <c r="C1987" s="72"/>
      <c r="D1987" s="72"/>
      <c r="E1987" s="72"/>
      <c r="F1987" s="72"/>
      <c r="G1987" s="72"/>
      <c r="H1987" s="72"/>
      <c r="I1987" s="72"/>
      <c r="J1987" s="72"/>
      <c r="K1987" s="72"/>
      <c r="L1987" s="73"/>
      <c r="M1987" s="74"/>
      <c r="N1987" s="77">
        <f t="shared" si="2"/>
        <v>0</v>
      </c>
    </row>
    <row r="1988">
      <c r="A1988" s="70"/>
      <c r="B1988" s="71"/>
      <c r="C1988" s="72"/>
      <c r="D1988" s="72"/>
      <c r="E1988" s="72"/>
      <c r="F1988" s="72"/>
      <c r="G1988" s="72"/>
      <c r="H1988" s="72"/>
      <c r="I1988" s="72"/>
      <c r="J1988" s="72"/>
      <c r="K1988" s="72"/>
      <c r="L1988" s="73"/>
      <c r="M1988" s="74"/>
      <c r="N1988" s="77">
        <f t="shared" si="2"/>
        <v>0</v>
      </c>
    </row>
    <row r="1989">
      <c r="A1989" s="70"/>
      <c r="B1989" s="71"/>
      <c r="C1989" s="72"/>
      <c r="D1989" s="72"/>
      <c r="E1989" s="72"/>
      <c r="F1989" s="72"/>
      <c r="G1989" s="72"/>
      <c r="H1989" s="72"/>
      <c r="I1989" s="72"/>
      <c r="J1989" s="72"/>
      <c r="K1989" s="72"/>
      <c r="L1989" s="73"/>
      <c r="M1989" s="74"/>
      <c r="N1989" s="77">
        <f t="shared" si="2"/>
        <v>0</v>
      </c>
    </row>
    <row r="1990">
      <c r="A1990" s="70"/>
      <c r="B1990" s="71"/>
      <c r="C1990" s="72"/>
      <c r="D1990" s="72"/>
      <c r="E1990" s="72"/>
      <c r="F1990" s="72"/>
      <c r="G1990" s="72"/>
      <c r="H1990" s="72"/>
      <c r="I1990" s="72"/>
      <c r="J1990" s="72"/>
      <c r="K1990" s="72"/>
      <c r="L1990" s="73"/>
      <c r="M1990" s="74"/>
      <c r="N1990" s="77">
        <f t="shared" si="2"/>
        <v>0</v>
      </c>
    </row>
    <row r="1991">
      <c r="A1991" s="70"/>
      <c r="B1991" s="71"/>
      <c r="C1991" s="72"/>
      <c r="D1991" s="72"/>
      <c r="E1991" s="72"/>
      <c r="F1991" s="72"/>
      <c r="G1991" s="72"/>
      <c r="H1991" s="72"/>
      <c r="I1991" s="72"/>
      <c r="J1991" s="72"/>
      <c r="K1991" s="72"/>
      <c r="L1991" s="73"/>
      <c r="M1991" s="74"/>
      <c r="N1991" s="77">
        <f t="shared" si="2"/>
        <v>0</v>
      </c>
    </row>
    <row r="1992">
      <c r="A1992" s="70"/>
      <c r="B1992" s="71"/>
      <c r="C1992" s="72"/>
      <c r="D1992" s="72"/>
      <c r="E1992" s="72"/>
      <c r="F1992" s="72"/>
      <c r="G1992" s="72"/>
      <c r="H1992" s="72"/>
      <c r="I1992" s="72"/>
      <c r="J1992" s="72"/>
      <c r="K1992" s="72"/>
      <c r="L1992" s="73"/>
      <c r="M1992" s="74"/>
      <c r="N1992" s="77">
        <f t="shared" si="2"/>
        <v>0</v>
      </c>
    </row>
    <row r="1993">
      <c r="A1993" s="70"/>
      <c r="B1993" s="71"/>
      <c r="C1993" s="72"/>
      <c r="D1993" s="72"/>
      <c r="E1993" s="72"/>
      <c r="F1993" s="72"/>
      <c r="G1993" s="72"/>
      <c r="H1993" s="72"/>
      <c r="I1993" s="72"/>
      <c r="J1993" s="72"/>
      <c r="K1993" s="72"/>
      <c r="L1993" s="73"/>
      <c r="M1993" s="74"/>
      <c r="N1993" s="77">
        <f t="shared" si="2"/>
        <v>0</v>
      </c>
    </row>
    <row r="1994">
      <c r="A1994" s="70"/>
      <c r="B1994" s="71"/>
      <c r="C1994" s="72"/>
      <c r="D1994" s="72"/>
      <c r="E1994" s="72"/>
      <c r="F1994" s="72"/>
      <c r="G1994" s="72"/>
      <c r="H1994" s="72"/>
      <c r="I1994" s="72"/>
      <c r="J1994" s="72"/>
      <c r="K1994" s="72"/>
      <c r="L1994" s="73"/>
      <c r="M1994" s="74"/>
      <c r="N1994" s="77">
        <f t="shared" si="2"/>
        <v>0</v>
      </c>
    </row>
    <row r="1995">
      <c r="A1995" s="70"/>
      <c r="B1995" s="71"/>
      <c r="C1995" s="72"/>
      <c r="D1995" s="72"/>
      <c r="E1995" s="72"/>
      <c r="F1995" s="72"/>
      <c r="G1995" s="72"/>
      <c r="H1995" s="72"/>
      <c r="I1995" s="72"/>
      <c r="J1995" s="72"/>
      <c r="K1995" s="72"/>
      <c r="L1995" s="73"/>
      <c r="M1995" s="74"/>
      <c r="N1995" s="77">
        <f t="shared" si="2"/>
        <v>0</v>
      </c>
    </row>
    <row r="1996">
      <c r="A1996" s="70"/>
      <c r="B1996" s="71"/>
      <c r="C1996" s="72"/>
      <c r="D1996" s="72"/>
      <c r="E1996" s="72"/>
      <c r="F1996" s="72"/>
      <c r="G1996" s="72"/>
      <c r="H1996" s="72"/>
      <c r="I1996" s="72"/>
      <c r="J1996" s="72"/>
      <c r="K1996" s="72"/>
      <c r="L1996" s="73"/>
      <c r="M1996" s="74"/>
      <c r="N1996" s="77">
        <f t="shared" si="2"/>
        <v>0</v>
      </c>
    </row>
    <row r="1997">
      <c r="A1997" s="70"/>
      <c r="B1997" s="71"/>
      <c r="C1997" s="72"/>
      <c r="D1997" s="72"/>
      <c r="E1997" s="72"/>
      <c r="F1997" s="72"/>
      <c r="G1997" s="72"/>
      <c r="H1997" s="72"/>
      <c r="I1997" s="72"/>
      <c r="J1997" s="72"/>
      <c r="K1997" s="72"/>
      <c r="L1997" s="73"/>
      <c r="M1997" s="74"/>
      <c r="N1997" s="77">
        <f t="shared" si="2"/>
        <v>0</v>
      </c>
    </row>
    <row r="1998">
      <c r="A1998" s="70"/>
      <c r="B1998" s="71"/>
      <c r="C1998" s="72"/>
      <c r="D1998" s="72"/>
      <c r="E1998" s="72"/>
      <c r="F1998" s="72"/>
      <c r="G1998" s="72"/>
      <c r="H1998" s="72"/>
      <c r="I1998" s="72"/>
      <c r="J1998" s="72"/>
      <c r="K1998" s="72"/>
      <c r="L1998" s="73"/>
      <c r="M1998" s="74"/>
      <c r="N1998" s="77">
        <f t="shared" si="2"/>
        <v>0</v>
      </c>
    </row>
    <row r="1999">
      <c r="A1999" s="70"/>
      <c r="B1999" s="71"/>
      <c r="C1999" s="72"/>
      <c r="D1999" s="72"/>
      <c r="E1999" s="72"/>
      <c r="F1999" s="72"/>
      <c r="G1999" s="72"/>
      <c r="H1999" s="72"/>
      <c r="I1999" s="72"/>
      <c r="J1999" s="72"/>
      <c r="K1999" s="72"/>
      <c r="L1999" s="73"/>
      <c r="M1999" s="74"/>
      <c r="N1999" s="77">
        <f t="shared" si="2"/>
        <v>0</v>
      </c>
    </row>
    <row r="2000">
      <c r="A2000" s="70"/>
      <c r="B2000" s="71"/>
      <c r="C2000" s="72"/>
      <c r="D2000" s="72"/>
      <c r="E2000" s="72"/>
      <c r="F2000" s="72"/>
      <c r="G2000" s="72"/>
      <c r="H2000" s="72"/>
      <c r="I2000" s="72"/>
      <c r="J2000" s="72"/>
      <c r="K2000" s="72"/>
      <c r="L2000" s="73"/>
      <c r="M2000" s="74"/>
      <c r="N2000" s="77">
        <f t="shared" si="2"/>
        <v>0</v>
      </c>
    </row>
    <row r="2001">
      <c r="A2001" s="70"/>
      <c r="B2001" s="71"/>
      <c r="C2001" s="72"/>
      <c r="D2001" s="72"/>
      <c r="E2001" s="72"/>
      <c r="F2001" s="72"/>
      <c r="G2001" s="72"/>
      <c r="H2001" s="72"/>
      <c r="I2001" s="72"/>
      <c r="J2001" s="72"/>
      <c r="K2001" s="72"/>
      <c r="L2001" s="73"/>
      <c r="M2001" s="74"/>
      <c r="N2001" s="77">
        <f t="shared" si="2"/>
        <v>0</v>
      </c>
    </row>
    <row r="2002">
      <c r="A2002" s="70"/>
      <c r="B2002" s="71"/>
      <c r="C2002" s="72"/>
      <c r="D2002" s="72"/>
      <c r="E2002" s="72"/>
      <c r="F2002" s="72"/>
      <c r="G2002" s="72"/>
      <c r="H2002" s="72"/>
      <c r="I2002" s="72"/>
      <c r="J2002" s="72"/>
      <c r="K2002" s="72"/>
      <c r="L2002" s="73"/>
      <c r="M2002" s="74"/>
      <c r="N2002" s="77">
        <f t="shared" si="2"/>
        <v>0</v>
      </c>
    </row>
    <row r="2003">
      <c r="A2003" s="70"/>
      <c r="B2003" s="71"/>
      <c r="C2003" s="72"/>
      <c r="D2003" s="72"/>
      <c r="E2003" s="72"/>
      <c r="F2003" s="72"/>
      <c r="G2003" s="72"/>
      <c r="H2003" s="72"/>
      <c r="I2003" s="72"/>
      <c r="J2003" s="72"/>
      <c r="K2003" s="72"/>
      <c r="L2003" s="73"/>
      <c r="M2003" s="74"/>
      <c r="N2003" s="77">
        <f t="shared" si="2"/>
        <v>0</v>
      </c>
    </row>
    <row r="2004">
      <c r="A2004" s="70"/>
      <c r="B2004" s="71"/>
      <c r="C2004" s="72"/>
      <c r="D2004" s="72"/>
      <c r="E2004" s="72"/>
      <c r="F2004" s="72"/>
      <c r="G2004" s="72"/>
      <c r="H2004" s="72"/>
      <c r="I2004" s="72"/>
      <c r="J2004" s="72"/>
      <c r="K2004" s="72"/>
      <c r="L2004" s="73"/>
      <c r="M2004" s="74"/>
      <c r="N2004" s="77">
        <f t="shared" si="2"/>
        <v>0</v>
      </c>
    </row>
    <row r="2005">
      <c r="A2005" s="70"/>
      <c r="B2005" s="71"/>
      <c r="C2005" s="72"/>
      <c r="D2005" s="72"/>
      <c r="E2005" s="72"/>
      <c r="F2005" s="72"/>
      <c r="G2005" s="72"/>
      <c r="H2005" s="72"/>
      <c r="I2005" s="72"/>
      <c r="J2005" s="72"/>
      <c r="K2005" s="72"/>
      <c r="L2005" s="73"/>
      <c r="M2005" s="74"/>
      <c r="N2005" s="77">
        <f t="shared" si="2"/>
        <v>0</v>
      </c>
    </row>
    <row r="2006">
      <c r="A2006" s="70"/>
      <c r="B2006" s="71"/>
      <c r="C2006" s="72"/>
      <c r="D2006" s="72"/>
      <c r="E2006" s="72"/>
      <c r="F2006" s="72"/>
      <c r="G2006" s="72"/>
      <c r="H2006" s="72"/>
      <c r="I2006" s="72"/>
      <c r="J2006" s="72"/>
      <c r="K2006" s="72"/>
      <c r="L2006" s="73"/>
      <c r="M2006" s="74"/>
      <c r="N2006" s="77">
        <f t="shared" si="2"/>
        <v>0</v>
      </c>
    </row>
    <row r="2007">
      <c r="A2007" s="70"/>
      <c r="B2007" s="71"/>
      <c r="C2007" s="72"/>
      <c r="D2007" s="72"/>
      <c r="E2007" s="72"/>
      <c r="F2007" s="72"/>
      <c r="G2007" s="72"/>
      <c r="H2007" s="72"/>
      <c r="I2007" s="72"/>
      <c r="J2007" s="72"/>
      <c r="K2007" s="72"/>
      <c r="L2007" s="73"/>
      <c r="M2007" s="74"/>
      <c r="N2007" s="77">
        <f t="shared" si="2"/>
        <v>0</v>
      </c>
    </row>
    <row r="2008">
      <c r="A2008" s="70"/>
      <c r="B2008" s="71"/>
      <c r="C2008" s="72"/>
      <c r="D2008" s="72"/>
      <c r="E2008" s="72"/>
      <c r="F2008" s="72"/>
      <c r="G2008" s="72"/>
      <c r="H2008" s="72"/>
      <c r="I2008" s="72"/>
      <c r="J2008" s="72"/>
      <c r="K2008" s="72"/>
      <c r="L2008" s="73"/>
      <c r="M2008" s="74"/>
      <c r="N2008" s="77">
        <f t="shared" si="2"/>
        <v>0</v>
      </c>
    </row>
    <row r="2009">
      <c r="A2009" s="70"/>
      <c r="B2009" s="71"/>
      <c r="C2009" s="72"/>
      <c r="D2009" s="72"/>
      <c r="E2009" s="72"/>
      <c r="F2009" s="72"/>
      <c r="G2009" s="72"/>
      <c r="H2009" s="72"/>
      <c r="I2009" s="72"/>
      <c r="J2009" s="72"/>
      <c r="K2009" s="72"/>
      <c r="L2009" s="73"/>
      <c r="M2009" s="74"/>
      <c r="N2009" s="77">
        <f t="shared" si="2"/>
        <v>0</v>
      </c>
    </row>
    <row r="2010">
      <c r="A2010" s="70"/>
      <c r="B2010" s="71"/>
      <c r="C2010" s="72"/>
      <c r="D2010" s="72"/>
      <c r="E2010" s="72"/>
      <c r="F2010" s="72"/>
      <c r="G2010" s="72"/>
      <c r="H2010" s="72"/>
      <c r="I2010" s="72"/>
      <c r="J2010" s="72"/>
      <c r="K2010" s="72"/>
      <c r="L2010" s="73"/>
      <c r="M2010" s="74"/>
      <c r="N2010" s="77">
        <f t="shared" si="2"/>
        <v>0</v>
      </c>
    </row>
    <row r="2011">
      <c r="A2011" s="70"/>
      <c r="B2011" s="71"/>
      <c r="C2011" s="72"/>
      <c r="D2011" s="72"/>
      <c r="E2011" s="72"/>
      <c r="F2011" s="72"/>
      <c r="G2011" s="72"/>
      <c r="H2011" s="72"/>
      <c r="I2011" s="72"/>
      <c r="J2011" s="72"/>
      <c r="K2011" s="72"/>
      <c r="L2011" s="73"/>
      <c r="M2011" s="74"/>
      <c r="N2011" s="77">
        <f t="shared" si="2"/>
        <v>0</v>
      </c>
    </row>
    <row r="2012">
      <c r="A2012" s="70"/>
      <c r="B2012" s="71"/>
      <c r="C2012" s="72"/>
      <c r="D2012" s="72"/>
      <c r="E2012" s="72"/>
      <c r="F2012" s="72"/>
      <c r="G2012" s="72"/>
      <c r="H2012" s="72"/>
      <c r="I2012" s="72"/>
      <c r="J2012" s="72"/>
      <c r="K2012" s="72"/>
      <c r="L2012" s="73"/>
      <c r="M2012" s="74"/>
      <c r="N2012" s="77">
        <f t="shared" si="2"/>
        <v>0</v>
      </c>
    </row>
    <row r="2013">
      <c r="A2013" s="70"/>
      <c r="B2013" s="71"/>
      <c r="C2013" s="72"/>
      <c r="D2013" s="72"/>
      <c r="E2013" s="72"/>
      <c r="F2013" s="72"/>
      <c r="G2013" s="72"/>
      <c r="H2013" s="72"/>
      <c r="I2013" s="72"/>
      <c r="J2013" s="72"/>
      <c r="K2013" s="72"/>
      <c r="L2013" s="73"/>
      <c r="M2013" s="74"/>
      <c r="N2013" s="77">
        <f t="shared" si="2"/>
        <v>0</v>
      </c>
    </row>
    <row r="2014">
      <c r="A2014" s="70"/>
      <c r="B2014" s="71"/>
      <c r="C2014" s="72"/>
      <c r="D2014" s="72"/>
      <c r="E2014" s="72"/>
      <c r="F2014" s="72"/>
      <c r="G2014" s="72"/>
      <c r="H2014" s="72"/>
      <c r="I2014" s="72"/>
      <c r="J2014" s="72"/>
      <c r="K2014" s="72"/>
      <c r="L2014" s="73"/>
      <c r="M2014" s="74"/>
      <c r="N2014" s="77">
        <f t="shared" si="2"/>
        <v>0</v>
      </c>
    </row>
    <row r="2015">
      <c r="A2015" s="70"/>
      <c r="B2015" s="71"/>
      <c r="C2015" s="72"/>
      <c r="D2015" s="72"/>
      <c r="E2015" s="72"/>
      <c r="F2015" s="72"/>
      <c r="G2015" s="72"/>
      <c r="H2015" s="72"/>
      <c r="I2015" s="72"/>
      <c r="J2015" s="72"/>
      <c r="K2015" s="72"/>
      <c r="L2015" s="73"/>
      <c r="M2015" s="74"/>
      <c r="N2015" s="77">
        <f t="shared" si="2"/>
        <v>0</v>
      </c>
    </row>
    <row r="2016">
      <c r="A2016" s="70"/>
      <c r="B2016" s="71"/>
      <c r="C2016" s="72"/>
      <c r="D2016" s="72"/>
      <c r="E2016" s="72"/>
      <c r="F2016" s="72"/>
      <c r="G2016" s="72"/>
      <c r="H2016" s="72"/>
      <c r="I2016" s="72"/>
      <c r="J2016" s="72"/>
      <c r="K2016" s="72"/>
      <c r="L2016" s="73"/>
      <c r="M2016" s="74"/>
      <c r="N2016" s="77">
        <f t="shared" si="2"/>
        <v>0</v>
      </c>
    </row>
    <row r="2017">
      <c r="A2017" s="70"/>
      <c r="B2017" s="71"/>
      <c r="C2017" s="72"/>
      <c r="D2017" s="72"/>
      <c r="E2017" s="72"/>
      <c r="F2017" s="72"/>
      <c r="G2017" s="72"/>
      <c r="H2017" s="72"/>
      <c r="I2017" s="72"/>
      <c r="J2017" s="72"/>
      <c r="K2017" s="72"/>
      <c r="L2017" s="73"/>
      <c r="M2017" s="74"/>
      <c r="N2017" s="77">
        <f t="shared" si="2"/>
        <v>0</v>
      </c>
    </row>
    <row r="2018">
      <c r="A2018" s="70"/>
      <c r="B2018" s="71"/>
      <c r="C2018" s="72"/>
      <c r="D2018" s="72"/>
      <c r="E2018" s="72"/>
      <c r="F2018" s="72"/>
      <c r="G2018" s="72"/>
      <c r="H2018" s="72"/>
      <c r="I2018" s="72"/>
      <c r="J2018" s="72"/>
      <c r="K2018" s="72"/>
      <c r="L2018" s="73"/>
      <c r="M2018" s="74"/>
      <c r="N2018" s="77">
        <f t="shared" si="2"/>
        <v>0</v>
      </c>
    </row>
    <row r="2019">
      <c r="A2019" s="70"/>
      <c r="B2019" s="71"/>
      <c r="C2019" s="72"/>
      <c r="D2019" s="72"/>
      <c r="E2019" s="72"/>
      <c r="F2019" s="72"/>
      <c r="G2019" s="72"/>
      <c r="H2019" s="72"/>
      <c r="I2019" s="72"/>
      <c r="J2019" s="72"/>
      <c r="K2019" s="72"/>
      <c r="L2019" s="73"/>
      <c r="M2019" s="74"/>
      <c r="N2019" s="77">
        <f t="shared" si="2"/>
        <v>0</v>
      </c>
    </row>
    <row r="2020">
      <c r="A2020" s="70"/>
      <c r="B2020" s="71"/>
      <c r="C2020" s="72"/>
      <c r="D2020" s="72"/>
      <c r="E2020" s="72"/>
      <c r="F2020" s="72"/>
      <c r="G2020" s="72"/>
      <c r="H2020" s="72"/>
      <c r="I2020" s="72"/>
      <c r="J2020" s="72"/>
      <c r="K2020" s="72"/>
      <c r="L2020" s="73"/>
      <c r="M2020" s="74"/>
      <c r="N2020" s="77">
        <f t="shared" si="2"/>
        <v>0</v>
      </c>
    </row>
    <row r="2021">
      <c r="A2021" s="70"/>
      <c r="B2021" s="71"/>
      <c r="C2021" s="72"/>
      <c r="D2021" s="72"/>
      <c r="E2021" s="72"/>
      <c r="F2021" s="72"/>
      <c r="G2021" s="72"/>
      <c r="H2021" s="72"/>
      <c r="I2021" s="72"/>
      <c r="J2021" s="72"/>
      <c r="K2021" s="72"/>
      <c r="L2021" s="73"/>
      <c r="M2021" s="74"/>
      <c r="N2021" s="77">
        <f t="shared" si="2"/>
        <v>0</v>
      </c>
    </row>
    <row r="2022">
      <c r="A2022" s="70"/>
      <c r="B2022" s="71"/>
      <c r="C2022" s="72"/>
      <c r="D2022" s="72"/>
      <c r="E2022" s="72"/>
      <c r="F2022" s="72"/>
      <c r="G2022" s="72"/>
      <c r="H2022" s="72"/>
      <c r="I2022" s="72"/>
      <c r="J2022" s="72"/>
      <c r="K2022" s="72"/>
      <c r="L2022" s="73"/>
      <c r="M2022" s="74"/>
      <c r="N2022" s="77">
        <f t="shared" si="2"/>
        <v>0</v>
      </c>
    </row>
    <row r="2023">
      <c r="A2023" s="70"/>
      <c r="B2023" s="71"/>
      <c r="C2023" s="72"/>
      <c r="D2023" s="72"/>
      <c r="E2023" s="72"/>
      <c r="F2023" s="72"/>
      <c r="G2023" s="72"/>
      <c r="H2023" s="72"/>
      <c r="I2023" s="72"/>
      <c r="J2023" s="72"/>
      <c r="K2023" s="72"/>
      <c r="L2023" s="73"/>
      <c r="M2023" s="74"/>
      <c r="N2023" s="77">
        <f t="shared" si="2"/>
        <v>0</v>
      </c>
    </row>
    <row r="2024">
      <c r="A2024" s="70"/>
      <c r="B2024" s="71"/>
      <c r="C2024" s="72"/>
      <c r="D2024" s="72"/>
      <c r="E2024" s="72"/>
      <c r="F2024" s="72"/>
      <c r="G2024" s="72"/>
      <c r="H2024" s="72"/>
      <c r="I2024" s="72"/>
      <c r="J2024" s="72"/>
      <c r="K2024" s="72"/>
      <c r="L2024" s="73"/>
      <c r="M2024" s="74"/>
      <c r="N2024" s="77">
        <f t="shared" si="2"/>
        <v>0</v>
      </c>
    </row>
    <row r="2025">
      <c r="A2025" s="70"/>
      <c r="B2025" s="71"/>
      <c r="C2025" s="72"/>
      <c r="D2025" s="72"/>
      <c r="E2025" s="72"/>
      <c r="F2025" s="72"/>
      <c r="G2025" s="72"/>
      <c r="H2025" s="72"/>
      <c r="I2025" s="72"/>
      <c r="J2025" s="72"/>
      <c r="K2025" s="72"/>
      <c r="L2025" s="73"/>
      <c r="M2025" s="74"/>
      <c r="N2025" s="77">
        <f t="shared" si="2"/>
        <v>0</v>
      </c>
    </row>
    <row r="2026">
      <c r="A2026" s="70"/>
      <c r="B2026" s="71"/>
      <c r="C2026" s="72"/>
      <c r="D2026" s="72"/>
      <c r="E2026" s="72"/>
      <c r="F2026" s="72"/>
      <c r="G2026" s="72"/>
      <c r="H2026" s="72"/>
      <c r="I2026" s="72"/>
      <c r="J2026" s="72"/>
      <c r="K2026" s="72"/>
      <c r="L2026" s="73"/>
      <c r="M2026" s="74"/>
      <c r="N2026" s="77">
        <f t="shared" si="2"/>
        <v>0</v>
      </c>
    </row>
    <row r="2027">
      <c r="A2027" s="70"/>
      <c r="B2027" s="71"/>
      <c r="C2027" s="72"/>
      <c r="D2027" s="72"/>
      <c r="E2027" s="72"/>
      <c r="F2027" s="72"/>
      <c r="G2027" s="72"/>
      <c r="H2027" s="72"/>
      <c r="I2027" s="72"/>
      <c r="J2027" s="72"/>
      <c r="K2027" s="72"/>
      <c r="L2027" s="73"/>
      <c r="M2027" s="74"/>
      <c r="N2027" s="77">
        <f t="shared" si="2"/>
        <v>0</v>
      </c>
    </row>
    <row r="2028">
      <c r="A2028" s="70"/>
      <c r="B2028" s="71"/>
      <c r="C2028" s="72"/>
      <c r="D2028" s="72"/>
      <c r="E2028" s="72"/>
      <c r="F2028" s="72"/>
      <c r="G2028" s="72"/>
      <c r="H2028" s="72"/>
      <c r="I2028" s="72"/>
      <c r="J2028" s="72"/>
      <c r="K2028" s="72"/>
      <c r="L2028" s="73"/>
      <c r="M2028" s="74"/>
      <c r="N2028" s="77">
        <f t="shared" si="2"/>
        <v>0</v>
      </c>
    </row>
    <row r="2029">
      <c r="A2029" s="70"/>
      <c r="B2029" s="71"/>
      <c r="C2029" s="72"/>
      <c r="D2029" s="72"/>
      <c r="E2029" s="72"/>
      <c r="F2029" s="72"/>
      <c r="G2029" s="72"/>
      <c r="H2029" s="72"/>
      <c r="I2029" s="72"/>
      <c r="J2029" s="72"/>
      <c r="K2029" s="72"/>
      <c r="L2029" s="73"/>
      <c r="M2029" s="74"/>
      <c r="N2029" s="77">
        <f t="shared" si="2"/>
        <v>0</v>
      </c>
    </row>
    <row r="2030">
      <c r="A2030" s="70"/>
      <c r="B2030" s="71"/>
      <c r="C2030" s="72"/>
      <c r="D2030" s="72"/>
      <c r="E2030" s="72"/>
      <c r="F2030" s="72"/>
      <c r="G2030" s="72"/>
      <c r="H2030" s="72"/>
      <c r="I2030" s="72"/>
      <c r="J2030" s="72"/>
      <c r="K2030" s="72"/>
      <c r="L2030" s="73"/>
      <c r="M2030" s="74"/>
      <c r="N2030" s="77">
        <f t="shared" si="2"/>
        <v>0</v>
      </c>
    </row>
    <row r="2031">
      <c r="A2031" s="70"/>
      <c r="B2031" s="71"/>
      <c r="C2031" s="72"/>
      <c r="D2031" s="72"/>
      <c r="E2031" s="72"/>
      <c r="F2031" s="72"/>
      <c r="G2031" s="72"/>
      <c r="H2031" s="72"/>
      <c r="I2031" s="72"/>
      <c r="J2031" s="72"/>
      <c r="K2031" s="72"/>
      <c r="L2031" s="73"/>
      <c r="M2031" s="74"/>
      <c r="N2031" s="77">
        <f t="shared" si="2"/>
        <v>0</v>
      </c>
    </row>
    <row r="2032">
      <c r="A2032" s="70"/>
      <c r="B2032" s="71"/>
      <c r="C2032" s="72"/>
      <c r="D2032" s="72"/>
      <c r="E2032" s="72"/>
      <c r="F2032" s="72"/>
      <c r="G2032" s="72"/>
      <c r="H2032" s="72"/>
      <c r="I2032" s="72"/>
      <c r="J2032" s="72"/>
      <c r="K2032" s="72"/>
      <c r="L2032" s="73"/>
      <c r="M2032" s="74"/>
      <c r="N2032" s="77">
        <f t="shared" si="2"/>
        <v>0</v>
      </c>
    </row>
    <row r="2033">
      <c r="A2033" s="70"/>
      <c r="B2033" s="71"/>
      <c r="C2033" s="72"/>
      <c r="D2033" s="72"/>
      <c r="E2033" s="72"/>
      <c r="F2033" s="72"/>
      <c r="G2033" s="72"/>
      <c r="H2033" s="72"/>
      <c r="I2033" s="72"/>
      <c r="J2033" s="72"/>
      <c r="K2033" s="72"/>
      <c r="L2033" s="73"/>
      <c r="M2033" s="74"/>
      <c r="N2033" s="77">
        <f t="shared" si="2"/>
        <v>0</v>
      </c>
    </row>
    <row r="2034">
      <c r="A2034" s="70"/>
      <c r="B2034" s="71"/>
      <c r="C2034" s="72"/>
      <c r="D2034" s="72"/>
      <c r="E2034" s="72"/>
      <c r="F2034" s="72"/>
      <c r="G2034" s="72"/>
      <c r="H2034" s="72"/>
      <c r="I2034" s="72"/>
      <c r="J2034" s="72"/>
      <c r="K2034" s="72"/>
      <c r="L2034" s="73"/>
      <c r="M2034" s="74"/>
      <c r="N2034" s="77">
        <f t="shared" si="2"/>
        <v>0</v>
      </c>
    </row>
    <row r="2035">
      <c r="A2035" s="70"/>
      <c r="B2035" s="71"/>
      <c r="C2035" s="72"/>
      <c r="D2035" s="72"/>
      <c r="E2035" s="72"/>
      <c r="F2035" s="72"/>
      <c r="G2035" s="72"/>
      <c r="H2035" s="72"/>
      <c r="I2035" s="72"/>
      <c r="J2035" s="72"/>
      <c r="K2035" s="72"/>
      <c r="L2035" s="73"/>
      <c r="M2035" s="74"/>
      <c r="N2035" s="77">
        <f t="shared" si="2"/>
        <v>0</v>
      </c>
    </row>
    <row r="2036">
      <c r="A2036" s="70"/>
      <c r="B2036" s="71"/>
      <c r="C2036" s="72"/>
      <c r="D2036" s="72"/>
      <c r="E2036" s="72"/>
      <c r="F2036" s="72"/>
      <c r="G2036" s="72"/>
      <c r="H2036" s="72"/>
      <c r="I2036" s="72"/>
      <c r="J2036" s="72"/>
      <c r="K2036" s="72"/>
      <c r="L2036" s="73"/>
      <c r="M2036" s="74"/>
      <c r="N2036" s="77">
        <f t="shared" si="2"/>
        <v>0</v>
      </c>
    </row>
    <row r="2037">
      <c r="A2037" s="70"/>
      <c r="B2037" s="71"/>
      <c r="C2037" s="72"/>
      <c r="D2037" s="72"/>
      <c r="E2037" s="72"/>
      <c r="F2037" s="72"/>
      <c r="G2037" s="72"/>
      <c r="H2037" s="72"/>
      <c r="I2037" s="72"/>
      <c r="J2037" s="72"/>
      <c r="K2037" s="72"/>
      <c r="L2037" s="73"/>
      <c r="M2037" s="74"/>
      <c r="N2037" s="77">
        <f t="shared" si="2"/>
        <v>0</v>
      </c>
    </row>
    <row r="2038">
      <c r="A2038" s="70"/>
      <c r="B2038" s="71"/>
      <c r="C2038" s="72"/>
      <c r="D2038" s="72"/>
      <c r="E2038" s="72"/>
      <c r="F2038" s="72"/>
      <c r="G2038" s="72"/>
      <c r="H2038" s="72"/>
      <c r="I2038" s="72"/>
      <c r="J2038" s="72"/>
      <c r="K2038" s="72"/>
      <c r="L2038" s="73"/>
      <c r="M2038" s="74"/>
      <c r="N2038" s="77">
        <f t="shared" si="2"/>
        <v>0</v>
      </c>
    </row>
    <row r="2039">
      <c r="A2039" s="70"/>
      <c r="B2039" s="71"/>
      <c r="C2039" s="72"/>
      <c r="D2039" s="72"/>
      <c r="E2039" s="72"/>
      <c r="F2039" s="72"/>
      <c r="G2039" s="72"/>
      <c r="H2039" s="72"/>
      <c r="I2039" s="72"/>
      <c r="J2039" s="72"/>
      <c r="K2039" s="72"/>
      <c r="L2039" s="73"/>
      <c r="M2039" s="74"/>
      <c r="N2039" s="77">
        <f t="shared" si="2"/>
        <v>0</v>
      </c>
    </row>
    <row r="2040">
      <c r="A2040" s="70"/>
      <c r="B2040" s="71"/>
      <c r="C2040" s="72"/>
      <c r="D2040" s="72"/>
      <c r="E2040" s="72"/>
      <c r="F2040" s="72"/>
      <c r="G2040" s="72"/>
      <c r="H2040" s="72"/>
      <c r="I2040" s="72"/>
      <c r="J2040" s="72"/>
      <c r="K2040" s="72"/>
      <c r="L2040" s="73"/>
      <c r="M2040" s="74"/>
      <c r="N2040" s="77">
        <f t="shared" si="2"/>
        <v>0</v>
      </c>
    </row>
    <row r="2041">
      <c r="A2041" s="70"/>
      <c r="B2041" s="71"/>
      <c r="C2041" s="72"/>
      <c r="D2041" s="72"/>
      <c r="E2041" s="72"/>
      <c r="F2041" s="72"/>
      <c r="G2041" s="72"/>
      <c r="H2041" s="72"/>
      <c r="I2041" s="72"/>
      <c r="J2041" s="72"/>
      <c r="K2041" s="72"/>
      <c r="L2041" s="73"/>
      <c r="M2041" s="74"/>
      <c r="N2041" s="77">
        <f t="shared" si="2"/>
        <v>0</v>
      </c>
    </row>
    <row r="2042">
      <c r="A2042" s="70"/>
      <c r="B2042" s="71"/>
      <c r="C2042" s="72"/>
      <c r="D2042" s="72"/>
      <c r="E2042" s="72"/>
      <c r="F2042" s="72"/>
      <c r="G2042" s="72"/>
      <c r="H2042" s="72"/>
      <c r="I2042" s="72"/>
      <c r="J2042" s="72"/>
      <c r="K2042" s="72"/>
      <c r="L2042" s="73"/>
      <c r="M2042" s="74"/>
      <c r="N2042" s="77">
        <f t="shared" si="2"/>
        <v>0</v>
      </c>
    </row>
    <row r="2043">
      <c r="A2043" s="70"/>
      <c r="B2043" s="71"/>
      <c r="C2043" s="72"/>
      <c r="D2043" s="72"/>
      <c r="E2043" s="72"/>
      <c r="F2043" s="72"/>
      <c r="G2043" s="72"/>
      <c r="H2043" s="72"/>
      <c r="I2043" s="72"/>
      <c r="J2043" s="72"/>
      <c r="K2043" s="72"/>
      <c r="L2043" s="73"/>
      <c r="M2043" s="74"/>
      <c r="N2043" s="77">
        <f t="shared" si="2"/>
        <v>0</v>
      </c>
    </row>
    <row r="2044">
      <c r="A2044" s="70"/>
      <c r="B2044" s="71"/>
      <c r="C2044" s="72"/>
      <c r="D2044" s="72"/>
      <c r="E2044" s="72"/>
      <c r="F2044" s="72"/>
      <c r="G2044" s="72"/>
      <c r="H2044" s="72"/>
      <c r="I2044" s="72"/>
      <c r="J2044" s="72"/>
      <c r="K2044" s="72"/>
      <c r="L2044" s="73"/>
      <c r="M2044" s="74"/>
      <c r="N2044" s="77">
        <f t="shared" si="2"/>
        <v>0</v>
      </c>
    </row>
    <row r="2045">
      <c r="A2045" s="70"/>
      <c r="B2045" s="71"/>
      <c r="C2045" s="72"/>
      <c r="D2045" s="72"/>
      <c r="E2045" s="72"/>
      <c r="F2045" s="72"/>
      <c r="G2045" s="72"/>
      <c r="H2045" s="72"/>
      <c r="I2045" s="72"/>
      <c r="J2045" s="72"/>
      <c r="K2045" s="72"/>
      <c r="L2045" s="73"/>
      <c r="M2045" s="74"/>
      <c r="N2045" s="77">
        <f t="shared" si="2"/>
        <v>0</v>
      </c>
    </row>
    <row r="2046">
      <c r="A2046" s="70"/>
      <c r="B2046" s="71"/>
      <c r="C2046" s="72"/>
      <c r="D2046" s="72"/>
      <c r="E2046" s="72"/>
      <c r="F2046" s="72"/>
      <c r="G2046" s="72"/>
      <c r="H2046" s="72"/>
      <c r="I2046" s="72"/>
      <c r="J2046" s="72"/>
      <c r="K2046" s="72"/>
      <c r="L2046" s="73"/>
      <c r="M2046" s="74"/>
      <c r="N2046" s="77">
        <f t="shared" si="2"/>
        <v>0</v>
      </c>
    </row>
    <row r="2047">
      <c r="A2047" s="70"/>
      <c r="B2047" s="71"/>
      <c r="C2047" s="72"/>
      <c r="D2047" s="72"/>
      <c r="E2047" s="72"/>
      <c r="F2047" s="72"/>
      <c r="G2047" s="72"/>
      <c r="H2047" s="72"/>
      <c r="I2047" s="72"/>
      <c r="J2047" s="72"/>
      <c r="K2047" s="72"/>
      <c r="L2047" s="73"/>
      <c r="M2047" s="74"/>
      <c r="N2047" s="77">
        <f t="shared" si="2"/>
        <v>0</v>
      </c>
    </row>
    <row r="2048">
      <c r="A2048" s="70"/>
      <c r="B2048" s="71"/>
      <c r="C2048" s="72"/>
      <c r="D2048" s="72"/>
      <c r="E2048" s="72"/>
      <c r="F2048" s="72"/>
      <c r="G2048" s="72"/>
      <c r="H2048" s="72"/>
      <c r="I2048" s="72"/>
      <c r="J2048" s="72"/>
      <c r="K2048" s="72"/>
      <c r="L2048" s="73"/>
      <c r="M2048" s="74"/>
      <c r="N2048" s="77">
        <f t="shared" si="2"/>
        <v>0</v>
      </c>
    </row>
    <row r="2049">
      <c r="A2049" s="70"/>
      <c r="B2049" s="71"/>
      <c r="C2049" s="72"/>
      <c r="D2049" s="72"/>
      <c r="E2049" s="72"/>
      <c r="F2049" s="72"/>
      <c r="G2049" s="72"/>
      <c r="H2049" s="72"/>
      <c r="I2049" s="72"/>
      <c r="J2049" s="72"/>
      <c r="K2049" s="72"/>
      <c r="L2049" s="73"/>
      <c r="M2049" s="74"/>
      <c r="N2049" s="77">
        <f t="shared" si="2"/>
        <v>0</v>
      </c>
    </row>
    <row r="2050">
      <c r="A2050" s="70"/>
      <c r="B2050" s="71"/>
      <c r="C2050" s="72"/>
      <c r="D2050" s="72"/>
      <c r="E2050" s="72"/>
      <c r="F2050" s="72"/>
      <c r="G2050" s="72"/>
      <c r="H2050" s="72"/>
      <c r="I2050" s="72"/>
      <c r="J2050" s="72"/>
      <c r="K2050" s="72"/>
      <c r="L2050" s="73"/>
      <c r="M2050" s="74"/>
      <c r="N2050" s="77">
        <f t="shared" si="2"/>
        <v>0</v>
      </c>
    </row>
    <row r="2051">
      <c r="A2051" s="70"/>
      <c r="B2051" s="71"/>
      <c r="C2051" s="72"/>
      <c r="D2051" s="72"/>
      <c r="E2051" s="72"/>
      <c r="F2051" s="72"/>
      <c r="G2051" s="72"/>
      <c r="H2051" s="72"/>
      <c r="I2051" s="72"/>
      <c r="J2051" s="72"/>
      <c r="K2051" s="72"/>
      <c r="L2051" s="73"/>
      <c r="M2051" s="74"/>
      <c r="N2051" s="77">
        <f t="shared" si="2"/>
        <v>0</v>
      </c>
    </row>
    <row r="2052">
      <c r="A2052" s="70"/>
      <c r="B2052" s="71"/>
      <c r="C2052" s="72"/>
      <c r="D2052" s="72"/>
      <c r="E2052" s="72"/>
      <c r="F2052" s="72"/>
      <c r="G2052" s="72"/>
      <c r="H2052" s="72"/>
      <c r="I2052" s="72"/>
      <c r="J2052" s="72"/>
      <c r="K2052" s="72"/>
      <c r="L2052" s="73"/>
      <c r="M2052" s="74"/>
      <c r="N2052" s="77">
        <f t="shared" si="2"/>
        <v>0</v>
      </c>
    </row>
    <row r="2053">
      <c r="A2053" s="70"/>
      <c r="B2053" s="71"/>
      <c r="C2053" s="72"/>
      <c r="D2053" s="72"/>
      <c r="E2053" s="72"/>
      <c r="F2053" s="72"/>
      <c r="G2053" s="72"/>
      <c r="H2053" s="72"/>
      <c r="I2053" s="72"/>
      <c r="J2053" s="72"/>
      <c r="K2053" s="72"/>
      <c r="L2053" s="73"/>
      <c r="M2053" s="74"/>
      <c r="N2053" s="77">
        <f t="shared" si="2"/>
        <v>0</v>
      </c>
    </row>
    <row r="2054">
      <c r="A2054" s="70"/>
      <c r="B2054" s="71"/>
      <c r="C2054" s="72"/>
      <c r="D2054" s="72"/>
      <c r="E2054" s="72"/>
      <c r="F2054" s="72"/>
      <c r="G2054" s="72"/>
      <c r="H2054" s="72"/>
      <c r="I2054" s="72"/>
      <c r="J2054" s="72"/>
      <c r="K2054" s="72"/>
      <c r="L2054" s="73"/>
      <c r="M2054" s="74"/>
      <c r="N2054" s="77">
        <f t="shared" si="2"/>
        <v>0</v>
      </c>
    </row>
    <row r="2055">
      <c r="A2055" s="70"/>
      <c r="B2055" s="71"/>
      <c r="C2055" s="72"/>
      <c r="D2055" s="72"/>
      <c r="E2055" s="72"/>
      <c r="F2055" s="72"/>
      <c r="G2055" s="72"/>
      <c r="H2055" s="72"/>
      <c r="I2055" s="72"/>
      <c r="J2055" s="72"/>
      <c r="K2055" s="72"/>
      <c r="L2055" s="73"/>
      <c r="M2055" s="74"/>
      <c r="N2055" s="77">
        <f t="shared" si="2"/>
        <v>0</v>
      </c>
    </row>
    <row r="2056">
      <c r="A2056" s="70"/>
      <c r="B2056" s="71"/>
      <c r="C2056" s="72"/>
      <c r="D2056" s="72"/>
      <c r="E2056" s="72"/>
      <c r="F2056" s="72"/>
      <c r="G2056" s="72"/>
      <c r="H2056" s="72"/>
      <c r="I2056" s="72"/>
      <c r="J2056" s="72"/>
      <c r="K2056" s="72"/>
      <c r="L2056" s="73"/>
      <c r="M2056" s="74"/>
      <c r="N2056" s="77">
        <f t="shared" si="2"/>
        <v>0</v>
      </c>
    </row>
    <row r="2057">
      <c r="A2057" s="70"/>
      <c r="B2057" s="71"/>
      <c r="C2057" s="72"/>
      <c r="D2057" s="72"/>
      <c r="E2057" s="72"/>
      <c r="F2057" s="72"/>
      <c r="G2057" s="72"/>
      <c r="H2057" s="72"/>
      <c r="I2057" s="72"/>
      <c r="J2057" s="72"/>
      <c r="K2057" s="72"/>
      <c r="L2057" s="73"/>
      <c r="M2057" s="74"/>
      <c r="N2057" s="77">
        <f t="shared" si="2"/>
        <v>0</v>
      </c>
    </row>
    <row r="2058">
      <c r="A2058" s="70"/>
      <c r="B2058" s="71"/>
      <c r="C2058" s="72"/>
      <c r="D2058" s="72"/>
      <c r="E2058" s="72"/>
      <c r="F2058" s="72"/>
      <c r="G2058" s="72"/>
      <c r="H2058" s="72"/>
      <c r="I2058" s="72"/>
      <c r="J2058" s="72"/>
      <c r="K2058" s="72"/>
      <c r="L2058" s="73"/>
      <c r="M2058" s="74"/>
      <c r="N2058" s="77">
        <f t="shared" si="2"/>
        <v>0</v>
      </c>
    </row>
    <row r="2059">
      <c r="A2059" s="70"/>
      <c r="B2059" s="71"/>
      <c r="C2059" s="72"/>
      <c r="D2059" s="72"/>
      <c r="E2059" s="72"/>
      <c r="F2059" s="72"/>
      <c r="G2059" s="72"/>
      <c r="H2059" s="72"/>
      <c r="I2059" s="72"/>
      <c r="J2059" s="72"/>
      <c r="K2059" s="72"/>
      <c r="L2059" s="73"/>
      <c r="M2059" s="74"/>
      <c r="N2059" s="77">
        <f t="shared" si="2"/>
        <v>0</v>
      </c>
    </row>
    <row r="2060">
      <c r="A2060" s="70"/>
      <c r="B2060" s="71"/>
      <c r="C2060" s="72"/>
      <c r="D2060" s="72"/>
      <c r="E2060" s="72"/>
      <c r="F2060" s="72"/>
      <c r="G2060" s="72"/>
      <c r="H2060" s="72"/>
      <c r="I2060" s="72"/>
      <c r="J2060" s="72"/>
      <c r="K2060" s="72"/>
      <c r="L2060" s="73"/>
      <c r="M2060" s="74"/>
      <c r="N2060" s="77">
        <f t="shared" si="2"/>
        <v>0</v>
      </c>
    </row>
    <row r="2061">
      <c r="A2061" s="70"/>
      <c r="B2061" s="71"/>
      <c r="C2061" s="72"/>
      <c r="D2061" s="72"/>
      <c r="E2061" s="72"/>
      <c r="F2061" s="72"/>
      <c r="G2061" s="72"/>
      <c r="H2061" s="72"/>
      <c r="I2061" s="72"/>
      <c r="J2061" s="72"/>
      <c r="K2061" s="72"/>
      <c r="L2061" s="73"/>
      <c r="M2061" s="74"/>
      <c r="N2061" s="77">
        <f t="shared" si="2"/>
        <v>0</v>
      </c>
    </row>
    <row r="2062">
      <c r="A2062" s="70"/>
      <c r="B2062" s="71"/>
      <c r="C2062" s="72"/>
      <c r="D2062" s="72"/>
      <c r="E2062" s="72"/>
      <c r="F2062" s="72"/>
      <c r="G2062" s="72"/>
      <c r="H2062" s="72"/>
      <c r="I2062" s="72"/>
      <c r="J2062" s="72"/>
      <c r="K2062" s="72"/>
      <c r="L2062" s="73"/>
      <c r="M2062" s="74"/>
      <c r="N2062" s="77">
        <f t="shared" si="2"/>
        <v>0</v>
      </c>
    </row>
    <row r="2063">
      <c r="A2063" s="70"/>
      <c r="B2063" s="71"/>
      <c r="C2063" s="72"/>
      <c r="D2063" s="72"/>
      <c r="E2063" s="72"/>
      <c r="F2063" s="72"/>
      <c r="G2063" s="72"/>
      <c r="H2063" s="72"/>
      <c r="I2063" s="72"/>
      <c r="J2063" s="72"/>
      <c r="K2063" s="72"/>
      <c r="L2063" s="73"/>
      <c r="M2063" s="74"/>
      <c r="N2063" s="77">
        <f t="shared" si="2"/>
        <v>0</v>
      </c>
    </row>
    <row r="2064">
      <c r="A2064" s="70"/>
      <c r="B2064" s="71"/>
      <c r="C2064" s="72"/>
      <c r="D2064" s="72"/>
      <c r="E2064" s="72"/>
      <c r="F2064" s="72"/>
      <c r="G2064" s="72"/>
      <c r="H2064" s="72"/>
      <c r="I2064" s="72"/>
      <c r="J2064" s="72"/>
      <c r="K2064" s="72"/>
      <c r="L2064" s="73"/>
      <c r="M2064" s="74"/>
      <c r="N2064" s="77">
        <f t="shared" si="2"/>
        <v>0</v>
      </c>
    </row>
    <row r="2065">
      <c r="A2065" s="70"/>
      <c r="B2065" s="71"/>
      <c r="C2065" s="72"/>
      <c r="D2065" s="72"/>
      <c r="E2065" s="72"/>
      <c r="F2065" s="72"/>
      <c r="G2065" s="72"/>
      <c r="H2065" s="72"/>
      <c r="I2065" s="72"/>
      <c r="J2065" s="72"/>
      <c r="K2065" s="72"/>
      <c r="L2065" s="73"/>
      <c r="M2065" s="74"/>
      <c r="N2065" s="77">
        <f t="shared" si="2"/>
        <v>0</v>
      </c>
    </row>
    <row r="2066">
      <c r="A2066" s="70"/>
      <c r="B2066" s="71"/>
      <c r="C2066" s="72"/>
      <c r="D2066" s="72"/>
      <c r="E2066" s="72"/>
      <c r="F2066" s="72"/>
      <c r="G2066" s="72"/>
      <c r="H2066" s="72"/>
      <c r="I2066" s="72"/>
      <c r="J2066" s="72"/>
      <c r="K2066" s="72"/>
      <c r="L2066" s="73"/>
      <c r="M2066" s="74"/>
      <c r="N2066" s="77">
        <f t="shared" si="2"/>
        <v>0</v>
      </c>
    </row>
    <row r="2067">
      <c r="A2067" s="70"/>
      <c r="B2067" s="71"/>
      <c r="C2067" s="72"/>
      <c r="D2067" s="72"/>
      <c r="E2067" s="72"/>
      <c r="F2067" s="72"/>
      <c r="G2067" s="72"/>
      <c r="H2067" s="72"/>
      <c r="I2067" s="72"/>
      <c r="J2067" s="72"/>
      <c r="K2067" s="72"/>
      <c r="L2067" s="73"/>
      <c r="M2067" s="74"/>
      <c r="N2067" s="77">
        <f t="shared" si="2"/>
        <v>0</v>
      </c>
    </row>
    <row r="2068">
      <c r="A2068" s="70"/>
      <c r="B2068" s="71"/>
      <c r="C2068" s="72"/>
      <c r="D2068" s="72"/>
      <c r="E2068" s="72"/>
      <c r="F2068" s="72"/>
      <c r="G2068" s="72"/>
      <c r="H2068" s="72"/>
      <c r="I2068" s="72"/>
      <c r="J2068" s="72"/>
      <c r="K2068" s="72"/>
      <c r="L2068" s="73"/>
      <c r="M2068" s="74"/>
      <c r="N2068" s="77">
        <f t="shared" si="2"/>
        <v>0</v>
      </c>
    </row>
    <row r="2069">
      <c r="A2069" s="70"/>
      <c r="B2069" s="71"/>
      <c r="C2069" s="72"/>
      <c r="D2069" s="72"/>
      <c r="E2069" s="72"/>
      <c r="F2069" s="72"/>
      <c r="G2069" s="72"/>
      <c r="H2069" s="72"/>
      <c r="I2069" s="72"/>
      <c r="J2069" s="72"/>
      <c r="K2069" s="72"/>
      <c r="L2069" s="73"/>
      <c r="M2069" s="74"/>
      <c r="N2069" s="77">
        <f t="shared" si="2"/>
        <v>0</v>
      </c>
    </row>
    <row r="2070">
      <c r="A2070" s="70"/>
      <c r="B2070" s="71"/>
      <c r="C2070" s="72"/>
      <c r="D2070" s="72"/>
      <c r="E2070" s="72"/>
      <c r="F2070" s="72"/>
      <c r="G2070" s="72"/>
      <c r="H2070" s="72"/>
      <c r="I2070" s="72"/>
      <c r="J2070" s="72"/>
      <c r="K2070" s="72"/>
      <c r="L2070" s="73"/>
      <c r="M2070" s="74"/>
      <c r="N2070" s="77">
        <f t="shared" si="2"/>
        <v>0</v>
      </c>
    </row>
    <row r="2071">
      <c r="A2071" s="70"/>
      <c r="B2071" s="71"/>
      <c r="C2071" s="72"/>
      <c r="D2071" s="72"/>
      <c r="E2071" s="72"/>
      <c r="F2071" s="72"/>
      <c r="G2071" s="72"/>
      <c r="H2071" s="72"/>
      <c r="I2071" s="72"/>
      <c r="J2071" s="72"/>
      <c r="K2071" s="72"/>
      <c r="L2071" s="73"/>
      <c r="M2071" s="74"/>
      <c r="N2071" s="77">
        <f t="shared" si="2"/>
        <v>0</v>
      </c>
    </row>
    <row r="2072">
      <c r="A2072" s="70"/>
      <c r="B2072" s="71"/>
      <c r="C2072" s="72"/>
      <c r="D2072" s="72"/>
      <c r="E2072" s="72"/>
      <c r="F2072" s="72"/>
      <c r="G2072" s="72"/>
      <c r="H2072" s="72"/>
      <c r="I2072" s="72"/>
      <c r="J2072" s="72"/>
      <c r="K2072" s="72"/>
      <c r="L2072" s="73"/>
      <c r="M2072" s="74"/>
      <c r="N2072" s="77">
        <f t="shared" si="2"/>
        <v>0</v>
      </c>
    </row>
  </sheetData>
  <dataValidations>
    <dataValidation type="list" allowBlank="1" showErrorMessage="1" sqref="L2:L324 L326:L2072">
      <formula1>'Lista Suspensa'!$B$3:$B$11</formula1>
    </dataValidation>
  </dataValidations>
  <printOptions/>
  <pageMargins bottom="0.75" footer="0.0" header="0.0" left="0.7" right="0.7" top="0.75"/>
  <pageSetup paperSize="9" scale="50"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6.89"/>
    <col customWidth="1" min="3" max="3" width="4.89"/>
    <col customWidth="1" min="4" max="4" width="21.67"/>
    <col customWidth="1" min="5" max="5" width="6.89"/>
    <col customWidth="1" min="6" max="6" width="5.78"/>
    <col customWidth="1" min="7" max="7" width="8.33"/>
    <col customWidth="1" min="8" max="8" width="6.89"/>
    <col customWidth="1" min="9" max="9" width="7.89"/>
    <col customWidth="1" min="10" max="10" width="8.33"/>
    <col customWidth="1" min="11" max="11" width="9.56"/>
    <col customWidth="1" min="12" max="12" width="11.56"/>
    <col customWidth="1" min="13" max="13" width="39.67"/>
    <col customWidth="1" min="14" max="14" width="8.33"/>
    <col customWidth="1" min="15" max="15" width="21.44"/>
    <col customWidth="1" min="16" max="16" width="12.67"/>
    <col customWidth="1" min="17" max="17" width="9.11"/>
    <col customWidth="1" min="18" max="18" width="8.67"/>
    <col customWidth="1" min="19" max="19" width="21.22"/>
    <col customWidth="1" min="20" max="20" width="7.78"/>
    <col customWidth="1" min="21" max="21" width="9.11"/>
    <col customWidth="1" min="22" max="22" width="12.11"/>
    <col customWidth="1" min="23" max="28" width="6.89"/>
  </cols>
  <sheetData>
    <row r="1">
      <c r="A1" s="93"/>
      <c r="B1" s="93"/>
      <c r="C1" s="93"/>
      <c r="D1" s="93"/>
      <c r="E1" s="93"/>
      <c r="F1" s="93"/>
      <c r="G1" s="93"/>
      <c r="H1" s="93"/>
      <c r="I1" s="93"/>
      <c r="J1" s="93"/>
      <c r="K1" s="93"/>
      <c r="L1" s="93"/>
      <c r="M1" s="93"/>
      <c r="N1" s="93"/>
      <c r="O1" s="93"/>
      <c r="P1" s="93"/>
      <c r="Q1" s="93"/>
      <c r="R1" s="93"/>
      <c r="S1" s="93"/>
      <c r="T1" s="93"/>
      <c r="U1" s="93"/>
      <c r="V1" s="93"/>
      <c r="W1" s="93"/>
      <c r="X1" s="93"/>
      <c r="Y1" s="93"/>
      <c r="Z1" s="93"/>
      <c r="AA1" s="93"/>
      <c r="AB1" s="93"/>
    </row>
    <row r="2">
      <c r="A2" s="94"/>
      <c r="B2" s="94"/>
      <c r="C2" s="94"/>
      <c r="D2" s="94"/>
      <c r="E2" s="94"/>
      <c r="F2" s="94"/>
      <c r="G2" s="94"/>
      <c r="H2" s="94"/>
      <c r="I2" s="93"/>
      <c r="J2" s="93"/>
      <c r="K2" s="93"/>
      <c r="L2" s="93"/>
      <c r="M2" s="93"/>
      <c r="N2" s="93"/>
      <c r="O2" s="93"/>
      <c r="P2" s="93"/>
      <c r="Q2" s="93"/>
      <c r="R2" s="93"/>
      <c r="S2" s="93"/>
      <c r="T2" s="93"/>
      <c r="U2" s="93"/>
      <c r="V2" s="95"/>
      <c r="W2" s="95"/>
      <c r="X2" s="95"/>
      <c r="Y2" s="95"/>
      <c r="Z2" s="95"/>
      <c r="AA2" s="96"/>
      <c r="AB2" s="97"/>
    </row>
    <row r="3">
      <c r="A3" s="94"/>
      <c r="B3" s="94"/>
      <c r="C3" s="94"/>
      <c r="D3" s="94"/>
      <c r="E3" s="94"/>
      <c r="F3" s="98" t="s">
        <v>5274</v>
      </c>
      <c r="U3" s="93"/>
      <c r="V3" s="97"/>
      <c r="W3" s="97"/>
      <c r="X3" s="97"/>
      <c r="Y3" s="97"/>
      <c r="Z3" s="97"/>
      <c r="AA3" s="99"/>
      <c r="AB3" s="97"/>
    </row>
    <row r="4">
      <c r="A4" s="94"/>
      <c r="B4" s="94"/>
      <c r="C4" s="94"/>
      <c r="D4" s="94"/>
      <c r="E4" s="94"/>
      <c r="F4" s="94"/>
      <c r="G4" s="94"/>
      <c r="H4" s="94"/>
      <c r="I4" s="93"/>
      <c r="J4" s="93"/>
      <c r="K4" s="93"/>
      <c r="L4" s="93"/>
      <c r="M4" s="93"/>
      <c r="N4" s="93"/>
      <c r="O4" s="93"/>
      <c r="P4" s="93"/>
      <c r="Q4" s="93"/>
      <c r="R4" s="93"/>
      <c r="S4" s="93"/>
      <c r="T4" s="93"/>
      <c r="U4" s="93"/>
      <c r="V4" s="97"/>
      <c r="W4" s="97"/>
      <c r="X4" s="97"/>
      <c r="Y4" s="97"/>
      <c r="Z4" s="97"/>
      <c r="AA4" s="99"/>
      <c r="AB4" s="97"/>
    </row>
    <row r="5">
      <c r="A5" s="94"/>
      <c r="B5" s="93"/>
      <c r="C5" s="93"/>
      <c r="D5" s="100" t="s">
        <v>5275</v>
      </c>
      <c r="E5" s="100">
        <v>2019.0</v>
      </c>
      <c r="F5" s="100">
        <v>2020.0</v>
      </c>
      <c r="G5" s="100">
        <v>2021.0</v>
      </c>
      <c r="H5" s="100">
        <v>2022.0</v>
      </c>
      <c r="I5" s="101">
        <v>2023.0</v>
      </c>
      <c r="J5" s="102">
        <v>2024.0</v>
      </c>
      <c r="K5" s="93"/>
      <c r="L5" s="93"/>
      <c r="M5" s="93"/>
      <c r="N5" s="93"/>
      <c r="O5" s="93"/>
      <c r="P5" s="93"/>
      <c r="Q5" s="93"/>
      <c r="R5" s="93"/>
      <c r="S5" s="93"/>
      <c r="T5" s="93"/>
      <c r="U5" s="93"/>
      <c r="V5" s="97"/>
      <c r="W5" s="97"/>
      <c r="X5" s="97"/>
      <c r="Y5" s="97"/>
      <c r="Z5" s="97"/>
      <c r="AA5" s="99"/>
      <c r="AB5" s="97"/>
    </row>
    <row r="6">
      <c r="A6" s="94"/>
      <c r="B6" s="93"/>
      <c r="C6" s="103" t="s">
        <v>5276</v>
      </c>
      <c r="D6" s="104">
        <v>1.0</v>
      </c>
      <c r="E6" s="104">
        <v>114.0</v>
      </c>
      <c r="F6" s="104">
        <v>106.0</v>
      </c>
      <c r="G6" s="104">
        <v>48.0</v>
      </c>
      <c r="H6" s="104">
        <v>93.0</v>
      </c>
      <c r="I6" s="104">
        <f>COUNTIF('Ordens de Serviço - 2023'!$N$2:$O$1984,C6)</f>
        <v>188</v>
      </c>
      <c r="J6" s="104" t="str">
        <f t="shared" ref="J6:J17" si="1">COUNTIF('Ordens de Serviço - 2024'!$P$2:$P$1984,C6)</f>
        <v>#REF!</v>
      </c>
      <c r="K6" s="93"/>
      <c r="L6" s="93"/>
      <c r="M6" s="93"/>
      <c r="N6" s="93"/>
      <c r="O6" s="93"/>
      <c r="P6" s="93"/>
      <c r="Q6" s="93"/>
      <c r="R6" s="93"/>
      <c r="S6" s="93"/>
      <c r="T6" s="93"/>
      <c r="U6" s="93"/>
      <c r="V6" s="97"/>
      <c r="W6" s="97"/>
      <c r="X6" s="97"/>
      <c r="Y6" s="97"/>
      <c r="Z6" s="97"/>
      <c r="AA6" s="99"/>
      <c r="AB6" s="97"/>
    </row>
    <row r="7">
      <c r="A7" s="94"/>
      <c r="B7" s="93"/>
      <c r="C7" s="103" t="s">
        <v>5277</v>
      </c>
      <c r="D7" s="104">
        <v>2.0</v>
      </c>
      <c r="E7" s="104">
        <v>135.0</v>
      </c>
      <c r="F7" s="104">
        <v>107.0</v>
      </c>
      <c r="G7" s="104">
        <v>37.0</v>
      </c>
      <c r="H7" s="104">
        <v>114.0</v>
      </c>
      <c r="I7" s="104">
        <f>COUNTIF('Ordens de Serviço - 2023'!$N$2:$N$1984,C7)</f>
        <v>154</v>
      </c>
      <c r="J7" s="104" t="str">
        <f t="shared" si="1"/>
        <v>#REF!</v>
      </c>
      <c r="K7" s="93"/>
      <c r="L7" s="93"/>
      <c r="M7" s="93"/>
      <c r="N7" s="93"/>
      <c r="O7" s="93"/>
      <c r="P7" s="93"/>
      <c r="Q7" s="93"/>
      <c r="R7" s="93"/>
      <c r="S7" s="93"/>
      <c r="T7" s="93"/>
      <c r="U7" s="93"/>
      <c r="V7" s="97"/>
      <c r="W7" s="97"/>
      <c r="X7" s="97"/>
      <c r="Y7" s="97"/>
      <c r="Z7" s="97"/>
      <c r="AA7" s="99"/>
      <c r="AB7" s="97"/>
    </row>
    <row r="8">
      <c r="A8" s="94"/>
      <c r="B8" s="93"/>
      <c r="C8" s="103" t="s">
        <v>5278</v>
      </c>
      <c r="D8" s="104">
        <v>3.0</v>
      </c>
      <c r="E8" s="104">
        <v>108.0</v>
      </c>
      <c r="F8" s="104">
        <v>113.0</v>
      </c>
      <c r="G8" s="104">
        <v>18.0</v>
      </c>
      <c r="H8" s="104">
        <v>196.0</v>
      </c>
      <c r="I8" s="104">
        <f>COUNTIF('Ordens de Serviço - 2023'!$N$2:$N$1984,C8)</f>
        <v>123</v>
      </c>
      <c r="J8" s="104" t="str">
        <f t="shared" si="1"/>
        <v>#REF!</v>
      </c>
      <c r="K8" s="93"/>
      <c r="L8" s="93"/>
      <c r="M8" s="93"/>
      <c r="N8" s="93"/>
      <c r="O8" s="93"/>
      <c r="P8" s="93"/>
      <c r="Q8" s="93"/>
      <c r="R8" s="93"/>
      <c r="S8" s="93"/>
      <c r="T8" s="93"/>
      <c r="U8" s="93"/>
      <c r="V8" s="97"/>
      <c r="W8" s="97"/>
      <c r="X8" s="97"/>
      <c r="Y8" s="97"/>
      <c r="Z8" s="97"/>
      <c r="AA8" s="99"/>
      <c r="AB8" s="97"/>
    </row>
    <row r="9">
      <c r="A9" s="94"/>
      <c r="B9" s="93"/>
      <c r="C9" s="103" t="s">
        <v>5279</v>
      </c>
      <c r="D9" s="104">
        <v>4.0</v>
      </c>
      <c r="E9" s="104">
        <v>126.0</v>
      </c>
      <c r="F9" s="104">
        <v>5.0</v>
      </c>
      <c r="G9" s="104">
        <v>2.0</v>
      </c>
      <c r="H9" s="104">
        <v>142.0</v>
      </c>
      <c r="I9" s="104">
        <f>COUNTIF('Ordens de Serviço - 2023'!$N$2:$N$1984,C9)</f>
        <v>116</v>
      </c>
      <c r="J9" s="104" t="str">
        <f t="shared" si="1"/>
        <v>#REF!</v>
      </c>
      <c r="K9" s="93"/>
      <c r="L9" s="93"/>
      <c r="M9" s="93"/>
      <c r="N9" s="93"/>
      <c r="O9" s="93"/>
      <c r="P9" s="93"/>
      <c r="Q9" s="93"/>
      <c r="R9" s="93"/>
      <c r="S9" s="93"/>
      <c r="T9" s="93"/>
      <c r="U9" s="93"/>
      <c r="V9" s="97"/>
      <c r="W9" s="97"/>
      <c r="X9" s="97"/>
      <c r="Y9" s="97"/>
      <c r="Z9" s="97"/>
      <c r="AA9" s="99"/>
      <c r="AB9" s="97"/>
    </row>
    <row r="10">
      <c r="A10" s="94"/>
      <c r="B10" s="93"/>
      <c r="C10" s="103" t="s">
        <v>5280</v>
      </c>
      <c r="D10" s="104">
        <v>5.0</v>
      </c>
      <c r="E10" s="104">
        <v>95.0</v>
      </c>
      <c r="F10" s="104">
        <v>18.0</v>
      </c>
      <c r="G10" s="104">
        <v>26.0</v>
      </c>
      <c r="H10" s="104">
        <v>179.0</v>
      </c>
      <c r="I10" s="104">
        <f>COUNTIF('Ordens de Serviço - 2023'!$N$2:$N$1984,C10)</f>
        <v>195</v>
      </c>
      <c r="J10" s="104" t="str">
        <f t="shared" si="1"/>
        <v>#REF!</v>
      </c>
      <c r="K10" s="93"/>
      <c r="L10" s="93"/>
      <c r="M10" s="93"/>
      <c r="N10" s="93"/>
      <c r="O10" s="93"/>
      <c r="P10" s="93"/>
      <c r="Q10" s="93"/>
      <c r="R10" s="93"/>
      <c r="S10" s="93"/>
      <c r="T10" s="93"/>
      <c r="U10" s="93"/>
      <c r="V10" s="97"/>
      <c r="W10" s="97"/>
      <c r="X10" s="97"/>
      <c r="Y10" s="97"/>
      <c r="Z10" s="97"/>
      <c r="AA10" s="99"/>
      <c r="AB10" s="97"/>
    </row>
    <row r="11">
      <c r="A11" s="94"/>
      <c r="B11" s="93"/>
      <c r="C11" s="103" t="s">
        <v>5281</v>
      </c>
      <c r="D11" s="104">
        <v>6.0</v>
      </c>
      <c r="E11" s="104">
        <v>77.0</v>
      </c>
      <c r="F11" s="104">
        <v>22.0</v>
      </c>
      <c r="G11" s="104">
        <v>50.0</v>
      </c>
      <c r="H11" s="104">
        <v>190.0</v>
      </c>
      <c r="I11" s="104">
        <f>COUNTIF('Ordens de Serviço - 2023'!$N$2:$N$1984,C11)</f>
        <v>149</v>
      </c>
      <c r="J11" s="104" t="str">
        <f t="shared" si="1"/>
        <v>#REF!</v>
      </c>
      <c r="K11" s="93"/>
      <c r="L11" s="93"/>
      <c r="M11" s="93"/>
      <c r="N11" s="93"/>
      <c r="O11" s="93"/>
      <c r="P11" s="93"/>
      <c r="Q11" s="93"/>
      <c r="R11" s="93"/>
      <c r="S11" s="93"/>
      <c r="T11" s="93"/>
      <c r="U11" s="93"/>
      <c r="V11" s="97"/>
      <c r="W11" s="97"/>
      <c r="X11" s="97"/>
      <c r="Y11" s="97"/>
      <c r="Z11" s="97"/>
      <c r="AA11" s="99"/>
      <c r="AB11" s="97"/>
    </row>
    <row r="12">
      <c r="A12" s="94"/>
      <c r="B12" s="93"/>
      <c r="C12" s="103" t="s">
        <v>5282</v>
      </c>
      <c r="D12" s="104">
        <v>7.0</v>
      </c>
      <c r="E12" s="104">
        <v>82.0</v>
      </c>
      <c r="F12" s="104">
        <v>8.0</v>
      </c>
      <c r="G12" s="104">
        <v>75.0</v>
      </c>
      <c r="H12" s="104">
        <v>190.0</v>
      </c>
      <c r="I12" s="104">
        <f>COUNTIF('Ordens de Serviço - 2023'!$N$2:$N$1984,C12)</f>
        <v>96</v>
      </c>
      <c r="J12" s="104" t="str">
        <f t="shared" si="1"/>
        <v>#REF!</v>
      </c>
      <c r="K12" s="93"/>
      <c r="L12" s="93"/>
      <c r="M12" s="93"/>
      <c r="N12" s="93"/>
      <c r="O12" s="93"/>
      <c r="P12" s="93"/>
      <c r="Q12" s="93"/>
      <c r="R12" s="93"/>
      <c r="S12" s="93"/>
      <c r="T12" s="93"/>
      <c r="U12" s="93"/>
      <c r="V12" s="97"/>
      <c r="W12" s="97"/>
      <c r="X12" s="97"/>
      <c r="Y12" s="97"/>
      <c r="Z12" s="97"/>
      <c r="AA12" s="99"/>
      <c r="AB12" s="97"/>
    </row>
    <row r="13">
      <c r="A13" s="94"/>
      <c r="B13" s="93"/>
      <c r="C13" s="103" t="s">
        <v>5283</v>
      </c>
      <c r="D13" s="104">
        <v>8.0</v>
      </c>
      <c r="E13" s="104">
        <v>106.0</v>
      </c>
      <c r="F13" s="104">
        <v>19.0</v>
      </c>
      <c r="G13" s="104">
        <v>63.0</v>
      </c>
      <c r="H13" s="104">
        <v>231.0</v>
      </c>
      <c r="I13" s="104">
        <f>COUNTIF('Ordens de Serviço - 2023'!$N$2:$N$1984,C13)</f>
        <v>128</v>
      </c>
      <c r="J13" s="104" t="str">
        <f t="shared" si="1"/>
        <v>#REF!</v>
      </c>
      <c r="K13" s="93"/>
      <c r="L13" s="93"/>
      <c r="M13" s="93"/>
      <c r="N13" s="93"/>
      <c r="O13" s="93"/>
      <c r="P13" s="93"/>
      <c r="Q13" s="93"/>
      <c r="R13" s="93"/>
      <c r="S13" s="93"/>
      <c r="T13" s="93"/>
      <c r="U13" s="93"/>
      <c r="V13" s="97"/>
      <c r="W13" s="97"/>
      <c r="X13" s="97"/>
      <c r="Y13" s="97"/>
      <c r="Z13" s="97"/>
      <c r="AA13" s="99"/>
      <c r="AB13" s="97"/>
    </row>
    <row r="14">
      <c r="A14" s="94"/>
      <c r="B14" s="93"/>
      <c r="C14" s="103" t="s">
        <v>5284</v>
      </c>
      <c r="D14" s="104">
        <v>9.0</v>
      </c>
      <c r="E14" s="104">
        <v>131.0</v>
      </c>
      <c r="F14" s="104">
        <v>20.0</v>
      </c>
      <c r="G14" s="104">
        <v>67.0</v>
      </c>
      <c r="H14" s="104">
        <v>207.0</v>
      </c>
      <c r="I14" s="104">
        <f>COUNTIF('Ordens de Serviço - 2023'!$N$2:$N$1984,C14)</f>
        <v>91</v>
      </c>
      <c r="J14" s="104" t="str">
        <f t="shared" si="1"/>
        <v>#REF!</v>
      </c>
      <c r="K14" s="93"/>
      <c r="L14" s="93"/>
      <c r="M14" s="93"/>
      <c r="N14" s="93"/>
      <c r="O14" s="93"/>
      <c r="P14" s="93"/>
      <c r="Q14" s="93"/>
      <c r="R14" s="93"/>
      <c r="S14" s="93"/>
      <c r="T14" s="93"/>
      <c r="U14" s="93"/>
      <c r="V14" s="97"/>
      <c r="W14" s="97"/>
      <c r="X14" s="97"/>
      <c r="Y14" s="97"/>
      <c r="Z14" s="97"/>
      <c r="AA14" s="99"/>
      <c r="AB14" s="97"/>
    </row>
    <row r="15">
      <c r="A15" s="94"/>
      <c r="B15" s="93"/>
      <c r="C15" s="103" t="s">
        <v>5285</v>
      </c>
      <c r="D15" s="104">
        <v>10.0</v>
      </c>
      <c r="E15" s="104">
        <v>95.0</v>
      </c>
      <c r="F15" s="104">
        <v>38.0</v>
      </c>
      <c r="G15" s="104">
        <v>78.0</v>
      </c>
      <c r="H15" s="104">
        <v>146.0</v>
      </c>
      <c r="I15" s="104">
        <f>COUNTIF('Ordens de Serviço - 2023'!$N$2:$N$1984,C15)</f>
        <v>166</v>
      </c>
      <c r="J15" s="104" t="str">
        <f t="shared" si="1"/>
        <v>#REF!</v>
      </c>
      <c r="K15" s="93"/>
      <c r="L15" s="93"/>
      <c r="M15" s="93"/>
      <c r="N15" s="93"/>
      <c r="O15" s="93"/>
      <c r="P15" s="93"/>
      <c r="Q15" s="93"/>
      <c r="R15" s="93"/>
      <c r="S15" s="93"/>
      <c r="T15" s="93"/>
      <c r="U15" s="93"/>
      <c r="V15" s="95"/>
      <c r="W15" s="95"/>
      <c r="X15" s="95"/>
      <c r="Y15" s="95"/>
      <c r="Z15" s="95"/>
      <c r="AA15" s="95"/>
      <c r="AB15" s="97"/>
    </row>
    <row r="16">
      <c r="A16" s="94"/>
      <c r="B16" s="93"/>
      <c r="C16" s="103" t="s">
        <v>5286</v>
      </c>
      <c r="D16" s="104">
        <v>11.0</v>
      </c>
      <c r="E16" s="104">
        <v>122.0</v>
      </c>
      <c r="F16" s="104">
        <v>32.0</v>
      </c>
      <c r="G16" s="104">
        <v>95.0</v>
      </c>
      <c r="H16" s="104">
        <v>189.0</v>
      </c>
      <c r="I16" s="104">
        <f>COUNTIF('Ordens de Serviço - 2023'!$N$2:$N$1984,C16)</f>
        <v>170</v>
      </c>
      <c r="J16" s="104" t="str">
        <f t="shared" si="1"/>
        <v>#REF!</v>
      </c>
      <c r="K16" s="93"/>
      <c r="L16" s="93"/>
      <c r="M16" s="93"/>
      <c r="N16" s="93"/>
      <c r="O16" s="93"/>
      <c r="P16" s="93"/>
      <c r="Q16" s="93"/>
      <c r="R16" s="93"/>
      <c r="S16" s="93"/>
      <c r="T16" s="93"/>
      <c r="U16" s="93"/>
      <c r="V16" s="97"/>
      <c r="W16" s="97"/>
      <c r="X16" s="97"/>
      <c r="Y16" s="97"/>
      <c r="Z16" s="97"/>
      <c r="AA16" s="97"/>
      <c r="AB16" s="97"/>
    </row>
    <row r="17">
      <c r="A17" s="93"/>
      <c r="B17" s="93"/>
      <c r="C17" s="103" t="s">
        <v>5287</v>
      </c>
      <c r="D17" s="104">
        <v>12.0</v>
      </c>
      <c r="E17" s="104">
        <v>77.0</v>
      </c>
      <c r="F17" s="104">
        <v>12.0</v>
      </c>
      <c r="G17" s="104">
        <v>69.0</v>
      </c>
      <c r="H17" s="104">
        <v>139.0</v>
      </c>
      <c r="I17" s="104">
        <f>COUNTIF('Ordens de Serviço - 2023'!$N$2:$N$1984,C17)</f>
        <v>124</v>
      </c>
      <c r="J17" s="104" t="str">
        <f t="shared" si="1"/>
        <v>#REF!</v>
      </c>
      <c r="K17" s="93"/>
      <c r="L17" s="93"/>
      <c r="M17" s="93"/>
      <c r="N17" s="93"/>
      <c r="O17" s="93"/>
      <c r="P17" s="93"/>
      <c r="Q17" s="93"/>
      <c r="R17" s="93"/>
      <c r="S17" s="93"/>
      <c r="T17" s="93"/>
      <c r="U17" s="93"/>
      <c r="V17" s="93"/>
      <c r="W17" s="93"/>
      <c r="X17" s="93"/>
      <c r="Y17" s="93"/>
      <c r="Z17" s="93"/>
      <c r="AA17" s="93"/>
      <c r="AB17" s="93"/>
    </row>
    <row r="18">
      <c r="A18" s="97"/>
      <c r="B18" s="93"/>
      <c r="C18" s="103"/>
      <c r="D18" s="100" t="s">
        <v>5288</v>
      </c>
      <c r="E18" s="100">
        <f t="shared" ref="E18:G18" si="2">SUM(E6:E17)</f>
        <v>1268</v>
      </c>
      <c r="F18" s="100">
        <f t="shared" si="2"/>
        <v>500</v>
      </c>
      <c r="G18" s="100">
        <f t="shared" si="2"/>
        <v>628</v>
      </c>
      <c r="H18" s="100">
        <v>2016.0</v>
      </c>
      <c r="I18" s="100">
        <f t="shared" ref="I18:J18" si="3">SUM(I6:I17)</f>
        <v>1700</v>
      </c>
      <c r="J18" s="100" t="str">
        <f t="shared" si="3"/>
        <v>#REF!</v>
      </c>
      <c r="K18" s="93"/>
      <c r="L18" s="93"/>
      <c r="M18" s="93"/>
      <c r="N18" s="93"/>
      <c r="O18" s="93"/>
      <c r="P18" s="93"/>
      <c r="Q18" s="93"/>
      <c r="R18" s="93"/>
      <c r="S18" s="93"/>
      <c r="T18" s="93"/>
      <c r="U18" s="93"/>
      <c r="V18" s="93"/>
      <c r="W18" s="93"/>
      <c r="X18" s="93"/>
      <c r="Y18" s="93"/>
      <c r="Z18" s="93"/>
      <c r="AA18" s="93"/>
      <c r="AB18" s="93"/>
    </row>
    <row r="19">
      <c r="A19" s="97"/>
      <c r="B19" s="93"/>
      <c r="C19" s="93"/>
      <c r="D19" s="93"/>
      <c r="E19" s="93"/>
      <c r="F19" s="93"/>
      <c r="G19" s="93"/>
      <c r="H19" s="93"/>
      <c r="I19" s="93"/>
      <c r="J19" s="93"/>
      <c r="K19" s="93"/>
      <c r="L19" s="93"/>
      <c r="M19" s="93"/>
      <c r="N19" s="93"/>
      <c r="O19" s="93"/>
      <c r="P19" s="93"/>
      <c r="Q19" s="93"/>
      <c r="R19" s="93"/>
      <c r="S19" s="93"/>
      <c r="T19" s="93"/>
      <c r="U19" s="93"/>
      <c r="V19" s="93"/>
      <c r="W19" s="93"/>
      <c r="X19" s="93"/>
      <c r="Y19" s="93"/>
      <c r="Z19" s="93"/>
      <c r="AA19" s="93"/>
      <c r="AB19" s="93"/>
    </row>
    <row r="20">
      <c r="A20" s="97"/>
      <c r="B20" s="97"/>
      <c r="C20" s="97"/>
      <c r="D20" s="97"/>
      <c r="E20" s="97"/>
      <c r="F20" s="105"/>
      <c r="G20" s="97"/>
      <c r="H20" s="93"/>
      <c r="I20" s="93"/>
      <c r="J20" s="93"/>
      <c r="K20" s="93"/>
      <c r="L20" s="93"/>
      <c r="M20" s="93"/>
      <c r="N20" s="93"/>
      <c r="O20" s="93"/>
      <c r="P20" s="93"/>
      <c r="Q20" s="93"/>
      <c r="R20" s="93"/>
      <c r="S20" s="93"/>
      <c r="T20" s="93"/>
      <c r="U20" s="93"/>
      <c r="V20" s="93"/>
      <c r="W20" s="93"/>
      <c r="X20" s="93"/>
      <c r="Y20" s="93"/>
      <c r="Z20" s="93"/>
      <c r="AA20" s="93"/>
      <c r="AB20" s="93"/>
    </row>
    <row r="21" ht="15.75" customHeight="1">
      <c r="A21" s="97"/>
      <c r="B21" s="97"/>
      <c r="C21" s="97"/>
      <c r="D21" s="97"/>
      <c r="E21" s="97"/>
      <c r="F21" s="97"/>
      <c r="G21" s="97"/>
      <c r="H21" s="93"/>
      <c r="I21" s="93"/>
      <c r="L21" s="93"/>
      <c r="M21" s="93"/>
      <c r="N21" s="93"/>
      <c r="O21" s="93"/>
      <c r="P21" s="93"/>
      <c r="Q21" s="93"/>
      <c r="R21" s="93"/>
      <c r="S21" s="93"/>
      <c r="T21" s="93"/>
      <c r="U21" s="93"/>
      <c r="V21" s="93"/>
      <c r="W21" s="93"/>
      <c r="X21" s="93"/>
      <c r="Y21" s="93"/>
      <c r="Z21" s="93"/>
      <c r="AA21" s="93"/>
      <c r="AB21" s="93"/>
    </row>
    <row r="22" ht="14.25" customHeight="1">
      <c r="A22" s="97"/>
      <c r="B22" s="97"/>
      <c r="C22" s="97"/>
      <c r="D22" s="97"/>
      <c r="E22" s="97"/>
      <c r="F22" s="97"/>
      <c r="G22" s="97"/>
      <c r="H22" s="93"/>
      <c r="I22" s="93"/>
      <c r="L22" s="93"/>
      <c r="M22" s="93"/>
      <c r="N22" s="93"/>
      <c r="O22" s="93"/>
      <c r="P22" s="93"/>
      <c r="Q22" s="93"/>
      <c r="R22" s="93"/>
      <c r="S22" s="93"/>
      <c r="T22" s="93"/>
      <c r="U22" s="93"/>
      <c r="V22" s="93"/>
      <c r="W22" s="93"/>
      <c r="X22" s="93"/>
      <c r="Y22" s="93"/>
      <c r="Z22" s="93"/>
      <c r="AA22" s="93"/>
      <c r="AB22" s="93"/>
    </row>
    <row r="23" ht="15.75" customHeight="1">
      <c r="A23" s="97"/>
      <c r="B23" s="97"/>
      <c r="C23" s="97"/>
      <c r="D23" s="97"/>
      <c r="E23" s="97"/>
      <c r="F23" s="97"/>
      <c r="G23" s="97"/>
      <c r="H23" s="94"/>
      <c r="I23" s="93"/>
      <c r="L23" s="94"/>
      <c r="M23" s="94"/>
      <c r="N23" s="93"/>
      <c r="O23" s="93"/>
      <c r="P23" s="93"/>
      <c r="Q23" s="93"/>
      <c r="R23" s="93"/>
      <c r="S23" s="93"/>
      <c r="T23" s="93"/>
      <c r="U23" s="93"/>
      <c r="V23" s="93"/>
      <c r="W23" s="93"/>
      <c r="X23" s="93"/>
      <c r="Y23" s="93"/>
      <c r="Z23" s="93"/>
      <c r="AA23" s="93"/>
      <c r="AB23" s="93"/>
    </row>
    <row r="24" ht="15.75" customHeight="1">
      <c r="A24" s="97"/>
      <c r="B24" s="97"/>
      <c r="C24" s="97"/>
      <c r="D24" s="97"/>
      <c r="E24" s="97"/>
      <c r="F24" s="97"/>
      <c r="G24" s="97"/>
      <c r="H24" s="94"/>
      <c r="I24" s="94"/>
      <c r="J24" s="94"/>
      <c r="K24" s="94"/>
      <c r="L24" s="94"/>
      <c r="M24" s="94"/>
      <c r="N24" s="93"/>
      <c r="O24" s="93"/>
      <c r="P24" s="93"/>
      <c r="Q24" s="93"/>
      <c r="R24" s="93"/>
      <c r="S24" s="93"/>
      <c r="T24" s="93"/>
      <c r="U24" s="93"/>
      <c r="V24" s="93"/>
      <c r="W24" s="93"/>
      <c r="X24" s="93"/>
      <c r="Y24" s="93"/>
      <c r="Z24" s="93"/>
      <c r="AA24" s="93"/>
      <c r="AB24" s="93"/>
    </row>
    <row r="25" ht="15.75" customHeight="1">
      <c r="A25" s="97"/>
      <c r="B25" s="97"/>
      <c r="C25" s="97"/>
      <c r="D25" s="97"/>
      <c r="E25" s="97"/>
      <c r="F25" s="97"/>
      <c r="G25" s="97"/>
      <c r="H25" s="94"/>
      <c r="I25" s="94"/>
      <c r="J25" s="94"/>
      <c r="K25" s="94"/>
      <c r="L25" s="94"/>
      <c r="M25" s="94"/>
      <c r="N25" s="93"/>
      <c r="O25" s="93"/>
      <c r="P25" s="93"/>
      <c r="Q25" s="93"/>
      <c r="R25" s="93"/>
      <c r="S25" s="93"/>
      <c r="T25" s="93"/>
      <c r="U25" s="93"/>
      <c r="V25" s="93"/>
      <c r="W25" s="93"/>
      <c r="X25" s="93"/>
      <c r="Y25" s="93"/>
      <c r="Z25" s="93"/>
      <c r="AA25" s="93"/>
      <c r="AB25" s="93"/>
    </row>
    <row r="26" ht="15.75" customHeight="1">
      <c r="A26" s="97"/>
      <c r="B26" s="97"/>
      <c r="C26" s="97"/>
      <c r="D26" s="97"/>
      <c r="E26" s="97"/>
      <c r="F26" s="97"/>
      <c r="G26" s="97"/>
      <c r="H26" s="94"/>
      <c r="I26" s="94"/>
      <c r="J26" s="94"/>
      <c r="K26" s="94"/>
      <c r="L26" s="94"/>
      <c r="M26" s="94"/>
      <c r="N26" s="93"/>
      <c r="O26" s="93"/>
      <c r="P26" s="93"/>
      <c r="Q26" s="93"/>
      <c r="R26" s="93"/>
      <c r="S26" s="93"/>
      <c r="T26" s="93"/>
      <c r="U26" s="93"/>
      <c r="V26" s="93"/>
      <c r="W26" s="93"/>
      <c r="X26" s="93"/>
      <c r="Y26" s="93"/>
      <c r="Z26" s="93"/>
      <c r="AA26" s="93"/>
      <c r="AB26" s="93"/>
    </row>
    <row r="27" ht="15.75" customHeight="1">
      <c r="A27" s="97"/>
      <c r="B27" s="97"/>
      <c r="C27" s="97"/>
      <c r="D27" s="97"/>
      <c r="E27" s="97"/>
      <c r="F27" s="97"/>
      <c r="G27" s="97"/>
      <c r="H27" s="94"/>
      <c r="I27" s="94"/>
      <c r="J27" s="94"/>
      <c r="K27" s="94"/>
      <c r="L27" s="94"/>
      <c r="M27" s="93"/>
      <c r="N27" s="93"/>
      <c r="O27" s="93"/>
      <c r="P27" s="93"/>
      <c r="Q27" s="93"/>
      <c r="R27" s="93"/>
      <c r="S27" s="93"/>
      <c r="T27" s="93"/>
      <c r="U27" s="93"/>
      <c r="V27" s="93"/>
      <c r="W27" s="93"/>
      <c r="X27" s="93"/>
      <c r="Y27" s="93"/>
      <c r="Z27" s="93"/>
      <c r="AA27" s="93"/>
      <c r="AB27" s="93"/>
    </row>
    <row r="28" ht="15.75" customHeight="1">
      <c r="A28" s="97"/>
      <c r="B28" s="97"/>
      <c r="C28" s="97"/>
      <c r="D28" s="97"/>
      <c r="E28" s="97"/>
      <c r="F28" s="97"/>
      <c r="G28" s="97"/>
      <c r="H28" s="94"/>
      <c r="I28" s="94"/>
      <c r="J28" s="94"/>
      <c r="K28" s="94"/>
      <c r="L28" s="94"/>
      <c r="M28" s="93"/>
      <c r="N28" s="93"/>
      <c r="O28" s="93"/>
      <c r="P28" s="93"/>
      <c r="Q28" s="93"/>
      <c r="R28" s="93"/>
      <c r="S28" s="93"/>
      <c r="T28" s="93"/>
      <c r="U28" s="93"/>
      <c r="V28" s="93"/>
      <c r="W28" s="93"/>
      <c r="X28" s="93"/>
      <c r="Y28" s="93"/>
      <c r="Z28" s="93"/>
      <c r="AA28" s="93"/>
      <c r="AB28" s="93"/>
    </row>
    <row r="29" ht="14.25" customHeight="1">
      <c r="A29" s="97"/>
      <c r="B29" s="97"/>
      <c r="C29" s="97"/>
      <c r="D29" s="97"/>
      <c r="E29" s="97"/>
      <c r="F29" s="97"/>
      <c r="G29" s="97"/>
      <c r="H29" s="94"/>
      <c r="I29" s="94"/>
      <c r="J29" s="94"/>
      <c r="K29" s="94"/>
      <c r="L29" s="94"/>
      <c r="M29" s="93"/>
      <c r="N29" s="93"/>
      <c r="O29" s="93"/>
      <c r="P29" s="93"/>
      <c r="Q29" s="93"/>
      <c r="R29" s="93"/>
      <c r="S29" s="93"/>
      <c r="T29" s="93"/>
      <c r="U29" s="93"/>
      <c r="V29" s="93"/>
      <c r="W29" s="93"/>
      <c r="X29" s="93"/>
      <c r="Y29" s="93"/>
      <c r="Z29" s="93"/>
      <c r="AA29" s="93"/>
      <c r="AB29" s="93"/>
    </row>
    <row r="30" ht="14.25" customHeight="1">
      <c r="A30" s="97"/>
      <c r="B30" s="97"/>
      <c r="C30" s="97"/>
      <c r="D30" s="97"/>
      <c r="E30" s="97"/>
      <c r="F30" s="97"/>
      <c r="G30" s="97"/>
      <c r="H30" s="94"/>
      <c r="I30" s="94"/>
      <c r="J30" s="94"/>
      <c r="K30" s="94"/>
      <c r="L30" s="94"/>
      <c r="M30" s="93"/>
      <c r="N30" s="93"/>
      <c r="O30" s="93"/>
      <c r="P30" s="93"/>
      <c r="Q30" s="93"/>
      <c r="R30" s="93"/>
      <c r="S30" s="93"/>
      <c r="T30" s="93"/>
      <c r="U30" s="93"/>
      <c r="V30" s="93"/>
      <c r="W30" s="93"/>
      <c r="X30" s="93"/>
      <c r="Y30" s="93"/>
      <c r="Z30" s="93"/>
      <c r="AA30" s="93"/>
      <c r="AB30" s="93"/>
    </row>
    <row r="31" ht="14.25" customHeight="1">
      <c r="A31" s="97"/>
      <c r="B31" s="97"/>
      <c r="C31" s="97"/>
      <c r="D31" s="97"/>
      <c r="E31" s="97"/>
      <c r="F31" s="97"/>
      <c r="G31" s="97"/>
      <c r="H31" s="93"/>
      <c r="I31" s="94"/>
      <c r="J31" s="94"/>
      <c r="K31" s="94"/>
      <c r="L31" s="94"/>
      <c r="M31" s="93"/>
      <c r="N31" s="93"/>
      <c r="O31" s="93"/>
      <c r="P31" s="93"/>
      <c r="Q31" s="93"/>
      <c r="R31" s="93"/>
      <c r="S31" s="93"/>
      <c r="T31" s="93"/>
      <c r="U31" s="93"/>
      <c r="V31" s="93"/>
      <c r="W31" s="93"/>
      <c r="X31" s="93"/>
      <c r="Y31" s="93"/>
      <c r="Z31" s="93"/>
      <c r="AA31" s="93"/>
      <c r="AB31" s="93"/>
    </row>
    <row r="32" ht="14.25" customHeight="1">
      <c r="A32" s="97"/>
      <c r="B32" s="97"/>
      <c r="C32" s="97"/>
      <c r="D32" s="97"/>
      <c r="E32" s="97"/>
      <c r="F32" s="97"/>
      <c r="G32" s="97"/>
      <c r="H32" s="93"/>
      <c r="I32" s="94"/>
      <c r="J32" s="94"/>
      <c r="K32" s="94"/>
      <c r="L32" s="94"/>
      <c r="M32" s="93"/>
      <c r="N32" s="93"/>
      <c r="O32" s="93"/>
      <c r="P32" s="93"/>
      <c r="Q32" s="93"/>
      <c r="R32" s="93"/>
      <c r="S32" s="93"/>
      <c r="T32" s="93"/>
      <c r="U32" s="93"/>
      <c r="V32" s="93"/>
      <c r="W32" s="93"/>
      <c r="X32" s="93"/>
      <c r="Y32" s="93"/>
      <c r="Z32" s="93"/>
      <c r="AA32" s="93"/>
      <c r="AB32" s="93"/>
    </row>
    <row r="33" ht="14.25" customHeight="1">
      <c r="A33" s="97"/>
      <c r="B33" s="95"/>
      <c r="C33" s="95"/>
      <c r="D33" s="95"/>
      <c r="E33" s="95"/>
      <c r="F33" s="95"/>
      <c r="G33" s="97"/>
      <c r="H33" s="93"/>
      <c r="I33" s="94"/>
      <c r="J33" s="94"/>
      <c r="K33" s="94"/>
      <c r="L33" s="94"/>
      <c r="M33" s="93"/>
      <c r="N33" s="93"/>
      <c r="O33" s="93"/>
      <c r="P33" s="93"/>
      <c r="Q33" s="93"/>
      <c r="R33" s="93"/>
      <c r="S33" s="93"/>
      <c r="T33" s="93"/>
      <c r="U33" s="93"/>
      <c r="V33" s="93"/>
      <c r="W33" s="93"/>
      <c r="X33" s="93"/>
      <c r="Y33" s="93"/>
      <c r="Z33" s="93"/>
      <c r="AA33" s="93"/>
      <c r="AB33" s="93"/>
    </row>
    <row r="34" ht="26.25" customHeight="1">
      <c r="A34" s="97"/>
      <c r="B34" s="97"/>
      <c r="C34" s="97"/>
      <c r="D34" s="97"/>
      <c r="E34" s="97"/>
      <c r="F34" s="106" t="s">
        <v>5289</v>
      </c>
      <c r="U34" s="93"/>
      <c r="V34" s="93"/>
      <c r="W34" s="93"/>
      <c r="X34" s="93"/>
      <c r="Y34" s="93"/>
      <c r="Z34" s="93"/>
      <c r="AA34" s="93"/>
      <c r="AB34" s="93"/>
    </row>
    <row r="35" ht="14.25" customHeight="1">
      <c r="A35" s="97"/>
      <c r="B35" s="97"/>
      <c r="C35" s="97"/>
      <c r="D35" s="97"/>
      <c r="E35" s="97"/>
      <c r="F35" s="97"/>
      <c r="G35" s="97"/>
      <c r="H35" s="93"/>
      <c r="I35" s="94"/>
      <c r="J35" s="94"/>
      <c r="K35" s="94"/>
      <c r="L35" s="94"/>
      <c r="M35" s="93"/>
      <c r="N35" s="93"/>
      <c r="O35" s="93"/>
      <c r="P35" s="93"/>
      <c r="Q35" s="93"/>
      <c r="R35" s="93"/>
      <c r="S35" s="93"/>
      <c r="T35" s="93"/>
      <c r="U35" s="93"/>
      <c r="V35" s="93"/>
      <c r="W35" s="93"/>
      <c r="X35" s="93"/>
      <c r="Y35" s="93"/>
      <c r="Z35" s="93"/>
      <c r="AA35" s="93"/>
      <c r="AB35" s="93"/>
    </row>
    <row r="36" ht="14.25" customHeight="1">
      <c r="A36" s="97"/>
      <c r="B36" s="97"/>
      <c r="C36" s="97"/>
      <c r="D36" s="97"/>
      <c r="E36" s="97"/>
      <c r="F36" s="97"/>
      <c r="G36" s="97"/>
      <c r="H36" s="93"/>
      <c r="I36" s="94"/>
      <c r="J36" s="94"/>
      <c r="K36" s="94"/>
      <c r="L36" s="94"/>
      <c r="M36" s="93"/>
      <c r="N36" s="93"/>
      <c r="O36" s="93"/>
      <c r="P36" s="93"/>
      <c r="Q36" s="93"/>
      <c r="R36" s="93"/>
      <c r="S36" s="93"/>
      <c r="T36" s="93"/>
      <c r="U36" s="93"/>
      <c r="V36" s="93"/>
      <c r="W36" s="93"/>
      <c r="X36" s="93"/>
      <c r="Y36" s="93"/>
      <c r="Z36" s="93"/>
      <c r="AA36" s="93"/>
      <c r="AB36" s="93"/>
    </row>
    <row r="37" ht="14.25" customHeight="1">
      <c r="A37" s="93"/>
      <c r="B37" s="93"/>
      <c r="C37" s="93"/>
      <c r="D37" s="107" t="s">
        <v>5290</v>
      </c>
      <c r="E37" s="107" t="s">
        <v>5291</v>
      </c>
      <c r="F37" s="107" t="s">
        <v>5292</v>
      </c>
      <c r="G37" s="93"/>
      <c r="H37" s="93"/>
      <c r="I37" s="94"/>
      <c r="J37" s="94"/>
      <c r="K37" s="94"/>
      <c r="L37" s="94"/>
      <c r="M37" s="93"/>
      <c r="N37" s="93"/>
      <c r="O37" s="93"/>
      <c r="P37" s="93"/>
      <c r="Q37" s="93"/>
      <c r="R37" s="93"/>
      <c r="S37" s="93"/>
      <c r="T37" s="93"/>
      <c r="U37" s="93"/>
      <c r="V37" s="108"/>
      <c r="W37" s="93"/>
      <c r="X37" s="93"/>
      <c r="Y37" s="93"/>
      <c r="Z37" s="93"/>
      <c r="AA37" s="93"/>
      <c r="AB37" s="93"/>
    </row>
    <row r="38" ht="14.25" customHeight="1">
      <c r="A38" s="93"/>
      <c r="B38" s="93"/>
      <c r="C38" s="93"/>
      <c r="D38" s="109" t="s">
        <v>61</v>
      </c>
      <c r="E38" s="110">
        <f>166+7</f>
        <v>173</v>
      </c>
      <c r="F38" s="111">
        <f t="shared" ref="F38:F66" si="4">E38/$E$67</f>
        <v>0.1353677621</v>
      </c>
      <c r="G38" s="93"/>
      <c r="H38" s="93"/>
      <c r="I38" s="94"/>
      <c r="J38" s="94"/>
      <c r="K38" s="94"/>
      <c r="L38" s="94"/>
      <c r="M38" s="93"/>
      <c r="N38" s="93"/>
      <c r="O38" s="93"/>
      <c r="P38" s="93"/>
      <c r="Q38" s="93"/>
      <c r="R38" s="93"/>
      <c r="S38" s="93"/>
      <c r="T38" s="93"/>
      <c r="U38" s="93"/>
      <c r="V38" s="108"/>
      <c r="W38" s="93"/>
      <c r="X38" s="93"/>
      <c r="Y38" s="93"/>
      <c r="Z38" s="93"/>
      <c r="AA38" s="93"/>
      <c r="AB38" s="93"/>
    </row>
    <row r="39" ht="14.25" customHeight="1">
      <c r="A39" s="93"/>
      <c r="B39" s="93"/>
      <c r="C39" s="93"/>
      <c r="D39" s="109" t="s">
        <v>5293</v>
      </c>
      <c r="E39" s="112">
        <v>119.0</v>
      </c>
      <c r="F39" s="111">
        <f t="shared" si="4"/>
        <v>0.093114241</v>
      </c>
      <c r="G39" s="93"/>
      <c r="H39" s="93"/>
      <c r="I39" s="94"/>
      <c r="J39" s="94"/>
      <c r="K39" s="94"/>
      <c r="L39" s="94"/>
      <c r="M39" s="93"/>
      <c r="N39" s="93"/>
      <c r="O39" s="93"/>
      <c r="P39" s="93"/>
      <c r="Q39" s="93"/>
      <c r="R39" s="93"/>
      <c r="S39" s="93"/>
      <c r="T39" s="93"/>
      <c r="U39" s="93"/>
      <c r="V39" s="108"/>
      <c r="W39" s="93"/>
      <c r="X39" s="93"/>
      <c r="Y39" s="93"/>
      <c r="Z39" s="93"/>
      <c r="AA39" s="93"/>
      <c r="AB39" s="93"/>
    </row>
    <row r="40" ht="15.75" customHeight="1">
      <c r="A40" s="93"/>
      <c r="B40" s="93"/>
      <c r="C40" s="93"/>
      <c r="D40" s="109" t="s">
        <v>42</v>
      </c>
      <c r="E40" s="112">
        <v>76.0</v>
      </c>
      <c r="F40" s="111">
        <f t="shared" si="4"/>
        <v>0.05946791862</v>
      </c>
      <c r="G40" s="93"/>
      <c r="H40" s="93"/>
      <c r="I40" s="94"/>
      <c r="J40" s="94"/>
      <c r="K40" s="94"/>
      <c r="L40" s="94"/>
      <c r="M40" s="93"/>
      <c r="N40" s="93"/>
      <c r="O40" s="93"/>
      <c r="P40" s="93"/>
      <c r="Q40" s="93"/>
      <c r="R40" s="93"/>
      <c r="S40" s="93"/>
      <c r="T40" s="93"/>
      <c r="U40" s="93"/>
      <c r="V40" s="108"/>
      <c r="W40" s="93"/>
      <c r="X40" s="93"/>
      <c r="Y40" s="93"/>
      <c r="Z40" s="93"/>
      <c r="AA40" s="93"/>
      <c r="AB40" s="93"/>
    </row>
    <row r="41" ht="15.75" customHeight="1">
      <c r="A41" s="93"/>
      <c r="B41" s="93"/>
      <c r="C41" s="93"/>
      <c r="D41" s="109" t="s">
        <v>347</v>
      </c>
      <c r="E41" s="112">
        <v>73.0</v>
      </c>
      <c r="F41" s="111">
        <f t="shared" si="4"/>
        <v>0.05712050078</v>
      </c>
      <c r="G41" s="93"/>
      <c r="H41" s="93"/>
      <c r="I41" s="94"/>
      <c r="J41" s="94"/>
      <c r="K41" s="94"/>
      <c r="L41" s="94"/>
      <c r="M41" s="93"/>
      <c r="N41" s="93"/>
      <c r="O41" s="93"/>
      <c r="P41" s="93"/>
      <c r="Q41" s="93"/>
      <c r="R41" s="93"/>
      <c r="S41" s="93"/>
      <c r="T41" s="93"/>
      <c r="U41" s="93"/>
      <c r="V41" s="108"/>
      <c r="W41" s="93"/>
      <c r="X41" s="93"/>
      <c r="Y41" s="93"/>
      <c r="Z41" s="93"/>
      <c r="AA41" s="93"/>
      <c r="AB41" s="93"/>
    </row>
    <row r="42" ht="15.75" customHeight="1">
      <c r="A42" s="93"/>
      <c r="B42" s="93"/>
      <c r="C42" s="93"/>
      <c r="D42" s="109" t="s">
        <v>100</v>
      </c>
      <c r="E42" s="112">
        <v>72.0</v>
      </c>
      <c r="F42" s="111">
        <f t="shared" si="4"/>
        <v>0.05633802817</v>
      </c>
      <c r="G42" s="93"/>
      <c r="H42" s="93"/>
      <c r="I42" s="94"/>
      <c r="J42" s="94"/>
      <c r="K42" s="94"/>
      <c r="L42" s="94"/>
      <c r="M42" s="93"/>
      <c r="N42" s="93"/>
      <c r="O42" s="93"/>
      <c r="P42" s="93"/>
      <c r="Q42" s="93"/>
      <c r="R42" s="93"/>
      <c r="S42" s="93"/>
      <c r="T42" s="93"/>
      <c r="U42" s="93"/>
      <c r="V42" s="108"/>
      <c r="W42" s="93"/>
      <c r="X42" s="93"/>
      <c r="Y42" s="93"/>
      <c r="Z42" s="93"/>
      <c r="AA42" s="93"/>
      <c r="AB42" s="93"/>
    </row>
    <row r="43" ht="15.75" customHeight="1">
      <c r="A43" s="93"/>
      <c r="B43" s="93"/>
      <c r="C43" s="93"/>
      <c r="D43" s="109" t="s">
        <v>86</v>
      </c>
      <c r="E43" s="110">
        <v>70.0</v>
      </c>
      <c r="F43" s="111">
        <f t="shared" si="4"/>
        <v>0.05477308294</v>
      </c>
      <c r="G43" s="93"/>
      <c r="H43" s="93"/>
      <c r="I43" s="94"/>
      <c r="J43" s="94"/>
      <c r="K43" s="94"/>
      <c r="L43" s="94"/>
      <c r="M43" s="93"/>
      <c r="N43" s="93"/>
      <c r="O43" s="93"/>
      <c r="P43" s="93"/>
      <c r="Q43" s="93"/>
      <c r="R43" s="93"/>
      <c r="S43" s="93"/>
      <c r="T43" s="93"/>
      <c r="U43" s="93"/>
      <c r="V43" s="108"/>
      <c r="W43" s="93"/>
      <c r="X43" s="93"/>
      <c r="Y43" s="93"/>
      <c r="Z43" s="93"/>
      <c r="AA43" s="93"/>
      <c r="AB43" s="93"/>
    </row>
    <row r="44" ht="15.75" customHeight="1">
      <c r="A44" s="93"/>
      <c r="B44" s="93"/>
      <c r="C44" s="93"/>
      <c r="D44" s="109" t="s">
        <v>5294</v>
      </c>
      <c r="E44" s="110">
        <v>68.0</v>
      </c>
      <c r="F44" s="111">
        <f t="shared" si="4"/>
        <v>0.05320813772</v>
      </c>
      <c r="G44" s="93"/>
      <c r="H44" s="93"/>
      <c r="I44" s="94"/>
      <c r="J44" s="94"/>
      <c r="K44" s="94"/>
      <c r="L44" s="94"/>
      <c r="M44" s="93"/>
      <c r="N44" s="93"/>
      <c r="O44" s="93"/>
      <c r="P44" s="93"/>
      <c r="Q44" s="93"/>
      <c r="R44" s="93"/>
      <c r="S44" s="93"/>
      <c r="T44" s="93"/>
      <c r="U44" s="93"/>
      <c r="V44" s="108"/>
      <c r="W44" s="93"/>
      <c r="X44" s="93"/>
      <c r="Y44" s="93"/>
      <c r="Z44" s="93"/>
      <c r="AA44" s="93"/>
      <c r="AB44" s="93"/>
    </row>
    <row r="45" ht="15.75" customHeight="1">
      <c r="A45" s="93"/>
      <c r="B45" s="93"/>
      <c r="C45" s="93"/>
      <c r="D45" s="109" t="s">
        <v>2341</v>
      </c>
      <c r="E45" s="110">
        <v>58.0</v>
      </c>
      <c r="F45" s="111">
        <f t="shared" si="4"/>
        <v>0.04538341158</v>
      </c>
      <c r="G45" s="93"/>
      <c r="H45" s="93"/>
      <c r="I45" s="94"/>
      <c r="J45" s="94"/>
      <c r="K45" s="94"/>
      <c r="L45" s="94"/>
      <c r="M45" s="93"/>
      <c r="N45" s="93"/>
      <c r="O45" s="93"/>
      <c r="P45" s="93"/>
      <c r="Q45" s="93"/>
      <c r="R45" s="93"/>
      <c r="S45" s="93"/>
      <c r="T45" s="93"/>
      <c r="U45" s="93"/>
      <c r="V45" s="108"/>
      <c r="W45" s="93"/>
      <c r="X45" s="93"/>
      <c r="Y45" s="93"/>
      <c r="Z45" s="93"/>
      <c r="AA45" s="93"/>
      <c r="AB45" s="93"/>
    </row>
    <row r="46" ht="15.75" customHeight="1">
      <c r="A46" s="93"/>
      <c r="B46" s="93"/>
      <c r="C46" s="93"/>
      <c r="D46" s="109" t="s">
        <v>35</v>
      </c>
      <c r="E46" s="110">
        <v>54.0</v>
      </c>
      <c r="F46" s="111">
        <f t="shared" si="4"/>
        <v>0.04225352113</v>
      </c>
      <c r="G46" s="93"/>
      <c r="H46" s="93"/>
      <c r="I46" s="94"/>
      <c r="J46" s="94"/>
      <c r="K46" s="94"/>
      <c r="L46" s="94"/>
      <c r="M46" s="93"/>
      <c r="N46" s="93"/>
      <c r="O46" s="93"/>
      <c r="P46" s="93"/>
      <c r="Q46" s="93"/>
      <c r="R46" s="93"/>
      <c r="S46" s="93"/>
      <c r="T46" s="93"/>
      <c r="U46" s="93"/>
      <c r="V46" s="108"/>
      <c r="W46" s="93"/>
      <c r="X46" s="93"/>
      <c r="Y46" s="93"/>
      <c r="Z46" s="93"/>
      <c r="AA46" s="93"/>
      <c r="AB46" s="93"/>
    </row>
    <row r="47" ht="15.75" customHeight="1">
      <c r="A47" s="93"/>
      <c r="B47" s="93"/>
      <c r="C47" s="93"/>
      <c r="D47" s="109" t="s">
        <v>3562</v>
      </c>
      <c r="E47" s="110">
        <v>54.0</v>
      </c>
      <c r="F47" s="111">
        <f t="shared" si="4"/>
        <v>0.04225352113</v>
      </c>
      <c r="G47" s="93"/>
      <c r="H47" s="93"/>
      <c r="I47" s="94"/>
      <c r="J47" s="94"/>
      <c r="K47" s="94"/>
      <c r="L47" s="94"/>
      <c r="M47" s="93"/>
      <c r="N47" s="93"/>
      <c r="O47" s="93"/>
      <c r="P47" s="93"/>
      <c r="Q47" s="93"/>
      <c r="R47" s="93"/>
      <c r="S47" s="93"/>
      <c r="T47" s="93"/>
      <c r="U47" s="93"/>
      <c r="V47" s="108"/>
      <c r="W47" s="93"/>
      <c r="X47" s="93"/>
      <c r="Y47" s="93"/>
      <c r="Z47" s="93"/>
      <c r="AA47" s="93"/>
      <c r="AB47" s="93"/>
    </row>
    <row r="48" ht="15.75" customHeight="1">
      <c r="A48" s="93"/>
      <c r="B48" s="93"/>
      <c r="C48" s="93"/>
      <c r="D48" s="109" t="s">
        <v>188</v>
      </c>
      <c r="E48" s="110">
        <v>53.0</v>
      </c>
      <c r="F48" s="111">
        <f t="shared" si="4"/>
        <v>0.04147104851</v>
      </c>
      <c r="G48" s="93"/>
      <c r="H48" s="93"/>
      <c r="I48" s="94"/>
      <c r="J48" s="94"/>
      <c r="K48" s="94"/>
      <c r="L48" s="94"/>
      <c r="M48" s="93"/>
      <c r="N48" s="93"/>
      <c r="O48" s="93"/>
      <c r="P48" s="93"/>
      <c r="Q48" s="93"/>
      <c r="R48" s="93"/>
      <c r="S48" s="93"/>
      <c r="T48" s="93"/>
      <c r="U48" s="93"/>
      <c r="V48" s="108"/>
      <c r="W48" s="93"/>
      <c r="X48" s="93"/>
      <c r="Y48" s="93"/>
      <c r="Z48" s="93"/>
      <c r="AA48" s="93"/>
      <c r="AB48" s="93"/>
    </row>
    <row r="49" ht="15.75" customHeight="1">
      <c r="A49" s="93"/>
      <c r="B49" s="93"/>
      <c r="C49" s="93"/>
      <c r="D49" s="109" t="s">
        <v>49</v>
      </c>
      <c r="E49" s="110">
        <v>48.0</v>
      </c>
      <c r="F49" s="111">
        <f t="shared" si="4"/>
        <v>0.03755868545</v>
      </c>
      <c r="G49" s="93"/>
      <c r="H49" s="93"/>
      <c r="I49" s="94"/>
      <c r="J49" s="94"/>
      <c r="K49" s="94"/>
      <c r="L49" s="94"/>
      <c r="M49" s="93"/>
      <c r="N49" s="93"/>
      <c r="O49" s="93"/>
      <c r="P49" s="93"/>
      <c r="Q49" s="93"/>
      <c r="R49" s="93"/>
      <c r="S49" s="93"/>
      <c r="T49" s="93"/>
      <c r="U49" s="93"/>
      <c r="V49" s="108"/>
      <c r="W49" s="93"/>
      <c r="X49" s="93"/>
      <c r="Y49" s="93"/>
      <c r="Z49" s="93"/>
      <c r="AA49" s="93"/>
      <c r="AB49" s="93"/>
    </row>
    <row r="50" ht="15.75" customHeight="1">
      <c r="A50" s="93"/>
      <c r="B50" s="93"/>
      <c r="C50" s="93"/>
      <c r="D50" s="109" t="s">
        <v>2814</v>
      </c>
      <c r="E50" s="110">
        <v>47.0</v>
      </c>
      <c r="F50" s="111">
        <f t="shared" si="4"/>
        <v>0.03677621283</v>
      </c>
      <c r="G50" s="93"/>
      <c r="H50" s="93"/>
      <c r="I50" s="94"/>
      <c r="J50" s="94"/>
      <c r="K50" s="94"/>
      <c r="L50" s="94"/>
      <c r="M50" s="93"/>
      <c r="N50" s="93"/>
      <c r="O50" s="93"/>
      <c r="P50" s="93"/>
      <c r="Q50" s="93"/>
      <c r="R50" s="93"/>
      <c r="S50" s="93"/>
      <c r="T50" s="93"/>
      <c r="U50" s="93"/>
      <c r="V50" s="108"/>
      <c r="W50" s="93"/>
      <c r="X50" s="93"/>
      <c r="Y50" s="93"/>
      <c r="Z50" s="93"/>
      <c r="AA50" s="93"/>
      <c r="AB50" s="93"/>
    </row>
    <row r="51" ht="15.75" customHeight="1">
      <c r="A51" s="93"/>
      <c r="B51" s="93"/>
      <c r="C51" s="93"/>
      <c r="D51" s="109" t="s">
        <v>2593</v>
      </c>
      <c r="E51" s="110">
        <v>36.0</v>
      </c>
      <c r="F51" s="111">
        <f t="shared" si="4"/>
        <v>0.02816901408</v>
      </c>
      <c r="G51" s="93"/>
      <c r="H51" s="93"/>
      <c r="I51" s="94"/>
      <c r="J51" s="94"/>
      <c r="K51" s="94"/>
      <c r="L51" s="94"/>
      <c r="M51" s="93"/>
      <c r="N51" s="93"/>
      <c r="O51" s="93"/>
      <c r="P51" s="93"/>
      <c r="Q51" s="93"/>
      <c r="R51" s="93"/>
      <c r="S51" s="93"/>
      <c r="T51" s="93"/>
      <c r="U51" s="93"/>
      <c r="V51" s="108"/>
      <c r="W51" s="93"/>
      <c r="X51" s="93"/>
      <c r="Y51" s="93"/>
      <c r="Z51" s="93"/>
      <c r="AA51" s="93"/>
      <c r="AB51" s="93"/>
    </row>
    <row r="52" ht="15.75" customHeight="1">
      <c r="A52" s="93"/>
      <c r="B52" s="93"/>
      <c r="C52" s="93"/>
      <c r="D52" s="109" t="s">
        <v>178</v>
      </c>
      <c r="E52" s="110">
        <v>35.0</v>
      </c>
      <c r="F52" s="111">
        <f t="shared" si="4"/>
        <v>0.02738654147</v>
      </c>
      <c r="G52" s="93"/>
      <c r="H52" s="93"/>
      <c r="I52" s="94"/>
      <c r="J52" s="94"/>
      <c r="K52" s="94"/>
      <c r="L52" s="94"/>
      <c r="M52" s="93"/>
      <c r="N52" s="93"/>
      <c r="O52" s="93"/>
      <c r="P52" s="93"/>
      <c r="Q52" s="93"/>
      <c r="R52" s="93"/>
      <c r="S52" s="93"/>
      <c r="T52" s="93"/>
      <c r="U52" s="93"/>
      <c r="V52" s="108"/>
      <c r="W52" s="93"/>
      <c r="X52" s="93"/>
      <c r="Y52" s="93"/>
      <c r="Z52" s="93"/>
      <c r="AA52" s="93"/>
      <c r="AB52" s="93"/>
    </row>
    <row r="53" ht="15.75" customHeight="1">
      <c r="A53" s="93"/>
      <c r="B53" s="93"/>
      <c r="C53" s="93"/>
      <c r="D53" s="109" t="s">
        <v>393</v>
      </c>
      <c r="E53" s="110">
        <v>34.0</v>
      </c>
      <c r="F53" s="111">
        <f t="shared" si="4"/>
        <v>0.02660406886</v>
      </c>
      <c r="G53" s="93"/>
      <c r="H53" s="93"/>
      <c r="I53" s="94"/>
      <c r="J53" s="94"/>
      <c r="K53" s="94"/>
      <c r="L53" s="94"/>
      <c r="M53" s="93"/>
      <c r="N53" s="93"/>
      <c r="O53" s="93"/>
      <c r="P53" s="93"/>
      <c r="Q53" s="93"/>
      <c r="R53" s="93"/>
      <c r="S53" s="93"/>
      <c r="T53" s="93"/>
      <c r="U53" s="93"/>
      <c r="V53" s="108"/>
      <c r="W53" s="93"/>
      <c r="X53" s="93"/>
      <c r="Y53" s="93"/>
      <c r="Z53" s="93"/>
      <c r="AA53" s="93"/>
      <c r="AB53" s="93"/>
    </row>
    <row r="54" ht="15.75" customHeight="1">
      <c r="A54" s="93"/>
      <c r="B54" s="93"/>
      <c r="C54" s="93"/>
      <c r="D54" s="109" t="s">
        <v>55</v>
      </c>
      <c r="E54" s="110">
        <v>32.0</v>
      </c>
      <c r="F54" s="111">
        <f t="shared" si="4"/>
        <v>0.02503912363</v>
      </c>
      <c r="G54" s="93"/>
      <c r="H54" s="93"/>
      <c r="I54" s="94"/>
      <c r="J54" s="94"/>
      <c r="K54" s="94"/>
      <c r="L54" s="94"/>
      <c r="M54" s="93"/>
      <c r="N54" s="93"/>
      <c r="O54" s="93"/>
      <c r="P54" s="93"/>
      <c r="Q54" s="93"/>
      <c r="R54" s="93"/>
      <c r="S54" s="93"/>
      <c r="T54" s="93"/>
      <c r="U54" s="93"/>
      <c r="V54" s="108"/>
      <c r="W54" s="93"/>
      <c r="X54" s="93"/>
      <c r="Y54" s="93"/>
      <c r="Z54" s="93"/>
      <c r="AA54" s="93"/>
      <c r="AB54" s="93"/>
    </row>
    <row r="55" ht="15.75" customHeight="1">
      <c r="A55" s="93"/>
      <c r="B55" s="93"/>
      <c r="C55" s="93"/>
      <c r="D55" s="109" t="s">
        <v>121</v>
      </c>
      <c r="E55" s="110">
        <v>30.0</v>
      </c>
      <c r="F55" s="111">
        <f t="shared" si="4"/>
        <v>0.0234741784</v>
      </c>
      <c r="G55" s="93"/>
      <c r="H55" s="93"/>
      <c r="I55" s="94"/>
      <c r="J55" s="94"/>
      <c r="K55" s="94"/>
      <c r="L55" s="94"/>
      <c r="M55" s="93"/>
      <c r="N55" s="93"/>
      <c r="O55" s="93"/>
      <c r="P55" s="93"/>
      <c r="Q55" s="93"/>
      <c r="R55" s="93"/>
      <c r="S55" s="93"/>
      <c r="T55" s="93"/>
      <c r="U55" s="93"/>
      <c r="V55" s="108"/>
      <c r="W55" s="93"/>
      <c r="X55" s="93"/>
      <c r="Y55" s="93"/>
      <c r="Z55" s="93"/>
      <c r="AA55" s="93"/>
      <c r="AB55" s="93"/>
    </row>
    <row r="56" ht="15.75" customHeight="1">
      <c r="A56" s="93"/>
      <c r="B56" s="93"/>
      <c r="C56" s="93"/>
      <c r="D56" s="109" t="s">
        <v>22</v>
      </c>
      <c r="E56" s="110">
        <v>27.0</v>
      </c>
      <c r="F56" s="111">
        <f t="shared" si="4"/>
        <v>0.02112676056</v>
      </c>
      <c r="G56" s="93"/>
      <c r="H56" s="93"/>
      <c r="I56" s="94"/>
      <c r="J56" s="94"/>
      <c r="K56" s="94"/>
      <c r="L56" s="94"/>
      <c r="M56" s="113" t="s">
        <v>5295</v>
      </c>
      <c r="N56" s="114"/>
      <c r="O56" s="115" t="s">
        <v>2240</v>
      </c>
      <c r="P56" s="115" t="s">
        <v>5296</v>
      </c>
      <c r="Q56" s="115" t="s">
        <v>20</v>
      </c>
      <c r="R56" s="115" t="s">
        <v>4275</v>
      </c>
      <c r="S56" s="115" t="s">
        <v>738</v>
      </c>
      <c r="T56" s="115" t="s">
        <v>5297</v>
      </c>
      <c r="U56" s="115" t="s">
        <v>5298</v>
      </c>
      <c r="V56" s="116" t="s">
        <v>5299</v>
      </c>
      <c r="W56" s="93"/>
      <c r="X56" s="93"/>
      <c r="Y56" s="93"/>
      <c r="Z56" s="93"/>
      <c r="AA56" s="93"/>
      <c r="AB56" s="93"/>
    </row>
    <row r="57" ht="15.75" customHeight="1">
      <c r="A57" s="93"/>
      <c r="B57" s="93"/>
      <c r="C57" s="93"/>
      <c r="D57" s="109" t="s">
        <v>28</v>
      </c>
      <c r="E57" s="110">
        <v>17.0</v>
      </c>
      <c r="F57" s="111">
        <f t="shared" si="4"/>
        <v>0.01330203443</v>
      </c>
      <c r="G57" s="93"/>
      <c r="H57" s="93"/>
      <c r="I57" s="94"/>
      <c r="J57" s="94"/>
      <c r="K57" s="94"/>
      <c r="L57" s="94"/>
      <c r="M57" s="117" t="s">
        <v>79</v>
      </c>
      <c r="N57" s="118">
        <f>COUNTIF('Ordens de Serviço - 2023'!$H$2:$H$3001,M57)</f>
        <v>367</v>
      </c>
      <c r="O57" s="118">
        <f>COUNTIFS('Ordens de Serviço - 2023'!$L$2:$L$3001,$O$56,'Ordens de Serviço - 2023'!$H$2:$H$3001,M57)</f>
        <v>0</v>
      </c>
      <c r="P57" s="118">
        <f>COUNTIFS('Ordens de Serviço - 2023'!$L$2:$L$3001,$P$56,'Ordens de Serviço - 2023'!$H$2:$H$3001,M57)</f>
        <v>0</v>
      </c>
      <c r="Q57" s="118">
        <f>COUNTIFS('Ordens de Serviço - 2023'!$L$2:$L$3001,$Q$56,'Ordens de Serviço - 2023'!$H$2:$H$3001,M57)</f>
        <v>358</v>
      </c>
      <c r="R57" s="118">
        <f>COUNTIFS('Ordens de Serviço - 2023'!$L$2:$L$3001,$R$56,'Ordens de Serviço - 2023'!$H$2:$H$3001,M57)</f>
        <v>0</v>
      </c>
      <c r="S57" s="118">
        <f>COUNTIFS('Ordens de Serviço - 2023'!$L$2:$L$3001,$S$56,'Ordens de Serviço - 2023'!$H$2:$H$3001,M57)</f>
        <v>0</v>
      </c>
      <c r="T57" s="118">
        <f>COUNTIFS('Ordens de Serviço - 2023'!$L$2:$L$3001,$T$56,'Ordens de Serviço - 2023'!$H$2:$H$3001,M57)</f>
        <v>0</v>
      </c>
      <c r="U57" s="118">
        <f>COUNTIFS('Ordens de Serviço - 2023'!$L$2:$L$3001,$U$56,'Ordens de Serviço - 2023'!$H$2:$H$3001,M57)</f>
        <v>0</v>
      </c>
      <c r="V57" s="118">
        <f>COUNTIFS('Ordens de Serviço - 2023'!$L$2:$L$3001,$V$56,'Ordens de Serviço - 2023'!$H$2:$H$3001,M57)</f>
        <v>2</v>
      </c>
      <c r="W57" s="93"/>
      <c r="X57" s="93"/>
      <c r="Y57" s="93"/>
      <c r="Z57" s="93"/>
      <c r="AA57" s="93"/>
      <c r="AB57" s="93"/>
    </row>
    <row r="58" ht="15.75" customHeight="1">
      <c r="A58" s="93"/>
      <c r="B58" s="93"/>
      <c r="C58" s="93"/>
      <c r="D58" s="109" t="s">
        <v>5300</v>
      </c>
      <c r="E58" s="110">
        <v>15.0</v>
      </c>
      <c r="F58" s="111">
        <f t="shared" si="4"/>
        <v>0.0117370892</v>
      </c>
      <c r="G58" s="93"/>
      <c r="H58" s="93"/>
      <c r="I58" s="94"/>
      <c r="J58" s="94"/>
      <c r="K58" s="94"/>
      <c r="L58" s="94"/>
      <c r="M58" s="117" t="s">
        <v>1734</v>
      </c>
      <c r="N58" s="118">
        <f>COUNTIF('Ordens de Serviço - 2023'!$H$2:$H$3001,M58)</f>
        <v>522</v>
      </c>
      <c r="O58" s="118">
        <f>COUNTIFS('Ordens de Serviço - 2023'!$L$2:$L$3001,$O$56,'Ordens de Serviço - 2023'!$H$2:$H$3001,M58)</f>
        <v>0</v>
      </c>
      <c r="P58" s="118">
        <f>COUNTIFS('Ordens de Serviço - 2023'!$L$2:$L$3001,$P$56,'Ordens de Serviço - 2023'!$H$2:$H$3001,M58)</f>
        <v>0</v>
      </c>
      <c r="Q58" s="118">
        <f>COUNTIFS('Ordens de Serviço - 2023'!$L$2:$L$3001,$Q$56,'Ordens de Serviço - 2023'!$H$2:$H$3001,M58)</f>
        <v>493</v>
      </c>
      <c r="R58" s="118">
        <f>COUNTIFS('Ordens de Serviço - 2023'!$L$2:$L$3001,$R$56,'Ordens de Serviço - 2023'!$H$2:$H$3001,M58)</f>
        <v>0</v>
      </c>
      <c r="S58" s="118">
        <f>COUNTIFS('Ordens de Serviço - 2023'!$L$2:$L$3001,$S$56,'Ordens de Serviço - 2023'!$H$2:$H$3001,M58)</f>
        <v>3</v>
      </c>
      <c r="T58" s="118">
        <f>COUNTIFS('Ordens de Serviço - 2023'!$L$2:$L$3001,$T$56,'Ordens de Serviço - 2023'!$H$2:$H$3001,M58)</f>
        <v>0</v>
      </c>
      <c r="U58" s="118">
        <f>COUNTIFS('Ordens de Serviço - 2023'!$L$2:$L$3001,$U$56,'Ordens de Serviço - 2023'!$H$2:$H$3001,M58)</f>
        <v>0</v>
      </c>
      <c r="V58" s="118">
        <f>COUNTIFS('Ordens de Serviço - 2023'!$L$2:$L$3001,$V$56,'Ordens de Serviço - 2023'!$H$2:$H$3001,M58)</f>
        <v>0</v>
      </c>
      <c r="W58" s="93"/>
      <c r="X58" s="93"/>
      <c r="Y58" s="93"/>
      <c r="Z58" s="93"/>
      <c r="AA58" s="93"/>
      <c r="AB58" s="93"/>
    </row>
    <row r="59" ht="15.75" customHeight="1">
      <c r="A59" s="93"/>
      <c r="B59" s="93"/>
      <c r="C59" s="93"/>
      <c r="D59" s="109" t="s">
        <v>142</v>
      </c>
      <c r="E59" s="110">
        <v>14.0</v>
      </c>
      <c r="F59" s="111">
        <f t="shared" si="4"/>
        <v>0.01095461659</v>
      </c>
      <c r="G59" s="93"/>
      <c r="H59" s="93"/>
      <c r="I59" s="93"/>
      <c r="J59" s="93"/>
      <c r="K59" s="93"/>
      <c r="L59" s="93"/>
      <c r="M59" s="117" t="s">
        <v>18</v>
      </c>
      <c r="N59" s="118">
        <f>COUNTIF('Ordens de Serviço - 2023'!$H$2:$H$3001,M59)</f>
        <v>170</v>
      </c>
      <c r="O59" s="118">
        <f>COUNTIFS('Ordens de Serviço - 2023'!$L$2:$L$3001,$O$56,'Ordens de Serviço - 2023'!$H$2:$H$3001,M59)</f>
        <v>0</v>
      </c>
      <c r="P59" s="118">
        <f>COUNTIFS('Ordens de Serviço - 2023'!$L$2:$L$3001,$P$56,'Ordens de Serviço - 2023'!$H$2:$H$3001,M59)</f>
        <v>0</v>
      </c>
      <c r="Q59" s="118">
        <f>COUNTIFS('Ordens de Serviço - 2023'!$L$2:$L$3001,$Q$56,'Ordens de Serviço - 2023'!$H$2:$H$3001,M59)</f>
        <v>166</v>
      </c>
      <c r="R59" s="118">
        <f>COUNTIFS('Ordens de Serviço - 2023'!$L$2:$L$3001,$R$56,'Ordens de Serviço - 2023'!$H$2:$H$3001,M59)</f>
        <v>0</v>
      </c>
      <c r="S59" s="118">
        <f>COUNTIFS('Ordens de Serviço - 2023'!$L$2:$L$3001,$S$56,'Ordens de Serviço - 2023'!$H$2:$H$3001,M59)</f>
        <v>1</v>
      </c>
      <c r="T59" s="118">
        <f>COUNTIFS('Ordens de Serviço - 2023'!$L$2:$L$3001,$T$56,'Ordens de Serviço - 2023'!$H$2:$H$3001,M59)</f>
        <v>0</v>
      </c>
      <c r="U59" s="118">
        <f>COUNTIFS('Ordens de Serviço - 2023'!$L$2:$L$3001,$U$56,'Ordens de Serviço - 2023'!$H$2:$H$3001,M59)</f>
        <v>0</v>
      </c>
      <c r="V59" s="118">
        <f>COUNTIFS('Ordens de Serviço - 2023'!$L$2:$L$3001,$V$56,'Ordens de Serviço - 2023'!$H$2:$H$3001,M59)</f>
        <v>0</v>
      </c>
      <c r="W59" s="93"/>
      <c r="X59" s="93"/>
      <c r="Y59" s="93"/>
      <c r="Z59" s="93"/>
      <c r="AA59" s="93"/>
      <c r="AB59" s="93"/>
    </row>
    <row r="60" ht="15.75" customHeight="1">
      <c r="A60" s="93"/>
      <c r="B60" s="93"/>
      <c r="C60" s="93"/>
      <c r="D60" s="109" t="s">
        <v>5301</v>
      </c>
      <c r="E60" s="110">
        <v>13.0</v>
      </c>
      <c r="F60" s="111">
        <f t="shared" si="4"/>
        <v>0.01017214397</v>
      </c>
      <c r="G60" s="93"/>
      <c r="H60" s="93"/>
      <c r="I60" s="93"/>
      <c r="J60" s="93"/>
      <c r="K60" s="93"/>
      <c r="L60" s="93"/>
      <c r="M60" s="117" t="s">
        <v>764</v>
      </c>
      <c r="N60" s="118">
        <f>COUNTIF('Ordens de Serviço - 2023'!$H$2:$H$3001,M60)</f>
        <v>214</v>
      </c>
      <c r="O60" s="118">
        <f>COUNTIFS('Ordens de Serviço - 2023'!$L$2:$L$3001,$O$56,'Ordens de Serviço - 2023'!$H$2:$H$3001,M60)</f>
        <v>0</v>
      </c>
      <c r="P60" s="118">
        <f>COUNTIFS('Ordens de Serviço - 2023'!$L$2:$L$3001,$P$56,'Ordens de Serviço - 2023'!$H$2:$H$3001,M60)</f>
        <v>0</v>
      </c>
      <c r="Q60" s="118">
        <f>COUNTIFS('Ordens de Serviço - 2023'!$L$2:$L$3001,$Q$56,'Ordens de Serviço - 2023'!$H$2:$H$3001,M60)</f>
        <v>196</v>
      </c>
      <c r="R60" s="118">
        <f>COUNTIFS('Ordens de Serviço - 2023'!$L$2:$L$3001,$R$56,'Ordens de Serviço - 2023'!$H$2:$H$3001,M60)</f>
        <v>1</v>
      </c>
      <c r="S60" s="118">
        <f>COUNTIFS('Ordens de Serviço - 2023'!$L$2:$L$3001,$S$56,'Ordens de Serviço - 2023'!$H$2:$H$3001,M60)</f>
        <v>4</v>
      </c>
      <c r="T60" s="118">
        <f>COUNTIFS('Ordens de Serviço - 2023'!$L$2:$L$3001,$T$56,'Ordens de Serviço - 2023'!$H$2:$H$3001,M60)</f>
        <v>0</v>
      </c>
      <c r="U60" s="118">
        <f>COUNTIFS('Ordens de Serviço - 2023'!$L$2:$L$3001,$U$56,'Ordens de Serviço - 2023'!$H$2:$H$3001,M60)</f>
        <v>0</v>
      </c>
      <c r="V60" s="118">
        <f>COUNTIFS('Ordens de Serviço - 2023'!$L$2:$L$3001,$V$56,'Ordens de Serviço - 2023'!$H$2:$H$3001,M60)</f>
        <v>3</v>
      </c>
      <c r="W60" s="93"/>
      <c r="X60" s="93"/>
      <c r="Y60" s="93"/>
      <c r="Z60" s="93"/>
      <c r="AA60" s="93"/>
      <c r="AB60" s="93"/>
    </row>
    <row r="61" ht="15.75" customHeight="1">
      <c r="A61" s="93"/>
      <c r="B61" s="93"/>
      <c r="C61" s="93"/>
      <c r="D61" s="109" t="s">
        <v>367</v>
      </c>
      <c r="E61" s="110">
        <v>12.0</v>
      </c>
      <c r="F61" s="111">
        <f t="shared" si="4"/>
        <v>0.009389671362</v>
      </c>
      <c r="G61" s="93"/>
      <c r="H61" s="93"/>
      <c r="I61" s="93"/>
      <c r="J61" s="93"/>
      <c r="K61" s="93"/>
      <c r="L61" s="93"/>
      <c r="M61" s="117" t="s">
        <v>298</v>
      </c>
      <c r="N61" s="118">
        <f>COUNTIF('Ordens de Serviço - 2023'!$H$2:$H$3001,M61)</f>
        <v>29</v>
      </c>
      <c r="O61" s="118">
        <f>COUNTIFS('Ordens de Serviço - 2023'!$L$2:$L$3001,$O$56,'Ordens de Serviço - 2023'!$H$2:$H$3001,M61)</f>
        <v>0</v>
      </c>
      <c r="P61" s="118">
        <f>COUNTIFS('Ordens de Serviço - 2023'!$L$2:$L$3001,$P$56,'Ordens de Serviço - 2023'!$H$2:$H$3001,M61)</f>
        <v>0</v>
      </c>
      <c r="Q61" s="118">
        <f>COUNTIFS('Ordens de Serviço - 2023'!$L$2:$L$3001,$Q$56,'Ordens de Serviço - 2023'!$H$2:$H$3001,M61)</f>
        <v>25</v>
      </c>
      <c r="R61" s="118">
        <f>COUNTIFS('Ordens de Serviço - 2023'!$L$2:$L$3001,$R$56,'Ordens de Serviço - 2023'!$H$2:$H$3001,M61)</f>
        <v>0</v>
      </c>
      <c r="S61" s="118">
        <f>COUNTIFS('Ordens de Serviço - 2023'!$L$2:$L$3001,$S$56,'Ordens de Serviço - 2023'!$H$2:$H$3001,M61)</f>
        <v>1</v>
      </c>
      <c r="T61" s="118">
        <f>COUNTIFS('Ordens de Serviço - 2023'!$L$2:$L$3001,$T$56,'Ordens de Serviço - 2023'!$H$2:$H$3001,M61)</f>
        <v>0</v>
      </c>
      <c r="U61" s="118">
        <f>COUNTIFS('Ordens de Serviço - 2023'!$L$2:$L$3001,$U$56,'Ordens de Serviço - 2023'!$H$2:$H$3001,M61)</f>
        <v>0</v>
      </c>
      <c r="V61" s="118">
        <f>COUNTIFS('Ordens de Serviço - 2023'!$L$2:$L$3001,$V$56,'Ordens de Serviço - 2023'!$H$2:$H$3001,M61)</f>
        <v>0</v>
      </c>
      <c r="W61" s="93"/>
      <c r="X61" s="93"/>
      <c r="Y61" s="93"/>
      <c r="Z61" s="93"/>
      <c r="AA61" s="93"/>
      <c r="AB61" s="93"/>
    </row>
    <row r="62" ht="15.75" customHeight="1">
      <c r="A62" s="93"/>
      <c r="B62" s="93"/>
      <c r="C62" s="93"/>
      <c r="D62" s="109" t="s">
        <v>103</v>
      </c>
      <c r="E62" s="110">
        <v>11.0</v>
      </c>
      <c r="F62" s="111">
        <f t="shared" si="4"/>
        <v>0.008607198748</v>
      </c>
      <c r="G62" s="93"/>
      <c r="H62" s="93"/>
      <c r="I62" s="93"/>
      <c r="J62" s="93"/>
      <c r="K62" s="93"/>
      <c r="L62" s="93"/>
      <c r="M62" s="117" t="s">
        <v>129</v>
      </c>
      <c r="N62" s="118">
        <f>COUNTIF('Ordens de Serviço - 2023'!$H$2:$H$3001,M62)</f>
        <v>84</v>
      </c>
      <c r="O62" s="118">
        <f>COUNTIFS('Ordens de Serviço - 2023'!$L$2:$L$3001,$O$56,'Ordens de Serviço - 2023'!$H$2:$H$3001,M62)</f>
        <v>1</v>
      </c>
      <c r="P62" s="118">
        <f>COUNTIFS('Ordens de Serviço - 2023'!$L$2:$L$3001,$P$56,'Ordens de Serviço - 2023'!$H$2:$H$3001,M62)</f>
        <v>0</v>
      </c>
      <c r="Q62" s="118">
        <f>COUNTIFS('Ordens de Serviço - 2023'!$L$2:$L$3001,$Q$56,'Ordens de Serviço - 2023'!$H$2:$H$3001,M62)</f>
        <v>73</v>
      </c>
      <c r="R62" s="118">
        <f>COUNTIFS('Ordens de Serviço - 2023'!$L$2:$L$3001,$R$56,'Ordens de Serviço - 2023'!$H$2:$H$3001,M62)</f>
        <v>0</v>
      </c>
      <c r="S62" s="118">
        <f>COUNTIFS('Ordens de Serviço - 2023'!$L$2:$L$3001,$S$56,'Ordens de Serviço - 2023'!$H$2:$H$3001,M62)</f>
        <v>3</v>
      </c>
      <c r="T62" s="118">
        <f>COUNTIFS('Ordens de Serviço - 2023'!$L$2:$L$3001,$T$56,'Ordens de Serviço - 2023'!$H$2:$H$3001,M62)</f>
        <v>0</v>
      </c>
      <c r="U62" s="118">
        <f>COUNTIFS('Ordens de Serviço - 2023'!$L$2:$L$3001,$U$56,'Ordens de Serviço - 2023'!$H$2:$H$3001,M62)</f>
        <v>0</v>
      </c>
      <c r="V62" s="118">
        <f>COUNTIFS('Ordens de Serviço - 2023'!$L$2:$L$3001,$V$56,'Ordens de Serviço - 2023'!$H$2:$H$3001,M62)</f>
        <v>1</v>
      </c>
      <c r="W62" s="93"/>
      <c r="X62" s="93"/>
      <c r="Y62" s="93"/>
      <c r="Z62" s="93"/>
      <c r="AA62" s="93"/>
      <c r="AB62" s="93"/>
    </row>
    <row r="63" ht="15.75" customHeight="1">
      <c r="A63" s="93"/>
      <c r="B63" s="93"/>
      <c r="C63" s="93"/>
      <c r="D63" s="109" t="s">
        <v>554</v>
      </c>
      <c r="E63" s="110">
        <v>9.0</v>
      </c>
      <c r="F63" s="111">
        <f t="shared" si="4"/>
        <v>0.007042253521</v>
      </c>
      <c r="G63" s="93"/>
      <c r="H63" s="93"/>
      <c r="I63" s="93"/>
      <c r="J63" s="93"/>
      <c r="K63" s="93"/>
      <c r="L63" s="93"/>
      <c r="M63" s="117" t="s">
        <v>162</v>
      </c>
      <c r="N63" s="118">
        <f>COUNTIF('Ordens de Serviço - 2023'!$H$2:$H$3001,M63)</f>
        <v>117</v>
      </c>
      <c r="O63" s="118">
        <f>COUNTIFS('Ordens de Serviço - 2023'!$L$2:$L$3001,$O$56,'Ordens de Serviço - 2023'!$H$2:$H$3001,M63)</f>
        <v>1</v>
      </c>
      <c r="P63" s="118">
        <f>COUNTIFS('Ordens de Serviço - 2023'!$L$2:$L$3001,$P$56,'Ordens de Serviço - 2023'!$H$2:$H$3001,M63)</f>
        <v>0</v>
      </c>
      <c r="Q63" s="118">
        <f>COUNTIFS('Ordens de Serviço - 2023'!$L$2:$L$3001,$Q$56,'Ordens de Serviço - 2023'!$H$2:$H$3001,M63)</f>
        <v>110</v>
      </c>
      <c r="R63" s="118">
        <f>COUNTIFS('Ordens de Serviço - 2023'!$L$2:$L$3001,$R$56,'Ordens de Serviço - 2023'!$H$2:$H$3001,M63)</f>
        <v>0</v>
      </c>
      <c r="S63" s="118">
        <f>COUNTIFS('Ordens de Serviço - 2023'!$L$2:$L$3001,$S$56,'Ordens de Serviço - 2023'!$H$2:$H$3001,M63)</f>
        <v>0</v>
      </c>
      <c r="T63" s="118">
        <f>COUNTIFS('Ordens de Serviço - 2023'!$L$2:$L$3001,$T$56,'Ordens de Serviço - 2023'!$H$2:$H$3001,M63)</f>
        <v>0</v>
      </c>
      <c r="U63" s="118">
        <f>COUNTIFS('Ordens de Serviço - 2023'!$L$2:$L$3001,$U$56,'Ordens de Serviço - 2023'!$H$2:$H$3001,M63)</f>
        <v>0</v>
      </c>
      <c r="V63" s="118">
        <f>COUNTIFS('Ordens de Serviço - 2023'!$L$2:$L$3001,$V$56,'Ordens de Serviço - 2023'!$H$2:$H$3001,M63)</f>
        <v>0</v>
      </c>
      <c r="W63" s="93"/>
      <c r="X63" s="93"/>
      <c r="Y63" s="93"/>
      <c r="Z63" s="93"/>
      <c r="AA63" s="93"/>
      <c r="AB63" s="93"/>
    </row>
    <row r="64" ht="15.75" customHeight="1">
      <c r="A64" s="93"/>
      <c r="B64" s="93"/>
      <c r="C64" s="93"/>
      <c r="D64" s="109" t="s">
        <v>16</v>
      </c>
      <c r="E64" s="110">
        <v>6.0</v>
      </c>
      <c r="F64" s="111">
        <f t="shared" si="4"/>
        <v>0.004694835681</v>
      </c>
      <c r="G64" s="93"/>
      <c r="H64" s="93"/>
      <c r="I64" s="93"/>
      <c r="J64" s="93"/>
      <c r="K64" s="93"/>
      <c r="L64" s="93"/>
      <c r="M64" s="117" t="s">
        <v>5302</v>
      </c>
      <c r="N64" s="118">
        <f>COUNTIF('Ordens de Serviço - 2023'!$H$2:$H$3001,M64)</f>
        <v>147</v>
      </c>
      <c r="O64" s="118">
        <f>COUNTIFS('Ordens de Serviço - 2023'!$L$2:$L$3001,$O$56,'Ordens de Serviço - 2023'!$H$2:$H$3001,M64)</f>
        <v>0</v>
      </c>
      <c r="P64" s="118">
        <f>COUNTIFS('Ordens de Serviço - 2023'!$L$2:$L$3001,$P$56,'Ordens de Serviço - 2023'!$H$2:$H$3001,M64)</f>
        <v>0</v>
      </c>
      <c r="Q64" s="118">
        <f>COUNTIFS('Ordens de Serviço - 2023'!$L$2:$L$3001,$Q$56,'Ordens de Serviço - 2023'!$H$2:$H$3001,M64)</f>
        <v>132</v>
      </c>
      <c r="R64" s="118">
        <f>COUNTIFS('Ordens de Serviço - 2023'!$L$2:$L$3001,$R$56,'Ordens de Serviço - 2023'!$H$2:$H$3001,M64)</f>
        <v>0</v>
      </c>
      <c r="S64" s="118">
        <f>COUNTIFS('Ordens de Serviço - 2023'!$L$2:$L$3001,$S$56,'Ordens de Serviço - 2023'!$H$2:$H$3001,M64)</f>
        <v>0</v>
      </c>
      <c r="T64" s="118">
        <f>COUNTIFS('Ordens de Serviço - 2023'!$L$2:$L$3001,$T$56,'Ordens de Serviço - 2023'!$H$2:$H$3001,M64)</f>
        <v>0</v>
      </c>
      <c r="U64" s="118">
        <f>COUNTIFS('Ordens de Serviço - 2023'!$L$2:$L$3001,$U$56,'Ordens de Serviço - 2023'!$H$2:$H$3001,M64)</f>
        <v>0</v>
      </c>
      <c r="V64" s="118">
        <f>COUNTIFS('Ordens de Serviço - 2023'!$L$2:$L$3001,$V$56,'Ordens de Serviço - 2023'!$H$2:$H$3001,M64)</f>
        <v>0</v>
      </c>
      <c r="W64" s="93"/>
      <c r="X64" s="93"/>
      <c r="Y64" s="93"/>
      <c r="Z64" s="93"/>
      <c r="AA64" s="93"/>
      <c r="AB64" s="93"/>
    </row>
    <row r="65" ht="15.75" customHeight="1">
      <c r="A65" s="93"/>
      <c r="B65" s="93"/>
      <c r="C65" s="93"/>
      <c r="D65" s="109" t="s">
        <v>5303</v>
      </c>
      <c r="E65" s="110">
        <v>4.0</v>
      </c>
      <c r="F65" s="111">
        <f t="shared" si="4"/>
        <v>0.003129890454</v>
      </c>
      <c r="G65" s="93"/>
      <c r="H65" s="93"/>
      <c r="I65" s="93"/>
      <c r="J65" s="93"/>
      <c r="K65" s="93"/>
      <c r="L65" s="93"/>
      <c r="M65" s="117" t="s">
        <v>44</v>
      </c>
      <c r="N65" s="118">
        <f>COUNTIF('Ordens de Serviço - 2023'!$H$2:$H$3001,M65)</f>
        <v>22</v>
      </c>
      <c r="O65" s="118">
        <f>COUNTIFS('Ordens de Serviço - 2023'!$L$2:$L$3001,$O$56,'Ordens de Serviço - 2023'!$H$2:$H$3001,M65)</f>
        <v>0</v>
      </c>
      <c r="P65" s="118">
        <f>COUNTIFS('Ordens de Serviço - 2023'!$L$2:$L$3001,$P$56,'Ordens de Serviço - 2023'!$H$2:$H$3001,M65)</f>
        <v>0</v>
      </c>
      <c r="Q65" s="118">
        <f>COUNTIFS('Ordens de Serviço - 2023'!$L$2:$L$3001,$Q$56,'Ordens de Serviço - 2023'!$H$2:$H$3001,M65)</f>
        <v>21</v>
      </c>
      <c r="R65" s="118">
        <f>COUNTIFS('Ordens de Serviço - 2023'!$L$2:$L$3001,$R$56,'Ordens de Serviço - 2023'!$H$2:$H$3001,M65)</f>
        <v>0</v>
      </c>
      <c r="S65" s="118">
        <f>COUNTIFS('Ordens de Serviço - 2023'!$L$2:$L$3001,$S$56,'Ordens de Serviço - 2023'!$H$2:$H$3001,M65)</f>
        <v>0</v>
      </c>
      <c r="T65" s="118">
        <f>COUNTIFS('Ordens de Serviço - 2023'!$L$2:$L$3001,$T$56,'Ordens de Serviço - 2023'!$H$2:$H$3001,M65)</f>
        <v>0</v>
      </c>
      <c r="U65" s="118">
        <f>COUNTIFS('Ordens de Serviço - 2023'!$L$2:$L$3001,$U$56,'Ordens de Serviço - 2023'!$H$2:$H$3001,M65)</f>
        <v>0</v>
      </c>
      <c r="V65" s="118">
        <f>COUNTIFS('Ordens de Serviço - 2023'!$L$2:$L$3001,$V$56,'Ordens de Serviço - 2023'!$H$2:$H$3001,M65)</f>
        <v>0</v>
      </c>
      <c r="W65" s="93"/>
      <c r="X65" s="93"/>
      <c r="Y65" s="93"/>
      <c r="Z65" s="93"/>
      <c r="AA65" s="93"/>
      <c r="AB65" s="93"/>
    </row>
    <row r="66" ht="15.75" customHeight="1">
      <c r="A66" s="93"/>
      <c r="B66" s="93"/>
      <c r="C66" s="93"/>
      <c r="D66" s="119" t="s">
        <v>5304</v>
      </c>
      <c r="E66" s="112">
        <v>18.0</v>
      </c>
      <c r="F66" s="111">
        <f t="shared" si="4"/>
        <v>0.01408450704</v>
      </c>
      <c r="G66" s="93"/>
      <c r="H66" s="93"/>
      <c r="I66" s="93"/>
      <c r="J66" s="93"/>
      <c r="K66" s="93"/>
      <c r="L66" s="93"/>
      <c r="M66" s="117" t="s">
        <v>1853</v>
      </c>
      <c r="N66" s="118">
        <f>COUNTIF('Ordens de Serviço - 2023'!$H$2:$H$3001,M66)</f>
        <v>19</v>
      </c>
      <c r="O66" s="118">
        <f>COUNTIFS('Ordens de Serviço - 2023'!$L$2:$L$3001,$O$56,'Ordens de Serviço - 2023'!$H$2:$H$3001,M66)</f>
        <v>0</v>
      </c>
      <c r="P66" s="118">
        <f>COUNTIFS('Ordens de Serviço - 2023'!$L$2:$L$3001,$P$56,'Ordens de Serviço - 2023'!$H$2:$H$3001,M66)</f>
        <v>0</v>
      </c>
      <c r="Q66" s="118">
        <f>COUNTIFS('Ordens de Serviço - 2023'!$L$2:$L$3001,$Q$56,'Ordens de Serviço - 2023'!$H$2:$H$3001,M66)</f>
        <v>15</v>
      </c>
      <c r="R66" s="118">
        <f>COUNTIFS('Ordens de Serviço - 2023'!$L$2:$L$3001,$R$56,'Ordens de Serviço - 2023'!$H$2:$H$3001,M66)</f>
        <v>0</v>
      </c>
      <c r="S66" s="118">
        <f>COUNTIFS('Ordens de Serviço - 2023'!$L$2:$L$3001,$S$56,'Ordens de Serviço - 2023'!$H$2:$H$3001,M66)</f>
        <v>2</v>
      </c>
      <c r="T66" s="118">
        <f>COUNTIFS('Ordens de Serviço - 2023'!$L$2:$L$3001,$T$56,'Ordens de Serviço - 2023'!$H$2:$H$3001,M66)</f>
        <v>0</v>
      </c>
      <c r="U66" s="118">
        <f>COUNTIFS('Ordens de Serviço - 2023'!$L$2:$L$3001,$U$56,'Ordens de Serviço - 2023'!$H$2:$H$3001,M66)</f>
        <v>0</v>
      </c>
      <c r="V66" s="118">
        <f>COUNTIFS('Ordens de Serviço - 2023'!$L$2:$L$3001,$V$56,'Ordens de Serviço - 2023'!$H$2:$H$3001,M66)</f>
        <v>0</v>
      </c>
      <c r="W66" s="93"/>
      <c r="X66" s="93"/>
      <c r="Y66" s="93"/>
      <c r="Z66" s="93"/>
      <c r="AA66" s="93"/>
      <c r="AB66" s="93"/>
    </row>
    <row r="67" ht="15.75" customHeight="1">
      <c r="A67" s="93"/>
      <c r="B67" s="93"/>
      <c r="C67" s="93"/>
      <c r="D67" s="104" t="s">
        <v>5305</v>
      </c>
      <c r="E67" s="104">
        <f>SUM(E38:E66)</f>
        <v>1278</v>
      </c>
      <c r="F67" s="120"/>
      <c r="G67" s="93"/>
      <c r="H67" s="93"/>
      <c r="I67" s="93"/>
      <c r="J67" s="93"/>
      <c r="K67" s="93"/>
      <c r="L67" s="93"/>
      <c r="M67" s="121" t="s">
        <v>5306</v>
      </c>
      <c r="N67" s="122">
        <f t="shared" ref="N67:V67" si="5">SUM(N56:N66)</f>
        <v>1691</v>
      </c>
      <c r="O67" s="122">
        <f t="shared" si="5"/>
        <v>2</v>
      </c>
      <c r="P67" s="122">
        <f t="shared" si="5"/>
        <v>0</v>
      </c>
      <c r="Q67" s="122">
        <f t="shared" si="5"/>
        <v>1589</v>
      </c>
      <c r="R67" s="122">
        <f t="shared" si="5"/>
        <v>1</v>
      </c>
      <c r="S67" s="122">
        <f t="shared" si="5"/>
        <v>14</v>
      </c>
      <c r="T67" s="122">
        <f t="shared" si="5"/>
        <v>0</v>
      </c>
      <c r="U67" s="122">
        <f t="shared" si="5"/>
        <v>0</v>
      </c>
      <c r="V67" s="123">
        <f t="shared" si="5"/>
        <v>6</v>
      </c>
      <c r="W67" s="93"/>
      <c r="X67" s="93"/>
      <c r="Y67" s="93"/>
      <c r="Z67" s="93"/>
      <c r="AA67" s="93"/>
      <c r="AB67" s="93"/>
    </row>
    <row r="68" ht="15.75" customHeight="1">
      <c r="A68" s="124"/>
      <c r="B68" s="124"/>
      <c r="C68" s="124"/>
      <c r="D68" s="125"/>
      <c r="E68" s="125">
        <f>H18-E67+E65</f>
        <v>742</v>
      </c>
      <c r="F68" s="124"/>
      <c r="G68" s="124"/>
      <c r="H68" s="124"/>
      <c r="I68" s="124"/>
      <c r="J68" s="124"/>
      <c r="K68" s="124"/>
      <c r="L68" s="124"/>
      <c r="M68" s="124"/>
      <c r="N68" s="124"/>
      <c r="O68" s="124"/>
      <c r="P68" s="124"/>
      <c r="Q68" s="124"/>
      <c r="R68" s="124"/>
      <c r="S68" s="124"/>
      <c r="T68" s="124"/>
      <c r="U68" s="124"/>
      <c r="V68" s="124"/>
      <c r="W68" s="124"/>
      <c r="X68" s="124"/>
      <c r="Y68" s="124"/>
      <c r="Z68" s="124"/>
      <c r="AA68" s="124"/>
      <c r="AB68" s="124"/>
    </row>
    <row r="69" ht="15.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c r="AA69" s="93"/>
      <c r="AB69" s="93"/>
    </row>
    <row r="70" ht="15.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row>
    <row r="71" ht="15.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row>
    <row r="72" ht="15.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row>
    <row r="73" ht="15.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c r="AA73" s="93"/>
      <c r="AB73" s="93"/>
    </row>
    <row r="74" ht="15.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row>
    <row r="75" ht="15.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c r="AA75" s="93"/>
      <c r="AB75" s="93"/>
    </row>
    <row r="76" ht="15.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row>
    <row r="77" ht="15.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row>
    <row r="78" ht="15.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row>
    <row r="79" ht="15.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row>
    <row r="80" ht="15.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row>
    <row r="81" ht="15.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row>
    <row r="82" ht="15.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row>
    <row r="83" ht="15.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row>
    <row r="84" ht="15.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row>
    <row r="85" ht="15.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row>
    <row r="86" ht="15.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row>
    <row r="87" ht="15.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row>
    <row r="88" ht="15.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row>
    <row r="89" ht="15.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row>
    <row r="90" ht="15.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row>
    <row r="91" ht="15.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row>
    <row r="92" ht="15.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row>
    <row r="93" ht="15.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row>
    <row r="95" ht="15.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row>
    <row r="96" ht="15.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row>
    <row r="97" ht="15.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row>
    <row r="98" ht="15.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row>
    <row r="99" ht="15.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row>
    <row r="100" ht="15.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row>
    <row r="101" ht="15.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row>
    <row r="102" ht="15.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row>
    <row r="103" ht="15.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row>
    <row r="104" ht="15.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row>
    <row r="105" ht="15.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row>
    <row r="106" ht="15.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row>
    <row r="107" ht="15.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row>
    <row r="108" ht="15.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row>
    <row r="109" ht="15.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row>
    <row r="110" ht="15.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row>
    <row r="111" ht="15.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row>
    <row r="112" ht="15.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row>
    <row r="113" ht="15.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row>
    <row r="114" ht="15.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row>
    <row r="115" ht="15.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row>
    <row r="116" ht="15.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row>
    <row r="117" ht="15.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row>
    <row r="118" ht="15.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row>
    <row r="119" ht="15.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row>
    <row r="120" ht="15.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row>
    <row r="121" ht="15.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row>
    <row r="122" ht="15.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row>
    <row r="123" ht="15.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row>
    <row r="124" ht="15.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row>
    <row r="125" ht="15.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row>
    <row r="126" ht="15.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row>
    <row r="127" ht="15.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row>
    <row r="128" ht="15.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row>
    <row r="129" ht="15.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row>
    <row r="130" ht="15.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row>
    <row r="131" ht="15.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row>
    <row r="132" ht="15.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row>
    <row r="133" ht="15.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row>
    <row r="134" ht="15.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row>
    <row r="135" ht="15.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row>
    <row r="136" ht="15.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row>
    <row r="137" ht="15.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row>
    <row r="138" ht="15.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row>
    <row r="139" ht="15.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row>
    <row r="140" ht="15.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row>
    <row r="141" ht="15.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row>
    <row r="142" ht="15.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row>
    <row r="143" ht="15.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row>
    <row r="144" ht="15.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row>
    <row r="145" ht="15.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row>
    <row r="146" ht="15.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row>
    <row r="147" ht="15.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row>
    <row r="148" ht="15.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row>
    <row r="149" ht="15.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row>
    <row r="150" ht="15.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row>
    <row r="151" ht="15.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row>
    <row r="152" ht="15.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row>
    <row r="153" ht="15.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row>
    <row r="154" ht="15.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row>
    <row r="155" ht="15.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row>
    <row r="156" ht="15.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row>
    <row r="157" ht="15.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row>
    <row r="158" ht="15.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row>
    <row r="159" ht="15.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row>
    <row r="160" ht="15.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row>
    <row r="161" ht="15.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row>
    <row r="162" ht="15.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row>
    <row r="163" ht="15.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row>
    <row r="164" ht="15.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row>
    <row r="165" ht="15.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row>
    <row r="166" ht="15.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row>
    <row r="167" ht="15.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row>
    <row r="168" ht="15.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row>
    <row r="169" ht="15.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row>
    <row r="170" ht="15.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row>
    <row r="171" ht="15.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row>
    <row r="172" ht="15.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row>
    <row r="173" ht="15.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row>
    <row r="174" ht="15.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row>
    <row r="175" ht="15.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row>
    <row r="176" ht="15.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row>
    <row r="177" ht="15.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row>
    <row r="178" ht="15.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row>
    <row r="179" ht="15.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row>
    <row r="180" ht="15.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row>
    <row r="181" ht="15.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row>
    <row r="182" ht="15.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row>
    <row r="183" ht="15.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row>
    <row r="184" ht="15.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row>
    <row r="185" ht="15.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row>
    <row r="186" ht="15.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row>
    <row r="187" ht="15.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row>
    <row r="188" ht="15.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row>
    <row r="189" ht="15.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row>
    <row r="190" ht="15.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row>
    <row r="191" ht="15.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row>
    <row r="192" ht="15.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c r="AA192" s="93"/>
      <c r="AB192" s="93"/>
    </row>
    <row r="193" ht="15.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row>
    <row r="194" ht="15.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c r="AA194" s="93"/>
      <c r="AB194" s="93"/>
    </row>
    <row r="195" ht="15.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c r="AA195" s="93"/>
      <c r="AB195" s="93"/>
    </row>
    <row r="196" ht="15.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c r="AA196" s="93"/>
      <c r="AB196" s="93"/>
    </row>
    <row r="197" ht="15.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c r="AA197" s="93"/>
      <c r="AB197" s="93"/>
    </row>
    <row r="198" ht="15.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c r="AA198" s="93"/>
      <c r="AB198" s="93"/>
    </row>
    <row r="199" ht="15.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c r="AA199" s="93"/>
      <c r="AB199" s="93"/>
    </row>
    <row r="200" ht="15.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c r="AA200" s="93"/>
      <c r="AB200" s="93"/>
    </row>
    <row r="201" ht="15.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c r="AA201" s="93"/>
      <c r="AB201" s="93"/>
    </row>
    <row r="202" ht="15.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c r="AA202" s="93"/>
      <c r="AB202" s="93"/>
    </row>
    <row r="203" ht="15.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c r="AA203" s="93"/>
      <c r="AB203" s="93"/>
    </row>
    <row r="204" ht="15.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c r="AA204" s="93"/>
      <c r="AB204" s="93"/>
    </row>
    <row r="205" ht="15.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row>
    <row r="206" ht="15.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c r="AA206" s="93"/>
      <c r="AB206" s="93"/>
    </row>
    <row r="207" ht="15.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c r="AA207" s="93"/>
      <c r="AB207" s="93"/>
    </row>
    <row r="208" ht="15.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c r="AA208" s="93"/>
      <c r="AB208" s="93"/>
    </row>
    <row r="209" ht="15.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c r="AA209" s="93"/>
      <c r="AB209" s="93"/>
    </row>
    <row r="210" ht="15.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c r="AA210" s="93"/>
      <c r="AB210" s="93"/>
    </row>
    <row r="211" ht="15.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c r="AA211" s="93"/>
      <c r="AB211" s="93"/>
    </row>
    <row r="212" ht="15.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c r="AA212" s="93"/>
      <c r="AB212" s="93"/>
    </row>
    <row r="213" ht="15.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c r="AA213" s="93"/>
      <c r="AB213" s="93"/>
    </row>
    <row r="214" ht="15.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c r="AA214" s="93"/>
      <c r="AB214" s="93"/>
    </row>
    <row r="215" ht="15.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row>
    <row r="216" ht="15.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c r="AA216" s="93"/>
      <c r="AB216" s="93"/>
    </row>
    <row r="217" ht="15.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row>
    <row r="218" ht="15.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row>
    <row r="219" ht="15.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c r="AA219" s="93"/>
      <c r="AB219" s="93"/>
    </row>
    <row r="220" ht="15.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c r="AA220" s="93"/>
      <c r="AB220" s="93"/>
    </row>
    <row r="221" ht="15.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c r="AA221" s="93"/>
      <c r="AB221" s="93"/>
    </row>
    <row r="222" ht="15.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c r="AA222" s="93"/>
      <c r="AB222" s="93"/>
    </row>
    <row r="223" ht="15.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c r="AA223" s="93"/>
      <c r="AB223" s="93"/>
    </row>
    <row r="224" ht="15.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c r="AA224" s="93"/>
      <c r="AB224" s="93"/>
    </row>
    <row r="225" ht="15.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c r="AA225" s="93"/>
      <c r="AB225" s="93"/>
    </row>
    <row r="226" ht="15.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c r="AA226" s="93"/>
      <c r="AB226" s="93"/>
    </row>
    <row r="227" ht="15.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c r="AA227" s="93"/>
      <c r="AB227" s="93"/>
    </row>
    <row r="228" ht="15.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c r="AA228" s="93"/>
      <c r="AB228" s="93"/>
    </row>
    <row r="229" ht="15.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c r="AA229" s="93"/>
      <c r="AB229" s="93"/>
    </row>
    <row r="230" ht="15.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c r="AA230" s="93"/>
      <c r="AB230" s="93"/>
    </row>
    <row r="231" ht="15.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c r="AA231" s="93"/>
      <c r="AB231" s="93"/>
    </row>
    <row r="232" ht="15.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c r="AA232" s="93"/>
      <c r="AB232" s="93"/>
    </row>
    <row r="233" ht="15.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c r="AA233" s="93"/>
      <c r="AB233" s="93"/>
    </row>
    <row r="234" ht="15.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c r="AA234" s="93"/>
      <c r="AB234" s="93"/>
    </row>
    <row r="235" ht="15.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c r="AA235" s="93"/>
      <c r="AB235" s="93"/>
    </row>
    <row r="236" ht="15.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row>
    <row r="237" ht="15.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c r="AB237" s="93"/>
    </row>
    <row r="238" ht="15.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row>
    <row r="239" ht="15.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c r="AA239" s="93"/>
      <c r="AB239" s="93"/>
    </row>
    <row r="240" ht="15.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c r="AA240" s="93"/>
      <c r="AB240" s="93"/>
    </row>
    <row r="241" ht="15.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c r="AA241" s="93"/>
      <c r="AB241" s="93"/>
    </row>
    <row r="242" ht="15.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c r="AA242" s="93"/>
      <c r="AB242" s="93"/>
    </row>
    <row r="243" ht="15.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c r="AA243" s="93"/>
      <c r="AB243" s="93"/>
    </row>
    <row r="244" ht="15.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c r="AA244" s="93"/>
      <c r="AB244" s="93"/>
    </row>
    <row r="245" ht="15.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c r="AA245" s="93"/>
      <c r="AB245" s="93"/>
    </row>
    <row r="246" ht="15.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c r="AA246" s="93"/>
      <c r="AB246" s="93"/>
    </row>
    <row r="247" ht="15.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c r="AA247" s="93"/>
      <c r="AB247" s="93"/>
    </row>
    <row r="248" ht="15.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c r="AA248" s="93"/>
      <c r="AB248" s="93"/>
    </row>
    <row r="249" ht="15.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c r="AA249" s="93"/>
      <c r="AB249" s="93"/>
    </row>
    <row r="250" ht="15.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c r="AA250" s="93"/>
      <c r="AB250" s="93"/>
    </row>
    <row r="251" ht="15.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c r="AA251" s="93"/>
      <c r="AB251" s="93"/>
    </row>
    <row r="252" ht="15.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c r="AA252" s="93"/>
      <c r="AB252" s="93"/>
    </row>
    <row r="253" ht="15.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c r="AA253" s="93"/>
      <c r="AB253" s="93"/>
    </row>
    <row r="254" ht="15.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c r="AA254" s="93"/>
      <c r="AB254" s="93"/>
    </row>
    <row r="255" ht="15.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c r="AA255" s="93"/>
      <c r="AB255" s="93"/>
    </row>
    <row r="256" ht="15.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c r="AA256" s="93"/>
      <c r="AB256" s="93"/>
    </row>
    <row r="257" ht="15.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c r="AA257" s="93"/>
      <c r="AB257" s="93"/>
    </row>
    <row r="258" ht="15.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c r="AA258" s="93"/>
      <c r="AB258" s="93"/>
    </row>
    <row r="259" ht="15.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c r="AA259" s="93"/>
      <c r="AB259" s="93"/>
    </row>
    <row r="260" ht="15.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c r="AA260" s="93"/>
      <c r="AB260" s="93"/>
    </row>
    <row r="261" ht="15.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c r="AA261" s="93"/>
      <c r="AB261" s="93"/>
    </row>
    <row r="262" ht="15.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c r="AA262" s="93"/>
      <c r="AB262" s="93"/>
    </row>
    <row r="263" ht="15.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c r="AA263" s="93"/>
      <c r="AB263" s="93"/>
    </row>
    <row r="264" ht="15.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c r="AA264" s="93"/>
      <c r="AB264" s="93"/>
    </row>
    <row r="265" ht="15.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c r="AA265" s="93"/>
      <c r="AB265" s="93"/>
    </row>
    <row r="266" ht="15.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c r="AA266" s="93"/>
      <c r="AB266" s="93"/>
    </row>
    <row r="267" ht="15.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c r="AA267" s="93"/>
      <c r="AB267" s="93"/>
    </row>
    <row r="268" ht="15.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c r="AA268" s="93"/>
      <c r="AB268" s="93"/>
    </row>
    <row r="269" ht="15.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c r="AA269" s="93"/>
      <c r="AB269" s="93"/>
    </row>
    <row r="270" ht="15.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c r="AA270" s="93"/>
      <c r="AB270" s="93"/>
    </row>
    <row r="271" ht="15.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c r="AA271" s="93"/>
      <c r="AB271" s="93"/>
    </row>
    <row r="272" ht="15.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c r="AA272" s="93"/>
      <c r="AB272" s="93"/>
    </row>
    <row r="273" ht="15.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c r="AA273" s="93"/>
      <c r="AB273" s="93"/>
    </row>
    <row r="274" ht="15.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c r="AA274" s="93"/>
      <c r="AB274" s="93"/>
    </row>
    <row r="275" ht="15.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row>
    <row r="276" ht="15.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c r="AA276" s="93"/>
      <c r="AB276" s="93"/>
    </row>
    <row r="277" ht="15.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c r="AA277" s="93"/>
      <c r="AB277" s="93"/>
    </row>
    <row r="278" ht="15.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c r="AA278" s="93"/>
      <c r="AB278" s="93"/>
    </row>
    <row r="279" ht="15.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c r="AA279" s="93"/>
      <c r="AB279" s="93"/>
    </row>
    <row r="280" ht="15.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c r="AA280" s="93"/>
      <c r="AB280" s="93"/>
    </row>
    <row r="281" ht="15.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c r="AA281" s="93"/>
      <c r="AB281" s="93"/>
    </row>
    <row r="282" ht="15.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c r="AA282" s="93"/>
      <c r="AB282" s="93"/>
    </row>
    <row r="283" ht="15.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c r="AA283" s="93"/>
      <c r="AB283" s="93"/>
    </row>
    <row r="284" ht="15.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c r="AA284" s="93"/>
      <c r="AB284" s="93"/>
    </row>
    <row r="285" ht="15.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c r="AA285" s="93"/>
      <c r="AB285" s="93"/>
    </row>
    <row r="286" ht="15.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c r="AA286" s="93"/>
      <c r="AB286" s="93"/>
    </row>
    <row r="287" ht="15.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c r="AA287" s="93"/>
      <c r="AB287" s="93"/>
    </row>
    <row r="288" ht="15.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c r="AA288" s="93"/>
      <c r="AB288" s="93"/>
    </row>
    <row r="289" ht="15.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c r="AA289" s="93"/>
      <c r="AB289" s="93"/>
    </row>
    <row r="290" ht="15.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c r="AA290" s="93"/>
      <c r="AB290" s="93"/>
    </row>
    <row r="291" ht="15.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c r="AA291" s="93"/>
      <c r="AB291" s="93"/>
    </row>
    <row r="292" ht="15.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c r="AA292" s="93"/>
      <c r="AB292" s="93"/>
    </row>
    <row r="293" ht="15.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c r="AA293" s="93"/>
      <c r="AB293" s="93"/>
    </row>
    <row r="294" ht="15.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c r="AA294" s="93"/>
      <c r="AB294" s="93"/>
    </row>
    <row r="295" ht="15.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c r="AA295" s="93"/>
      <c r="AB295" s="93"/>
    </row>
    <row r="296" ht="15.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c r="AA296" s="93"/>
      <c r="AB296" s="93"/>
    </row>
    <row r="297" ht="15.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c r="AA297" s="93"/>
      <c r="AB297" s="93"/>
    </row>
    <row r="298" ht="15.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c r="AA298" s="93"/>
      <c r="AB298" s="93"/>
    </row>
    <row r="299" ht="15.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c r="AA299" s="93"/>
      <c r="AB299" s="93"/>
    </row>
    <row r="300" ht="15.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c r="AA300" s="93"/>
      <c r="AB300" s="93"/>
    </row>
    <row r="301" ht="15.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c r="AA301" s="93"/>
      <c r="AB301" s="93"/>
    </row>
    <row r="302" ht="15.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c r="AA302" s="93"/>
      <c r="AB302" s="93"/>
    </row>
    <row r="303" ht="15.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c r="AA303" s="93"/>
      <c r="AB303" s="93"/>
    </row>
    <row r="304" ht="15.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c r="AA304" s="93"/>
      <c r="AB304" s="93"/>
    </row>
    <row r="305" ht="15.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c r="AA305" s="93"/>
      <c r="AB305" s="93"/>
    </row>
    <row r="306" ht="15.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c r="AA306" s="93"/>
      <c r="AB306" s="93"/>
    </row>
    <row r="307" ht="15.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c r="AA307" s="93"/>
      <c r="AB307" s="93"/>
    </row>
    <row r="308" ht="15.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c r="AA308" s="93"/>
      <c r="AB308" s="93"/>
    </row>
    <row r="309" ht="15.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c r="AA309" s="93"/>
      <c r="AB309" s="93"/>
    </row>
    <row r="310" ht="15.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c r="AA310" s="93"/>
      <c r="AB310" s="93"/>
    </row>
    <row r="311" ht="15.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c r="AA311" s="93"/>
      <c r="AB311" s="93"/>
    </row>
    <row r="312" ht="15.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c r="AA312" s="93"/>
      <c r="AB312" s="93"/>
    </row>
    <row r="313" ht="15.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c r="AA313" s="93"/>
      <c r="AB313" s="93"/>
    </row>
    <row r="314" ht="15.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c r="AA314" s="93"/>
      <c r="AB314" s="93"/>
    </row>
    <row r="315" ht="15.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c r="AA315" s="93"/>
      <c r="AB315" s="93"/>
    </row>
    <row r="316" ht="15.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c r="AA316" s="93"/>
      <c r="AB316" s="93"/>
    </row>
    <row r="317" ht="15.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c r="AA317" s="93"/>
      <c r="AB317" s="93"/>
    </row>
    <row r="318" ht="15.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c r="AA318" s="93"/>
      <c r="AB318" s="93"/>
    </row>
    <row r="319" ht="15.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c r="AA319" s="93"/>
      <c r="AB319" s="93"/>
    </row>
    <row r="320" ht="15.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c r="AA320" s="93"/>
      <c r="AB320" s="93"/>
    </row>
    <row r="321" ht="15.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c r="AA321" s="93"/>
      <c r="AB321" s="93"/>
    </row>
    <row r="322" ht="15.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c r="AA322" s="93"/>
      <c r="AB322" s="93"/>
    </row>
    <row r="323" ht="15.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c r="AA323" s="93"/>
      <c r="AB323" s="93"/>
    </row>
    <row r="324" ht="15.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c r="AA324" s="93"/>
      <c r="AB324" s="93"/>
    </row>
    <row r="325" ht="15.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c r="AA325" s="93"/>
      <c r="AB325" s="93"/>
    </row>
    <row r="326" ht="15.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c r="AA326" s="93"/>
      <c r="AB326" s="93"/>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c r="AA327" s="93"/>
      <c r="AB327" s="93"/>
    </row>
    <row r="328" ht="15.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c r="AA328" s="93"/>
      <c r="AB328" s="93"/>
    </row>
    <row r="329" ht="15.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c r="AA329" s="93"/>
      <c r="AB329" s="93"/>
    </row>
    <row r="330" ht="15.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c r="AA330" s="93"/>
      <c r="AB330" s="93"/>
    </row>
    <row r="331" ht="15.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c r="AA331" s="93"/>
      <c r="AB331" s="93"/>
    </row>
    <row r="332" ht="15.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c r="AA332" s="93"/>
      <c r="AB332" s="93"/>
    </row>
    <row r="333" ht="15.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c r="AA333" s="93"/>
      <c r="AB333" s="93"/>
    </row>
    <row r="334" ht="15.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c r="AA334" s="93"/>
      <c r="AB334" s="93"/>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c r="AA335" s="93"/>
      <c r="AB335" s="93"/>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c r="AA336" s="93"/>
      <c r="AB336" s="93"/>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c r="AA337" s="93"/>
      <c r="AB337" s="93"/>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c r="AA338" s="93"/>
      <c r="AB338" s="93"/>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c r="AA339" s="93"/>
      <c r="AB339" s="93"/>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c r="AA340" s="93"/>
      <c r="AB340" s="93"/>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c r="AA341" s="93"/>
      <c r="AB341" s="93"/>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c r="AA342" s="93"/>
      <c r="AB342" s="93"/>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c r="AA343" s="93"/>
      <c r="AB343" s="93"/>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c r="AA344" s="93"/>
      <c r="AB344" s="93"/>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c r="AA345" s="93"/>
      <c r="AB345" s="93"/>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c r="AA346" s="93"/>
      <c r="AB346" s="93"/>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c r="AA347" s="93"/>
      <c r="AB347" s="93"/>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c r="AA348" s="93"/>
      <c r="AB348" s="93"/>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c r="AA349" s="93"/>
      <c r="AB349" s="93"/>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c r="AA350" s="93"/>
      <c r="AB350" s="93"/>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c r="AA351" s="93"/>
      <c r="AB351" s="93"/>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c r="AA352" s="93"/>
      <c r="AB352" s="93"/>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c r="AA353" s="93"/>
      <c r="AB353" s="93"/>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3"/>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c r="AA355" s="93"/>
      <c r="AB355" s="93"/>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c r="AA356" s="93"/>
      <c r="AB356" s="93"/>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c r="AA357" s="93"/>
      <c r="AB357" s="93"/>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c r="AA358" s="93"/>
      <c r="AB358" s="93"/>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c r="AA359" s="93"/>
      <c r="AB359" s="93"/>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c r="AA360" s="93"/>
      <c r="AB360" s="93"/>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c r="AA361" s="93"/>
      <c r="AB361" s="93"/>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c r="AA362" s="93"/>
      <c r="AB362" s="93"/>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c r="AA363" s="93"/>
      <c r="AB363" s="93"/>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c r="AA364" s="93"/>
      <c r="AB364" s="93"/>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c r="AA365" s="93"/>
      <c r="AB365" s="93"/>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c r="AA366" s="93"/>
      <c r="AB366" s="93"/>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c r="AA367" s="93"/>
      <c r="AB367" s="93"/>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c r="AA368" s="93"/>
      <c r="AB368" s="93"/>
    </row>
    <row r="369" ht="15.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c r="AA369" s="93"/>
      <c r="AB369" s="93"/>
    </row>
    <row r="370" ht="15.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c r="AA370" s="93"/>
      <c r="AB370" s="93"/>
    </row>
    <row r="371" ht="15.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c r="AA371" s="93"/>
      <c r="AB371" s="93"/>
    </row>
    <row r="372" ht="15.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c r="AA372" s="93"/>
      <c r="AB372" s="93"/>
    </row>
    <row r="373" ht="15.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c r="AA373" s="93"/>
      <c r="AB373" s="93"/>
    </row>
    <row r="374" ht="15.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c r="AA374" s="93"/>
      <c r="AB374" s="93"/>
    </row>
    <row r="375" ht="15.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c r="AA375" s="93"/>
      <c r="AB375" s="93"/>
    </row>
    <row r="376" ht="15.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c r="AA376" s="93"/>
      <c r="AB376" s="93"/>
    </row>
    <row r="377" ht="15.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c r="AA377" s="93"/>
      <c r="AB377" s="93"/>
    </row>
    <row r="378" ht="15.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c r="AA378" s="93"/>
      <c r="AB378" s="93"/>
    </row>
    <row r="379" ht="15.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c r="AA379" s="93"/>
      <c r="AB379" s="93"/>
    </row>
    <row r="380" ht="15.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c r="AA380" s="93"/>
      <c r="AB380" s="93"/>
    </row>
    <row r="381" ht="15.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c r="AA381" s="93"/>
      <c r="AB381" s="93"/>
    </row>
    <row r="382" ht="15.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c r="AA382" s="93"/>
      <c r="AB382" s="93"/>
    </row>
    <row r="383" ht="15.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c r="AA383" s="93"/>
      <c r="AB383" s="93"/>
    </row>
    <row r="384" ht="15.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c r="AA384" s="93"/>
      <c r="AB384" s="93"/>
    </row>
    <row r="385" ht="15.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c r="AA385" s="93"/>
      <c r="AB385" s="93"/>
    </row>
    <row r="386" ht="15.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c r="AA386" s="93"/>
      <c r="AB386" s="93"/>
    </row>
    <row r="387" ht="15.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c r="AA387" s="93"/>
      <c r="AB387" s="93"/>
    </row>
    <row r="388" ht="15.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c r="AA388" s="93"/>
      <c r="AB388" s="93"/>
    </row>
    <row r="389" ht="15.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c r="AA389" s="93"/>
      <c r="AB389" s="93"/>
    </row>
    <row r="390" ht="15.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c r="AA390" s="93"/>
      <c r="AB390" s="93"/>
    </row>
    <row r="391" ht="15.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c r="AA391" s="93"/>
      <c r="AB391" s="93"/>
    </row>
    <row r="392" ht="15.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c r="AA392" s="93"/>
      <c r="AB392" s="93"/>
    </row>
    <row r="393" ht="15.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c r="AA393" s="93"/>
      <c r="AB393" s="93"/>
    </row>
    <row r="394" ht="15.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c r="AA394" s="93"/>
      <c r="AB394" s="93"/>
    </row>
    <row r="395" ht="15.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c r="AA395" s="93"/>
      <c r="AB395" s="93"/>
    </row>
    <row r="396" ht="15.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c r="AA396" s="93"/>
      <c r="AB396" s="93"/>
    </row>
    <row r="397" ht="15.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c r="AA397" s="93"/>
      <c r="AB397" s="93"/>
    </row>
    <row r="398" ht="15.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c r="AA398" s="93"/>
      <c r="AB398" s="93"/>
    </row>
    <row r="399" ht="15.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c r="AA399" s="93"/>
      <c r="AB399" s="93"/>
    </row>
    <row r="400" ht="15.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c r="AA400" s="93"/>
      <c r="AB400" s="93"/>
    </row>
    <row r="401" ht="15.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c r="AA401" s="93"/>
      <c r="AB401" s="93"/>
    </row>
    <row r="402" ht="15.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c r="AA402" s="93"/>
      <c r="AB402" s="93"/>
    </row>
    <row r="403" ht="15.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c r="AA403" s="93"/>
      <c r="AB403" s="93"/>
    </row>
    <row r="404" ht="15.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c r="AA404" s="93"/>
      <c r="AB404" s="93"/>
    </row>
    <row r="405" ht="15.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c r="AA405" s="93"/>
      <c r="AB405" s="93"/>
    </row>
    <row r="406" ht="15.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c r="AA406" s="93"/>
      <c r="AB406" s="93"/>
    </row>
    <row r="407" ht="15.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c r="AA407" s="93"/>
      <c r="AB407" s="93"/>
    </row>
    <row r="408" ht="15.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c r="AA408" s="93"/>
      <c r="AB408" s="93"/>
    </row>
    <row r="409" ht="15.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c r="AA409" s="93"/>
      <c r="AB409" s="93"/>
    </row>
    <row r="410" ht="15.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c r="AA410" s="93"/>
      <c r="AB410" s="93"/>
    </row>
    <row r="411" ht="15.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c r="AA411" s="93"/>
      <c r="AB411" s="93"/>
    </row>
    <row r="412" ht="15.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c r="AA412" s="93"/>
      <c r="AB412" s="93"/>
    </row>
    <row r="413" ht="15.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c r="AA413" s="93"/>
      <c r="AB413" s="93"/>
    </row>
    <row r="414" ht="15.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c r="AA414" s="93"/>
      <c r="AB414" s="93"/>
    </row>
    <row r="415" ht="15.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c r="AA415" s="93"/>
      <c r="AB415" s="93"/>
    </row>
    <row r="416" ht="15.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c r="AA416" s="93"/>
      <c r="AB416" s="93"/>
    </row>
    <row r="417" ht="15.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c r="AA417" s="93"/>
      <c r="AB417" s="93"/>
    </row>
    <row r="418" ht="15.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c r="AA418" s="93"/>
      <c r="AB418" s="93"/>
    </row>
    <row r="419" ht="15.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c r="AA419" s="93"/>
      <c r="AB419" s="93"/>
    </row>
    <row r="420" ht="15.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c r="AA420" s="93"/>
      <c r="AB420" s="93"/>
    </row>
    <row r="421" ht="15.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c r="AA421" s="93"/>
      <c r="AB421" s="93"/>
    </row>
    <row r="422" ht="15.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c r="AA422" s="93"/>
      <c r="AB422" s="93"/>
    </row>
    <row r="423" ht="15.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c r="AA423" s="93"/>
      <c r="AB423" s="93"/>
    </row>
    <row r="424" ht="15.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c r="AA424" s="93"/>
      <c r="AB424" s="93"/>
    </row>
    <row r="425" ht="15.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c r="AA425" s="93"/>
      <c r="AB425" s="93"/>
    </row>
    <row r="426" ht="15.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c r="AA426" s="93"/>
      <c r="AB426" s="93"/>
    </row>
    <row r="427" ht="15.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c r="AA427" s="93"/>
      <c r="AB427" s="93"/>
    </row>
    <row r="428" ht="15.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c r="AA428" s="93"/>
      <c r="AB428" s="93"/>
    </row>
    <row r="429" ht="15.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c r="AA429" s="93"/>
      <c r="AB429" s="93"/>
    </row>
    <row r="430" ht="15.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c r="AA430" s="93"/>
      <c r="AB430" s="93"/>
    </row>
    <row r="431" ht="15.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c r="AA431" s="93"/>
      <c r="AB431" s="93"/>
    </row>
    <row r="432" ht="15.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c r="AA432" s="93"/>
      <c r="AB432" s="93"/>
    </row>
    <row r="433" ht="15.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c r="AA433" s="93"/>
      <c r="AB433" s="93"/>
    </row>
    <row r="434" ht="15.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c r="AA434" s="93"/>
      <c r="AB434" s="93"/>
    </row>
    <row r="435" ht="15.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c r="AA435" s="93"/>
      <c r="AB435" s="93"/>
    </row>
    <row r="436" ht="15.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c r="AA436" s="93"/>
      <c r="AB436" s="93"/>
    </row>
    <row r="437" ht="15.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c r="AA437" s="93"/>
      <c r="AB437" s="93"/>
    </row>
    <row r="438" ht="15.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c r="AA438" s="93"/>
      <c r="AB438" s="93"/>
    </row>
    <row r="439" ht="15.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c r="AA439" s="93"/>
      <c r="AB439" s="93"/>
    </row>
    <row r="440" ht="15.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c r="AA440" s="93"/>
      <c r="AB440" s="93"/>
    </row>
    <row r="441" ht="15.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c r="AA441" s="93"/>
      <c r="AB441" s="93"/>
    </row>
    <row r="442" ht="15.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c r="AA442" s="93"/>
      <c r="AB442" s="93"/>
    </row>
    <row r="443" ht="15.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c r="AA443" s="93"/>
      <c r="AB443" s="93"/>
    </row>
    <row r="444" ht="15.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c r="AA444" s="93"/>
      <c r="AB444" s="93"/>
    </row>
    <row r="445" ht="15.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c r="AA445" s="93"/>
      <c r="AB445" s="93"/>
    </row>
    <row r="446" ht="15.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c r="AA446" s="93"/>
      <c r="AB446" s="93"/>
    </row>
    <row r="447" ht="15.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c r="AA447" s="93"/>
      <c r="AB447" s="93"/>
    </row>
    <row r="448" ht="15.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c r="AA448" s="93"/>
      <c r="AB448" s="93"/>
    </row>
    <row r="449" ht="15.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c r="AA449" s="93"/>
      <c r="AB449" s="93"/>
    </row>
    <row r="450" ht="15.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c r="AA450" s="93"/>
      <c r="AB450" s="93"/>
    </row>
    <row r="451" ht="15.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c r="AA451" s="93"/>
      <c r="AB451" s="93"/>
    </row>
    <row r="452" ht="15.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c r="AA452" s="93"/>
      <c r="AB452" s="93"/>
    </row>
    <row r="453" ht="15.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c r="AA453" s="93"/>
      <c r="AB453" s="93"/>
    </row>
    <row r="454" ht="15.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c r="AA454" s="93"/>
      <c r="AB454" s="93"/>
    </row>
    <row r="455" ht="15.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c r="AA455" s="93"/>
      <c r="AB455" s="93"/>
    </row>
    <row r="456" ht="15.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c r="AA456" s="93"/>
      <c r="AB456" s="93"/>
    </row>
    <row r="457" ht="15.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c r="AA457" s="93"/>
      <c r="AB457" s="93"/>
    </row>
    <row r="458" ht="15.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c r="AA458" s="93"/>
      <c r="AB458" s="93"/>
    </row>
    <row r="459" ht="15.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c r="AA459" s="93"/>
      <c r="AB459" s="93"/>
    </row>
    <row r="460" ht="15.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c r="AA460" s="93"/>
      <c r="AB460" s="93"/>
    </row>
    <row r="461" ht="15.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c r="AA461" s="93"/>
      <c r="AB461" s="93"/>
    </row>
    <row r="462" ht="15.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c r="AA462" s="93"/>
      <c r="AB462" s="93"/>
    </row>
    <row r="463" ht="15.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c r="AA463" s="93"/>
      <c r="AB463" s="93"/>
    </row>
    <row r="464" ht="15.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c r="AA464" s="93"/>
      <c r="AB464" s="93"/>
    </row>
    <row r="465" ht="15.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c r="AA465" s="93"/>
      <c r="AB465" s="93"/>
    </row>
    <row r="466" ht="15.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c r="AA466" s="93"/>
      <c r="AB466" s="93"/>
    </row>
    <row r="467" ht="15.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c r="AA467" s="93"/>
      <c r="AB467" s="93"/>
    </row>
    <row r="468" ht="15.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c r="AA468" s="93"/>
      <c r="AB468" s="93"/>
    </row>
    <row r="469" ht="15.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c r="AA469" s="93"/>
      <c r="AB469" s="93"/>
    </row>
    <row r="470" ht="15.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c r="AA470" s="93"/>
      <c r="AB470" s="93"/>
    </row>
    <row r="471" ht="15.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c r="AA471" s="93"/>
      <c r="AB471" s="93"/>
    </row>
    <row r="472" ht="15.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c r="AA472" s="93"/>
      <c r="AB472" s="93"/>
    </row>
    <row r="473" ht="15.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c r="AA473" s="93"/>
      <c r="AB473" s="93"/>
    </row>
    <row r="474" ht="15.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c r="AA474" s="93"/>
      <c r="AB474" s="93"/>
    </row>
    <row r="475" ht="15.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c r="AA475" s="93"/>
      <c r="AB475" s="93"/>
    </row>
    <row r="476" ht="15.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c r="AA476" s="93"/>
      <c r="AB476" s="93"/>
    </row>
    <row r="477" ht="15.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c r="AA477" s="93"/>
      <c r="AB477" s="93"/>
    </row>
    <row r="478" ht="15.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c r="AA478" s="93"/>
      <c r="AB478" s="93"/>
    </row>
    <row r="479" ht="15.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c r="AA479" s="93"/>
      <c r="AB479" s="93"/>
    </row>
    <row r="480" ht="15.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c r="AA480" s="93"/>
      <c r="AB480" s="93"/>
    </row>
    <row r="481" ht="15.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c r="AA481" s="93"/>
      <c r="AB481" s="93"/>
    </row>
    <row r="482" ht="15.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c r="AA482" s="93"/>
      <c r="AB482" s="93"/>
    </row>
    <row r="483" ht="15.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c r="AA483" s="93"/>
      <c r="AB483" s="93"/>
    </row>
    <row r="484" ht="15.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c r="AA484" s="93"/>
      <c r="AB484" s="93"/>
    </row>
    <row r="485" ht="15.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c r="AA485" s="93"/>
      <c r="AB485" s="93"/>
    </row>
    <row r="486" ht="15.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c r="AA486" s="93"/>
      <c r="AB486" s="93"/>
    </row>
    <row r="487" ht="15.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c r="AA487" s="93"/>
      <c r="AB487" s="93"/>
    </row>
    <row r="488" ht="15.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c r="AA488" s="93"/>
      <c r="AB488" s="93"/>
    </row>
    <row r="489" ht="15.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c r="AA489" s="93"/>
      <c r="AB489" s="93"/>
    </row>
    <row r="490" ht="15.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c r="AA490" s="93"/>
      <c r="AB490" s="93"/>
    </row>
    <row r="491" ht="15.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c r="AA491" s="93"/>
      <c r="AB491" s="93"/>
    </row>
    <row r="492" ht="15.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c r="AA492" s="93"/>
      <c r="AB492" s="93"/>
    </row>
    <row r="493" ht="15.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c r="AA493" s="93"/>
      <c r="AB493" s="93"/>
    </row>
    <row r="494" ht="15.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c r="AA494" s="93"/>
      <c r="AB494" s="93"/>
    </row>
    <row r="495" ht="15.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c r="AA495" s="93"/>
      <c r="AB495" s="93"/>
    </row>
    <row r="496" ht="15.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c r="AA496" s="93"/>
      <c r="AB496" s="93"/>
    </row>
    <row r="497" ht="15.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c r="AA497" s="93"/>
      <c r="AB497" s="93"/>
    </row>
    <row r="498" ht="15.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c r="AA498" s="93"/>
      <c r="AB498" s="93"/>
    </row>
    <row r="499" ht="15.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c r="AA499" s="93"/>
      <c r="AB499" s="93"/>
    </row>
    <row r="500" ht="15.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c r="AA500" s="93"/>
      <c r="AB500" s="93"/>
    </row>
    <row r="501" ht="15.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c r="AA501" s="93"/>
      <c r="AB501" s="93"/>
    </row>
    <row r="502" ht="15.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c r="AA502" s="93"/>
      <c r="AB502" s="93"/>
    </row>
    <row r="503" ht="15.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c r="AA503" s="93"/>
      <c r="AB503" s="93"/>
    </row>
    <row r="504" ht="15.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c r="AA504" s="93"/>
      <c r="AB504" s="93"/>
    </row>
    <row r="505" ht="15.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c r="AA505" s="93"/>
      <c r="AB505" s="93"/>
    </row>
    <row r="506" ht="15.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c r="AA506" s="93"/>
      <c r="AB506" s="93"/>
    </row>
    <row r="507" ht="15.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c r="AA507" s="93"/>
      <c r="AB507" s="93"/>
    </row>
    <row r="508" ht="15.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c r="AA508" s="93"/>
      <c r="AB508" s="93"/>
    </row>
    <row r="509" ht="15.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c r="AA509" s="93"/>
      <c r="AB509" s="93"/>
    </row>
    <row r="510" ht="15.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c r="AA510" s="93"/>
      <c r="AB510" s="93"/>
    </row>
    <row r="511" ht="15.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c r="AA511" s="93"/>
      <c r="AB511" s="93"/>
    </row>
    <row r="512" ht="15.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c r="AA512" s="93"/>
      <c r="AB512" s="93"/>
    </row>
    <row r="513" ht="15.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c r="AA513" s="93"/>
      <c r="AB513" s="93"/>
    </row>
    <row r="514" ht="15.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c r="AA514" s="93"/>
      <c r="AB514" s="93"/>
    </row>
    <row r="515" ht="15.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c r="AA515" s="93"/>
      <c r="AB515" s="93"/>
    </row>
    <row r="516" ht="15.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c r="AA516" s="93"/>
      <c r="AB516" s="93"/>
    </row>
    <row r="517" ht="15.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c r="AA517" s="93"/>
      <c r="AB517" s="93"/>
    </row>
    <row r="518" ht="15.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c r="AA518" s="93"/>
      <c r="AB518" s="93"/>
    </row>
    <row r="519" ht="15.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c r="AA519" s="93"/>
      <c r="AB519" s="93"/>
    </row>
    <row r="520" ht="15.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c r="AA520" s="93"/>
      <c r="AB520" s="93"/>
    </row>
    <row r="521" ht="15.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c r="AA521" s="93"/>
      <c r="AB521" s="93"/>
    </row>
    <row r="522" ht="15.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c r="AA522" s="93"/>
      <c r="AB522" s="93"/>
    </row>
    <row r="523" ht="15.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c r="AA523" s="93"/>
      <c r="AB523" s="93"/>
    </row>
    <row r="524" ht="15.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c r="AA524" s="93"/>
      <c r="AB524" s="93"/>
    </row>
    <row r="525" ht="15.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c r="AA525" s="93"/>
      <c r="AB525" s="93"/>
    </row>
    <row r="526" ht="15.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c r="AA526" s="93"/>
      <c r="AB526" s="93"/>
    </row>
    <row r="527" ht="15.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c r="AA527" s="93"/>
      <c r="AB527" s="93"/>
    </row>
    <row r="528" ht="15.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c r="AA528" s="93"/>
      <c r="AB528" s="93"/>
    </row>
    <row r="529" ht="15.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c r="AA529" s="93"/>
      <c r="AB529" s="93"/>
    </row>
    <row r="530" ht="15.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c r="AA530" s="93"/>
      <c r="AB530" s="93"/>
    </row>
    <row r="531" ht="15.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c r="AA531" s="93"/>
      <c r="AB531" s="93"/>
    </row>
    <row r="532" ht="15.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c r="AA532" s="93"/>
      <c r="AB532" s="93"/>
    </row>
    <row r="533" ht="15.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c r="AA533" s="93"/>
      <c r="AB533" s="93"/>
    </row>
    <row r="534" ht="15.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c r="AA534" s="93"/>
      <c r="AB534" s="93"/>
    </row>
    <row r="535" ht="15.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c r="AA535" s="93"/>
      <c r="AB535" s="93"/>
    </row>
    <row r="536" ht="15.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c r="AA536" s="93"/>
      <c r="AB536" s="93"/>
    </row>
    <row r="537" ht="15.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c r="AA537" s="93"/>
      <c r="AB537" s="93"/>
    </row>
    <row r="538" ht="15.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c r="AA538" s="93"/>
      <c r="AB538" s="93"/>
    </row>
    <row r="539" ht="15.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c r="AA539" s="93"/>
      <c r="AB539" s="93"/>
    </row>
    <row r="540" ht="15.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c r="AA540" s="93"/>
      <c r="AB540" s="93"/>
    </row>
    <row r="541" ht="15.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c r="AA541" s="93"/>
      <c r="AB541" s="93"/>
    </row>
    <row r="542" ht="15.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c r="AA542" s="93"/>
      <c r="AB542" s="93"/>
    </row>
    <row r="543" ht="15.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c r="AA543" s="93"/>
      <c r="AB543" s="93"/>
    </row>
    <row r="544" ht="15.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c r="AA544" s="93"/>
      <c r="AB544" s="93"/>
    </row>
    <row r="545" ht="15.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c r="AA545" s="93"/>
      <c r="AB545" s="93"/>
    </row>
    <row r="546" ht="15.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c r="AA546" s="93"/>
      <c r="AB546" s="93"/>
    </row>
    <row r="547" ht="15.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c r="AA547" s="93"/>
      <c r="AB547" s="93"/>
    </row>
    <row r="548" ht="15.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c r="AA548" s="93"/>
      <c r="AB548" s="93"/>
    </row>
    <row r="549" ht="15.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c r="AA549" s="93"/>
      <c r="AB549" s="93"/>
    </row>
    <row r="550" ht="15.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c r="AA550" s="93"/>
      <c r="AB550" s="93"/>
    </row>
    <row r="551" ht="15.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c r="AA551" s="93"/>
      <c r="AB551" s="93"/>
    </row>
    <row r="552" ht="15.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c r="AA552" s="93"/>
      <c r="AB552" s="93"/>
    </row>
    <row r="553" ht="15.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c r="AA553" s="93"/>
      <c r="AB553" s="93"/>
    </row>
    <row r="554" ht="15.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c r="AA554" s="93"/>
      <c r="AB554" s="93"/>
    </row>
    <row r="555" ht="15.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c r="AA555" s="93"/>
      <c r="AB555" s="93"/>
    </row>
    <row r="556" ht="15.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c r="AA556" s="93"/>
      <c r="AB556" s="93"/>
    </row>
    <row r="557" ht="15.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c r="AA557" s="93"/>
      <c r="AB557" s="93"/>
    </row>
    <row r="558" ht="15.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c r="AA558" s="93"/>
      <c r="AB558" s="93"/>
    </row>
    <row r="559" ht="15.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c r="AA559" s="93"/>
      <c r="AB559" s="93"/>
    </row>
    <row r="560" ht="15.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c r="AA560" s="93"/>
      <c r="AB560" s="93"/>
    </row>
    <row r="561" ht="15.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c r="AA561" s="93"/>
      <c r="AB561" s="93"/>
    </row>
    <row r="562" ht="15.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c r="AA562" s="93"/>
      <c r="AB562" s="93"/>
    </row>
    <row r="563" ht="15.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c r="AA563" s="93"/>
      <c r="AB563" s="93"/>
    </row>
    <row r="564" ht="15.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c r="AA564" s="93"/>
      <c r="AB564" s="93"/>
    </row>
    <row r="565" ht="15.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c r="AA565" s="93"/>
      <c r="AB565" s="93"/>
    </row>
    <row r="566" ht="15.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c r="AA566" s="93"/>
      <c r="AB566" s="93"/>
    </row>
    <row r="567" ht="15.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c r="AA567" s="93"/>
      <c r="AB567" s="93"/>
    </row>
    <row r="568" ht="15.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c r="AA568" s="93"/>
      <c r="AB568" s="93"/>
    </row>
    <row r="569" ht="15.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c r="AA569" s="93"/>
      <c r="AB569" s="93"/>
    </row>
    <row r="570" ht="15.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c r="AA570" s="93"/>
      <c r="AB570" s="93"/>
    </row>
    <row r="571" ht="15.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c r="AA571" s="93"/>
      <c r="AB571" s="93"/>
    </row>
    <row r="572" ht="15.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c r="AA572" s="93"/>
      <c r="AB572" s="93"/>
    </row>
    <row r="573" ht="15.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row>
    <row r="574" ht="15.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row>
    <row r="575" ht="15.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row>
    <row r="576" ht="15.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row>
    <row r="577" ht="15.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row>
    <row r="578" ht="15.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row>
    <row r="579" ht="15.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c r="AA579" s="93"/>
      <c r="AB579" s="93"/>
    </row>
    <row r="580" ht="15.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c r="AA580" s="93"/>
      <c r="AB580" s="93"/>
    </row>
    <row r="581" ht="15.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c r="AA581" s="93"/>
      <c r="AB581" s="93"/>
    </row>
    <row r="582" ht="15.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c r="AA582" s="93"/>
      <c r="AB582" s="93"/>
    </row>
    <row r="583" ht="15.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c r="AA583" s="93"/>
      <c r="AB583" s="93"/>
    </row>
    <row r="584" ht="15.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c r="AA584" s="93"/>
      <c r="AB584" s="93"/>
    </row>
    <row r="585" ht="15.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c r="AA585" s="93"/>
      <c r="AB585" s="93"/>
    </row>
    <row r="586" ht="15.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c r="AA586" s="93"/>
      <c r="AB586" s="93"/>
    </row>
    <row r="587" ht="15.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c r="AA587" s="93"/>
      <c r="AB587" s="93"/>
    </row>
    <row r="588" ht="15.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c r="AA588" s="93"/>
      <c r="AB588" s="93"/>
    </row>
    <row r="589" ht="15.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c r="AA589" s="93"/>
      <c r="AB589" s="93"/>
    </row>
    <row r="590" ht="15.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c r="AA590" s="93"/>
      <c r="AB590" s="93"/>
    </row>
    <row r="591" ht="15.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c r="AA591" s="93"/>
      <c r="AB591" s="93"/>
    </row>
    <row r="592" ht="15.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c r="AA592" s="93"/>
      <c r="AB592" s="93"/>
    </row>
    <row r="593" ht="15.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c r="AA593" s="93"/>
      <c r="AB593" s="93"/>
    </row>
    <row r="594" ht="15.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c r="AA594" s="93"/>
      <c r="AB594" s="93"/>
    </row>
    <row r="595" ht="15.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c r="AA595" s="93"/>
      <c r="AB595" s="93"/>
    </row>
    <row r="596" ht="15.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c r="AA596" s="93"/>
      <c r="AB596" s="93"/>
    </row>
    <row r="597" ht="15.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c r="AA597" s="93"/>
      <c r="AB597" s="93"/>
    </row>
    <row r="598" ht="15.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c r="AA598" s="93"/>
      <c r="AB598" s="93"/>
    </row>
    <row r="599" ht="15.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c r="AA599" s="93"/>
      <c r="AB599" s="93"/>
    </row>
    <row r="600" ht="15.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c r="AA600" s="93"/>
      <c r="AB600" s="93"/>
    </row>
    <row r="601" ht="15.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c r="AA601" s="93"/>
      <c r="AB601" s="93"/>
    </row>
    <row r="602" ht="15.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c r="AA602" s="93"/>
      <c r="AB602" s="93"/>
    </row>
    <row r="603" ht="15.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c r="AA603" s="93"/>
      <c r="AB603" s="93"/>
    </row>
    <row r="604" ht="15.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c r="AA604" s="93"/>
      <c r="AB604" s="93"/>
    </row>
    <row r="605" ht="15.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c r="AA605" s="93"/>
      <c r="AB605" s="93"/>
    </row>
    <row r="606" ht="15.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c r="AA606" s="93"/>
      <c r="AB606" s="93"/>
    </row>
    <row r="607" ht="15.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c r="AA607" s="93"/>
      <c r="AB607" s="93"/>
    </row>
    <row r="608" ht="15.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c r="AA608" s="93"/>
      <c r="AB608" s="93"/>
    </row>
    <row r="609" ht="15.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c r="AA609" s="93"/>
      <c r="AB609" s="93"/>
    </row>
    <row r="610" ht="15.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c r="AA610" s="93"/>
      <c r="AB610" s="93"/>
    </row>
    <row r="611" ht="15.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c r="AA611" s="93"/>
      <c r="AB611" s="93"/>
    </row>
    <row r="612" ht="15.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c r="AA612" s="93"/>
      <c r="AB612" s="93"/>
    </row>
    <row r="613" ht="15.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c r="AA613" s="93"/>
      <c r="AB613" s="93"/>
    </row>
    <row r="614" ht="15.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c r="AA614" s="93"/>
      <c r="AB614" s="93"/>
    </row>
    <row r="615" ht="15.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c r="AA615" s="93"/>
      <c r="AB615" s="93"/>
    </row>
    <row r="616" ht="15.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c r="AA616" s="93"/>
      <c r="AB616" s="93"/>
    </row>
    <row r="617" ht="15.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c r="AA617" s="93"/>
      <c r="AB617" s="93"/>
    </row>
    <row r="618" ht="15.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c r="AA618" s="93"/>
      <c r="AB618" s="93"/>
    </row>
    <row r="619" ht="15.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c r="AA619" s="93"/>
      <c r="AB619" s="93"/>
    </row>
    <row r="620" ht="15.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c r="AA620" s="93"/>
      <c r="AB620" s="93"/>
    </row>
    <row r="621" ht="15.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c r="AA621" s="93"/>
      <c r="AB621" s="93"/>
    </row>
    <row r="622" ht="15.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c r="AA622" s="93"/>
      <c r="AB622" s="93"/>
    </row>
    <row r="623" ht="15.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c r="AA623" s="93"/>
      <c r="AB623" s="93"/>
    </row>
    <row r="624" ht="15.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c r="AA624" s="93"/>
      <c r="AB624" s="93"/>
    </row>
    <row r="625" ht="15.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c r="AA625" s="93"/>
      <c r="AB625" s="93"/>
    </row>
    <row r="626" ht="15.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c r="AA626" s="93"/>
      <c r="AB626" s="93"/>
    </row>
    <row r="627" ht="15.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c r="AA627" s="93"/>
      <c r="AB627" s="93"/>
    </row>
    <row r="628" ht="15.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c r="AA628" s="93"/>
      <c r="AB628" s="93"/>
    </row>
    <row r="629" ht="15.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c r="AA629" s="93"/>
      <c r="AB629" s="93"/>
    </row>
    <row r="630" ht="15.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c r="AA630" s="93"/>
      <c r="AB630" s="93"/>
    </row>
    <row r="631" ht="15.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c r="AA631" s="93"/>
      <c r="AB631" s="93"/>
    </row>
    <row r="632" ht="15.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c r="AA632" s="93"/>
      <c r="AB632" s="93"/>
    </row>
    <row r="633" ht="15.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c r="AA633" s="93"/>
      <c r="AB633" s="93"/>
    </row>
    <row r="634" ht="15.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c r="AA634" s="93"/>
      <c r="AB634" s="93"/>
    </row>
    <row r="635" ht="15.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c r="AA635" s="93"/>
      <c r="AB635" s="93"/>
    </row>
    <row r="636" ht="15.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c r="AA636" s="93"/>
      <c r="AB636" s="93"/>
    </row>
    <row r="637" ht="15.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c r="AA637" s="93"/>
      <c r="AB637" s="93"/>
    </row>
    <row r="638" ht="15.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c r="AA638" s="93"/>
      <c r="AB638" s="93"/>
    </row>
    <row r="639" ht="15.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c r="AA639" s="93"/>
      <c r="AB639" s="93"/>
    </row>
    <row r="640" ht="15.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c r="AA640" s="93"/>
      <c r="AB640" s="93"/>
    </row>
    <row r="641" ht="15.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c r="AA641" s="93"/>
      <c r="AB641" s="93"/>
    </row>
    <row r="642" ht="15.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c r="AA642" s="93"/>
      <c r="AB642" s="93"/>
    </row>
    <row r="643" ht="15.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c r="AA643" s="93"/>
      <c r="AB643" s="93"/>
    </row>
    <row r="644" ht="15.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c r="AA644" s="93"/>
      <c r="AB644" s="93"/>
    </row>
    <row r="645" ht="15.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c r="AA645" s="93"/>
      <c r="AB645" s="93"/>
    </row>
    <row r="646" ht="15.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c r="AA646" s="93"/>
      <c r="AB646" s="93"/>
    </row>
    <row r="647" ht="15.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c r="AA647" s="93"/>
      <c r="AB647" s="93"/>
    </row>
    <row r="648" ht="15.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c r="AA648" s="93"/>
      <c r="AB648" s="93"/>
    </row>
    <row r="649" ht="15.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c r="AA649" s="93"/>
      <c r="AB649" s="93"/>
    </row>
    <row r="650" ht="15.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c r="AA650" s="93"/>
      <c r="AB650" s="93"/>
    </row>
    <row r="651" ht="15.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c r="AA651" s="93"/>
      <c r="AB651" s="93"/>
    </row>
    <row r="652" ht="15.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c r="AA652" s="93"/>
      <c r="AB652" s="93"/>
    </row>
    <row r="653" ht="15.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c r="AA653" s="93"/>
      <c r="AB653" s="93"/>
    </row>
    <row r="654" ht="15.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c r="AA654" s="93"/>
      <c r="AB654" s="93"/>
    </row>
    <row r="655" ht="15.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c r="AA655" s="93"/>
      <c r="AB655" s="93"/>
    </row>
    <row r="656" ht="15.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c r="AA656" s="93"/>
      <c r="AB656" s="93"/>
    </row>
    <row r="657" ht="15.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c r="AA657" s="93"/>
      <c r="AB657" s="93"/>
    </row>
    <row r="658" ht="15.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c r="AA658" s="93"/>
      <c r="AB658" s="93"/>
    </row>
    <row r="659" ht="15.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c r="AA659" s="93"/>
      <c r="AB659" s="93"/>
    </row>
    <row r="660" ht="15.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c r="AA660" s="93"/>
      <c r="AB660" s="93"/>
    </row>
    <row r="661" ht="15.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c r="AA661" s="93"/>
      <c r="AB661" s="93"/>
    </row>
    <row r="662" ht="15.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c r="AA662" s="93"/>
      <c r="AB662" s="93"/>
    </row>
    <row r="663" ht="15.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c r="AA663" s="93"/>
      <c r="AB663" s="93"/>
    </row>
    <row r="664" ht="15.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c r="AA664" s="93"/>
      <c r="AB664" s="93"/>
    </row>
    <row r="665" ht="15.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c r="AA665" s="93"/>
      <c r="AB665" s="93"/>
    </row>
    <row r="666" ht="15.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c r="AA666" s="93"/>
      <c r="AB666" s="93"/>
    </row>
    <row r="667" ht="15.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c r="AA667" s="93"/>
      <c r="AB667" s="93"/>
    </row>
    <row r="668" ht="15.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c r="AA668" s="93"/>
      <c r="AB668" s="93"/>
    </row>
    <row r="669" ht="15.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c r="AA669" s="93"/>
      <c r="AB669" s="93"/>
    </row>
    <row r="670" ht="15.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c r="AA670" s="93"/>
      <c r="AB670" s="93"/>
    </row>
    <row r="671" ht="15.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c r="AA671" s="93"/>
      <c r="AB671" s="93"/>
    </row>
    <row r="672" ht="15.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c r="AA672" s="93"/>
      <c r="AB672" s="93"/>
    </row>
    <row r="673" ht="15.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c r="AA673" s="93"/>
      <c r="AB673" s="93"/>
    </row>
    <row r="674" ht="15.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c r="AA674" s="93"/>
      <c r="AB674" s="93"/>
    </row>
    <row r="675" ht="15.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c r="AA675" s="93"/>
      <c r="AB675" s="93"/>
    </row>
    <row r="676" ht="15.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c r="AA676" s="93"/>
      <c r="AB676" s="93"/>
    </row>
    <row r="677" ht="15.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c r="AA677" s="93"/>
      <c r="AB677" s="93"/>
    </row>
    <row r="678" ht="15.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c r="AA678" s="93"/>
      <c r="AB678" s="93"/>
    </row>
    <row r="679" ht="15.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c r="AA679" s="93"/>
      <c r="AB679" s="93"/>
    </row>
    <row r="680" ht="15.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c r="AA680" s="93"/>
      <c r="AB680" s="93"/>
    </row>
    <row r="681" ht="15.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c r="AA681" s="93"/>
      <c r="AB681" s="93"/>
    </row>
    <row r="682" ht="15.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c r="AA682" s="93"/>
      <c r="AB682" s="93"/>
    </row>
    <row r="683" ht="15.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c r="AA683" s="93"/>
      <c r="AB683" s="93"/>
    </row>
    <row r="684" ht="15.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c r="AA684" s="93"/>
      <c r="AB684" s="93"/>
    </row>
    <row r="685" ht="15.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c r="AA685" s="93"/>
      <c r="AB685" s="93"/>
    </row>
    <row r="686" ht="15.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c r="AA686" s="93"/>
      <c r="AB686" s="93"/>
    </row>
    <row r="687" ht="15.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c r="AA687" s="93"/>
      <c r="AB687" s="93"/>
    </row>
    <row r="688" ht="15.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c r="AA688" s="93"/>
      <c r="AB688" s="93"/>
    </row>
    <row r="689" ht="15.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c r="AA689" s="93"/>
      <c r="AB689" s="93"/>
    </row>
    <row r="690" ht="15.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c r="AA690" s="93"/>
      <c r="AB690" s="93"/>
    </row>
    <row r="691" ht="15.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c r="AA691" s="93"/>
      <c r="AB691" s="93"/>
    </row>
    <row r="692" ht="15.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c r="AA692" s="93"/>
      <c r="AB692" s="93"/>
    </row>
    <row r="693" ht="15.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c r="AA693" s="93"/>
      <c r="AB693" s="93"/>
    </row>
    <row r="694" ht="15.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c r="AA694" s="93"/>
      <c r="AB694" s="93"/>
    </row>
    <row r="695" ht="15.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c r="AA695" s="93"/>
      <c r="AB695" s="93"/>
    </row>
    <row r="696" ht="15.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c r="AA696" s="93"/>
      <c r="AB696" s="93"/>
    </row>
    <row r="697" ht="15.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c r="AA697" s="93"/>
      <c r="AB697" s="93"/>
    </row>
    <row r="698" ht="15.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c r="AA698" s="93"/>
      <c r="AB698" s="93"/>
    </row>
    <row r="699" ht="15.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c r="AA699" s="93"/>
      <c r="AB699" s="93"/>
    </row>
    <row r="700" ht="15.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c r="AA700" s="93"/>
      <c r="AB700" s="93"/>
    </row>
    <row r="701" ht="15.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c r="AA701" s="93"/>
      <c r="AB701" s="93"/>
    </row>
    <row r="702" ht="15.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c r="AA702" s="93"/>
      <c r="AB702" s="93"/>
    </row>
    <row r="703" ht="15.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c r="AA703" s="93"/>
      <c r="AB703" s="93"/>
    </row>
    <row r="704" ht="15.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c r="AA704" s="93"/>
      <c r="AB704" s="93"/>
    </row>
    <row r="705" ht="15.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c r="AA705" s="93"/>
      <c r="AB705" s="93"/>
    </row>
    <row r="706" ht="15.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c r="AA706" s="93"/>
      <c r="AB706" s="93"/>
    </row>
    <row r="707" ht="15.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c r="AA707" s="93"/>
      <c r="AB707" s="93"/>
    </row>
    <row r="708" ht="15.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c r="AA708" s="93"/>
      <c r="AB708" s="93"/>
    </row>
    <row r="709" ht="15.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c r="AA709" s="93"/>
      <c r="AB709" s="93"/>
    </row>
    <row r="710" ht="15.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c r="AA710" s="93"/>
      <c r="AB710" s="93"/>
    </row>
    <row r="711" ht="15.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c r="AA711" s="93"/>
      <c r="AB711" s="93"/>
    </row>
    <row r="712" ht="15.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c r="AA712" s="93"/>
      <c r="AB712" s="93"/>
    </row>
    <row r="713" ht="15.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c r="AA713" s="93"/>
      <c r="AB713" s="93"/>
    </row>
    <row r="714" ht="15.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c r="AA714" s="93"/>
      <c r="AB714" s="93"/>
    </row>
    <row r="715" ht="15.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c r="AA715" s="93"/>
      <c r="AB715" s="93"/>
    </row>
    <row r="716" ht="15.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c r="AA716" s="93"/>
      <c r="AB716" s="93"/>
    </row>
    <row r="717" ht="15.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c r="AA717" s="93"/>
      <c r="AB717" s="93"/>
    </row>
    <row r="718" ht="15.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c r="AA718" s="93"/>
      <c r="AB718" s="93"/>
    </row>
    <row r="719" ht="15.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c r="AA719" s="93"/>
      <c r="AB719" s="93"/>
    </row>
    <row r="720" ht="15.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c r="AA720" s="93"/>
      <c r="AB720" s="93"/>
    </row>
    <row r="721" ht="15.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c r="AA721" s="93"/>
      <c r="AB721" s="93"/>
    </row>
    <row r="722" ht="15.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c r="AA722" s="93"/>
      <c r="AB722" s="93"/>
    </row>
    <row r="723" ht="15.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c r="AA723" s="93"/>
      <c r="AB723" s="93"/>
    </row>
    <row r="724" ht="15.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c r="AA724" s="93"/>
      <c r="AB724" s="93"/>
    </row>
    <row r="725" ht="15.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c r="AA725" s="93"/>
      <c r="AB725" s="93"/>
    </row>
    <row r="726" ht="15.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c r="AA726" s="93"/>
      <c r="AB726" s="93"/>
    </row>
    <row r="727" ht="15.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c r="AA727" s="93"/>
      <c r="AB727" s="93"/>
    </row>
    <row r="728" ht="15.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c r="AA728" s="93"/>
      <c r="AB728" s="93"/>
    </row>
    <row r="729" ht="15.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c r="AA729" s="93"/>
      <c r="AB729" s="93"/>
    </row>
    <row r="730" ht="15.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c r="AA730" s="93"/>
      <c r="AB730" s="93"/>
    </row>
    <row r="731" ht="15.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c r="AA731" s="93"/>
      <c r="AB731" s="93"/>
    </row>
    <row r="732" ht="15.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c r="AA732" s="93"/>
      <c r="AB732" s="93"/>
    </row>
    <row r="733" ht="15.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c r="AA733" s="93"/>
      <c r="AB733" s="93"/>
    </row>
    <row r="734" ht="15.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c r="AA734" s="93"/>
      <c r="AB734" s="93"/>
    </row>
    <row r="735" ht="15.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c r="AA735" s="93"/>
      <c r="AB735" s="93"/>
    </row>
    <row r="736" ht="15.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c r="AA736" s="93"/>
      <c r="AB736" s="93"/>
    </row>
    <row r="737" ht="15.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c r="AA737" s="93"/>
      <c r="AB737" s="93"/>
    </row>
    <row r="738" ht="15.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c r="AA738" s="93"/>
      <c r="AB738" s="93"/>
    </row>
    <row r="739" ht="15.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c r="AA739" s="93"/>
      <c r="AB739" s="93"/>
    </row>
    <row r="740" ht="15.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c r="AA740" s="93"/>
      <c r="AB740" s="93"/>
    </row>
    <row r="741" ht="15.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c r="AA741" s="93"/>
      <c r="AB741" s="93"/>
    </row>
    <row r="742" ht="15.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c r="AA742" s="93"/>
      <c r="AB742" s="93"/>
    </row>
    <row r="743" ht="15.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c r="AA743" s="93"/>
      <c r="AB743" s="93"/>
    </row>
    <row r="744" ht="15.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c r="AA744" s="93"/>
      <c r="AB744" s="93"/>
    </row>
    <row r="745" ht="15.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c r="AA745" s="93"/>
      <c r="AB745" s="93"/>
    </row>
    <row r="746" ht="15.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c r="AA746" s="93"/>
      <c r="AB746" s="93"/>
    </row>
    <row r="747" ht="15.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c r="AA747" s="93"/>
      <c r="AB747" s="93"/>
    </row>
    <row r="748" ht="15.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c r="AA748" s="93"/>
      <c r="AB748" s="93"/>
    </row>
    <row r="749" ht="15.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c r="AA749" s="93"/>
      <c r="AB749" s="93"/>
    </row>
    <row r="750" ht="15.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c r="AA750" s="93"/>
      <c r="AB750" s="93"/>
    </row>
    <row r="751" ht="15.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c r="AA751" s="93"/>
      <c r="AB751" s="93"/>
    </row>
    <row r="752" ht="15.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c r="AA752" s="93"/>
      <c r="AB752" s="93"/>
    </row>
    <row r="753" ht="15.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c r="AA753" s="93"/>
      <c r="AB753" s="93"/>
    </row>
    <row r="754" ht="15.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c r="AA754" s="93"/>
      <c r="AB754" s="93"/>
    </row>
    <row r="755" ht="15.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c r="AA755" s="93"/>
      <c r="AB755" s="93"/>
    </row>
    <row r="756" ht="15.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c r="AA756" s="93"/>
      <c r="AB756" s="93"/>
    </row>
    <row r="757" ht="15.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c r="AA757" s="93"/>
      <c r="AB757" s="93"/>
    </row>
    <row r="758" ht="15.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c r="AA758" s="93"/>
      <c r="AB758" s="93"/>
    </row>
    <row r="759" ht="15.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c r="AA759" s="93"/>
      <c r="AB759" s="93"/>
    </row>
    <row r="760" ht="15.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c r="AA760" s="93"/>
      <c r="AB760" s="93"/>
    </row>
    <row r="761" ht="15.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c r="AA761" s="93"/>
      <c r="AB761" s="93"/>
    </row>
    <row r="762" ht="15.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c r="AA762" s="93"/>
      <c r="AB762" s="93"/>
    </row>
    <row r="763" ht="15.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c r="AA763" s="93"/>
      <c r="AB763" s="93"/>
    </row>
    <row r="764" ht="15.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c r="AA764" s="93"/>
      <c r="AB764" s="93"/>
    </row>
    <row r="765" ht="15.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c r="AA765" s="93"/>
      <c r="AB765" s="93"/>
    </row>
    <row r="766" ht="15.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c r="AA766" s="93"/>
      <c r="AB766" s="93"/>
    </row>
    <row r="767" ht="15.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c r="AA767" s="93"/>
      <c r="AB767" s="93"/>
    </row>
    <row r="768" ht="15.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c r="AA768" s="93"/>
      <c r="AB768" s="93"/>
    </row>
    <row r="769" ht="15.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c r="AA769" s="93"/>
      <c r="AB769" s="93"/>
    </row>
    <row r="770" ht="15.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c r="AA770" s="93"/>
      <c r="AB770" s="93"/>
    </row>
    <row r="771" ht="15.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c r="AA771" s="93"/>
      <c r="AB771" s="93"/>
    </row>
    <row r="772" ht="15.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c r="AA772" s="93"/>
      <c r="AB772" s="93"/>
    </row>
    <row r="773" ht="15.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c r="AA773" s="93"/>
      <c r="AB773" s="93"/>
    </row>
    <row r="774" ht="15.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c r="AA774" s="93"/>
      <c r="AB774" s="93"/>
    </row>
    <row r="775" ht="15.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c r="AA775" s="93"/>
      <c r="AB775" s="93"/>
    </row>
    <row r="776" ht="15.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c r="AA776" s="93"/>
      <c r="AB776" s="93"/>
    </row>
    <row r="777" ht="15.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c r="AA777" s="93"/>
      <c r="AB777" s="93"/>
    </row>
    <row r="778" ht="15.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c r="AA778" s="93"/>
      <c r="AB778" s="93"/>
    </row>
    <row r="779" ht="15.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c r="AA779" s="93"/>
      <c r="AB779" s="93"/>
    </row>
    <row r="780" ht="15.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c r="AA780" s="93"/>
      <c r="AB780" s="93"/>
    </row>
    <row r="781" ht="15.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c r="AA781" s="93"/>
      <c r="AB781" s="93"/>
    </row>
    <row r="782" ht="15.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c r="AA782" s="93"/>
      <c r="AB782" s="93"/>
    </row>
    <row r="783" ht="15.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c r="AA783" s="93"/>
      <c r="AB783" s="93"/>
    </row>
    <row r="784" ht="15.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c r="AA784" s="93"/>
      <c r="AB784" s="93"/>
    </row>
    <row r="785" ht="15.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c r="AA785" s="93"/>
      <c r="AB785" s="93"/>
    </row>
    <row r="786" ht="15.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c r="AA786" s="93"/>
      <c r="AB786" s="93"/>
    </row>
    <row r="787" ht="15.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c r="AA787" s="93"/>
      <c r="AB787" s="93"/>
    </row>
    <row r="788" ht="15.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c r="AA788" s="93"/>
      <c r="AB788" s="93"/>
    </row>
    <row r="789" ht="15.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c r="AA789" s="93"/>
      <c r="AB789" s="93"/>
    </row>
    <row r="790" ht="15.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c r="AA790" s="93"/>
      <c r="AB790" s="93"/>
    </row>
    <row r="791" ht="15.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c r="AA791" s="93"/>
      <c r="AB791" s="93"/>
    </row>
    <row r="792" ht="15.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c r="AA792" s="93"/>
      <c r="AB792" s="93"/>
    </row>
    <row r="793" ht="15.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c r="AA793" s="93"/>
      <c r="AB793" s="93"/>
    </row>
    <row r="794" ht="15.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c r="AA794" s="93"/>
      <c r="AB794" s="93"/>
    </row>
    <row r="795" ht="15.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c r="AA795" s="93"/>
      <c r="AB795" s="93"/>
    </row>
    <row r="796" ht="15.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c r="AA796" s="93"/>
      <c r="AB796" s="93"/>
    </row>
    <row r="797" ht="15.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c r="AA797" s="93"/>
      <c r="AB797" s="93"/>
    </row>
    <row r="798" ht="15.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c r="AA798" s="93"/>
      <c r="AB798" s="93"/>
    </row>
    <row r="799" ht="15.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c r="AA799" s="93"/>
      <c r="AB799" s="93"/>
    </row>
    <row r="800" ht="15.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c r="AA800" s="93"/>
      <c r="AB800" s="93"/>
    </row>
    <row r="801" ht="15.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c r="AA801" s="93"/>
      <c r="AB801" s="93"/>
    </row>
    <row r="802" ht="15.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c r="AA802" s="93"/>
      <c r="AB802" s="93"/>
    </row>
    <row r="803" ht="15.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c r="AA803" s="93"/>
      <c r="AB803" s="93"/>
    </row>
    <row r="804" ht="15.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c r="AA804" s="93"/>
      <c r="AB804" s="93"/>
    </row>
    <row r="805" ht="15.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c r="AA805" s="93"/>
      <c r="AB805" s="93"/>
    </row>
    <row r="806" ht="15.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c r="AA806" s="93"/>
      <c r="AB806" s="93"/>
    </row>
    <row r="807" ht="15.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c r="AA807" s="93"/>
      <c r="AB807" s="93"/>
    </row>
    <row r="808" ht="15.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c r="AA808" s="93"/>
      <c r="AB808" s="93"/>
    </row>
    <row r="809" ht="15.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c r="AA809" s="93"/>
      <c r="AB809" s="93"/>
    </row>
    <row r="810" ht="15.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c r="AA810" s="93"/>
      <c r="AB810" s="93"/>
    </row>
    <row r="811" ht="15.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c r="AA811" s="93"/>
      <c r="AB811" s="93"/>
    </row>
    <row r="812" ht="15.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c r="AA812" s="93"/>
      <c r="AB812" s="93"/>
    </row>
    <row r="813" ht="15.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c r="AA813" s="93"/>
      <c r="AB813" s="93"/>
    </row>
    <row r="814" ht="15.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c r="AA814" s="93"/>
      <c r="AB814" s="93"/>
    </row>
    <row r="815" ht="15.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c r="AA815" s="93"/>
      <c r="AB815" s="93"/>
    </row>
    <row r="816" ht="15.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c r="AA816" s="93"/>
      <c r="AB816" s="93"/>
    </row>
    <row r="817" ht="15.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c r="AA817" s="93"/>
      <c r="AB817" s="93"/>
    </row>
    <row r="818" ht="15.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c r="AA818" s="93"/>
      <c r="AB818" s="93"/>
    </row>
    <row r="819" ht="15.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c r="AA819" s="93"/>
      <c r="AB819" s="93"/>
    </row>
    <row r="820" ht="15.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c r="AA820" s="93"/>
      <c r="AB820" s="93"/>
    </row>
    <row r="821" ht="15.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c r="AA821" s="93"/>
      <c r="AB821" s="93"/>
    </row>
    <row r="822" ht="15.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c r="AA822" s="93"/>
      <c r="AB822" s="93"/>
    </row>
    <row r="823" ht="15.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c r="AA823" s="93"/>
      <c r="AB823" s="93"/>
    </row>
    <row r="824" ht="15.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c r="AA824" s="93"/>
      <c r="AB824" s="93"/>
    </row>
    <row r="825" ht="15.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c r="AA825" s="93"/>
      <c r="AB825" s="93"/>
    </row>
    <row r="826" ht="15.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c r="AA826" s="93"/>
      <c r="AB826" s="93"/>
    </row>
    <row r="827" ht="15.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c r="AA827" s="93"/>
      <c r="AB827" s="93"/>
    </row>
    <row r="828" ht="15.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c r="AA828" s="93"/>
      <c r="AB828" s="93"/>
    </row>
    <row r="829" ht="15.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c r="AA829" s="93"/>
      <c r="AB829" s="93"/>
    </row>
    <row r="830" ht="15.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c r="AA830" s="93"/>
      <c r="AB830" s="93"/>
    </row>
    <row r="831" ht="15.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c r="AA831" s="93"/>
      <c r="AB831" s="93"/>
    </row>
    <row r="832" ht="15.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c r="AA832" s="93"/>
      <c r="AB832" s="93"/>
    </row>
    <row r="833" ht="15.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c r="AA833" s="93"/>
      <c r="AB833" s="93"/>
    </row>
    <row r="834" ht="15.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c r="AA834" s="93"/>
      <c r="AB834" s="93"/>
    </row>
    <row r="835" ht="15.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c r="AA835" s="93"/>
      <c r="AB835" s="93"/>
    </row>
    <row r="836" ht="15.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c r="AA836" s="93"/>
      <c r="AB836" s="93"/>
    </row>
    <row r="837" ht="15.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c r="AA837" s="93"/>
      <c r="AB837" s="93"/>
    </row>
    <row r="838" ht="15.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c r="AA838" s="93"/>
      <c r="AB838" s="93"/>
    </row>
    <row r="839" ht="15.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c r="AA839" s="93"/>
      <c r="AB839" s="93"/>
    </row>
    <row r="840" ht="15.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c r="AA840" s="93"/>
      <c r="AB840" s="93"/>
    </row>
    <row r="841" ht="15.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c r="AA841" s="93"/>
      <c r="AB841" s="93"/>
    </row>
    <row r="842" ht="15.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c r="AA842" s="93"/>
      <c r="AB842" s="93"/>
    </row>
    <row r="843" ht="15.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c r="AA843" s="93"/>
      <c r="AB843" s="93"/>
    </row>
    <row r="844" ht="15.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c r="AA844" s="93"/>
      <c r="AB844" s="93"/>
    </row>
    <row r="845" ht="15.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c r="AA845" s="93"/>
      <c r="AB845" s="93"/>
    </row>
    <row r="846" ht="15.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c r="AA846" s="93"/>
      <c r="AB846" s="93"/>
    </row>
    <row r="847" ht="15.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c r="AA847" s="93"/>
      <c r="AB847" s="93"/>
    </row>
    <row r="848" ht="15.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c r="AA848" s="93"/>
      <c r="AB848" s="93"/>
    </row>
    <row r="849" ht="15.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c r="AA849" s="93"/>
      <c r="AB849" s="93"/>
    </row>
    <row r="850" ht="15.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c r="AA850" s="93"/>
      <c r="AB850" s="93"/>
    </row>
    <row r="851" ht="15.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c r="AA851" s="93"/>
      <c r="AB851" s="93"/>
    </row>
    <row r="852" ht="15.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c r="AA852" s="93"/>
      <c r="AB852" s="93"/>
    </row>
    <row r="853" ht="15.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c r="AA853" s="93"/>
      <c r="AB853" s="93"/>
    </row>
    <row r="854" ht="15.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c r="AA854" s="93"/>
      <c r="AB854" s="93"/>
    </row>
    <row r="855" ht="15.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c r="AA855" s="93"/>
      <c r="AB855" s="93"/>
    </row>
    <row r="856" ht="15.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c r="AA856" s="93"/>
      <c r="AB856" s="93"/>
    </row>
    <row r="857" ht="15.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c r="AA857" s="93"/>
      <c r="AB857" s="93"/>
    </row>
    <row r="858" ht="15.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c r="AA858" s="93"/>
      <c r="AB858" s="93"/>
    </row>
    <row r="859" ht="15.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c r="AA859" s="93"/>
      <c r="AB859" s="93"/>
    </row>
    <row r="860" ht="15.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c r="AA860" s="93"/>
      <c r="AB860" s="93"/>
    </row>
    <row r="861" ht="15.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c r="AA861" s="93"/>
      <c r="AB861" s="93"/>
    </row>
    <row r="862" ht="15.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c r="AA862" s="93"/>
      <c r="AB862" s="93"/>
    </row>
    <row r="863" ht="15.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c r="AA863" s="93"/>
      <c r="AB863" s="93"/>
    </row>
    <row r="864" ht="15.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c r="AA864" s="93"/>
      <c r="AB864" s="93"/>
    </row>
    <row r="865" ht="15.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c r="AA865" s="93"/>
      <c r="AB865" s="93"/>
    </row>
    <row r="866" ht="15.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c r="AA866" s="93"/>
      <c r="AB866" s="93"/>
    </row>
    <row r="867" ht="15.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c r="AA867" s="93"/>
      <c r="AB867" s="93"/>
    </row>
    <row r="868" ht="15.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c r="AA868" s="93"/>
      <c r="AB868" s="93"/>
    </row>
    <row r="869" ht="15.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c r="AA869" s="93"/>
      <c r="AB869" s="93"/>
    </row>
    <row r="870" ht="15.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c r="AA870" s="93"/>
      <c r="AB870" s="93"/>
    </row>
    <row r="871" ht="15.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c r="AA871" s="93"/>
      <c r="AB871" s="93"/>
    </row>
    <row r="872" ht="15.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c r="AA872" s="93"/>
      <c r="AB872" s="93"/>
    </row>
    <row r="873" ht="15.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c r="AA873" s="93"/>
      <c r="AB873" s="93"/>
    </row>
    <row r="874" ht="15.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c r="AA874" s="93"/>
      <c r="AB874" s="93"/>
    </row>
    <row r="875" ht="15.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c r="AA875" s="93"/>
      <c r="AB875" s="93"/>
    </row>
    <row r="876" ht="15.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c r="AA876" s="93"/>
      <c r="AB876" s="93"/>
    </row>
    <row r="877" ht="15.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c r="AA877" s="93"/>
      <c r="AB877" s="93"/>
    </row>
    <row r="878" ht="15.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c r="AA878" s="93"/>
      <c r="AB878" s="93"/>
    </row>
    <row r="879" ht="15.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c r="AA879" s="93"/>
      <c r="AB879" s="93"/>
    </row>
    <row r="880" ht="15.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c r="AA880" s="93"/>
      <c r="AB880" s="93"/>
    </row>
    <row r="881" ht="15.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c r="AA881" s="93"/>
      <c r="AB881" s="93"/>
    </row>
    <row r="882" ht="15.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c r="AA882" s="93"/>
      <c r="AB882" s="93"/>
    </row>
    <row r="883" ht="15.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c r="AA883" s="93"/>
      <c r="AB883" s="93"/>
    </row>
    <row r="884" ht="15.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c r="AA884" s="93"/>
      <c r="AB884" s="93"/>
    </row>
    <row r="885" ht="15.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c r="AA885" s="93"/>
      <c r="AB885" s="93"/>
    </row>
    <row r="886" ht="15.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c r="AA886" s="93"/>
      <c r="AB886" s="93"/>
    </row>
    <row r="887" ht="15.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c r="AA887" s="93"/>
      <c r="AB887" s="93"/>
    </row>
    <row r="888" ht="15.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c r="AA888" s="93"/>
      <c r="AB888" s="93"/>
    </row>
    <row r="889" ht="15.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c r="AA889" s="93"/>
      <c r="AB889" s="93"/>
    </row>
    <row r="890" ht="15.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c r="AA890" s="93"/>
      <c r="AB890" s="93"/>
    </row>
    <row r="891" ht="15.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c r="AA891" s="93"/>
      <c r="AB891" s="93"/>
    </row>
    <row r="892" ht="15.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c r="AA892" s="93"/>
      <c r="AB892" s="93"/>
    </row>
    <row r="893" ht="15.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c r="AA893" s="93"/>
      <c r="AB893" s="93"/>
    </row>
    <row r="894" ht="15.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c r="AA894" s="93"/>
      <c r="AB894" s="93"/>
    </row>
    <row r="895" ht="15.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c r="AA895" s="93"/>
      <c r="AB895" s="93"/>
    </row>
    <row r="896" ht="15.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c r="AA896" s="93"/>
      <c r="AB896" s="93"/>
    </row>
    <row r="897" ht="15.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c r="AA897" s="93"/>
      <c r="AB897" s="93"/>
    </row>
    <row r="898" ht="15.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c r="AA898" s="93"/>
      <c r="AB898" s="93"/>
    </row>
    <row r="899" ht="15.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c r="AA899" s="93"/>
      <c r="AB899" s="93"/>
    </row>
    <row r="900" ht="15.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c r="AA900" s="93"/>
      <c r="AB900" s="93"/>
    </row>
    <row r="901" ht="15.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c r="AA901" s="93"/>
      <c r="AB901" s="93"/>
    </row>
    <row r="902" ht="15.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c r="AA902" s="93"/>
      <c r="AB902" s="93"/>
    </row>
    <row r="903" ht="15.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c r="AA903" s="93"/>
      <c r="AB903" s="93"/>
    </row>
    <row r="904" ht="15.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c r="AA904" s="93"/>
      <c r="AB904" s="93"/>
    </row>
    <row r="905" ht="15.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c r="AA905" s="93"/>
      <c r="AB905" s="93"/>
    </row>
    <row r="906" ht="15.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c r="AA906" s="93"/>
      <c r="AB906" s="93"/>
    </row>
    <row r="907" ht="15.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c r="AA907" s="93"/>
      <c r="AB907" s="93"/>
    </row>
    <row r="908" ht="15.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c r="AA908" s="93"/>
      <c r="AB908" s="93"/>
    </row>
    <row r="909" ht="15.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c r="AA909" s="93"/>
      <c r="AB909" s="93"/>
    </row>
    <row r="910" ht="15.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c r="AA910" s="93"/>
      <c r="AB910" s="93"/>
    </row>
    <row r="911" ht="15.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c r="AA911" s="93"/>
      <c r="AB911" s="93"/>
    </row>
    <row r="912" ht="15.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c r="AA912" s="93"/>
      <c r="AB912" s="93"/>
    </row>
    <row r="913" ht="15.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c r="AA913" s="93"/>
      <c r="AB913" s="93"/>
    </row>
    <row r="914" ht="15.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c r="AA914" s="93"/>
      <c r="AB914" s="93"/>
    </row>
    <row r="915" ht="15.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c r="AA915" s="93"/>
      <c r="AB915" s="93"/>
    </row>
    <row r="916" ht="15.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c r="AA916" s="93"/>
      <c r="AB916" s="93"/>
    </row>
    <row r="917" ht="15.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c r="AA917" s="93"/>
      <c r="AB917" s="93"/>
    </row>
    <row r="918" ht="15.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c r="AA918" s="93"/>
      <c r="AB918" s="93"/>
    </row>
    <row r="919" ht="15.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c r="AA919" s="93"/>
      <c r="AB919" s="93"/>
    </row>
    <row r="920" ht="15.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c r="AA920" s="93"/>
      <c r="AB920" s="93"/>
    </row>
    <row r="921" ht="15.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c r="AA921" s="93"/>
      <c r="AB921" s="93"/>
    </row>
    <row r="922" ht="15.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c r="AA922" s="93"/>
      <c r="AB922" s="93"/>
    </row>
    <row r="923" ht="15.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c r="AA923" s="93"/>
      <c r="AB923" s="93"/>
    </row>
    <row r="924" ht="15.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c r="AA924" s="93"/>
      <c r="AB924" s="93"/>
    </row>
    <row r="925" ht="15.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c r="AA925" s="93"/>
      <c r="AB925" s="93"/>
    </row>
    <row r="926" ht="15.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c r="AA926" s="93"/>
      <c r="AB926" s="93"/>
    </row>
    <row r="927" ht="15.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c r="AA927" s="93"/>
      <c r="AB927" s="93"/>
    </row>
    <row r="928" ht="15.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c r="AA928" s="93"/>
      <c r="AB928" s="93"/>
    </row>
    <row r="929" ht="15.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c r="AA929" s="93"/>
      <c r="AB929" s="93"/>
    </row>
    <row r="930" ht="15.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c r="AA930" s="93"/>
      <c r="AB930" s="93"/>
    </row>
    <row r="931" ht="15.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c r="AA931" s="93"/>
      <c r="AB931" s="93"/>
    </row>
    <row r="932" ht="15.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c r="AA932" s="93"/>
      <c r="AB932" s="93"/>
    </row>
    <row r="933" ht="15.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c r="AA933" s="93"/>
      <c r="AB933" s="93"/>
    </row>
    <row r="934" ht="15.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c r="AA934" s="93"/>
      <c r="AB934" s="93"/>
    </row>
    <row r="935" ht="15.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c r="AA935" s="93"/>
      <c r="AB935" s="93"/>
    </row>
    <row r="936" ht="15.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c r="AA936" s="93"/>
      <c r="AB936" s="93"/>
    </row>
    <row r="937" ht="15.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c r="AA937" s="93"/>
      <c r="AB937" s="93"/>
    </row>
    <row r="938" ht="15.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c r="AA938" s="93"/>
      <c r="AB938" s="93"/>
    </row>
    <row r="939" ht="15.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c r="AA939" s="93"/>
      <c r="AB939" s="93"/>
    </row>
    <row r="940" ht="15.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c r="AA940" s="93"/>
      <c r="AB940" s="93"/>
    </row>
    <row r="941" ht="15.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c r="AA941" s="93"/>
      <c r="AB941" s="93"/>
    </row>
    <row r="942" ht="15.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c r="AA942" s="93"/>
      <c r="AB942" s="93"/>
    </row>
    <row r="943" ht="15.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c r="AA943" s="93"/>
      <c r="AB943" s="93"/>
    </row>
    <row r="944" ht="15.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c r="AA944" s="93"/>
      <c r="AB944" s="93"/>
    </row>
    <row r="945" ht="15.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c r="AA945" s="93"/>
      <c r="AB945" s="93"/>
    </row>
    <row r="946" ht="15.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c r="AA946" s="93"/>
      <c r="AB946" s="93"/>
    </row>
    <row r="947" ht="15.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c r="AA947" s="93"/>
      <c r="AB947" s="93"/>
    </row>
    <row r="948" ht="15.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c r="AA948" s="93"/>
      <c r="AB948" s="93"/>
    </row>
    <row r="949" ht="15.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c r="AA949" s="93"/>
      <c r="AB949" s="93"/>
    </row>
    <row r="950" ht="15.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c r="AA950" s="93"/>
      <c r="AB950" s="93"/>
    </row>
    <row r="951" ht="15.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c r="AA951" s="93"/>
      <c r="AB951" s="93"/>
    </row>
    <row r="952" ht="15.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c r="AA952" s="93"/>
      <c r="AB952" s="93"/>
    </row>
    <row r="953" ht="15.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c r="AA953" s="93"/>
      <c r="AB953" s="93"/>
    </row>
    <row r="954" ht="15.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c r="AA954" s="93"/>
      <c r="AB954" s="93"/>
    </row>
    <row r="955" ht="15.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c r="AA955" s="93"/>
      <c r="AB955" s="93"/>
    </row>
    <row r="956" ht="15.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c r="AA956" s="93"/>
      <c r="AB956" s="93"/>
    </row>
    <row r="957" ht="15.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c r="AA957" s="93"/>
      <c r="AB957" s="93"/>
    </row>
    <row r="958" ht="15.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c r="AA958" s="93"/>
      <c r="AB958" s="93"/>
    </row>
    <row r="959" ht="15.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c r="AA959" s="93"/>
      <c r="AB959" s="93"/>
    </row>
    <row r="960" ht="15.7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c r="AA960" s="93"/>
      <c r="AB960" s="93"/>
    </row>
    <row r="961" ht="15.7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c r="AA961" s="93"/>
      <c r="AB961" s="93"/>
    </row>
    <row r="962" ht="15.7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c r="AA962" s="93"/>
      <c r="AB962" s="93"/>
    </row>
    <row r="963" ht="15.7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c r="AA963" s="93"/>
      <c r="AB963" s="93"/>
    </row>
    <row r="964" ht="15.7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c r="AA964" s="93"/>
      <c r="AB964" s="93"/>
    </row>
    <row r="965" ht="15.7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c r="AA965" s="93"/>
      <c r="AB965" s="93"/>
    </row>
    <row r="966" ht="15.7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c r="AA966" s="93"/>
      <c r="AB966" s="93"/>
    </row>
    <row r="967" ht="15.7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c r="AA967" s="93"/>
      <c r="AB967" s="93"/>
    </row>
    <row r="968" ht="15.7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c r="AA968" s="93"/>
      <c r="AB968" s="93"/>
    </row>
    <row r="969" ht="15.7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c r="AA969" s="93"/>
      <c r="AB969" s="93"/>
    </row>
    <row r="970" ht="15.7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c r="AA970" s="93"/>
      <c r="AB970" s="93"/>
    </row>
    <row r="971" ht="15.7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c r="AA971" s="93"/>
      <c r="AB971" s="93"/>
    </row>
    <row r="972" ht="15.7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c r="AA972" s="93"/>
      <c r="AB972" s="93"/>
    </row>
    <row r="973" ht="15.7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c r="AA973" s="93"/>
      <c r="AB973" s="93"/>
    </row>
    <row r="974" ht="15.7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c r="AA974" s="93"/>
      <c r="AB974" s="93"/>
    </row>
    <row r="975" ht="15.7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c r="AA975" s="93"/>
      <c r="AB975" s="93"/>
    </row>
    <row r="976" ht="15.7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c r="AA976" s="93"/>
      <c r="AB976" s="93"/>
    </row>
    <row r="977" ht="15.7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c r="AA977" s="93"/>
      <c r="AB977" s="93"/>
    </row>
    <row r="978" ht="15.7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c r="AA978" s="93"/>
      <c r="AB978" s="93"/>
    </row>
    <row r="979" ht="15.7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c r="AA979" s="93"/>
      <c r="AB979" s="93"/>
    </row>
    <row r="980" ht="15.7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c r="AA980" s="93"/>
      <c r="AB980" s="93"/>
    </row>
    <row r="981" ht="15.7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c r="AA981" s="93"/>
      <c r="AB981" s="93"/>
    </row>
    <row r="982" ht="15.7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c r="AA982" s="93"/>
      <c r="AB982" s="93"/>
    </row>
    <row r="983" ht="15.7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c r="AA983" s="93"/>
      <c r="AB983" s="93"/>
    </row>
    <row r="984" ht="15.7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c r="AA984" s="93"/>
      <c r="AB984" s="93"/>
    </row>
    <row r="985" ht="15.7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c r="AA985" s="93"/>
      <c r="AB985" s="93"/>
    </row>
    <row r="986" ht="15.7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c r="AA986" s="93"/>
      <c r="AB986" s="93"/>
    </row>
    <row r="987" ht="15.7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c r="AA987" s="93"/>
      <c r="AB987" s="93"/>
    </row>
    <row r="988" ht="15.7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c r="AA988" s="93"/>
      <c r="AB988" s="93"/>
    </row>
    <row r="989" ht="15.7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c r="AA989" s="93"/>
      <c r="AB989" s="93"/>
    </row>
    <row r="990" ht="15.7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c r="AA990" s="93"/>
      <c r="AB990" s="93"/>
    </row>
    <row r="991" ht="15.7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c r="AA991" s="93"/>
      <c r="AB991" s="93"/>
    </row>
    <row r="992" ht="15.7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c r="AA992" s="93"/>
      <c r="AB992" s="93"/>
    </row>
    <row r="993" ht="15.7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c r="AA993" s="93"/>
      <c r="AB993" s="93"/>
    </row>
    <row r="994" ht="15.7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c r="AA994" s="93"/>
      <c r="AB994" s="93"/>
    </row>
    <row r="995" ht="15.7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c r="AA995" s="93"/>
      <c r="AB995" s="93"/>
    </row>
    <row r="996" ht="15.75" customHeight="1">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c r="AA996" s="93"/>
      <c r="AB996" s="93"/>
    </row>
    <row r="997" ht="15.75" customHeight="1">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c r="AA997" s="93"/>
      <c r="AB997" s="93"/>
    </row>
    <row r="998" ht="15.75" customHeight="1">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c r="AA998" s="93"/>
      <c r="AB998" s="93"/>
    </row>
    <row r="999" ht="15.75" customHeight="1">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c r="AA999" s="93"/>
      <c r="AB999" s="93"/>
    </row>
    <row r="1000" ht="15.75" customHeight="1">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c r="AA1000" s="93"/>
      <c r="AB1000" s="93"/>
    </row>
  </sheetData>
  <mergeCells count="6">
    <mergeCell ref="F3:T3"/>
    <mergeCell ref="I21:K21"/>
    <mergeCell ref="I22:K22"/>
    <mergeCell ref="I23:K23"/>
    <mergeCell ref="F34:T34"/>
    <mergeCell ref="M56:N56"/>
  </mergeCells>
  <printOptions/>
  <pageMargins bottom="0.7874015748031497" footer="0.0" header="0.0" left="0.5118110236220472" right="0.5118110236220472" top="0.7874015748031497"/>
  <pageSetup paperSize="9" scale="150" orientation="portrait"/>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1.11"/>
    <col customWidth="1" min="2" max="2" width="25.56"/>
    <col customWidth="1" min="3" max="3" width="12.44"/>
    <col customWidth="1" min="4" max="26" width="6.78"/>
  </cols>
  <sheetData>
    <row r="1">
      <c r="A1" s="126" t="s">
        <v>5307</v>
      </c>
      <c r="B1" s="126" t="s">
        <v>5308</v>
      </c>
    </row>
    <row r="2">
      <c r="A2" s="127" t="s">
        <v>5309</v>
      </c>
      <c r="B2" s="127" t="s">
        <v>5309</v>
      </c>
    </row>
    <row r="3">
      <c r="A3" s="128" t="s">
        <v>79</v>
      </c>
      <c r="B3" s="127" t="s">
        <v>2240</v>
      </c>
    </row>
    <row r="4">
      <c r="A4" s="128" t="s">
        <v>1734</v>
      </c>
      <c r="B4" s="127" t="s">
        <v>5296</v>
      </c>
    </row>
    <row r="5">
      <c r="A5" s="128" t="s">
        <v>18</v>
      </c>
      <c r="B5" s="127" t="s">
        <v>20</v>
      </c>
    </row>
    <row r="6">
      <c r="A6" s="128" t="s">
        <v>764</v>
      </c>
      <c r="B6" s="129" t="s">
        <v>74</v>
      </c>
    </row>
    <row r="7">
      <c r="A7" s="128" t="s">
        <v>298</v>
      </c>
      <c r="B7" s="127" t="s">
        <v>738</v>
      </c>
    </row>
    <row r="8">
      <c r="A8" s="128" t="s">
        <v>129</v>
      </c>
      <c r="B8" s="127" t="s">
        <v>5297</v>
      </c>
    </row>
    <row r="9">
      <c r="A9" s="128" t="s">
        <v>162</v>
      </c>
      <c r="B9" s="127" t="s">
        <v>5298</v>
      </c>
    </row>
    <row r="10">
      <c r="A10" s="128" t="s">
        <v>5302</v>
      </c>
      <c r="B10" s="127" t="s">
        <v>3650</v>
      </c>
    </row>
    <row r="11">
      <c r="A11" s="128" t="s">
        <v>44</v>
      </c>
      <c r="B11" s="129" t="s">
        <v>5310</v>
      </c>
    </row>
    <row r="12">
      <c r="A12" s="128" t="s">
        <v>1853</v>
      </c>
      <c r="B12" s="129" t="s">
        <v>5311</v>
      </c>
    </row>
    <row r="13">
      <c r="A13" s="128" t="s">
        <v>5312</v>
      </c>
      <c r="B13" s="129" t="s">
        <v>5313</v>
      </c>
    </row>
    <row r="14">
      <c r="A14" s="130"/>
      <c r="B14" s="129" t="s">
        <v>5314</v>
      </c>
    </row>
    <row r="15">
      <c r="B15" s="129" t="s">
        <v>5315</v>
      </c>
    </row>
    <row r="16">
      <c r="B16" s="129" t="s">
        <v>5316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2017-05-09T17:04:25Z</dcterms:created>
  <dc:creator>secretariamanutenção</dc:creator>
</cp:coreProperties>
</file>