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135" windowWidth="25260" windowHeight="11415" tabRatio="905" firstSheet="5" activeTab="5"/>
  </bookViews>
  <sheets>
    <sheet name="Calendar year analysis" sheetId="24" r:id="rId1"/>
    <sheet name="calendar trash pivot tables" sheetId="23" r:id="rId2"/>
    <sheet name="calendar recycling pivot table" sheetId="22" r:id="rId3"/>
    <sheet name="Legend" sheetId="13" r:id="rId4"/>
    <sheet name="trash area breakdown" sheetId="19" r:id="rId5"/>
    <sheet name="Recycling data" sheetId="4" r:id="rId6"/>
    <sheet name="Trash data" sheetId="6" r:id="rId7"/>
    <sheet name="Surplus donations" sheetId="5" r:id="rId8"/>
    <sheet name="fiscal year analysis" sheetId="14" r:id="rId9"/>
    <sheet name="Fiscal recycling pivot tables" sheetId="16" r:id="rId10"/>
    <sheet name="fiscal trash pivot tables" sheetId="15" r:id="rId11"/>
    <sheet name="Recycling commodity types" sheetId="21" r:id="rId12"/>
    <sheet name="weight" sheetId="1" state="hidden" r:id="rId13"/>
    <sheet name="money" sheetId="2" state="hidden" r:id="rId14"/>
  </sheets>
  <definedNames>
    <definedName name="_xlnm._FilterDatabase" localSheetId="5" hidden="1">'Recycling data'!$A$1:$P$437</definedName>
    <definedName name="_xlnm._FilterDatabase" localSheetId="6" hidden="1">'Trash data'!$A$3:$M$894</definedName>
    <definedName name="A" localSheetId="3">Legend!$E:$E</definedName>
    <definedName name="A">'Trash data'!$B:$B</definedName>
    <definedName name="date" localSheetId="3">Legend!$E:$E</definedName>
    <definedName name="date">'Trash data'!$B:$B</definedName>
    <definedName name="_xlnm.Print_Area" localSheetId="5">'Recycling data'!$A$278:$O$311</definedName>
    <definedName name="_xlnm.Print_Titles" localSheetId="5">'Recycling data'!$1:$1</definedName>
  </definedNames>
  <calcPr calcId="145621" concurrentCalc="0"/>
  <pivotCaches>
    <pivotCache cacheId="0" r:id="rId15"/>
    <pivotCache cacheId="1" r:id="rId16"/>
    <pivotCache cacheId="2" r:id="rId17"/>
    <pivotCache cacheId="3" r:id="rId18"/>
    <pivotCache cacheId="4" r:id="rId19"/>
    <pivotCache cacheId="12" r:id="rId20"/>
    <pivotCache cacheId="6" r:id="rId21"/>
    <pivotCache cacheId="7" r:id="rId22"/>
  </pivotCaches>
</workbook>
</file>

<file path=xl/calcChain.xml><?xml version="1.0" encoding="utf-8"?>
<calcChain xmlns="http://schemas.openxmlformats.org/spreadsheetml/2006/main">
  <c r="H183" i="4" l="1"/>
  <c r="H177" i="4"/>
  <c r="H170" i="4"/>
  <c r="H164" i="4"/>
  <c r="H151" i="4"/>
  <c r="H138" i="4"/>
  <c r="H123" i="4"/>
  <c r="H109" i="4"/>
  <c r="H97" i="4"/>
  <c r="G433" i="4"/>
  <c r="H433" i="4"/>
  <c r="G429" i="4"/>
  <c r="H429" i="4"/>
  <c r="G424" i="4"/>
  <c r="H424" i="4"/>
  <c r="G428" i="4"/>
  <c r="G422" i="4"/>
  <c r="G330" i="4"/>
  <c r="H330" i="4"/>
  <c r="G381" i="4"/>
  <c r="H381" i="4"/>
  <c r="G414" i="4"/>
  <c r="H414" i="4"/>
  <c r="G434" i="4"/>
  <c r="H434" i="4"/>
  <c r="J6" i="24"/>
  <c r="G6" i="24"/>
  <c r="I6" i="24"/>
  <c r="K6" i="24"/>
  <c r="E2" i="24"/>
  <c r="D2" i="24"/>
  <c r="D3" i="24"/>
  <c r="G3" i="24"/>
  <c r="E3" i="24"/>
  <c r="D4" i="24"/>
  <c r="E4" i="24"/>
  <c r="D5" i="24"/>
  <c r="G5" i="24"/>
  <c r="E5" i="24"/>
  <c r="E6" i="24"/>
  <c r="D6" i="24"/>
  <c r="C2" i="24"/>
  <c r="C3" i="24"/>
  <c r="C4" i="24"/>
  <c r="C5" i="24"/>
  <c r="C6" i="24"/>
  <c r="B6" i="24"/>
  <c r="B5" i="24"/>
  <c r="B4" i="24"/>
  <c r="B3" i="24"/>
  <c r="B2" i="24"/>
  <c r="F4" i="24"/>
  <c r="G4" i="24"/>
  <c r="F3" i="24"/>
  <c r="F2" i="24"/>
  <c r="G2" i="24"/>
  <c r="I2" i="24"/>
  <c r="K2" i="24"/>
  <c r="J2" i="24"/>
  <c r="J4" i="24"/>
  <c r="I4" i="24"/>
  <c r="K4" i="24"/>
  <c r="J5" i="24"/>
  <c r="I5" i="24"/>
  <c r="K5" i="24"/>
  <c r="J3" i="24"/>
  <c r="I3" i="24"/>
  <c r="K3" i="24"/>
  <c r="G430" i="4"/>
  <c r="H430" i="4"/>
  <c r="J421" i="4"/>
  <c r="L421" i="4"/>
  <c r="J420" i="4"/>
  <c r="L420" i="4"/>
  <c r="J419" i="4"/>
  <c r="L419" i="4"/>
  <c r="J418" i="4"/>
  <c r="L418" i="4"/>
  <c r="E4" i="14"/>
  <c r="E3" i="14"/>
  <c r="D4" i="14"/>
  <c r="D3" i="14"/>
  <c r="E2" i="14"/>
  <c r="D2" i="14"/>
  <c r="G436" i="4"/>
  <c r="H436" i="4"/>
  <c r="G351" i="4"/>
  <c r="H351" i="4"/>
  <c r="G240" i="4"/>
  <c r="H240" i="4"/>
  <c r="G116" i="4"/>
  <c r="H116" i="4"/>
  <c r="C5" i="2"/>
  <c r="B5" i="2"/>
  <c r="C4" i="2"/>
  <c r="L7" i="1"/>
  <c r="K7" i="1"/>
  <c r="J7" i="1"/>
  <c r="I7" i="1"/>
  <c r="H7" i="1"/>
  <c r="G7" i="1"/>
  <c r="F7" i="1"/>
  <c r="E7" i="1"/>
  <c r="D7" i="1"/>
  <c r="C7" i="1"/>
  <c r="B7" i="1"/>
  <c r="L5" i="1"/>
  <c r="K5" i="1"/>
  <c r="J5" i="1"/>
  <c r="I5" i="1"/>
  <c r="F5" i="1"/>
  <c r="B5" i="1"/>
  <c r="L4" i="1"/>
  <c r="K4" i="1"/>
  <c r="J4" i="1"/>
  <c r="I4" i="1"/>
  <c r="B4" i="1"/>
  <c r="L3" i="1"/>
  <c r="K3" i="1"/>
  <c r="J3" i="1"/>
  <c r="I3" i="1"/>
  <c r="C3" i="1"/>
  <c r="B3" i="1"/>
  <c r="B27" i="13"/>
  <c r="I24" i="13"/>
  <c r="H24" i="13"/>
  <c r="G24" i="13"/>
  <c r="I23" i="13"/>
  <c r="H23" i="13"/>
  <c r="G23" i="13"/>
  <c r="I22" i="13"/>
  <c r="H22" i="13"/>
  <c r="G22" i="13"/>
  <c r="I21" i="13"/>
  <c r="H21" i="13"/>
  <c r="G21" i="13"/>
  <c r="I20" i="13"/>
  <c r="H20" i="13"/>
  <c r="G20" i="13"/>
  <c r="I19" i="13"/>
  <c r="H19" i="13"/>
  <c r="G19" i="13"/>
  <c r="I18" i="13"/>
  <c r="H18" i="13"/>
  <c r="G18" i="13"/>
  <c r="I17" i="13"/>
  <c r="H17" i="13"/>
  <c r="G17" i="13"/>
  <c r="I16" i="13"/>
  <c r="H16" i="13"/>
  <c r="G16" i="13"/>
  <c r="I15" i="13"/>
  <c r="H15" i="13"/>
  <c r="G15" i="13"/>
  <c r="I14" i="13"/>
  <c r="H14" i="13"/>
  <c r="G14" i="13"/>
  <c r="I11" i="13"/>
  <c r="H11" i="13"/>
  <c r="G11" i="13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L941" i="6"/>
  <c r="F941" i="6"/>
  <c r="M940" i="6"/>
  <c r="L940" i="6"/>
  <c r="F940" i="6"/>
  <c r="M939" i="6"/>
  <c r="L939" i="6"/>
  <c r="F939" i="6"/>
  <c r="M938" i="6"/>
  <c r="L938" i="6"/>
  <c r="F938" i="6"/>
  <c r="M937" i="6"/>
  <c r="L937" i="6"/>
  <c r="F937" i="6"/>
  <c r="M936" i="6"/>
  <c r="L936" i="6"/>
  <c r="J936" i="6"/>
  <c r="G936" i="6"/>
  <c r="M935" i="6"/>
  <c r="L935" i="6"/>
  <c r="J935" i="6"/>
  <c r="G935" i="6"/>
  <c r="M934" i="6"/>
  <c r="L934" i="6"/>
  <c r="J934" i="6"/>
  <c r="G934" i="6"/>
  <c r="M933" i="6"/>
  <c r="L933" i="6"/>
  <c r="J933" i="6"/>
  <c r="G933" i="6"/>
  <c r="M932" i="6"/>
  <c r="L932" i="6"/>
  <c r="J932" i="6"/>
  <c r="G932" i="6"/>
  <c r="M931" i="6"/>
  <c r="L931" i="6"/>
  <c r="J931" i="6"/>
  <c r="G931" i="6"/>
  <c r="M930" i="6"/>
  <c r="L930" i="6"/>
  <c r="J930" i="6"/>
  <c r="G930" i="6"/>
  <c r="M929" i="6"/>
  <c r="L929" i="6"/>
  <c r="J929" i="6"/>
  <c r="G929" i="6"/>
  <c r="L928" i="6"/>
  <c r="F928" i="6"/>
  <c r="M927" i="6"/>
  <c r="L927" i="6"/>
  <c r="F927" i="6"/>
  <c r="M926" i="6"/>
  <c r="L926" i="6"/>
  <c r="F926" i="6"/>
  <c r="M925" i="6"/>
  <c r="L925" i="6"/>
  <c r="F925" i="6"/>
  <c r="M924" i="6"/>
  <c r="L924" i="6"/>
  <c r="F924" i="6"/>
  <c r="M923" i="6"/>
  <c r="L923" i="6"/>
  <c r="J923" i="6"/>
  <c r="G923" i="6"/>
  <c r="M922" i="6"/>
  <c r="L922" i="6"/>
  <c r="J922" i="6"/>
  <c r="G922" i="6"/>
  <c r="M921" i="6"/>
  <c r="L921" i="6"/>
  <c r="K921" i="6"/>
  <c r="J921" i="6"/>
  <c r="G921" i="6"/>
  <c r="M920" i="6"/>
  <c r="L920" i="6"/>
  <c r="M919" i="6"/>
  <c r="L919" i="6"/>
  <c r="J919" i="6"/>
  <c r="G919" i="6"/>
  <c r="L918" i="6"/>
  <c r="F918" i="6"/>
  <c r="M917" i="6"/>
  <c r="L917" i="6"/>
  <c r="F917" i="6"/>
  <c r="M916" i="6"/>
  <c r="L916" i="6"/>
  <c r="F916" i="6"/>
  <c r="M915" i="6"/>
  <c r="L915" i="6"/>
  <c r="F915" i="6"/>
  <c r="M914" i="6"/>
  <c r="L914" i="6"/>
  <c r="F914" i="6"/>
  <c r="M913" i="6"/>
  <c r="L913" i="6"/>
  <c r="J913" i="6"/>
  <c r="G913" i="6"/>
  <c r="M912" i="6"/>
  <c r="L912" i="6"/>
  <c r="J912" i="6"/>
  <c r="G912" i="6"/>
  <c r="M911" i="6"/>
  <c r="L911" i="6"/>
  <c r="J911" i="6"/>
  <c r="G911" i="6"/>
  <c r="M910" i="6"/>
  <c r="L910" i="6"/>
  <c r="J910" i="6"/>
  <c r="G910" i="6"/>
  <c r="M909" i="6"/>
  <c r="L909" i="6"/>
  <c r="J909" i="6"/>
  <c r="G909" i="6"/>
  <c r="M908" i="6"/>
  <c r="L908" i="6"/>
  <c r="K908" i="6"/>
  <c r="J908" i="6"/>
  <c r="G908" i="6"/>
  <c r="M907" i="6"/>
  <c r="L907" i="6"/>
  <c r="K907" i="6"/>
  <c r="J907" i="6"/>
  <c r="G907" i="6"/>
  <c r="L906" i="6"/>
  <c r="F906" i="6"/>
  <c r="M905" i="6"/>
  <c r="L905" i="6"/>
  <c r="F905" i="6"/>
  <c r="M904" i="6"/>
  <c r="L904" i="6"/>
  <c r="F904" i="6"/>
  <c r="M903" i="6"/>
  <c r="L903" i="6"/>
  <c r="F903" i="6"/>
  <c r="M902" i="6"/>
  <c r="L902" i="6"/>
  <c r="F902" i="6"/>
  <c r="M901" i="6"/>
  <c r="L901" i="6"/>
  <c r="M900" i="6"/>
  <c r="L900" i="6"/>
  <c r="J900" i="6"/>
  <c r="G900" i="6"/>
  <c r="M899" i="6"/>
  <c r="L899" i="6"/>
  <c r="J899" i="6"/>
  <c r="G899" i="6"/>
  <c r="M898" i="6"/>
  <c r="L898" i="6"/>
  <c r="J898" i="6"/>
  <c r="G898" i="6"/>
  <c r="M897" i="6"/>
  <c r="L897" i="6"/>
  <c r="J897" i="6"/>
  <c r="G897" i="6"/>
  <c r="M896" i="6"/>
  <c r="L896" i="6"/>
  <c r="J896" i="6"/>
  <c r="G896" i="6"/>
  <c r="M895" i="6"/>
  <c r="L895" i="6"/>
  <c r="J895" i="6"/>
  <c r="G895" i="6"/>
  <c r="L894" i="6"/>
  <c r="F894" i="6"/>
  <c r="M893" i="6"/>
  <c r="L893" i="6"/>
  <c r="F893" i="6"/>
  <c r="M892" i="6"/>
  <c r="L892" i="6"/>
  <c r="F892" i="6"/>
  <c r="M891" i="6"/>
  <c r="L891" i="6"/>
  <c r="F891" i="6"/>
  <c r="M890" i="6"/>
  <c r="L890" i="6"/>
  <c r="F890" i="6"/>
  <c r="M889" i="6"/>
  <c r="L889" i="6"/>
  <c r="J889" i="6"/>
  <c r="G889" i="6"/>
  <c r="M888" i="6"/>
  <c r="L888" i="6"/>
  <c r="J888" i="6"/>
  <c r="G888" i="6"/>
  <c r="M887" i="6"/>
  <c r="L887" i="6"/>
  <c r="J887" i="6"/>
  <c r="G887" i="6"/>
  <c r="M886" i="6"/>
  <c r="L886" i="6"/>
  <c r="J886" i="6"/>
  <c r="G886" i="6"/>
  <c r="M885" i="6"/>
  <c r="L885" i="6"/>
  <c r="J885" i="6"/>
  <c r="G885" i="6"/>
  <c r="M884" i="6"/>
  <c r="L884" i="6"/>
  <c r="L883" i="6"/>
  <c r="F883" i="6"/>
  <c r="M882" i="6"/>
  <c r="L882" i="6"/>
  <c r="F882" i="6"/>
  <c r="M881" i="6"/>
  <c r="L881" i="6"/>
  <c r="F881" i="6"/>
  <c r="M880" i="6"/>
  <c r="L880" i="6"/>
  <c r="F880" i="6"/>
  <c r="M879" i="6"/>
  <c r="L879" i="6"/>
  <c r="F879" i="6"/>
  <c r="M878" i="6"/>
  <c r="L878" i="6"/>
  <c r="J878" i="6"/>
  <c r="G878" i="6"/>
  <c r="M877" i="6"/>
  <c r="L877" i="6"/>
  <c r="J877" i="6"/>
  <c r="G877" i="6"/>
  <c r="M876" i="6"/>
  <c r="L876" i="6"/>
  <c r="J876" i="6"/>
  <c r="G876" i="6"/>
  <c r="M875" i="6"/>
  <c r="L875" i="6"/>
  <c r="J875" i="6"/>
  <c r="G875" i="6"/>
  <c r="M874" i="6"/>
  <c r="L874" i="6"/>
  <c r="K874" i="6"/>
  <c r="J874" i="6"/>
  <c r="G874" i="6"/>
  <c r="M873" i="6"/>
  <c r="L873" i="6"/>
  <c r="J873" i="6"/>
  <c r="G873" i="6"/>
  <c r="M872" i="6"/>
  <c r="L872" i="6"/>
  <c r="J872" i="6"/>
  <c r="G872" i="6"/>
  <c r="M871" i="6"/>
  <c r="L871" i="6"/>
  <c r="J871" i="6"/>
  <c r="G871" i="6"/>
  <c r="M870" i="6"/>
  <c r="L870" i="6"/>
  <c r="J870" i="6"/>
  <c r="G870" i="6"/>
  <c r="M869" i="6"/>
  <c r="L869" i="6"/>
  <c r="J869" i="6"/>
  <c r="G869" i="6"/>
  <c r="L868" i="6"/>
  <c r="F868" i="6"/>
  <c r="M867" i="6"/>
  <c r="L867" i="6"/>
  <c r="F867" i="6"/>
  <c r="M866" i="6"/>
  <c r="L866" i="6"/>
  <c r="F866" i="6"/>
  <c r="M865" i="6"/>
  <c r="L865" i="6"/>
  <c r="F865" i="6"/>
  <c r="M864" i="6"/>
  <c r="L864" i="6"/>
  <c r="F864" i="6"/>
  <c r="M863" i="6"/>
  <c r="L863" i="6"/>
  <c r="J863" i="6"/>
  <c r="G863" i="6"/>
  <c r="M862" i="6"/>
  <c r="L862" i="6"/>
  <c r="J862" i="6"/>
  <c r="G862" i="6"/>
  <c r="M861" i="6"/>
  <c r="L861" i="6"/>
  <c r="M860" i="6"/>
  <c r="L860" i="6"/>
  <c r="K860" i="6"/>
  <c r="J860" i="6"/>
  <c r="G860" i="6"/>
  <c r="M859" i="6"/>
  <c r="L859" i="6"/>
  <c r="K859" i="6"/>
  <c r="J859" i="6"/>
  <c r="G859" i="6"/>
  <c r="L858" i="6"/>
  <c r="F858" i="6"/>
  <c r="M857" i="6"/>
  <c r="L857" i="6"/>
  <c r="F857" i="6"/>
  <c r="M856" i="6"/>
  <c r="L856" i="6"/>
  <c r="F856" i="6"/>
  <c r="M855" i="6"/>
  <c r="L855" i="6"/>
  <c r="F855" i="6"/>
  <c r="M854" i="6"/>
  <c r="L854" i="6"/>
  <c r="F854" i="6"/>
  <c r="M853" i="6"/>
  <c r="L853" i="6"/>
  <c r="M852" i="6"/>
  <c r="L852" i="6"/>
  <c r="J852" i="6"/>
  <c r="G852" i="6"/>
  <c r="M851" i="6"/>
  <c r="L851" i="6"/>
  <c r="J851" i="6"/>
  <c r="G851" i="6"/>
  <c r="M850" i="6"/>
  <c r="L850" i="6"/>
  <c r="J850" i="6"/>
  <c r="G850" i="6"/>
  <c r="M849" i="6"/>
  <c r="L849" i="6"/>
  <c r="J849" i="6"/>
  <c r="G849" i="6"/>
  <c r="M848" i="6"/>
  <c r="L848" i="6"/>
  <c r="J848" i="6"/>
  <c r="G848" i="6"/>
  <c r="M847" i="6"/>
  <c r="L847" i="6"/>
  <c r="J847" i="6"/>
  <c r="G847" i="6"/>
  <c r="M846" i="6"/>
  <c r="L846" i="6"/>
  <c r="J846" i="6"/>
  <c r="G846" i="6"/>
  <c r="M845" i="6"/>
  <c r="L845" i="6"/>
  <c r="J845" i="6"/>
  <c r="G845" i="6"/>
  <c r="L844" i="6"/>
  <c r="F844" i="6"/>
  <c r="M843" i="6"/>
  <c r="L843" i="6"/>
  <c r="F843" i="6"/>
  <c r="M842" i="6"/>
  <c r="L842" i="6"/>
  <c r="F842" i="6"/>
  <c r="M841" i="6"/>
  <c r="L841" i="6"/>
  <c r="F841" i="6"/>
  <c r="M840" i="6"/>
  <c r="L840" i="6"/>
  <c r="F840" i="6"/>
  <c r="M839" i="6"/>
  <c r="L839" i="6"/>
  <c r="J839" i="6"/>
  <c r="G839" i="6"/>
  <c r="M838" i="6"/>
  <c r="L838" i="6"/>
  <c r="J838" i="6"/>
  <c r="G838" i="6"/>
  <c r="M837" i="6"/>
  <c r="L837" i="6"/>
  <c r="J837" i="6"/>
  <c r="G837" i="6"/>
  <c r="M836" i="6"/>
  <c r="L836" i="6"/>
  <c r="K836" i="6"/>
  <c r="J836" i="6"/>
  <c r="G836" i="6"/>
  <c r="M835" i="6"/>
  <c r="L835" i="6"/>
  <c r="J835" i="6"/>
  <c r="G835" i="6"/>
  <c r="M834" i="6"/>
  <c r="L834" i="6"/>
  <c r="J834" i="6"/>
  <c r="G834" i="6"/>
  <c r="M833" i="6"/>
  <c r="L833" i="6"/>
  <c r="J833" i="6"/>
  <c r="G833" i="6"/>
  <c r="M832" i="6"/>
  <c r="L832" i="6"/>
  <c r="J832" i="6"/>
  <c r="G832" i="6"/>
  <c r="M831" i="6"/>
  <c r="L831" i="6"/>
  <c r="J831" i="6"/>
  <c r="G831" i="6"/>
  <c r="M830" i="6"/>
  <c r="L830" i="6"/>
  <c r="J830" i="6"/>
  <c r="G830" i="6"/>
  <c r="M829" i="6"/>
  <c r="L829" i="6"/>
  <c r="J829" i="6"/>
  <c r="G829" i="6"/>
  <c r="L828" i="6"/>
  <c r="F828" i="6"/>
  <c r="M827" i="6"/>
  <c r="L827" i="6"/>
  <c r="F827" i="6"/>
  <c r="M826" i="6"/>
  <c r="L826" i="6"/>
  <c r="F826" i="6"/>
  <c r="M825" i="6"/>
  <c r="L825" i="6"/>
  <c r="F825" i="6"/>
  <c r="M824" i="6"/>
  <c r="L824" i="6"/>
  <c r="F824" i="6"/>
  <c r="M823" i="6"/>
  <c r="L823" i="6"/>
  <c r="J823" i="6"/>
  <c r="G823" i="6"/>
  <c r="M822" i="6"/>
  <c r="L822" i="6"/>
  <c r="J822" i="6"/>
  <c r="G822" i="6"/>
  <c r="M821" i="6"/>
  <c r="L821" i="6"/>
  <c r="J821" i="6"/>
  <c r="G821" i="6"/>
  <c r="M820" i="6"/>
  <c r="L820" i="6"/>
  <c r="J820" i="6"/>
  <c r="G820" i="6"/>
  <c r="M819" i="6"/>
  <c r="L819" i="6"/>
  <c r="J819" i="6"/>
  <c r="G819" i="6"/>
  <c r="M818" i="6"/>
  <c r="L818" i="6"/>
  <c r="J818" i="6"/>
  <c r="G818" i="6"/>
  <c r="M817" i="6"/>
  <c r="L817" i="6"/>
  <c r="J817" i="6"/>
  <c r="G817" i="6"/>
  <c r="M816" i="6"/>
  <c r="L816" i="6"/>
  <c r="J816" i="6"/>
  <c r="G816" i="6"/>
  <c r="L815" i="6"/>
  <c r="F815" i="6"/>
  <c r="M814" i="6"/>
  <c r="L814" i="6"/>
  <c r="F814" i="6"/>
  <c r="M813" i="6"/>
  <c r="L813" i="6"/>
  <c r="F813" i="6"/>
  <c r="M812" i="6"/>
  <c r="L812" i="6"/>
  <c r="F812" i="6"/>
  <c r="M811" i="6"/>
  <c r="L811" i="6"/>
  <c r="F811" i="6"/>
  <c r="M810" i="6"/>
  <c r="L810" i="6"/>
  <c r="J810" i="6"/>
  <c r="G810" i="6"/>
  <c r="M809" i="6"/>
  <c r="L809" i="6"/>
  <c r="J809" i="6"/>
  <c r="G809" i="6"/>
  <c r="M808" i="6"/>
  <c r="L808" i="6"/>
  <c r="J808" i="6"/>
  <c r="G808" i="6"/>
  <c r="M807" i="6"/>
  <c r="L807" i="6"/>
  <c r="J807" i="6"/>
  <c r="G807" i="6"/>
  <c r="M806" i="6"/>
  <c r="L806" i="6"/>
  <c r="J806" i="6"/>
  <c r="G806" i="6"/>
  <c r="M805" i="6"/>
  <c r="L805" i="6"/>
  <c r="K805" i="6"/>
  <c r="J805" i="6"/>
  <c r="G805" i="6"/>
  <c r="M804" i="6"/>
  <c r="L804" i="6"/>
  <c r="K804" i="6"/>
  <c r="J804" i="6"/>
  <c r="G804" i="6"/>
  <c r="M803" i="6"/>
  <c r="L803" i="6"/>
  <c r="K803" i="6"/>
  <c r="J803" i="6"/>
  <c r="G803" i="6"/>
  <c r="M802" i="6"/>
  <c r="L802" i="6"/>
  <c r="J802" i="6"/>
  <c r="G802" i="6"/>
  <c r="L801" i="6"/>
  <c r="F801" i="6"/>
  <c r="M800" i="6"/>
  <c r="L800" i="6"/>
  <c r="F800" i="6"/>
  <c r="M799" i="6"/>
  <c r="L799" i="6"/>
  <c r="F799" i="6"/>
  <c r="M798" i="6"/>
  <c r="L798" i="6"/>
  <c r="F798" i="6"/>
  <c r="M797" i="6"/>
  <c r="L797" i="6"/>
  <c r="F797" i="6"/>
  <c r="M796" i="6"/>
  <c r="L796" i="6"/>
  <c r="J796" i="6"/>
  <c r="G796" i="6"/>
  <c r="M795" i="6"/>
  <c r="L795" i="6"/>
  <c r="J795" i="6"/>
  <c r="G795" i="6"/>
  <c r="M794" i="6"/>
  <c r="L794" i="6"/>
  <c r="J794" i="6"/>
  <c r="G794" i="6"/>
  <c r="M793" i="6"/>
  <c r="L793" i="6"/>
  <c r="J793" i="6"/>
  <c r="G793" i="6"/>
  <c r="M792" i="6"/>
  <c r="L792" i="6"/>
  <c r="J792" i="6"/>
  <c r="G792" i="6"/>
  <c r="M791" i="6"/>
  <c r="L791" i="6"/>
  <c r="J791" i="6"/>
  <c r="G791" i="6"/>
  <c r="M790" i="6"/>
  <c r="L790" i="6"/>
  <c r="J790" i="6"/>
  <c r="G790" i="6"/>
  <c r="L789" i="6"/>
  <c r="F789" i="6"/>
  <c r="M788" i="6"/>
  <c r="L788" i="6"/>
  <c r="F788" i="6"/>
  <c r="M787" i="6"/>
  <c r="L787" i="6"/>
  <c r="F787" i="6"/>
  <c r="M786" i="6"/>
  <c r="L786" i="6"/>
  <c r="F786" i="6"/>
  <c r="M785" i="6"/>
  <c r="L785" i="6"/>
  <c r="F785" i="6"/>
  <c r="M784" i="6"/>
  <c r="L784" i="6"/>
  <c r="J784" i="6"/>
  <c r="G784" i="6"/>
  <c r="M783" i="6"/>
  <c r="L783" i="6"/>
  <c r="J783" i="6"/>
  <c r="G783" i="6"/>
  <c r="M782" i="6"/>
  <c r="L782" i="6"/>
  <c r="J782" i="6"/>
  <c r="G782" i="6"/>
  <c r="L781" i="6"/>
  <c r="F781" i="6"/>
  <c r="M780" i="6"/>
  <c r="L780" i="6"/>
  <c r="F780" i="6"/>
  <c r="M779" i="6"/>
  <c r="L779" i="6"/>
  <c r="F779" i="6"/>
  <c r="M778" i="6"/>
  <c r="L778" i="6"/>
  <c r="F778" i="6"/>
  <c r="M777" i="6"/>
  <c r="L777" i="6"/>
  <c r="F777" i="6"/>
  <c r="M776" i="6"/>
  <c r="L776" i="6"/>
  <c r="J776" i="6"/>
  <c r="G776" i="6"/>
  <c r="M775" i="6"/>
  <c r="L775" i="6"/>
  <c r="J775" i="6"/>
  <c r="G775" i="6"/>
  <c r="M774" i="6"/>
  <c r="L774" i="6"/>
  <c r="J774" i="6"/>
  <c r="G774" i="6"/>
  <c r="M773" i="6"/>
  <c r="L773" i="6"/>
  <c r="J773" i="6"/>
  <c r="G773" i="6"/>
  <c r="M772" i="6"/>
  <c r="L772" i="6"/>
  <c r="J772" i="6"/>
  <c r="G772" i="6"/>
  <c r="M771" i="6"/>
  <c r="L771" i="6"/>
  <c r="K771" i="6"/>
  <c r="J771" i="6"/>
  <c r="G771" i="6"/>
  <c r="M770" i="6"/>
  <c r="L770" i="6"/>
  <c r="K770" i="6"/>
  <c r="J770" i="6"/>
  <c r="G770" i="6"/>
  <c r="M769" i="6"/>
  <c r="L769" i="6"/>
  <c r="J769" i="6"/>
  <c r="G769" i="6"/>
  <c r="L768" i="6"/>
  <c r="F768" i="6"/>
  <c r="M767" i="6"/>
  <c r="L767" i="6"/>
  <c r="F767" i="6"/>
  <c r="M766" i="6"/>
  <c r="L766" i="6"/>
  <c r="F766" i="6"/>
  <c r="M765" i="6"/>
  <c r="L765" i="6"/>
  <c r="F765" i="6"/>
  <c r="M764" i="6"/>
  <c r="L764" i="6"/>
  <c r="F764" i="6"/>
  <c r="M763" i="6"/>
  <c r="L763" i="6"/>
  <c r="J763" i="6"/>
  <c r="G763" i="6"/>
  <c r="M762" i="6"/>
  <c r="L762" i="6"/>
  <c r="J762" i="6"/>
  <c r="G762" i="6"/>
  <c r="M761" i="6"/>
  <c r="L761" i="6"/>
  <c r="K761" i="6"/>
  <c r="J761" i="6"/>
  <c r="G761" i="6"/>
  <c r="M760" i="6"/>
  <c r="L760" i="6"/>
  <c r="K760" i="6"/>
  <c r="J760" i="6"/>
  <c r="G760" i="6"/>
  <c r="M759" i="6"/>
  <c r="L759" i="6"/>
  <c r="J759" i="6"/>
  <c r="G759" i="6"/>
  <c r="M758" i="6"/>
  <c r="L758" i="6"/>
  <c r="J758" i="6"/>
  <c r="G758" i="6"/>
  <c r="M757" i="6"/>
  <c r="L757" i="6"/>
  <c r="J757" i="6"/>
  <c r="G757" i="6"/>
  <c r="M756" i="6"/>
  <c r="L756" i="6"/>
  <c r="J756" i="6"/>
  <c r="G756" i="6"/>
  <c r="M755" i="6"/>
  <c r="L755" i="6"/>
  <c r="J755" i="6"/>
  <c r="G755" i="6"/>
  <c r="L754" i="6"/>
  <c r="F754" i="6"/>
  <c r="M753" i="6"/>
  <c r="L753" i="6"/>
  <c r="F753" i="6"/>
  <c r="M752" i="6"/>
  <c r="L752" i="6"/>
  <c r="F752" i="6"/>
  <c r="M751" i="6"/>
  <c r="L751" i="6"/>
  <c r="F751" i="6"/>
  <c r="M750" i="6"/>
  <c r="L750" i="6"/>
  <c r="F750" i="6"/>
  <c r="M749" i="6"/>
  <c r="L749" i="6"/>
  <c r="J749" i="6"/>
  <c r="G749" i="6"/>
  <c r="M748" i="6"/>
  <c r="L748" i="6"/>
  <c r="J748" i="6"/>
  <c r="G748" i="6"/>
  <c r="M747" i="6"/>
  <c r="L747" i="6"/>
  <c r="J747" i="6"/>
  <c r="G747" i="6"/>
  <c r="M746" i="6"/>
  <c r="L746" i="6"/>
  <c r="J746" i="6"/>
  <c r="G746" i="6"/>
  <c r="L745" i="6"/>
  <c r="F745" i="6"/>
  <c r="M744" i="6"/>
  <c r="L744" i="6"/>
  <c r="F744" i="6"/>
  <c r="M743" i="6"/>
  <c r="L743" i="6"/>
  <c r="F743" i="6"/>
  <c r="M742" i="6"/>
  <c r="L742" i="6"/>
  <c r="F742" i="6"/>
  <c r="M741" i="6"/>
  <c r="L741" i="6"/>
  <c r="F741" i="6"/>
  <c r="M740" i="6"/>
  <c r="L740" i="6"/>
  <c r="J740" i="6"/>
  <c r="G740" i="6"/>
  <c r="M739" i="6"/>
  <c r="L739" i="6"/>
  <c r="J739" i="6"/>
  <c r="G739" i="6"/>
  <c r="M738" i="6"/>
  <c r="L738" i="6"/>
  <c r="J738" i="6"/>
  <c r="G738" i="6"/>
  <c r="M737" i="6"/>
  <c r="L737" i="6"/>
  <c r="J737" i="6"/>
  <c r="G737" i="6"/>
  <c r="M736" i="6"/>
  <c r="L736" i="6"/>
  <c r="J736" i="6"/>
  <c r="G736" i="6"/>
  <c r="M735" i="6"/>
  <c r="L735" i="6"/>
  <c r="K735" i="6"/>
  <c r="J735" i="6"/>
  <c r="G735" i="6"/>
  <c r="M734" i="6"/>
  <c r="L734" i="6"/>
  <c r="K734" i="6"/>
  <c r="J734" i="6"/>
  <c r="G734" i="6"/>
  <c r="M733" i="6"/>
  <c r="L733" i="6"/>
  <c r="J733" i="6"/>
  <c r="G733" i="6"/>
  <c r="M732" i="6"/>
  <c r="L732" i="6"/>
  <c r="J732" i="6"/>
  <c r="G732" i="6"/>
  <c r="L731" i="6"/>
  <c r="M730" i="6"/>
  <c r="L730" i="6"/>
  <c r="M729" i="6"/>
  <c r="L729" i="6"/>
  <c r="M728" i="6"/>
  <c r="L728" i="6"/>
  <c r="M727" i="6"/>
  <c r="L727" i="6"/>
  <c r="M726" i="6"/>
  <c r="L726" i="6"/>
  <c r="M725" i="6"/>
  <c r="L725" i="6"/>
  <c r="J725" i="6"/>
  <c r="G725" i="6"/>
  <c r="M724" i="6"/>
  <c r="L724" i="6"/>
  <c r="J724" i="6"/>
  <c r="G724" i="6"/>
  <c r="M723" i="6"/>
  <c r="L723" i="6"/>
  <c r="J723" i="6"/>
  <c r="G723" i="6"/>
  <c r="M722" i="6"/>
  <c r="L722" i="6"/>
  <c r="J722" i="6"/>
  <c r="G722" i="6"/>
  <c r="M721" i="6"/>
  <c r="L721" i="6"/>
  <c r="J721" i="6"/>
  <c r="G721" i="6"/>
  <c r="L720" i="6"/>
  <c r="M719" i="6"/>
  <c r="L719" i="6"/>
  <c r="M718" i="6"/>
  <c r="L718" i="6"/>
  <c r="M717" i="6"/>
  <c r="L717" i="6"/>
  <c r="M716" i="6"/>
  <c r="L716" i="6"/>
  <c r="M715" i="6"/>
  <c r="L715" i="6"/>
  <c r="M714" i="6"/>
  <c r="L714" i="6"/>
  <c r="J714" i="6"/>
  <c r="G714" i="6"/>
  <c r="M713" i="6"/>
  <c r="L713" i="6"/>
  <c r="J713" i="6"/>
  <c r="G713" i="6"/>
  <c r="M712" i="6"/>
  <c r="L712" i="6"/>
  <c r="J712" i="6"/>
  <c r="G712" i="6"/>
  <c r="L711" i="6"/>
  <c r="M710" i="6"/>
  <c r="L710" i="6"/>
  <c r="M709" i="6"/>
  <c r="L709" i="6"/>
  <c r="M708" i="6"/>
  <c r="L708" i="6"/>
  <c r="M707" i="6"/>
  <c r="L707" i="6"/>
  <c r="M706" i="6"/>
  <c r="L706" i="6"/>
  <c r="M705" i="6"/>
  <c r="L705" i="6"/>
  <c r="J705" i="6"/>
  <c r="G705" i="6"/>
  <c r="M704" i="6"/>
  <c r="L704" i="6"/>
  <c r="K704" i="6"/>
  <c r="J704" i="6"/>
  <c r="G704" i="6"/>
  <c r="M703" i="6"/>
  <c r="L703" i="6"/>
  <c r="K703" i="6"/>
  <c r="J703" i="6"/>
  <c r="G703" i="6"/>
  <c r="M702" i="6"/>
  <c r="L702" i="6"/>
  <c r="J702" i="6"/>
  <c r="G702" i="6"/>
  <c r="M701" i="6"/>
  <c r="L701" i="6"/>
  <c r="J701" i="6"/>
  <c r="G701" i="6"/>
  <c r="M700" i="6"/>
  <c r="L700" i="6"/>
  <c r="J700" i="6"/>
  <c r="G700" i="6"/>
  <c r="M699" i="6"/>
  <c r="L699" i="6"/>
  <c r="J699" i="6"/>
  <c r="G699" i="6"/>
  <c r="M698" i="6"/>
  <c r="L698" i="6"/>
  <c r="J698" i="6"/>
  <c r="G698" i="6"/>
  <c r="L697" i="6"/>
  <c r="M696" i="6"/>
  <c r="L696" i="6"/>
  <c r="M695" i="6"/>
  <c r="L695" i="6"/>
  <c r="M694" i="6"/>
  <c r="L694" i="6"/>
  <c r="M693" i="6"/>
  <c r="L693" i="6"/>
  <c r="M692" i="6"/>
  <c r="L692" i="6"/>
  <c r="M691" i="6"/>
  <c r="L691" i="6"/>
  <c r="K691" i="6"/>
  <c r="J691" i="6"/>
  <c r="G691" i="6"/>
  <c r="M690" i="6"/>
  <c r="L690" i="6"/>
  <c r="K690" i="6"/>
  <c r="J690" i="6"/>
  <c r="G690" i="6"/>
  <c r="M689" i="6"/>
  <c r="L689" i="6"/>
  <c r="J689" i="6"/>
  <c r="G689" i="6"/>
  <c r="M688" i="6"/>
  <c r="L688" i="6"/>
  <c r="J688" i="6"/>
  <c r="G688" i="6"/>
  <c r="L687" i="6"/>
  <c r="M686" i="6"/>
  <c r="L686" i="6"/>
  <c r="M685" i="6"/>
  <c r="L685" i="6"/>
  <c r="M684" i="6"/>
  <c r="L684" i="6"/>
  <c r="M683" i="6"/>
  <c r="L683" i="6"/>
  <c r="M682" i="6"/>
  <c r="L682" i="6"/>
  <c r="M681" i="6"/>
  <c r="L681" i="6"/>
  <c r="J681" i="6"/>
  <c r="G681" i="6"/>
  <c r="M680" i="6"/>
  <c r="L680" i="6"/>
  <c r="J680" i="6"/>
  <c r="G680" i="6"/>
  <c r="M679" i="6"/>
  <c r="L679" i="6"/>
  <c r="J679" i="6"/>
  <c r="G679" i="6"/>
  <c r="M678" i="6"/>
  <c r="L678" i="6"/>
  <c r="J678" i="6"/>
  <c r="G678" i="6"/>
  <c r="M677" i="6"/>
  <c r="L677" i="6"/>
  <c r="J677" i="6"/>
  <c r="G677" i="6"/>
  <c r="M676" i="6"/>
  <c r="L676" i="6"/>
  <c r="J676" i="6"/>
  <c r="G676" i="6"/>
  <c r="M675" i="6"/>
  <c r="L675" i="6"/>
  <c r="J675" i="6"/>
  <c r="G675" i="6"/>
  <c r="M674" i="6"/>
  <c r="L674" i="6"/>
  <c r="J674" i="6"/>
  <c r="G674" i="6"/>
  <c r="M673" i="6"/>
  <c r="L673" i="6"/>
  <c r="J673" i="6"/>
  <c r="G673" i="6"/>
  <c r="L672" i="6"/>
  <c r="M671" i="6"/>
  <c r="L671" i="6"/>
  <c r="M670" i="6"/>
  <c r="L670" i="6"/>
  <c r="M669" i="6"/>
  <c r="L669" i="6"/>
  <c r="M668" i="6"/>
  <c r="L668" i="6"/>
  <c r="M667" i="6"/>
  <c r="L667" i="6"/>
  <c r="M666" i="6"/>
  <c r="L666" i="6"/>
  <c r="M665" i="6"/>
  <c r="L665" i="6"/>
  <c r="J665" i="6"/>
  <c r="G665" i="6"/>
  <c r="M664" i="6"/>
  <c r="L664" i="6"/>
  <c r="J664" i="6"/>
  <c r="G664" i="6"/>
  <c r="M663" i="6"/>
  <c r="L663" i="6"/>
  <c r="J663" i="6"/>
  <c r="G663" i="6"/>
  <c r="M662" i="6"/>
  <c r="L662" i="6"/>
  <c r="J662" i="6"/>
  <c r="G662" i="6"/>
  <c r="M661" i="6"/>
  <c r="L661" i="6"/>
  <c r="J661" i="6"/>
  <c r="G661" i="6"/>
  <c r="M660" i="6"/>
  <c r="L660" i="6"/>
  <c r="K660" i="6"/>
  <c r="J660" i="6"/>
  <c r="G660" i="6"/>
  <c r="M659" i="6"/>
  <c r="L659" i="6"/>
  <c r="K659" i="6"/>
  <c r="J659" i="6"/>
  <c r="G659" i="6"/>
  <c r="M658" i="6"/>
  <c r="L658" i="6"/>
  <c r="J658" i="6"/>
  <c r="G658" i="6"/>
  <c r="L657" i="6"/>
  <c r="M656" i="6"/>
  <c r="L656" i="6"/>
  <c r="M655" i="6"/>
  <c r="L655" i="6"/>
  <c r="M654" i="6"/>
  <c r="L654" i="6"/>
  <c r="M653" i="6"/>
  <c r="L653" i="6"/>
  <c r="M652" i="6"/>
  <c r="L652" i="6"/>
  <c r="M651" i="6"/>
  <c r="L651" i="6"/>
  <c r="J651" i="6"/>
  <c r="G651" i="6"/>
  <c r="M650" i="6"/>
  <c r="L650" i="6"/>
  <c r="J650" i="6"/>
  <c r="G650" i="6"/>
  <c r="M649" i="6"/>
  <c r="L649" i="6"/>
  <c r="J649" i="6"/>
  <c r="G649" i="6"/>
  <c r="M648" i="6"/>
  <c r="L648" i="6"/>
  <c r="J648" i="6"/>
  <c r="G648" i="6"/>
  <c r="M647" i="6"/>
  <c r="L647" i="6"/>
  <c r="J647" i="6"/>
  <c r="G647" i="6"/>
  <c r="M646" i="6"/>
  <c r="L646" i="6"/>
  <c r="J646" i="6"/>
  <c r="G646" i="6"/>
  <c r="M645" i="6"/>
  <c r="L645" i="6"/>
  <c r="J645" i="6"/>
  <c r="G645" i="6"/>
  <c r="L644" i="6"/>
  <c r="M643" i="6"/>
  <c r="L643" i="6"/>
  <c r="M642" i="6"/>
  <c r="L642" i="6"/>
  <c r="M641" i="6"/>
  <c r="L641" i="6"/>
  <c r="M640" i="6"/>
  <c r="L640" i="6"/>
  <c r="M639" i="6"/>
  <c r="L639" i="6"/>
  <c r="M638" i="6"/>
  <c r="L638" i="6"/>
  <c r="J638" i="6"/>
  <c r="G638" i="6"/>
  <c r="M637" i="6"/>
  <c r="L637" i="6"/>
  <c r="J637" i="6"/>
  <c r="G637" i="6"/>
  <c r="M636" i="6"/>
  <c r="L636" i="6"/>
  <c r="J636" i="6"/>
  <c r="G636" i="6"/>
  <c r="M635" i="6"/>
  <c r="L635" i="6"/>
  <c r="J635" i="6"/>
  <c r="G635" i="6"/>
  <c r="M634" i="6"/>
  <c r="L634" i="6"/>
  <c r="J634" i="6"/>
  <c r="G634" i="6"/>
  <c r="M633" i="6"/>
  <c r="L633" i="6"/>
  <c r="J633" i="6"/>
  <c r="G633" i="6"/>
  <c r="M632" i="6"/>
  <c r="L632" i="6"/>
  <c r="K632" i="6"/>
  <c r="J632" i="6"/>
  <c r="G632" i="6"/>
  <c r="M631" i="6"/>
  <c r="L631" i="6"/>
  <c r="K631" i="6"/>
  <c r="J631" i="6"/>
  <c r="G631" i="6"/>
  <c r="M630" i="6"/>
  <c r="L630" i="6"/>
  <c r="K630" i="6"/>
  <c r="J630" i="6"/>
  <c r="G630" i="6"/>
  <c r="M629" i="6"/>
  <c r="L629" i="6"/>
  <c r="J629" i="6"/>
  <c r="G629" i="6"/>
  <c r="L628" i="6"/>
  <c r="M627" i="6"/>
  <c r="L627" i="6"/>
  <c r="M626" i="6"/>
  <c r="L626" i="6"/>
  <c r="M625" i="6"/>
  <c r="L625" i="6"/>
  <c r="M624" i="6"/>
  <c r="L624" i="6"/>
  <c r="M623" i="6"/>
  <c r="L623" i="6"/>
  <c r="M622" i="6"/>
  <c r="L622" i="6"/>
  <c r="J622" i="6"/>
  <c r="G622" i="6"/>
  <c r="M621" i="6"/>
  <c r="L621" i="6"/>
  <c r="J621" i="6"/>
  <c r="G621" i="6"/>
  <c r="M620" i="6"/>
  <c r="L620" i="6"/>
  <c r="J620" i="6"/>
  <c r="G620" i="6"/>
  <c r="M619" i="6"/>
  <c r="L619" i="6"/>
  <c r="J619" i="6"/>
  <c r="G619" i="6"/>
  <c r="M618" i="6"/>
  <c r="L618" i="6"/>
  <c r="J618" i="6"/>
  <c r="G618" i="6"/>
  <c r="M617" i="6"/>
  <c r="L617" i="6"/>
  <c r="J617" i="6"/>
  <c r="G617" i="6"/>
  <c r="M616" i="6"/>
  <c r="L616" i="6"/>
  <c r="J616" i="6"/>
  <c r="G616" i="6"/>
  <c r="L615" i="6"/>
  <c r="M614" i="6"/>
  <c r="L614" i="6"/>
  <c r="M613" i="6"/>
  <c r="L613" i="6"/>
  <c r="M612" i="6"/>
  <c r="L612" i="6"/>
  <c r="M611" i="6"/>
  <c r="L611" i="6"/>
  <c r="M610" i="6"/>
  <c r="L610" i="6"/>
  <c r="M609" i="6"/>
  <c r="L609" i="6"/>
  <c r="J609" i="6"/>
  <c r="G609" i="6"/>
  <c r="M608" i="6"/>
  <c r="L608" i="6"/>
  <c r="J608" i="6"/>
  <c r="G608" i="6"/>
  <c r="M607" i="6"/>
  <c r="L607" i="6"/>
  <c r="J607" i="6"/>
  <c r="G607" i="6"/>
  <c r="M606" i="6"/>
  <c r="L606" i="6"/>
  <c r="J606" i="6"/>
  <c r="G606" i="6"/>
  <c r="M605" i="6"/>
  <c r="L605" i="6"/>
  <c r="J605" i="6"/>
  <c r="G605" i="6"/>
  <c r="M604" i="6"/>
  <c r="L604" i="6"/>
  <c r="J604" i="6"/>
  <c r="G604" i="6"/>
  <c r="M603" i="6"/>
  <c r="L603" i="6"/>
  <c r="K603" i="6"/>
  <c r="J603" i="6"/>
  <c r="G603" i="6"/>
  <c r="M602" i="6"/>
  <c r="L602" i="6"/>
  <c r="K602" i="6"/>
  <c r="J602" i="6"/>
  <c r="G602" i="6"/>
  <c r="M601" i="6"/>
  <c r="L601" i="6"/>
  <c r="J601" i="6"/>
  <c r="G601" i="6"/>
  <c r="M600" i="6"/>
  <c r="L600" i="6"/>
  <c r="J600" i="6"/>
  <c r="G600" i="6"/>
  <c r="M599" i="6"/>
  <c r="L599" i="6"/>
  <c r="J599" i="6"/>
  <c r="G599" i="6"/>
  <c r="L598" i="6"/>
  <c r="M597" i="6"/>
  <c r="L597" i="6"/>
  <c r="M596" i="6"/>
  <c r="L596" i="6"/>
  <c r="M595" i="6"/>
  <c r="L595" i="6"/>
  <c r="M594" i="6"/>
  <c r="L594" i="6"/>
  <c r="M593" i="6"/>
  <c r="L593" i="6"/>
  <c r="M592" i="6"/>
  <c r="L592" i="6"/>
  <c r="J592" i="6"/>
  <c r="G592" i="6"/>
  <c r="M591" i="6"/>
  <c r="L591" i="6"/>
  <c r="J591" i="6"/>
  <c r="G591" i="6"/>
  <c r="M590" i="6"/>
  <c r="L590" i="6"/>
  <c r="J590" i="6"/>
  <c r="G590" i="6"/>
  <c r="M589" i="6"/>
  <c r="L589" i="6"/>
  <c r="J589" i="6"/>
  <c r="G589" i="6"/>
  <c r="M588" i="6"/>
  <c r="L588" i="6"/>
  <c r="J588" i="6"/>
  <c r="G588" i="6"/>
  <c r="M587" i="6"/>
  <c r="L587" i="6"/>
  <c r="J587" i="6"/>
  <c r="G587" i="6"/>
  <c r="M586" i="6"/>
  <c r="L586" i="6"/>
  <c r="K586" i="6"/>
  <c r="J586" i="6"/>
  <c r="G586" i="6"/>
  <c r="M585" i="6"/>
  <c r="L585" i="6"/>
  <c r="J585" i="6"/>
  <c r="G585" i="6"/>
  <c r="M584" i="6"/>
  <c r="L584" i="6"/>
  <c r="J584" i="6"/>
  <c r="G584" i="6"/>
  <c r="M583" i="6"/>
  <c r="L583" i="6"/>
  <c r="J583" i="6"/>
  <c r="G583" i="6"/>
  <c r="M582" i="6"/>
  <c r="L582" i="6"/>
  <c r="J582" i="6"/>
  <c r="G582" i="6"/>
  <c r="M581" i="6"/>
  <c r="L581" i="6"/>
  <c r="J581" i="6"/>
  <c r="G581" i="6"/>
  <c r="M580" i="6"/>
  <c r="L580" i="6"/>
  <c r="J580" i="6"/>
  <c r="G580" i="6"/>
  <c r="L579" i="6"/>
  <c r="M578" i="6"/>
  <c r="L578" i="6"/>
  <c r="M577" i="6"/>
  <c r="L577" i="6"/>
  <c r="M576" i="6"/>
  <c r="L576" i="6"/>
  <c r="M575" i="6"/>
  <c r="L575" i="6"/>
  <c r="M574" i="6"/>
  <c r="L574" i="6"/>
  <c r="M573" i="6"/>
  <c r="L573" i="6"/>
  <c r="J573" i="6"/>
  <c r="G573" i="6"/>
  <c r="M572" i="6"/>
  <c r="L572" i="6"/>
  <c r="K572" i="6"/>
  <c r="J572" i="6"/>
  <c r="G572" i="6"/>
  <c r="M571" i="6"/>
  <c r="L571" i="6"/>
  <c r="J571" i="6"/>
  <c r="G571" i="6"/>
  <c r="M570" i="6"/>
  <c r="L570" i="6"/>
  <c r="K570" i="6"/>
  <c r="J570" i="6"/>
  <c r="G570" i="6"/>
  <c r="M569" i="6"/>
  <c r="L569" i="6"/>
  <c r="J569" i="6"/>
  <c r="G569" i="6"/>
  <c r="M568" i="6"/>
  <c r="L568" i="6"/>
  <c r="K568" i="6"/>
  <c r="J568" i="6"/>
  <c r="G568" i="6"/>
  <c r="M567" i="6"/>
  <c r="L567" i="6"/>
  <c r="J567" i="6"/>
  <c r="G567" i="6"/>
  <c r="M566" i="6"/>
  <c r="L566" i="6"/>
  <c r="J566" i="6"/>
  <c r="G566" i="6"/>
  <c r="M565" i="6"/>
  <c r="L565" i="6"/>
  <c r="K565" i="6"/>
  <c r="J565" i="6"/>
  <c r="G565" i="6"/>
  <c r="M564" i="6"/>
  <c r="L564" i="6"/>
  <c r="J564" i="6"/>
  <c r="G564" i="6"/>
  <c r="M563" i="6"/>
  <c r="L563" i="6"/>
  <c r="J563" i="6"/>
  <c r="G563" i="6"/>
  <c r="M562" i="6"/>
  <c r="L562" i="6"/>
  <c r="J562" i="6"/>
  <c r="G562" i="6"/>
  <c r="M561" i="6"/>
  <c r="L561" i="6"/>
  <c r="J561" i="6"/>
  <c r="G561" i="6"/>
  <c r="M560" i="6"/>
  <c r="L560" i="6"/>
  <c r="J560" i="6"/>
  <c r="G560" i="6"/>
  <c r="L559" i="6"/>
  <c r="M558" i="6"/>
  <c r="L558" i="6"/>
  <c r="M557" i="6"/>
  <c r="L557" i="6"/>
  <c r="M556" i="6"/>
  <c r="L556" i="6"/>
  <c r="M555" i="6"/>
  <c r="L555" i="6"/>
  <c r="M554" i="6"/>
  <c r="L554" i="6"/>
  <c r="M553" i="6"/>
  <c r="L553" i="6"/>
  <c r="J553" i="6"/>
  <c r="G553" i="6"/>
  <c r="M552" i="6"/>
  <c r="L552" i="6"/>
  <c r="K552" i="6"/>
  <c r="J552" i="6"/>
  <c r="G552" i="6"/>
  <c r="M551" i="6"/>
  <c r="L551" i="6"/>
  <c r="K551" i="6"/>
  <c r="J551" i="6"/>
  <c r="G551" i="6"/>
  <c r="M550" i="6"/>
  <c r="L550" i="6"/>
  <c r="J550" i="6"/>
  <c r="G550" i="6"/>
  <c r="M549" i="6"/>
  <c r="L549" i="6"/>
  <c r="J549" i="6"/>
  <c r="G549" i="6"/>
  <c r="M548" i="6"/>
  <c r="L548" i="6"/>
  <c r="J548" i="6"/>
  <c r="G548" i="6"/>
  <c r="M547" i="6"/>
  <c r="L547" i="6"/>
  <c r="J547" i="6"/>
  <c r="G547" i="6"/>
  <c r="M546" i="6"/>
  <c r="L546" i="6"/>
  <c r="J546" i="6"/>
  <c r="G546" i="6"/>
  <c r="M545" i="6"/>
  <c r="L545" i="6"/>
  <c r="J545" i="6"/>
  <c r="G545" i="6"/>
  <c r="M544" i="6"/>
  <c r="L544" i="6"/>
  <c r="J544" i="6"/>
  <c r="G544" i="6"/>
  <c r="M543" i="6"/>
  <c r="L543" i="6"/>
  <c r="K543" i="6"/>
  <c r="J543" i="6"/>
  <c r="G543" i="6"/>
  <c r="M542" i="6"/>
  <c r="L542" i="6"/>
  <c r="J542" i="6"/>
  <c r="G542" i="6"/>
  <c r="M541" i="6"/>
  <c r="L541" i="6"/>
  <c r="J541" i="6"/>
  <c r="G541" i="6"/>
  <c r="M540" i="6"/>
  <c r="L540" i="6"/>
  <c r="J540" i="6"/>
  <c r="G540" i="6"/>
  <c r="M539" i="6"/>
  <c r="L539" i="6"/>
  <c r="J539" i="6"/>
  <c r="G539" i="6"/>
  <c r="M538" i="6"/>
  <c r="L538" i="6"/>
  <c r="K538" i="6"/>
  <c r="J538" i="6"/>
  <c r="G538" i="6"/>
  <c r="M537" i="6"/>
  <c r="L537" i="6"/>
  <c r="J537" i="6"/>
  <c r="G537" i="6"/>
  <c r="L536" i="6"/>
  <c r="M535" i="6"/>
  <c r="L535" i="6"/>
  <c r="M534" i="6"/>
  <c r="L534" i="6"/>
  <c r="M533" i="6"/>
  <c r="L533" i="6"/>
  <c r="M532" i="6"/>
  <c r="L532" i="6"/>
  <c r="M531" i="6"/>
  <c r="L531" i="6"/>
  <c r="M530" i="6"/>
  <c r="L530" i="6"/>
  <c r="K530" i="6"/>
  <c r="J530" i="6"/>
  <c r="G530" i="6"/>
  <c r="M529" i="6"/>
  <c r="L529" i="6"/>
  <c r="K529" i="6"/>
  <c r="J529" i="6"/>
  <c r="G529" i="6"/>
  <c r="M528" i="6"/>
  <c r="L528" i="6"/>
  <c r="K528" i="6"/>
  <c r="J528" i="6"/>
  <c r="G528" i="6"/>
  <c r="M527" i="6"/>
  <c r="L527" i="6"/>
  <c r="K527" i="6"/>
  <c r="J527" i="6"/>
  <c r="G527" i="6"/>
  <c r="M526" i="6"/>
  <c r="L526" i="6"/>
  <c r="K526" i="6"/>
  <c r="J526" i="6"/>
  <c r="G526" i="6"/>
  <c r="M525" i="6"/>
  <c r="L525" i="6"/>
  <c r="K525" i="6"/>
  <c r="J525" i="6"/>
  <c r="G525" i="6"/>
  <c r="M524" i="6"/>
  <c r="L524" i="6"/>
  <c r="K524" i="6"/>
  <c r="J524" i="6"/>
  <c r="G524" i="6"/>
  <c r="M523" i="6"/>
  <c r="L523" i="6"/>
  <c r="K523" i="6"/>
  <c r="J523" i="6"/>
  <c r="G523" i="6"/>
  <c r="M522" i="6"/>
  <c r="L522" i="6"/>
  <c r="K522" i="6"/>
  <c r="J522" i="6"/>
  <c r="G522" i="6"/>
  <c r="M521" i="6"/>
  <c r="L521" i="6"/>
  <c r="K521" i="6"/>
  <c r="J521" i="6"/>
  <c r="G521" i="6"/>
  <c r="M520" i="6"/>
  <c r="L520" i="6"/>
  <c r="K520" i="6"/>
  <c r="J520" i="6"/>
  <c r="G520" i="6"/>
  <c r="M519" i="6"/>
  <c r="L519" i="6"/>
  <c r="K519" i="6"/>
  <c r="J519" i="6"/>
  <c r="G519" i="6"/>
  <c r="M518" i="6"/>
  <c r="L518" i="6"/>
  <c r="K518" i="6"/>
  <c r="J518" i="6"/>
  <c r="G518" i="6"/>
  <c r="M517" i="6"/>
  <c r="L517" i="6"/>
  <c r="K517" i="6"/>
  <c r="J517" i="6"/>
  <c r="G517" i="6"/>
  <c r="L516" i="6"/>
  <c r="M515" i="6"/>
  <c r="L515" i="6"/>
  <c r="M514" i="6"/>
  <c r="L514" i="6"/>
  <c r="M513" i="6"/>
  <c r="L513" i="6"/>
  <c r="M512" i="6"/>
  <c r="L512" i="6"/>
  <c r="M511" i="6"/>
  <c r="L511" i="6"/>
  <c r="M510" i="6"/>
  <c r="L510" i="6"/>
  <c r="K510" i="6"/>
  <c r="J510" i="6"/>
  <c r="G510" i="6"/>
  <c r="M509" i="6"/>
  <c r="L509" i="6"/>
  <c r="K509" i="6"/>
  <c r="J509" i="6"/>
  <c r="G509" i="6"/>
  <c r="M508" i="6"/>
  <c r="L508" i="6"/>
  <c r="K508" i="6"/>
  <c r="J508" i="6"/>
  <c r="G508" i="6"/>
  <c r="M507" i="6"/>
  <c r="L507" i="6"/>
  <c r="K507" i="6"/>
  <c r="J507" i="6"/>
  <c r="G507" i="6"/>
  <c r="M506" i="6"/>
  <c r="L506" i="6"/>
  <c r="K506" i="6"/>
  <c r="J506" i="6"/>
  <c r="G506" i="6"/>
  <c r="M505" i="6"/>
  <c r="L505" i="6"/>
  <c r="K505" i="6"/>
  <c r="J505" i="6"/>
  <c r="G505" i="6"/>
  <c r="M504" i="6"/>
  <c r="L504" i="6"/>
  <c r="K504" i="6"/>
  <c r="J504" i="6"/>
  <c r="G504" i="6"/>
  <c r="M503" i="6"/>
  <c r="L503" i="6"/>
  <c r="K503" i="6"/>
  <c r="J503" i="6"/>
  <c r="G503" i="6"/>
  <c r="M502" i="6"/>
  <c r="L502" i="6"/>
  <c r="K502" i="6"/>
  <c r="J502" i="6"/>
  <c r="G502" i="6"/>
  <c r="M501" i="6"/>
  <c r="L501" i="6"/>
  <c r="K501" i="6"/>
  <c r="J501" i="6"/>
  <c r="G501" i="6"/>
  <c r="M500" i="6"/>
  <c r="L500" i="6"/>
  <c r="K500" i="6"/>
  <c r="J500" i="6"/>
  <c r="G500" i="6"/>
  <c r="M499" i="6"/>
  <c r="L499" i="6"/>
  <c r="K499" i="6"/>
  <c r="J499" i="6"/>
  <c r="G499" i="6"/>
  <c r="M498" i="6"/>
  <c r="L498" i="6"/>
  <c r="K498" i="6"/>
  <c r="J498" i="6"/>
  <c r="G498" i="6"/>
  <c r="M497" i="6"/>
  <c r="L497" i="6"/>
  <c r="K497" i="6"/>
  <c r="J497" i="6"/>
  <c r="G497" i="6"/>
  <c r="M496" i="6"/>
  <c r="L496" i="6"/>
  <c r="K496" i="6"/>
  <c r="J496" i="6"/>
  <c r="G496" i="6"/>
  <c r="M495" i="6"/>
  <c r="L495" i="6"/>
  <c r="K495" i="6"/>
  <c r="J495" i="6"/>
  <c r="G495" i="6"/>
  <c r="L494" i="6"/>
  <c r="M493" i="6"/>
  <c r="L493" i="6"/>
  <c r="M492" i="6"/>
  <c r="L492" i="6"/>
  <c r="M491" i="6"/>
  <c r="L491" i="6"/>
  <c r="M490" i="6"/>
  <c r="L490" i="6"/>
  <c r="M489" i="6"/>
  <c r="L489" i="6"/>
  <c r="M488" i="6"/>
  <c r="L488" i="6"/>
  <c r="K488" i="6"/>
  <c r="J488" i="6"/>
  <c r="G488" i="6"/>
  <c r="M487" i="6"/>
  <c r="L487" i="6"/>
  <c r="K487" i="6"/>
  <c r="J487" i="6"/>
  <c r="G487" i="6"/>
  <c r="M486" i="6"/>
  <c r="L486" i="6"/>
  <c r="K486" i="6"/>
  <c r="J486" i="6"/>
  <c r="G486" i="6"/>
  <c r="M485" i="6"/>
  <c r="L485" i="6"/>
  <c r="K485" i="6"/>
  <c r="J485" i="6"/>
  <c r="G485" i="6"/>
  <c r="M484" i="6"/>
  <c r="L484" i="6"/>
  <c r="K484" i="6"/>
  <c r="J484" i="6"/>
  <c r="G484" i="6"/>
  <c r="M483" i="6"/>
  <c r="L483" i="6"/>
  <c r="K483" i="6"/>
  <c r="J483" i="6"/>
  <c r="G483" i="6"/>
  <c r="M482" i="6"/>
  <c r="L482" i="6"/>
  <c r="K482" i="6"/>
  <c r="J482" i="6"/>
  <c r="G482" i="6"/>
  <c r="M481" i="6"/>
  <c r="L481" i="6"/>
  <c r="K481" i="6"/>
  <c r="J481" i="6"/>
  <c r="G481" i="6"/>
  <c r="M480" i="6"/>
  <c r="L480" i="6"/>
  <c r="K480" i="6"/>
  <c r="J480" i="6"/>
  <c r="G480" i="6"/>
  <c r="M479" i="6"/>
  <c r="L479" i="6"/>
  <c r="K479" i="6"/>
  <c r="J479" i="6"/>
  <c r="G479" i="6"/>
  <c r="M478" i="6"/>
  <c r="L478" i="6"/>
  <c r="K478" i="6"/>
  <c r="J478" i="6"/>
  <c r="G478" i="6"/>
  <c r="M477" i="6"/>
  <c r="L477" i="6"/>
  <c r="K477" i="6"/>
  <c r="J477" i="6"/>
  <c r="G477" i="6"/>
  <c r="M476" i="6"/>
  <c r="L476" i="6"/>
  <c r="J476" i="6"/>
  <c r="G476" i="6"/>
  <c r="M475" i="6"/>
  <c r="L475" i="6"/>
  <c r="K475" i="6"/>
  <c r="J475" i="6"/>
  <c r="G475" i="6"/>
  <c r="M474" i="6"/>
  <c r="L474" i="6"/>
  <c r="J474" i="6"/>
  <c r="G474" i="6"/>
  <c r="M473" i="6"/>
  <c r="L473" i="6"/>
  <c r="K473" i="6"/>
  <c r="J473" i="6"/>
  <c r="G473" i="6"/>
  <c r="M472" i="6"/>
  <c r="L472" i="6"/>
  <c r="K472" i="6"/>
  <c r="J472" i="6"/>
  <c r="G472" i="6"/>
  <c r="L471" i="6"/>
  <c r="M470" i="6"/>
  <c r="L470" i="6"/>
  <c r="M469" i="6"/>
  <c r="L469" i="6"/>
  <c r="M468" i="6"/>
  <c r="L468" i="6"/>
  <c r="M467" i="6"/>
  <c r="L467" i="6"/>
  <c r="M466" i="6"/>
  <c r="L466" i="6"/>
  <c r="M465" i="6"/>
  <c r="L465" i="6"/>
  <c r="J465" i="6"/>
  <c r="G465" i="6"/>
  <c r="M464" i="6"/>
  <c r="L464" i="6"/>
  <c r="J464" i="6"/>
  <c r="G464" i="6"/>
  <c r="M463" i="6"/>
  <c r="L463" i="6"/>
  <c r="K463" i="6"/>
  <c r="J463" i="6"/>
  <c r="G463" i="6"/>
  <c r="M462" i="6"/>
  <c r="L462" i="6"/>
  <c r="K462" i="6"/>
  <c r="J462" i="6"/>
  <c r="G462" i="6"/>
  <c r="M461" i="6"/>
  <c r="L461" i="6"/>
  <c r="J461" i="6"/>
  <c r="G461" i="6"/>
  <c r="M460" i="6"/>
  <c r="L460" i="6"/>
  <c r="K460" i="6"/>
  <c r="J460" i="6"/>
  <c r="G460" i="6"/>
  <c r="M459" i="6"/>
  <c r="L459" i="6"/>
  <c r="K459" i="6"/>
  <c r="J459" i="6"/>
  <c r="G459" i="6"/>
  <c r="M458" i="6"/>
  <c r="L458" i="6"/>
  <c r="J458" i="6"/>
  <c r="G458" i="6"/>
  <c r="M457" i="6"/>
  <c r="L457" i="6"/>
  <c r="K457" i="6"/>
  <c r="J457" i="6"/>
  <c r="G457" i="6"/>
  <c r="M456" i="6"/>
  <c r="L456" i="6"/>
  <c r="J456" i="6"/>
  <c r="G456" i="6"/>
  <c r="M455" i="6"/>
  <c r="L455" i="6"/>
  <c r="J455" i="6"/>
  <c r="G455" i="6"/>
  <c r="M454" i="6"/>
  <c r="L454" i="6"/>
  <c r="K454" i="6"/>
  <c r="J454" i="6"/>
  <c r="G454" i="6"/>
  <c r="M453" i="6"/>
  <c r="L453" i="6"/>
  <c r="J453" i="6"/>
  <c r="G453" i="6"/>
  <c r="M452" i="6"/>
  <c r="L452" i="6"/>
  <c r="K452" i="6"/>
  <c r="J452" i="6"/>
  <c r="G452" i="6"/>
  <c r="M451" i="6"/>
  <c r="L451" i="6"/>
  <c r="K451" i="6"/>
  <c r="J451" i="6"/>
  <c r="G451" i="6"/>
  <c r="M450" i="6"/>
  <c r="L450" i="6"/>
  <c r="J450" i="6"/>
  <c r="G450" i="6"/>
  <c r="M449" i="6"/>
  <c r="L449" i="6"/>
  <c r="M448" i="6"/>
  <c r="L448" i="6"/>
  <c r="K448" i="6"/>
  <c r="J448" i="6"/>
  <c r="G448" i="6"/>
  <c r="M447" i="6"/>
  <c r="L447" i="6"/>
  <c r="M446" i="6"/>
  <c r="L446" i="6"/>
  <c r="M445" i="6"/>
  <c r="L445" i="6"/>
  <c r="M444" i="6"/>
  <c r="L444" i="6"/>
  <c r="M443" i="6"/>
  <c r="L443" i="6"/>
  <c r="M442" i="6"/>
  <c r="L442" i="6"/>
  <c r="M441" i="6"/>
  <c r="L441" i="6"/>
  <c r="K441" i="6"/>
  <c r="J441" i="6"/>
  <c r="G441" i="6"/>
  <c r="M440" i="6"/>
  <c r="L440" i="6"/>
  <c r="K440" i="6"/>
  <c r="J440" i="6"/>
  <c r="G440" i="6"/>
  <c r="M439" i="6"/>
  <c r="L439" i="6"/>
  <c r="J439" i="6"/>
  <c r="G439" i="6"/>
  <c r="M438" i="6"/>
  <c r="L438" i="6"/>
  <c r="J438" i="6"/>
  <c r="G438" i="6"/>
  <c r="M437" i="6"/>
  <c r="L437" i="6"/>
  <c r="K437" i="6"/>
  <c r="J437" i="6"/>
  <c r="G437" i="6"/>
  <c r="M436" i="6"/>
  <c r="L436" i="6"/>
  <c r="J436" i="6"/>
  <c r="G436" i="6"/>
  <c r="M435" i="6"/>
  <c r="L435" i="6"/>
  <c r="K435" i="6"/>
  <c r="J435" i="6"/>
  <c r="G435" i="6"/>
  <c r="M434" i="6"/>
  <c r="L434" i="6"/>
  <c r="J434" i="6"/>
  <c r="G434" i="6"/>
  <c r="M433" i="6"/>
  <c r="L433" i="6"/>
  <c r="J433" i="6"/>
  <c r="G433" i="6"/>
  <c r="M432" i="6"/>
  <c r="L432" i="6"/>
  <c r="K432" i="6"/>
  <c r="J432" i="6"/>
  <c r="G432" i="6"/>
  <c r="M431" i="6"/>
  <c r="L431" i="6"/>
  <c r="J431" i="6"/>
  <c r="G431" i="6"/>
  <c r="M430" i="6"/>
  <c r="L430" i="6"/>
  <c r="K430" i="6"/>
  <c r="J430" i="6"/>
  <c r="G430" i="6"/>
  <c r="M429" i="6"/>
  <c r="L429" i="6"/>
  <c r="K429" i="6"/>
  <c r="J429" i="6"/>
  <c r="G429" i="6"/>
  <c r="M428" i="6"/>
  <c r="L428" i="6"/>
  <c r="J428" i="6"/>
  <c r="G428" i="6"/>
  <c r="M427" i="6"/>
  <c r="L427" i="6"/>
  <c r="K427" i="6"/>
  <c r="J427" i="6"/>
  <c r="G427" i="6"/>
  <c r="M426" i="6"/>
  <c r="L426" i="6"/>
  <c r="J426" i="6"/>
  <c r="G426" i="6"/>
  <c r="M425" i="6"/>
  <c r="L425" i="6"/>
  <c r="J425" i="6"/>
  <c r="G425" i="6"/>
  <c r="M424" i="6"/>
  <c r="L424" i="6"/>
  <c r="J424" i="6"/>
  <c r="G424" i="6"/>
  <c r="M423" i="6"/>
  <c r="L423" i="6"/>
  <c r="K423" i="6"/>
  <c r="J423" i="6"/>
  <c r="G423" i="6"/>
  <c r="M422" i="6"/>
  <c r="L422" i="6"/>
  <c r="M421" i="6"/>
  <c r="L421" i="6"/>
  <c r="M420" i="6"/>
  <c r="L420" i="6"/>
  <c r="M419" i="6"/>
  <c r="L419" i="6"/>
  <c r="M418" i="6"/>
  <c r="L418" i="6"/>
  <c r="M417" i="6"/>
  <c r="L417" i="6"/>
  <c r="M416" i="6"/>
  <c r="L416" i="6"/>
  <c r="K416" i="6"/>
  <c r="J416" i="6"/>
  <c r="G416" i="6"/>
  <c r="M415" i="6"/>
  <c r="L415" i="6"/>
  <c r="K415" i="6"/>
  <c r="J415" i="6"/>
  <c r="G415" i="6"/>
  <c r="M414" i="6"/>
  <c r="L414" i="6"/>
  <c r="J414" i="6"/>
  <c r="G414" i="6"/>
  <c r="M413" i="6"/>
  <c r="L413" i="6"/>
  <c r="K413" i="6"/>
  <c r="J413" i="6"/>
  <c r="G413" i="6"/>
  <c r="M412" i="6"/>
  <c r="L412" i="6"/>
  <c r="K412" i="6"/>
  <c r="J412" i="6"/>
  <c r="G412" i="6"/>
  <c r="M411" i="6"/>
  <c r="L411" i="6"/>
  <c r="K411" i="6"/>
  <c r="J411" i="6"/>
  <c r="G411" i="6"/>
  <c r="M410" i="6"/>
  <c r="L410" i="6"/>
  <c r="J410" i="6"/>
  <c r="G410" i="6"/>
  <c r="M409" i="6"/>
  <c r="L409" i="6"/>
  <c r="J409" i="6"/>
  <c r="G409" i="6"/>
  <c r="M408" i="6"/>
  <c r="L408" i="6"/>
  <c r="K408" i="6"/>
  <c r="J408" i="6"/>
  <c r="G408" i="6"/>
  <c r="M407" i="6"/>
  <c r="L407" i="6"/>
  <c r="J407" i="6"/>
  <c r="G407" i="6"/>
  <c r="M406" i="6"/>
  <c r="L406" i="6"/>
  <c r="K406" i="6"/>
  <c r="J406" i="6"/>
  <c r="G406" i="6"/>
  <c r="M405" i="6"/>
  <c r="L405" i="6"/>
  <c r="J405" i="6"/>
  <c r="G405" i="6"/>
  <c r="M404" i="6"/>
  <c r="L404" i="6"/>
  <c r="J404" i="6"/>
  <c r="G404" i="6"/>
  <c r="M403" i="6"/>
  <c r="L403" i="6"/>
  <c r="M402" i="6"/>
  <c r="L402" i="6"/>
  <c r="M401" i="6"/>
  <c r="L401" i="6"/>
  <c r="M400" i="6"/>
  <c r="L400" i="6"/>
  <c r="M399" i="6"/>
  <c r="L399" i="6"/>
  <c r="M398" i="6"/>
  <c r="L398" i="6"/>
  <c r="K398" i="6"/>
  <c r="J398" i="6"/>
  <c r="G398" i="6"/>
  <c r="M397" i="6"/>
  <c r="L397" i="6"/>
  <c r="K397" i="6"/>
  <c r="J397" i="6"/>
  <c r="G397" i="6"/>
  <c r="M396" i="6"/>
  <c r="L396" i="6"/>
  <c r="K396" i="6"/>
  <c r="J396" i="6"/>
  <c r="G396" i="6"/>
  <c r="M395" i="6"/>
  <c r="L395" i="6"/>
  <c r="K395" i="6"/>
  <c r="J395" i="6"/>
  <c r="G395" i="6"/>
  <c r="M394" i="6"/>
  <c r="L394" i="6"/>
  <c r="J394" i="6"/>
  <c r="G394" i="6"/>
  <c r="M393" i="6"/>
  <c r="L393" i="6"/>
  <c r="J393" i="6"/>
  <c r="G393" i="6"/>
  <c r="M392" i="6"/>
  <c r="L392" i="6"/>
  <c r="K392" i="6"/>
  <c r="J392" i="6"/>
  <c r="G392" i="6"/>
  <c r="M391" i="6"/>
  <c r="L391" i="6"/>
  <c r="K391" i="6"/>
  <c r="J391" i="6"/>
  <c r="G391" i="6"/>
  <c r="M390" i="6"/>
  <c r="L390" i="6"/>
  <c r="K390" i="6"/>
  <c r="J390" i="6"/>
  <c r="G390" i="6"/>
  <c r="M389" i="6"/>
  <c r="L389" i="6"/>
  <c r="K389" i="6"/>
  <c r="J389" i="6"/>
  <c r="G389" i="6"/>
  <c r="M388" i="6"/>
  <c r="L388" i="6"/>
  <c r="J388" i="6"/>
  <c r="G388" i="6"/>
  <c r="M387" i="6"/>
  <c r="L387" i="6"/>
  <c r="J387" i="6"/>
  <c r="G387" i="6"/>
  <c r="M386" i="6"/>
  <c r="L386" i="6"/>
  <c r="J386" i="6"/>
  <c r="G386" i="6"/>
  <c r="M385" i="6"/>
  <c r="L385" i="6"/>
  <c r="J385" i="6"/>
  <c r="G385" i="6"/>
  <c r="M384" i="6"/>
  <c r="L384" i="6"/>
  <c r="K384" i="6"/>
  <c r="J384" i="6"/>
  <c r="G384" i="6"/>
  <c r="M383" i="6"/>
  <c r="L383" i="6"/>
  <c r="M382" i="6"/>
  <c r="L382" i="6"/>
  <c r="M381" i="6"/>
  <c r="L381" i="6"/>
  <c r="M380" i="6"/>
  <c r="L380" i="6"/>
  <c r="K380" i="6"/>
  <c r="J380" i="6"/>
  <c r="G380" i="6"/>
  <c r="M379" i="6"/>
  <c r="L379" i="6"/>
  <c r="M378" i="6"/>
  <c r="L378" i="6"/>
  <c r="M377" i="6"/>
  <c r="L377" i="6"/>
  <c r="M376" i="6"/>
  <c r="L376" i="6"/>
  <c r="K376" i="6"/>
  <c r="J376" i="6"/>
  <c r="G376" i="6"/>
  <c r="M375" i="6"/>
  <c r="L375" i="6"/>
  <c r="K375" i="6"/>
  <c r="J375" i="6"/>
  <c r="G375" i="6"/>
  <c r="M374" i="6"/>
  <c r="L374" i="6"/>
  <c r="K374" i="6"/>
  <c r="J374" i="6"/>
  <c r="G374" i="6"/>
  <c r="M373" i="6"/>
  <c r="L373" i="6"/>
  <c r="J373" i="6"/>
  <c r="G373" i="6"/>
  <c r="M372" i="6"/>
  <c r="L372" i="6"/>
  <c r="K372" i="6"/>
  <c r="J372" i="6"/>
  <c r="G372" i="6"/>
  <c r="M371" i="6"/>
  <c r="L371" i="6"/>
  <c r="K371" i="6"/>
  <c r="J371" i="6"/>
  <c r="G371" i="6"/>
  <c r="M370" i="6"/>
  <c r="L370" i="6"/>
  <c r="K370" i="6"/>
  <c r="J370" i="6"/>
  <c r="G370" i="6"/>
  <c r="M369" i="6"/>
  <c r="L369" i="6"/>
  <c r="J369" i="6"/>
  <c r="G369" i="6"/>
  <c r="M368" i="6"/>
  <c r="L368" i="6"/>
  <c r="J368" i="6"/>
  <c r="G368" i="6"/>
  <c r="M367" i="6"/>
  <c r="L367" i="6"/>
  <c r="J367" i="6"/>
  <c r="G367" i="6"/>
  <c r="M366" i="6"/>
  <c r="L366" i="6"/>
  <c r="K366" i="6"/>
  <c r="J366" i="6"/>
  <c r="G366" i="6"/>
  <c r="M365" i="6"/>
  <c r="L365" i="6"/>
  <c r="J365" i="6"/>
  <c r="G365" i="6"/>
  <c r="M364" i="6"/>
  <c r="L364" i="6"/>
  <c r="K364" i="6"/>
  <c r="J364" i="6"/>
  <c r="G364" i="6"/>
  <c r="M363" i="6"/>
  <c r="L363" i="6"/>
  <c r="M362" i="6"/>
  <c r="L362" i="6"/>
  <c r="M361" i="6"/>
  <c r="L361" i="6"/>
  <c r="M360" i="6"/>
  <c r="L360" i="6"/>
  <c r="M359" i="6"/>
  <c r="L359" i="6"/>
  <c r="M358" i="6"/>
  <c r="L358" i="6"/>
  <c r="M357" i="6"/>
  <c r="L357" i="6"/>
  <c r="J357" i="6"/>
  <c r="G357" i="6"/>
  <c r="M356" i="6"/>
  <c r="L356" i="6"/>
  <c r="K356" i="6"/>
  <c r="J356" i="6"/>
  <c r="G356" i="6"/>
  <c r="M355" i="6"/>
  <c r="L355" i="6"/>
  <c r="K355" i="6"/>
  <c r="J355" i="6"/>
  <c r="G355" i="6"/>
  <c r="M354" i="6"/>
  <c r="L354" i="6"/>
  <c r="K354" i="6"/>
  <c r="J354" i="6"/>
  <c r="G354" i="6"/>
  <c r="M353" i="6"/>
  <c r="L353" i="6"/>
  <c r="J353" i="6"/>
  <c r="G353" i="6"/>
  <c r="M352" i="6"/>
  <c r="L352" i="6"/>
  <c r="J352" i="6"/>
  <c r="G352" i="6"/>
  <c r="M351" i="6"/>
  <c r="L351" i="6"/>
  <c r="J351" i="6"/>
  <c r="G351" i="6"/>
  <c r="M350" i="6"/>
  <c r="L350" i="6"/>
  <c r="K350" i="6"/>
  <c r="J350" i="6"/>
  <c r="G350" i="6"/>
  <c r="M349" i="6"/>
  <c r="L349" i="6"/>
  <c r="J349" i="6"/>
  <c r="G349" i="6"/>
  <c r="M348" i="6"/>
  <c r="L348" i="6"/>
  <c r="K348" i="6"/>
  <c r="J348" i="6"/>
  <c r="G348" i="6"/>
  <c r="M347" i="6"/>
  <c r="L347" i="6"/>
  <c r="J347" i="6"/>
  <c r="G347" i="6"/>
  <c r="M346" i="6"/>
  <c r="L346" i="6"/>
  <c r="K346" i="6"/>
  <c r="J346" i="6"/>
  <c r="G346" i="6"/>
  <c r="M345" i="6"/>
  <c r="L345" i="6"/>
  <c r="J345" i="6"/>
  <c r="G345" i="6"/>
  <c r="M344" i="6"/>
  <c r="L344" i="6"/>
  <c r="J344" i="6"/>
  <c r="G344" i="6"/>
  <c r="M343" i="6"/>
  <c r="L343" i="6"/>
  <c r="K343" i="6"/>
  <c r="J343" i="6"/>
  <c r="G343" i="6"/>
  <c r="M342" i="6"/>
  <c r="L342" i="6"/>
  <c r="J342" i="6"/>
  <c r="G342" i="6"/>
  <c r="M341" i="6"/>
  <c r="L341" i="6"/>
  <c r="K341" i="6"/>
  <c r="J341" i="6"/>
  <c r="G341" i="6"/>
  <c r="M340" i="6"/>
  <c r="L340" i="6"/>
  <c r="J340" i="6"/>
  <c r="G340" i="6"/>
  <c r="M339" i="6"/>
  <c r="L339" i="6"/>
  <c r="M338" i="6"/>
  <c r="L338" i="6"/>
  <c r="M337" i="6"/>
  <c r="L337" i="6"/>
  <c r="M336" i="6"/>
  <c r="L336" i="6"/>
  <c r="M335" i="6"/>
  <c r="L335" i="6"/>
  <c r="M334" i="6"/>
  <c r="L334" i="6"/>
  <c r="M333" i="6"/>
  <c r="L333" i="6"/>
  <c r="K333" i="6"/>
  <c r="J333" i="6"/>
  <c r="G333" i="6"/>
  <c r="M332" i="6"/>
  <c r="L332" i="6"/>
  <c r="K332" i="6"/>
  <c r="J332" i="6"/>
  <c r="G332" i="6"/>
  <c r="M331" i="6"/>
  <c r="L331" i="6"/>
  <c r="J331" i="6"/>
  <c r="G331" i="6"/>
  <c r="M330" i="6"/>
  <c r="L330" i="6"/>
  <c r="J330" i="6"/>
  <c r="G330" i="6"/>
  <c r="M329" i="6"/>
  <c r="L329" i="6"/>
  <c r="K329" i="6"/>
  <c r="J329" i="6"/>
  <c r="G329" i="6"/>
  <c r="M328" i="6"/>
  <c r="L328" i="6"/>
  <c r="K328" i="6"/>
  <c r="J328" i="6"/>
  <c r="G328" i="6"/>
  <c r="M327" i="6"/>
  <c r="L327" i="6"/>
  <c r="J327" i="6"/>
  <c r="G327" i="6"/>
  <c r="M326" i="6"/>
  <c r="L326" i="6"/>
  <c r="K326" i="6"/>
  <c r="J326" i="6"/>
  <c r="G326" i="6"/>
  <c r="M325" i="6"/>
  <c r="L325" i="6"/>
  <c r="K325" i="6"/>
  <c r="J325" i="6"/>
  <c r="G325" i="6"/>
  <c r="M324" i="6"/>
  <c r="L324" i="6"/>
  <c r="J324" i="6"/>
  <c r="G324" i="6"/>
  <c r="M323" i="6"/>
  <c r="L323" i="6"/>
  <c r="J323" i="6"/>
  <c r="G323" i="6"/>
  <c r="M322" i="6"/>
  <c r="L322" i="6"/>
  <c r="J322" i="6"/>
  <c r="G322" i="6"/>
  <c r="M321" i="6"/>
  <c r="L321" i="6"/>
  <c r="K321" i="6"/>
  <c r="J321" i="6"/>
  <c r="G321" i="6"/>
  <c r="M320" i="6"/>
  <c r="L320" i="6"/>
  <c r="K320" i="6"/>
  <c r="J320" i="6"/>
  <c r="G320" i="6"/>
  <c r="M319" i="6"/>
  <c r="L319" i="6"/>
  <c r="J319" i="6"/>
  <c r="G319" i="6"/>
  <c r="M318" i="6"/>
  <c r="L318" i="6"/>
  <c r="K318" i="6"/>
  <c r="J318" i="6"/>
  <c r="G318" i="6"/>
  <c r="M317" i="6"/>
  <c r="L317" i="6"/>
  <c r="J317" i="6"/>
  <c r="G317" i="6"/>
  <c r="M316" i="6"/>
  <c r="L316" i="6"/>
  <c r="K316" i="6"/>
  <c r="J316" i="6"/>
  <c r="G316" i="6"/>
  <c r="M315" i="6"/>
  <c r="L315" i="6"/>
  <c r="M314" i="6"/>
  <c r="L314" i="6"/>
  <c r="M313" i="6"/>
  <c r="L313" i="6"/>
  <c r="M312" i="6"/>
  <c r="L312" i="6"/>
  <c r="M311" i="6"/>
  <c r="L311" i="6"/>
  <c r="M310" i="6"/>
  <c r="L310" i="6"/>
  <c r="K310" i="6"/>
  <c r="J310" i="6"/>
  <c r="G310" i="6"/>
  <c r="M309" i="6"/>
  <c r="L309" i="6"/>
  <c r="K309" i="6"/>
  <c r="J309" i="6"/>
  <c r="G309" i="6"/>
  <c r="M308" i="6"/>
  <c r="L308" i="6"/>
  <c r="J308" i="6"/>
  <c r="G308" i="6"/>
  <c r="M307" i="6"/>
  <c r="L307" i="6"/>
  <c r="K307" i="6"/>
  <c r="J307" i="6"/>
  <c r="G307" i="6"/>
  <c r="M306" i="6"/>
  <c r="L306" i="6"/>
  <c r="K306" i="6"/>
  <c r="J306" i="6"/>
  <c r="G306" i="6"/>
  <c r="M305" i="6"/>
  <c r="L305" i="6"/>
  <c r="J305" i="6"/>
  <c r="G305" i="6"/>
  <c r="M304" i="6"/>
  <c r="L304" i="6"/>
  <c r="J304" i="6"/>
  <c r="G304" i="6"/>
  <c r="M303" i="6"/>
  <c r="L303" i="6"/>
  <c r="K303" i="6"/>
  <c r="J303" i="6"/>
  <c r="G303" i="6"/>
  <c r="M302" i="6"/>
  <c r="L302" i="6"/>
  <c r="J302" i="6"/>
  <c r="G302" i="6"/>
  <c r="M301" i="6"/>
  <c r="L301" i="6"/>
  <c r="J301" i="6"/>
  <c r="G301" i="6"/>
  <c r="M300" i="6"/>
  <c r="L300" i="6"/>
  <c r="K300" i="6"/>
  <c r="J300" i="6"/>
  <c r="G300" i="6"/>
  <c r="M299" i="6"/>
  <c r="L299" i="6"/>
  <c r="J299" i="6"/>
  <c r="G299" i="6"/>
  <c r="M298" i="6"/>
  <c r="L298" i="6"/>
  <c r="K298" i="6"/>
  <c r="J298" i="6"/>
  <c r="G298" i="6"/>
  <c r="M297" i="6"/>
  <c r="L297" i="6"/>
  <c r="K297" i="6"/>
  <c r="J297" i="6"/>
  <c r="G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K291" i="6"/>
  <c r="J291" i="6"/>
  <c r="G291" i="6"/>
  <c r="M290" i="6"/>
  <c r="L290" i="6"/>
  <c r="J290" i="6"/>
  <c r="G290" i="6"/>
  <c r="M289" i="6"/>
  <c r="L289" i="6"/>
  <c r="J289" i="6"/>
  <c r="G289" i="6"/>
  <c r="M288" i="6"/>
  <c r="L288" i="6"/>
  <c r="K288" i="6"/>
  <c r="J288" i="6"/>
  <c r="G288" i="6"/>
  <c r="M287" i="6"/>
  <c r="L287" i="6"/>
  <c r="K287" i="6"/>
  <c r="J287" i="6"/>
  <c r="G287" i="6"/>
  <c r="M286" i="6"/>
  <c r="L286" i="6"/>
  <c r="K286" i="6"/>
  <c r="J286" i="6"/>
  <c r="G286" i="6"/>
  <c r="M285" i="6"/>
  <c r="L285" i="6"/>
  <c r="J285" i="6"/>
  <c r="G285" i="6"/>
  <c r="M284" i="6"/>
  <c r="L284" i="6"/>
  <c r="J284" i="6"/>
  <c r="G284" i="6"/>
  <c r="M283" i="6"/>
  <c r="L283" i="6"/>
  <c r="K283" i="6"/>
  <c r="J283" i="6"/>
  <c r="G283" i="6"/>
  <c r="M282" i="6"/>
  <c r="L282" i="6"/>
  <c r="J282" i="6"/>
  <c r="G282" i="6"/>
  <c r="M281" i="6"/>
  <c r="L281" i="6"/>
  <c r="K281" i="6"/>
  <c r="J281" i="6"/>
  <c r="G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K275" i="6"/>
  <c r="J275" i="6"/>
  <c r="G275" i="6"/>
  <c r="M274" i="6"/>
  <c r="L274" i="6"/>
  <c r="J274" i="6"/>
  <c r="G274" i="6"/>
  <c r="M273" i="6"/>
  <c r="L273" i="6"/>
  <c r="K273" i="6"/>
  <c r="J273" i="6"/>
  <c r="G273" i="6"/>
  <c r="M272" i="6"/>
  <c r="L272" i="6"/>
  <c r="K272" i="6"/>
  <c r="J272" i="6"/>
  <c r="G272" i="6"/>
  <c r="M271" i="6"/>
  <c r="L271" i="6"/>
  <c r="K271" i="6"/>
  <c r="J271" i="6"/>
  <c r="G271" i="6"/>
  <c r="M270" i="6"/>
  <c r="L270" i="6"/>
  <c r="J270" i="6"/>
  <c r="G270" i="6"/>
  <c r="M269" i="6"/>
  <c r="L269" i="6"/>
  <c r="K269" i="6"/>
  <c r="J269" i="6"/>
  <c r="G269" i="6"/>
  <c r="M268" i="6"/>
  <c r="L268" i="6"/>
  <c r="K268" i="6"/>
  <c r="J268" i="6"/>
  <c r="G268" i="6"/>
  <c r="M267" i="6"/>
  <c r="L267" i="6"/>
  <c r="J267" i="6"/>
  <c r="G267" i="6"/>
  <c r="M266" i="6"/>
  <c r="L266" i="6"/>
  <c r="J266" i="6"/>
  <c r="G266" i="6"/>
  <c r="M265" i="6"/>
  <c r="L265" i="6"/>
  <c r="K265" i="6"/>
  <c r="J265" i="6"/>
  <c r="G265" i="6"/>
  <c r="M264" i="6"/>
  <c r="L264" i="6"/>
  <c r="K264" i="6"/>
  <c r="J264" i="6"/>
  <c r="G264" i="6"/>
  <c r="M263" i="6"/>
  <c r="L263" i="6"/>
  <c r="J263" i="6"/>
  <c r="G263" i="6"/>
  <c r="M262" i="6"/>
  <c r="L262" i="6"/>
  <c r="K262" i="6"/>
  <c r="J262" i="6"/>
  <c r="G262" i="6"/>
  <c r="M261" i="6"/>
  <c r="L261" i="6"/>
  <c r="K261" i="6"/>
  <c r="J261" i="6"/>
  <c r="G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K254" i="6"/>
  <c r="J254" i="6"/>
  <c r="G254" i="6"/>
  <c r="M253" i="6"/>
  <c r="L253" i="6"/>
  <c r="K253" i="6"/>
  <c r="J253" i="6"/>
  <c r="G253" i="6"/>
  <c r="M252" i="6"/>
  <c r="L252" i="6"/>
  <c r="K252" i="6"/>
  <c r="J252" i="6"/>
  <c r="G252" i="6"/>
  <c r="M251" i="6"/>
  <c r="L251" i="6"/>
  <c r="J251" i="6"/>
  <c r="G251" i="6"/>
  <c r="M250" i="6"/>
  <c r="L250" i="6"/>
  <c r="J250" i="6"/>
  <c r="G250" i="6"/>
  <c r="M249" i="6"/>
  <c r="L249" i="6"/>
  <c r="J249" i="6"/>
  <c r="G249" i="6"/>
  <c r="M248" i="6"/>
  <c r="L248" i="6"/>
  <c r="K248" i="6"/>
  <c r="J248" i="6"/>
  <c r="G248" i="6"/>
  <c r="M247" i="6"/>
  <c r="L247" i="6"/>
  <c r="J247" i="6"/>
  <c r="G247" i="6"/>
  <c r="M246" i="6"/>
  <c r="L246" i="6"/>
  <c r="J246" i="6"/>
  <c r="G246" i="6"/>
  <c r="M245" i="6"/>
  <c r="L245" i="6"/>
  <c r="K245" i="6"/>
  <c r="J245" i="6"/>
  <c r="G245" i="6"/>
  <c r="M244" i="6"/>
  <c r="L244" i="6"/>
  <c r="J244" i="6"/>
  <c r="G244" i="6"/>
  <c r="M243" i="6"/>
  <c r="L243" i="6"/>
  <c r="J243" i="6"/>
  <c r="G243" i="6"/>
  <c r="M242" i="6"/>
  <c r="L242" i="6"/>
  <c r="J242" i="6"/>
  <c r="G242" i="6"/>
  <c r="M241" i="6"/>
  <c r="L241" i="6"/>
  <c r="J241" i="6"/>
  <c r="G241" i="6"/>
  <c r="M240" i="6"/>
  <c r="L240" i="6"/>
  <c r="K240" i="6"/>
  <c r="J240" i="6"/>
  <c r="G240" i="6"/>
  <c r="M239" i="6"/>
  <c r="L239" i="6"/>
  <c r="K239" i="6"/>
  <c r="J239" i="6"/>
  <c r="G239" i="6"/>
  <c r="M238" i="6"/>
  <c r="L238" i="6"/>
  <c r="K238" i="6"/>
  <c r="J238" i="6"/>
  <c r="G238" i="6"/>
  <c r="M237" i="6"/>
  <c r="L237" i="6"/>
  <c r="J237" i="6"/>
  <c r="G237" i="6"/>
  <c r="M236" i="6"/>
  <c r="L236" i="6"/>
  <c r="J236" i="6"/>
  <c r="G236" i="6"/>
  <c r="M235" i="6"/>
  <c r="L235" i="6"/>
  <c r="J235" i="6"/>
  <c r="G235" i="6"/>
  <c r="M234" i="6"/>
  <c r="L234" i="6"/>
  <c r="K234" i="6"/>
  <c r="J234" i="6"/>
  <c r="G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J227" i="6"/>
  <c r="G227" i="6"/>
  <c r="M226" i="6"/>
  <c r="L226" i="6"/>
  <c r="J226" i="6"/>
  <c r="G226" i="6"/>
  <c r="M225" i="6"/>
  <c r="L225" i="6"/>
  <c r="K225" i="6"/>
  <c r="J225" i="6"/>
  <c r="G225" i="6"/>
  <c r="M224" i="6"/>
  <c r="L224" i="6"/>
  <c r="K224" i="6"/>
  <c r="J224" i="6"/>
  <c r="G224" i="6"/>
  <c r="M223" i="6"/>
  <c r="L223" i="6"/>
  <c r="K223" i="6"/>
  <c r="J223" i="6"/>
  <c r="G223" i="6"/>
  <c r="M222" i="6"/>
  <c r="L222" i="6"/>
  <c r="J222" i="6"/>
  <c r="G222" i="6"/>
  <c r="M221" i="6"/>
  <c r="L221" i="6"/>
  <c r="K221" i="6"/>
  <c r="J221" i="6"/>
  <c r="G221" i="6"/>
  <c r="M220" i="6"/>
  <c r="L220" i="6"/>
  <c r="K220" i="6"/>
  <c r="J220" i="6"/>
  <c r="G220" i="6"/>
  <c r="M219" i="6"/>
  <c r="L219" i="6"/>
  <c r="J219" i="6"/>
  <c r="G219" i="6"/>
  <c r="M218" i="6"/>
  <c r="L218" i="6"/>
  <c r="K218" i="6"/>
  <c r="J218" i="6"/>
  <c r="G218" i="6"/>
  <c r="M217" i="6"/>
  <c r="L217" i="6"/>
  <c r="K217" i="6"/>
  <c r="J217" i="6"/>
  <c r="G217" i="6"/>
  <c r="M216" i="6"/>
  <c r="L216" i="6"/>
  <c r="J216" i="6"/>
  <c r="G216" i="6"/>
  <c r="M215" i="6"/>
  <c r="L215" i="6"/>
  <c r="K215" i="6"/>
  <c r="J215" i="6"/>
  <c r="G215" i="6"/>
  <c r="M214" i="6"/>
  <c r="L214" i="6"/>
  <c r="J214" i="6"/>
  <c r="G214" i="6"/>
  <c r="M213" i="6"/>
  <c r="L213" i="6"/>
  <c r="K213" i="6"/>
  <c r="J213" i="6"/>
  <c r="G213" i="6"/>
  <c r="M212" i="6"/>
  <c r="L212" i="6"/>
  <c r="K212" i="6"/>
  <c r="J212" i="6"/>
  <c r="G212" i="6"/>
  <c r="M211" i="6"/>
  <c r="L211" i="6"/>
  <c r="J211" i="6"/>
  <c r="G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J204" i="6"/>
  <c r="G204" i="6"/>
  <c r="M203" i="6"/>
  <c r="L203" i="6"/>
  <c r="J203" i="6"/>
  <c r="G203" i="6"/>
  <c r="M202" i="6"/>
  <c r="L202" i="6"/>
  <c r="J202" i="6"/>
  <c r="G202" i="6"/>
  <c r="M201" i="6"/>
  <c r="L201" i="6"/>
  <c r="K201" i="6"/>
  <c r="J201" i="6"/>
  <c r="G201" i="6"/>
  <c r="M200" i="6"/>
  <c r="L200" i="6"/>
  <c r="K200" i="6"/>
  <c r="J200" i="6"/>
  <c r="G200" i="6"/>
  <c r="M199" i="6"/>
  <c r="L199" i="6"/>
  <c r="K199" i="6"/>
  <c r="J199" i="6"/>
  <c r="G199" i="6"/>
  <c r="M198" i="6"/>
  <c r="L198" i="6"/>
  <c r="K198" i="6"/>
  <c r="J198" i="6"/>
  <c r="G198" i="6"/>
  <c r="M197" i="6"/>
  <c r="L197" i="6"/>
  <c r="J197" i="6"/>
  <c r="G197" i="6"/>
  <c r="M196" i="6"/>
  <c r="L196" i="6"/>
  <c r="J196" i="6"/>
  <c r="G196" i="6"/>
  <c r="M195" i="6"/>
  <c r="L195" i="6"/>
  <c r="K195" i="6"/>
  <c r="J195" i="6"/>
  <c r="G195" i="6"/>
  <c r="M194" i="6"/>
  <c r="L194" i="6"/>
  <c r="J194" i="6"/>
  <c r="G194" i="6"/>
  <c r="M193" i="6"/>
  <c r="L193" i="6"/>
  <c r="K193" i="6"/>
  <c r="J193" i="6"/>
  <c r="G193" i="6"/>
  <c r="M192" i="6"/>
  <c r="L192" i="6"/>
  <c r="K192" i="6"/>
  <c r="J192" i="6"/>
  <c r="G192" i="6"/>
  <c r="M191" i="6"/>
  <c r="L191" i="6"/>
  <c r="K191" i="6"/>
  <c r="J191" i="6"/>
  <c r="G191" i="6"/>
  <c r="M190" i="6"/>
  <c r="L190" i="6"/>
  <c r="J190" i="6"/>
  <c r="G190" i="6"/>
  <c r="M189" i="6"/>
  <c r="L189" i="6"/>
  <c r="K189" i="6"/>
  <c r="J189" i="6"/>
  <c r="G189" i="6"/>
  <c r="M188" i="6"/>
  <c r="L188" i="6"/>
  <c r="J188" i="6"/>
  <c r="G188" i="6"/>
  <c r="M187" i="6"/>
  <c r="L187" i="6"/>
  <c r="K187" i="6"/>
  <c r="J187" i="6"/>
  <c r="G187" i="6"/>
  <c r="M186" i="6"/>
  <c r="L186" i="6"/>
  <c r="J186" i="6"/>
  <c r="G186" i="6"/>
  <c r="M185" i="6"/>
  <c r="L185" i="6"/>
  <c r="K185" i="6"/>
  <c r="J185" i="6"/>
  <c r="G185" i="6"/>
  <c r="M184" i="6"/>
  <c r="L184" i="6"/>
  <c r="J184" i="6"/>
  <c r="G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K177" i="6"/>
  <c r="J177" i="6"/>
  <c r="G177" i="6"/>
  <c r="M176" i="6"/>
  <c r="L176" i="6"/>
  <c r="K176" i="6"/>
  <c r="J176" i="6"/>
  <c r="G176" i="6"/>
  <c r="M175" i="6"/>
  <c r="L175" i="6"/>
  <c r="J175" i="6"/>
  <c r="G175" i="6"/>
  <c r="M174" i="6"/>
  <c r="L174" i="6"/>
  <c r="K174" i="6"/>
  <c r="J174" i="6"/>
  <c r="G174" i="6"/>
  <c r="M173" i="6"/>
  <c r="L173" i="6"/>
  <c r="J173" i="6"/>
  <c r="G173" i="6"/>
  <c r="M172" i="6"/>
  <c r="L172" i="6"/>
  <c r="K172" i="6"/>
  <c r="J172" i="6"/>
  <c r="G172" i="6"/>
  <c r="M171" i="6"/>
  <c r="L171" i="6"/>
  <c r="J171" i="6"/>
  <c r="G171" i="6"/>
  <c r="M170" i="6"/>
  <c r="L170" i="6"/>
  <c r="J170" i="6"/>
  <c r="G170" i="6"/>
  <c r="M169" i="6"/>
  <c r="L169" i="6"/>
  <c r="K169" i="6"/>
  <c r="J169" i="6"/>
  <c r="G169" i="6"/>
  <c r="M168" i="6"/>
  <c r="L168" i="6"/>
  <c r="J168" i="6"/>
  <c r="G168" i="6"/>
  <c r="M167" i="6"/>
  <c r="L167" i="6"/>
  <c r="K167" i="6"/>
  <c r="J167" i="6"/>
  <c r="G167" i="6"/>
  <c r="M166" i="6"/>
  <c r="L166" i="6"/>
  <c r="J166" i="6"/>
  <c r="G166" i="6"/>
  <c r="M165" i="6"/>
  <c r="L165" i="6"/>
  <c r="J165" i="6"/>
  <c r="G165" i="6"/>
  <c r="M164" i="6"/>
  <c r="L164" i="6"/>
  <c r="K164" i="6"/>
  <c r="J164" i="6"/>
  <c r="G164" i="6"/>
  <c r="M163" i="6"/>
  <c r="L163" i="6"/>
  <c r="K163" i="6"/>
  <c r="J163" i="6"/>
  <c r="G163" i="6"/>
  <c r="M162" i="6"/>
  <c r="L162" i="6"/>
  <c r="K162" i="6"/>
  <c r="J162" i="6"/>
  <c r="G162" i="6"/>
  <c r="M161" i="6"/>
  <c r="L161" i="6"/>
  <c r="J161" i="6"/>
  <c r="G161" i="6"/>
  <c r="M160" i="6"/>
  <c r="L160" i="6"/>
  <c r="J160" i="6"/>
  <c r="G160" i="6"/>
  <c r="M159" i="6"/>
  <c r="L159" i="6"/>
  <c r="K159" i="6"/>
  <c r="J159" i="6"/>
  <c r="G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K152" i="6"/>
  <c r="J152" i="6"/>
  <c r="G152" i="6"/>
  <c r="M151" i="6"/>
  <c r="L151" i="6"/>
  <c r="K151" i="6"/>
  <c r="J151" i="6"/>
  <c r="G151" i="6"/>
  <c r="M150" i="6"/>
  <c r="L150" i="6"/>
  <c r="J150" i="6"/>
  <c r="G150" i="6"/>
  <c r="M149" i="6"/>
  <c r="L149" i="6"/>
  <c r="J149" i="6"/>
  <c r="G149" i="6"/>
  <c r="M148" i="6"/>
  <c r="L148" i="6"/>
  <c r="J148" i="6"/>
  <c r="G148" i="6"/>
  <c r="M147" i="6"/>
  <c r="L147" i="6"/>
  <c r="J147" i="6"/>
  <c r="G147" i="6"/>
  <c r="M146" i="6"/>
  <c r="L146" i="6"/>
  <c r="K146" i="6"/>
  <c r="J146" i="6"/>
  <c r="G146" i="6"/>
  <c r="M145" i="6"/>
  <c r="L145" i="6"/>
  <c r="K145" i="6"/>
  <c r="J145" i="6"/>
  <c r="G145" i="6"/>
  <c r="M144" i="6"/>
  <c r="L144" i="6"/>
  <c r="K144" i="6"/>
  <c r="J144" i="6"/>
  <c r="G144" i="6"/>
  <c r="M143" i="6"/>
  <c r="L143" i="6"/>
  <c r="J143" i="6"/>
  <c r="G143" i="6"/>
  <c r="M142" i="6"/>
  <c r="L142" i="6"/>
  <c r="J142" i="6"/>
  <c r="G142" i="6"/>
  <c r="M141" i="6"/>
  <c r="L141" i="6"/>
  <c r="J141" i="6"/>
  <c r="G141" i="6"/>
  <c r="M140" i="6"/>
  <c r="L140" i="6"/>
  <c r="J140" i="6"/>
  <c r="G140" i="6"/>
  <c r="M139" i="6"/>
  <c r="L139" i="6"/>
  <c r="K139" i="6"/>
  <c r="J139" i="6"/>
  <c r="G139" i="6"/>
  <c r="M138" i="6"/>
  <c r="L138" i="6"/>
  <c r="K138" i="6"/>
  <c r="J138" i="6"/>
  <c r="G138" i="6"/>
  <c r="M137" i="6"/>
  <c r="L137" i="6"/>
  <c r="K137" i="6"/>
  <c r="J137" i="6"/>
  <c r="G137" i="6"/>
  <c r="M136" i="6"/>
  <c r="L136" i="6"/>
  <c r="K136" i="6"/>
  <c r="J136" i="6"/>
  <c r="G136" i="6"/>
  <c r="M135" i="6"/>
  <c r="L135" i="6"/>
  <c r="J135" i="6"/>
  <c r="G135" i="6"/>
  <c r="M134" i="6"/>
  <c r="L134" i="6"/>
  <c r="J134" i="6"/>
  <c r="G134" i="6"/>
  <c r="M133" i="6"/>
  <c r="L133" i="6"/>
  <c r="K133" i="6"/>
  <c r="J133" i="6"/>
  <c r="G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J126" i="6"/>
  <c r="G126" i="6"/>
  <c r="M125" i="6"/>
  <c r="L125" i="6"/>
  <c r="K125" i="6"/>
  <c r="J125" i="6"/>
  <c r="G125" i="6"/>
  <c r="M124" i="6"/>
  <c r="L124" i="6"/>
  <c r="K124" i="6"/>
  <c r="J124" i="6"/>
  <c r="G124" i="6"/>
  <c r="M123" i="6"/>
  <c r="L123" i="6"/>
  <c r="J123" i="6"/>
  <c r="G123" i="6"/>
  <c r="M122" i="6"/>
  <c r="L122" i="6"/>
  <c r="K122" i="6"/>
  <c r="J122" i="6"/>
  <c r="G122" i="6"/>
  <c r="M121" i="6"/>
  <c r="L121" i="6"/>
  <c r="K121" i="6"/>
  <c r="J121" i="6"/>
  <c r="G121" i="6"/>
  <c r="M120" i="6"/>
  <c r="L120" i="6"/>
  <c r="K120" i="6"/>
  <c r="J120" i="6"/>
  <c r="G120" i="6"/>
  <c r="M119" i="6"/>
  <c r="L119" i="6"/>
  <c r="J119" i="6"/>
  <c r="G119" i="6"/>
  <c r="M118" i="6"/>
  <c r="L118" i="6"/>
  <c r="J118" i="6"/>
  <c r="G118" i="6"/>
  <c r="M117" i="6"/>
  <c r="L117" i="6"/>
  <c r="J117" i="6"/>
  <c r="G117" i="6"/>
  <c r="M116" i="6"/>
  <c r="L116" i="6"/>
  <c r="J116" i="6"/>
  <c r="G116" i="6"/>
  <c r="M115" i="6"/>
  <c r="L115" i="6"/>
  <c r="K115" i="6"/>
  <c r="J115" i="6"/>
  <c r="G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K108" i="6"/>
  <c r="J108" i="6"/>
  <c r="G108" i="6"/>
  <c r="M107" i="6"/>
  <c r="L107" i="6"/>
  <c r="J107" i="6"/>
  <c r="G107" i="6"/>
  <c r="M106" i="6"/>
  <c r="L106" i="6"/>
  <c r="J106" i="6"/>
  <c r="G106" i="6"/>
  <c r="M105" i="6"/>
  <c r="L105" i="6"/>
  <c r="K105" i="6"/>
  <c r="J105" i="6"/>
  <c r="G105" i="6"/>
  <c r="M104" i="6"/>
  <c r="L104" i="6"/>
  <c r="K104" i="6"/>
  <c r="J104" i="6"/>
  <c r="G104" i="6"/>
  <c r="M103" i="6"/>
  <c r="L103" i="6"/>
  <c r="J103" i="6"/>
  <c r="G103" i="6"/>
  <c r="M102" i="6"/>
  <c r="L102" i="6"/>
  <c r="J102" i="6"/>
  <c r="G102" i="6"/>
  <c r="M101" i="6"/>
  <c r="L101" i="6"/>
  <c r="J101" i="6"/>
  <c r="G101" i="6"/>
  <c r="M100" i="6"/>
  <c r="L100" i="6"/>
  <c r="K100" i="6"/>
  <c r="J100" i="6"/>
  <c r="G100" i="6"/>
  <c r="M99" i="6"/>
  <c r="L99" i="6"/>
  <c r="J99" i="6"/>
  <c r="G99" i="6"/>
  <c r="M98" i="6"/>
  <c r="L98" i="6"/>
  <c r="J98" i="6"/>
  <c r="G98" i="6"/>
  <c r="M97" i="6"/>
  <c r="L97" i="6"/>
  <c r="J97" i="6"/>
  <c r="G97" i="6"/>
  <c r="M96" i="6"/>
  <c r="L96" i="6"/>
  <c r="J96" i="6"/>
  <c r="G96" i="6"/>
  <c r="M95" i="6"/>
  <c r="L95" i="6"/>
  <c r="K95" i="6"/>
  <c r="J95" i="6"/>
  <c r="G95" i="6"/>
  <c r="M94" i="6"/>
  <c r="L94" i="6"/>
  <c r="J94" i="6"/>
  <c r="G94" i="6"/>
  <c r="M93" i="6"/>
  <c r="L93" i="6"/>
  <c r="J93" i="6"/>
  <c r="G93" i="6"/>
  <c r="M92" i="6"/>
  <c r="L92" i="6"/>
  <c r="K92" i="6"/>
  <c r="J92" i="6"/>
  <c r="G92" i="6"/>
  <c r="M91" i="6"/>
  <c r="L91" i="6"/>
  <c r="K91" i="6"/>
  <c r="J91" i="6"/>
  <c r="G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J84" i="6"/>
  <c r="G84" i="6"/>
  <c r="M83" i="6"/>
  <c r="L83" i="6"/>
  <c r="J83" i="6"/>
  <c r="G83" i="6"/>
  <c r="M82" i="6"/>
  <c r="L82" i="6"/>
  <c r="K82" i="6"/>
  <c r="J82" i="6"/>
  <c r="G82" i="6"/>
  <c r="M81" i="6"/>
  <c r="L81" i="6"/>
  <c r="K81" i="6"/>
  <c r="J81" i="6"/>
  <c r="G81" i="6"/>
  <c r="M80" i="6"/>
  <c r="L80" i="6"/>
  <c r="K80" i="6"/>
  <c r="J80" i="6"/>
  <c r="G80" i="6"/>
  <c r="M79" i="6"/>
  <c r="L79" i="6"/>
  <c r="K79" i="6"/>
  <c r="J79" i="6"/>
  <c r="G79" i="6"/>
  <c r="M78" i="6"/>
  <c r="L78" i="6"/>
  <c r="J78" i="6"/>
  <c r="G78" i="6"/>
  <c r="M77" i="6"/>
  <c r="L77" i="6"/>
  <c r="J77" i="6"/>
  <c r="G77" i="6"/>
  <c r="M76" i="6"/>
  <c r="L76" i="6"/>
  <c r="K76" i="6"/>
  <c r="J76" i="6"/>
  <c r="G76" i="6"/>
  <c r="M75" i="6"/>
  <c r="L75" i="6"/>
  <c r="J75" i="6"/>
  <c r="G75" i="6"/>
  <c r="M74" i="6"/>
  <c r="L74" i="6"/>
  <c r="K74" i="6"/>
  <c r="J74" i="6"/>
  <c r="G74" i="6"/>
  <c r="M73" i="6"/>
  <c r="L73" i="6"/>
  <c r="K73" i="6"/>
  <c r="J73" i="6"/>
  <c r="G73" i="6"/>
  <c r="M72" i="6"/>
  <c r="L72" i="6"/>
  <c r="J72" i="6"/>
  <c r="G72" i="6"/>
  <c r="M71" i="6"/>
  <c r="L71" i="6"/>
  <c r="K71" i="6"/>
  <c r="J71" i="6"/>
  <c r="G71" i="6"/>
  <c r="M70" i="6"/>
  <c r="L70" i="6"/>
  <c r="K70" i="6"/>
  <c r="J70" i="6"/>
  <c r="G70" i="6"/>
  <c r="M69" i="6"/>
  <c r="L69" i="6"/>
  <c r="J69" i="6"/>
  <c r="G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K62" i="6"/>
  <c r="J62" i="6"/>
  <c r="G62" i="6"/>
  <c r="M61" i="6"/>
  <c r="L61" i="6"/>
  <c r="J61" i="6"/>
  <c r="G61" i="6"/>
  <c r="M60" i="6"/>
  <c r="L60" i="6"/>
  <c r="K60" i="6"/>
  <c r="J60" i="6"/>
  <c r="G60" i="6"/>
  <c r="M59" i="6"/>
  <c r="L59" i="6"/>
  <c r="J59" i="6"/>
  <c r="G59" i="6"/>
  <c r="M58" i="6"/>
  <c r="L58" i="6"/>
  <c r="J58" i="6"/>
  <c r="G58" i="6"/>
  <c r="M57" i="6"/>
  <c r="L57" i="6"/>
  <c r="J57" i="6"/>
  <c r="G57" i="6"/>
  <c r="M56" i="6"/>
  <c r="L56" i="6"/>
  <c r="K56" i="6"/>
  <c r="J56" i="6"/>
  <c r="G56" i="6"/>
  <c r="M55" i="6"/>
  <c r="L55" i="6"/>
  <c r="K55" i="6"/>
  <c r="J55" i="6"/>
  <c r="G55" i="6"/>
  <c r="M54" i="6"/>
  <c r="L54" i="6"/>
  <c r="K54" i="6"/>
  <c r="J54" i="6"/>
  <c r="G54" i="6"/>
  <c r="M53" i="6"/>
  <c r="L53" i="6"/>
  <c r="J53" i="6"/>
  <c r="G53" i="6"/>
  <c r="M52" i="6"/>
  <c r="L52" i="6"/>
  <c r="J52" i="6"/>
  <c r="G52" i="6"/>
  <c r="M51" i="6"/>
  <c r="L51" i="6"/>
  <c r="K51" i="6"/>
  <c r="J51" i="6"/>
  <c r="G51" i="6"/>
  <c r="M50" i="6"/>
  <c r="L50" i="6"/>
  <c r="J50" i="6"/>
  <c r="G50" i="6"/>
  <c r="M49" i="6"/>
  <c r="L49" i="6"/>
  <c r="K49" i="6"/>
  <c r="J49" i="6"/>
  <c r="G49" i="6"/>
  <c r="M48" i="6"/>
  <c r="L48" i="6"/>
  <c r="J48" i="6"/>
  <c r="G48" i="6"/>
  <c r="M47" i="6"/>
  <c r="L47" i="6"/>
  <c r="K47" i="6"/>
  <c r="J47" i="6"/>
  <c r="G47" i="6"/>
  <c r="M46" i="6"/>
  <c r="L46" i="6"/>
  <c r="J46" i="6"/>
  <c r="G46" i="6"/>
  <c r="M45" i="6"/>
  <c r="L45" i="6"/>
  <c r="J45" i="6"/>
  <c r="G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K38" i="6"/>
  <c r="J38" i="6"/>
  <c r="G38" i="6"/>
  <c r="M37" i="6"/>
  <c r="L37" i="6"/>
  <c r="J37" i="6"/>
  <c r="G37" i="6"/>
  <c r="M36" i="6"/>
  <c r="L36" i="6"/>
  <c r="K36" i="6"/>
  <c r="J36" i="6"/>
  <c r="G36" i="6"/>
  <c r="M35" i="6"/>
  <c r="L35" i="6"/>
  <c r="J35" i="6"/>
  <c r="G35" i="6"/>
  <c r="M34" i="6"/>
  <c r="L34" i="6"/>
  <c r="J34" i="6"/>
  <c r="G34" i="6"/>
  <c r="M33" i="6"/>
  <c r="L33" i="6"/>
  <c r="J33" i="6"/>
  <c r="G33" i="6"/>
  <c r="M32" i="6"/>
  <c r="L32" i="6"/>
  <c r="K32" i="6"/>
  <c r="J32" i="6"/>
  <c r="G32" i="6"/>
  <c r="M31" i="6"/>
  <c r="L31" i="6"/>
  <c r="J31" i="6"/>
  <c r="G31" i="6"/>
  <c r="M30" i="6"/>
  <c r="L30" i="6"/>
  <c r="K30" i="6"/>
  <c r="J30" i="6"/>
  <c r="G30" i="6"/>
  <c r="M29" i="6"/>
  <c r="L29" i="6"/>
  <c r="J29" i="6"/>
  <c r="G29" i="6"/>
  <c r="M28" i="6"/>
  <c r="L28" i="6"/>
  <c r="J28" i="6"/>
  <c r="G28" i="6"/>
  <c r="M27" i="6"/>
  <c r="L27" i="6"/>
  <c r="K27" i="6"/>
  <c r="J27" i="6"/>
  <c r="G27" i="6"/>
  <c r="M26" i="6"/>
  <c r="L26" i="6"/>
  <c r="J26" i="6"/>
  <c r="G26" i="6"/>
  <c r="M25" i="6"/>
  <c r="L25" i="6"/>
  <c r="K25" i="6"/>
  <c r="J25" i="6"/>
  <c r="G25" i="6"/>
  <c r="M24" i="6"/>
  <c r="L24" i="6"/>
  <c r="K24" i="6"/>
  <c r="J24" i="6"/>
  <c r="G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K17" i="6"/>
  <c r="J17" i="6"/>
  <c r="G17" i="6"/>
  <c r="M16" i="6"/>
  <c r="L16" i="6"/>
  <c r="J16" i="6"/>
  <c r="G16" i="6"/>
  <c r="M15" i="6"/>
  <c r="L15" i="6"/>
  <c r="K15" i="6"/>
  <c r="J15" i="6"/>
  <c r="G15" i="6"/>
  <c r="M14" i="6"/>
  <c r="L14" i="6"/>
  <c r="K14" i="6"/>
  <c r="J14" i="6"/>
  <c r="G14" i="6"/>
  <c r="M13" i="6"/>
  <c r="L13" i="6"/>
  <c r="J13" i="6"/>
  <c r="G13" i="6"/>
  <c r="M12" i="6"/>
  <c r="L12" i="6"/>
  <c r="K12" i="6"/>
  <c r="J12" i="6"/>
  <c r="G12" i="6"/>
  <c r="M11" i="6"/>
  <c r="L11" i="6"/>
  <c r="K11" i="6"/>
  <c r="J11" i="6"/>
  <c r="G11" i="6"/>
  <c r="M10" i="6"/>
  <c r="L10" i="6"/>
  <c r="J10" i="6"/>
  <c r="G10" i="6"/>
  <c r="M9" i="6"/>
  <c r="L9" i="6"/>
  <c r="J9" i="6"/>
  <c r="G9" i="6"/>
  <c r="M8" i="6"/>
  <c r="L8" i="6"/>
  <c r="J8" i="6"/>
  <c r="G8" i="6"/>
  <c r="M7" i="6"/>
  <c r="L7" i="6"/>
  <c r="K7" i="6"/>
  <c r="J7" i="6"/>
  <c r="G7" i="6"/>
  <c r="M6" i="6"/>
  <c r="L6" i="6"/>
  <c r="J6" i="6"/>
  <c r="G6" i="6"/>
  <c r="M5" i="6"/>
  <c r="L5" i="6"/>
  <c r="J5" i="6"/>
  <c r="G5" i="6"/>
  <c r="M4" i="6"/>
  <c r="L4" i="6"/>
  <c r="J4" i="6"/>
  <c r="G4" i="6"/>
  <c r="G115" i="4"/>
  <c r="H115" i="4"/>
  <c r="G239" i="4"/>
  <c r="H239" i="4"/>
  <c r="G350" i="4"/>
  <c r="H350" i="4"/>
  <c r="G435" i="4"/>
  <c r="H435" i="4"/>
  <c r="J427" i="4"/>
  <c r="I427" i="4"/>
  <c r="H427" i="4"/>
  <c r="G426" i="4"/>
  <c r="H426" i="4"/>
  <c r="H425" i="4"/>
  <c r="G423" i="4"/>
  <c r="H423" i="4"/>
  <c r="G417" i="4"/>
  <c r="H417" i="4"/>
  <c r="G416" i="4"/>
  <c r="G415" i="4"/>
  <c r="G413" i="4"/>
  <c r="H413" i="4"/>
  <c r="G412" i="4"/>
  <c r="H411" i="4"/>
  <c r="G410" i="4"/>
  <c r="H409" i="4"/>
  <c r="G408" i="4"/>
  <c r="G407" i="4"/>
  <c r="H407" i="4"/>
  <c r="H406" i="4"/>
  <c r="J405" i="4"/>
  <c r="L405" i="4"/>
  <c r="J404" i="4"/>
  <c r="L404" i="4"/>
  <c r="G403" i="4"/>
  <c r="H402" i="4"/>
  <c r="G401" i="4"/>
  <c r="H401" i="4"/>
  <c r="H400" i="4"/>
  <c r="J399" i="4"/>
  <c r="L399" i="4"/>
  <c r="J398" i="4"/>
  <c r="L398" i="4"/>
  <c r="H397" i="4"/>
  <c r="J397" i="4"/>
  <c r="L397" i="4"/>
  <c r="J396" i="4"/>
  <c r="L396" i="4"/>
  <c r="H396" i="4"/>
  <c r="J395" i="4"/>
  <c r="L395" i="4"/>
  <c r="H395" i="4"/>
  <c r="J394" i="4"/>
  <c r="L394" i="4"/>
  <c r="H394" i="4"/>
  <c r="J393" i="4"/>
  <c r="L393" i="4"/>
  <c r="H393" i="4"/>
  <c r="J392" i="4"/>
  <c r="L392" i="4"/>
  <c r="H392" i="4"/>
  <c r="G391" i="4"/>
  <c r="J390" i="4"/>
  <c r="I390" i="4"/>
  <c r="H390" i="4"/>
  <c r="G389" i="4"/>
  <c r="H389" i="4"/>
  <c r="H388" i="4"/>
  <c r="G387" i="4"/>
  <c r="G386" i="4"/>
  <c r="H385" i="4"/>
  <c r="G384" i="4"/>
  <c r="H384" i="4"/>
  <c r="H383" i="4"/>
  <c r="G382" i="4"/>
  <c r="H382" i="4"/>
  <c r="G380" i="4"/>
  <c r="G379" i="4"/>
  <c r="H378" i="4"/>
  <c r="G377" i="4"/>
  <c r="H377" i="4"/>
  <c r="H376" i="4"/>
  <c r="J375" i="4"/>
  <c r="L375" i="4"/>
  <c r="J374" i="4"/>
  <c r="L374" i="4"/>
  <c r="H373" i="4"/>
  <c r="J373" i="4"/>
  <c r="L373" i="4"/>
  <c r="J372" i="4"/>
  <c r="L372" i="4"/>
  <c r="H372" i="4"/>
  <c r="J371" i="4"/>
  <c r="L371" i="4"/>
  <c r="H371" i="4"/>
  <c r="J370" i="4"/>
  <c r="L370" i="4"/>
  <c r="H370" i="4"/>
  <c r="J369" i="4"/>
  <c r="L369" i="4"/>
  <c r="H369" i="4"/>
  <c r="J368" i="4"/>
  <c r="L368" i="4"/>
  <c r="I368" i="4"/>
  <c r="H368" i="4"/>
  <c r="G367" i="4"/>
  <c r="H367" i="4"/>
  <c r="J366" i="4"/>
  <c r="I366" i="4"/>
  <c r="H366" i="4"/>
  <c r="H365" i="4"/>
  <c r="G364" i="4"/>
  <c r="H364" i="4"/>
  <c r="G363" i="4"/>
  <c r="H363" i="4"/>
  <c r="G362" i="4"/>
  <c r="H361" i="4"/>
  <c r="J361" i="4"/>
  <c r="L361" i="4"/>
  <c r="J360" i="4"/>
  <c r="L360" i="4"/>
  <c r="H359" i="4"/>
  <c r="J359" i="4"/>
  <c r="L359" i="4"/>
  <c r="G358" i="4"/>
  <c r="H358" i="4"/>
  <c r="H357" i="4"/>
  <c r="G356" i="4"/>
  <c r="G353" i="4"/>
  <c r="H353" i="4"/>
  <c r="H352" i="4"/>
  <c r="H349" i="4"/>
  <c r="G349" i="4"/>
  <c r="H348" i="4"/>
  <c r="G347" i="4"/>
  <c r="H347" i="4"/>
  <c r="H346" i="4"/>
  <c r="G345" i="4"/>
  <c r="H345" i="4"/>
  <c r="G344" i="4"/>
  <c r="L343" i="4"/>
  <c r="H343" i="4"/>
  <c r="L342" i="4"/>
  <c r="H341" i="4"/>
  <c r="H340" i="4"/>
  <c r="H339" i="4"/>
  <c r="H338" i="4"/>
  <c r="H337" i="4"/>
  <c r="J336" i="4"/>
  <c r="I336" i="4"/>
  <c r="H336" i="4"/>
  <c r="G335" i="4"/>
  <c r="H335" i="4"/>
  <c r="H334" i="4"/>
  <c r="G333" i="4"/>
  <c r="H333" i="4"/>
  <c r="G332" i="4"/>
  <c r="H331" i="4"/>
  <c r="I329" i="4"/>
  <c r="H329" i="4"/>
  <c r="H328" i="4"/>
  <c r="H327" i="4"/>
  <c r="J326" i="4"/>
  <c r="I326" i="4"/>
  <c r="H326" i="4"/>
  <c r="G325" i="4"/>
  <c r="H325" i="4"/>
  <c r="G324" i="4"/>
  <c r="H324" i="4"/>
  <c r="H323" i="4"/>
  <c r="G321" i="4"/>
  <c r="G320" i="4"/>
  <c r="G319" i="4"/>
  <c r="G318" i="4"/>
  <c r="H318" i="4"/>
  <c r="H317" i="4"/>
  <c r="H316" i="4"/>
  <c r="G315" i="4"/>
  <c r="G313" i="4"/>
  <c r="H313" i="4"/>
  <c r="G312" i="4"/>
  <c r="H312" i="4"/>
  <c r="H311" i="4"/>
  <c r="H309" i="4"/>
  <c r="G307" i="4"/>
  <c r="G306" i="4"/>
  <c r="G305" i="4"/>
  <c r="I304" i="4"/>
  <c r="H304" i="4"/>
  <c r="H303" i="4"/>
  <c r="G302" i="4"/>
  <c r="H302" i="4"/>
  <c r="G301" i="4"/>
  <c r="G300" i="4"/>
  <c r="H299" i="4"/>
  <c r="G298" i="4"/>
  <c r="H297" i="4"/>
  <c r="G296" i="4"/>
  <c r="H296" i="4"/>
  <c r="H295" i="4"/>
  <c r="H293" i="4"/>
  <c r="H292" i="4"/>
  <c r="H291" i="4"/>
  <c r="H290" i="4"/>
  <c r="H289" i="4"/>
  <c r="H288" i="4"/>
  <c r="H287" i="4"/>
  <c r="H286" i="4"/>
  <c r="H285" i="4"/>
  <c r="H284" i="4"/>
  <c r="G283" i="4"/>
  <c r="G282" i="4"/>
  <c r="H281" i="4"/>
  <c r="G280" i="4"/>
  <c r="J279" i="4"/>
  <c r="I279" i="4"/>
  <c r="H279" i="4"/>
  <c r="G278" i="4"/>
  <c r="G277" i="4"/>
  <c r="G276" i="4"/>
  <c r="H275" i="4"/>
  <c r="G274" i="4"/>
  <c r="G273" i="4"/>
  <c r="I272" i="4"/>
  <c r="H272" i="4"/>
  <c r="G271" i="4"/>
  <c r="L270" i="4"/>
  <c r="H270" i="4"/>
  <c r="H269" i="4"/>
  <c r="L268" i="4"/>
  <c r="H268" i="4"/>
  <c r="L267" i="4"/>
  <c r="H267" i="4"/>
  <c r="L266" i="4"/>
  <c r="H266" i="4"/>
  <c r="G265" i="4"/>
  <c r="H265" i="4"/>
  <c r="G264" i="4"/>
  <c r="H263" i="4"/>
  <c r="J262" i="4"/>
  <c r="H262" i="4"/>
  <c r="J261" i="4"/>
  <c r="H261" i="4"/>
  <c r="G260" i="4"/>
  <c r="G259" i="4"/>
  <c r="G258" i="4"/>
  <c r="H258" i="4"/>
  <c r="H257" i="4"/>
  <c r="H256" i="4"/>
  <c r="H255" i="4"/>
  <c r="G254" i="4"/>
  <c r="H253" i="4"/>
  <c r="G252" i="4"/>
  <c r="H251" i="4"/>
  <c r="J250" i="4"/>
  <c r="H250" i="4"/>
  <c r="H249" i="4"/>
  <c r="H248" i="4"/>
  <c r="G247" i="4"/>
  <c r="H246" i="4"/>
  <c r="I246" i="4"/>
  <c r="H245" i="4"/>
  <c r="G244" i="4"/>
  <c r="H244" i="4"/>
  <c r="L243" i="4"/>
  <c r="G243" i="4"/>
  <c r="L242" i="4"/>
  <c r="G242" i="4"/>
  <c r="J241" i="4"/>
  <c r="H241" i="4"/>
  <c r="H238" i="4"/>
  <c r="G238" i="4"/>
  <c r="H236" i="4"/>
  <c r="H235" i="4"/>
  <c r="I235" i="4"/>
  <c r="H234" i="4"/>
  <c r="I234" i="4"/>
  <c r="H233" i="4"/>
  <c r="I233" i="4"/>
  <c r="H232" i="4"/>
  <c r="I232" i="4"/>
  <c r="G231" i="4"/>
  <c r="H230" i="4"/>
  <c r="H229" i="4"/>
  <c r="I229" i="4"/>
  <c r="H228" i="4"/>
  <c r="H227" i="4"/>
  <c r="I227" i="4"/>
  <c r="H226" i="4"/>
  <c r="I226" i="4"/>
  <c r="H225" i="4"/>
  <c r="H224" i="4"/>
  <c r="H223" i="4"/>
  <c r="I223" i="4"/>
  <c r="G222" i="4"/>
  <c r="H221" i="4"/>
  <c r="I221" i="4"/>
  <c r="H220" i="4"/>
  <c r="I220" i="4"/>
  <c r="H219" i="4"/>
  <c r="I219" i="4"/>
  <c r="H218" i="4"/>
  <c r="I218" i="4"/>
  <c r="H217" i="4"/>
  <c r="H216" i="4"/>
  <c r="I216" i="4"/>
  <c r="H215" i="4"/>
  <c r="I215" i="4"/>
  <c r="H214" i="4"/>
  <c r="H213" i="4"/>
  <c r="H212" i="4"/>
  <c r="H211" i="4"/>
  <c r="I211" i="4"/>
  <c r="H210" i="4"/>
  <c r="H209" i="4"/>
  <c r="H208" i="4"/>
  <c r="H207" i="4"/>
  <c r="H206" i="4"/>
  <c r="H205" i="4"/>
  <c r="H204" i="4"/>
  <c r="I204" i="4"/>
  <c r="H203" i="4"/>
  <c r="I203" i="4"/>
  <c r="H202" i="4"/>
  <c r="I202" i="4"/>
  <c r="H201" i="4"/>
  <c r="I201" i="4"/>
  <c r="H200" i="4"/>
  <c r="I200" i="4"/>
  <c r="H199" i="4"/>
  <c r="H198" i="4"/>
  <c r="H197" i="4"/>
  <c r="I197" i="4"/>
  <c r="H196" i="4"/>
  <c r="I196" i="4"/>
  <c r="H195" i="4"/>
  <c r="I195" i="4"/>
  <c r="H194" i="4"/>
  <c r="I194" i="4"/>
  <c r="H193" i="4"/>
  <c r="H192" i="4"/>
  <c r="H191" i="4"/>
  <c r="H190" i="4"/>
  <c r="I190" i="4"/>
  <c r="H189" i="4"/>
  <c r="H188" i="4"/>
  <c r="H187" i="4"/>
  <c r="I187" i="4"/>
  <c r="H186" i="4"/>
  <c r="I186" i="4"/>
  <c r="H185" i="4"/>
  <c r="I185" i="4"/>
  <c r="H184" i="4"/>
  <c r="I184" i="4"/>
  <c r="H182" i="4"/>
  <c r="I182" i="4"/>
  <c r="H181" i="4"/>
  <c r="H180" i="4"/>
  <c r="H179" i="4"/>
  <c r="H178" i="4"/>
  <c r="I178" i="4"/>
  <c r="H176" i="4"/>
  <c r="I176" i="4"/>
  <c r="H175" i="4"/>
  <c r="I175" i="4"/>
  <c r="L174" i="4"/>
  <c r="J174" i="4"/>
  <c r="H174" i="4"/>
  <c r="I174" i="4"/>
  <c r="G174" i="4"/>
  <c r="H173" i="4"/>
  <c r="H172" i="4"/>
  <c r="I172" i="4"/>
  <c r="H171" i="4"/>
  <c r="H169" i="4"/>
  <c r="I169" i="4"/>
  <c r="H168" i="4"/>
  <c r="I168" i="4"/>
  <c r="H167" i="4"/>
  <c r="H166" i="4"/>
  <c r="H165" i="4"/>
  <c r="I165" i="4"/>
  <c r="H163" i="4"/>
  <c r="I163" i="4"/>
  <c r="H162" i="4"/>
  <c r="I162" i="4"/>
  <c r="H161" i="4"/>
  <c r="I161" i="4"/>
  <c r="H160" i="4"/>
  <c r="I160" i="4"/>
  <c r="H159" i="4"/>
  <c r="I159" i="4"/>
  <c r="H158" i="4"/>
  <c r="H157" i="4"/>
  <c r="I157" i="4"/>
  <c r="H156" i="4"/>
  <c r="I156" i="4"/>
  <c r="H155" i="4"/>
  <c r="I155" i="4"/>
  <c r="H154" i="4"/>
  <c r="I154" i="4"/>
  <c r="H153" i="4"/>
  <c r="I153" i="4"/>
  <c r="H152" i="4"/>
  <c r="I152" i="4"/>
  <c r="H150" i="4"/>
  <c r="H149" i="4"/>
  <c r="I149" i="4"/>
  <c r="H148" i="4"/>
  <c r="I148" i="4"/>
  <c r="H147" i="4"/>
  <c r="I147" i="4"/>
  <c r="H146" i="4"/>
  <c r="I146" i="4"/>
  <c r="H145" i="4"/>
  <c r="I145" i="4"/>
  <c r="H144" i="4"/>
  <c r="I144" i="4"/>
  <c r="H143" i="4"/>
  <c r="I143" i="4"/>
  <c r="H142" i="4"/>
  <c r="I142" i="4"/>
  <c r="H141" i="4"/>
  <c r="I141" i="4"/>
  <c r="H140" i="4"/>
  <c r="I140" i="4"/>
  <c r="H139" i="4"/>
  <c r="H137" i="4"/>
  <c r="I137" i="4"/>
  <c r="H136" i="4"/>
  <c r="I136" i="4"/>
  <c r="H135" i="4"/>
  <c r="I135" i="4"/>
  <c r="H134" i="4"/>
  <c r="I134" i="4"/>
  <c r="H133" i="4"/>
  <c r="I133" i="4"/>
  <c r="H132" i="4"/>
  <c r="I132" i="4"/>
  <c r="H131" i="4"/>
  <c r="I131" i="4"/>
  <c r="H130" i="4"/>
  <c r="I130" i="4"/>
  <c r="H129" i="4"/>
  <c r="I129" i="4"/>
  <c r="H128" i="4"/>
  <c r="I128" i="4"/>
  <c r="H127" i="4"/>
  <c r="I127" i="4"/>
  <c r="H126" i="4"/>
  <c r="I126" i="4"/>
  <c r="L125" i="4"/>
  <c r="J125" i="4"/>
  <c r="H125" i="4"/>
  <c r="I125" i="4"/>
  <c r="G125" i="4"/>
  <c r="H124" i="4"/>
  <c r="H122" i="4"/>
  <c r="I122" i="4"/>
  <c r="H121" i="4"/>
  <c r="I121" i="4"/>
  <c r="H120" i="4"/>
  <c r="I120" i="4"/>
  <c r="H119" i="4"/>
  <c r="I119" i="4"/>
  <c r="H118" i="4"/>
  <c r="I118" i="4"/>
  <c r="H117" i="4"/>
  <c r="H114" i="4"/>
  <c r="G114" i="4"/>
  <c r="H113" i="4"/>
  <c r="H112" i="4"/>
  <c r="H111" i="4"/>
  <c r="I111" i="4"/>
  <c r="H110" i="4"/>
  <c r="H108" i="4"/>
  <c r="I108" i="4"/>
  <c r="H107" i="4"/>
  <c r="I107" i="4"/>
  <c r="H106" i="4"/>
  <c r="I106" i="4"/>
  <c r="H105" i="4"/>
  <c r="I105" i="4"/>
  <c r="H104" i="4"/>
  <c r="I104" i="4"/>
  <c r="H103" i="4"/>
  <c r="H102" i="4"/>
  <c r="I102" i="4"/>
  <c r="H101" i="4"/>
  <c r="I101" i="4"/>
  <c r="H100" i="4"/>
  <c r="I100" i="4"/>
  <c r="H99" i="4"/>
  <c r="I99" i="4"/>
  <c r="H98" i="4"/>
  <c r="I98" i="4"/>
  <c r="H96" i="4"/>
  <c r="H95" i="4"/>
  <c r="I95" i="4"/>
  <c r="H94" i="4"/>
  <c r="I94" i="4"/>
  <c r="H93" i="4"/>
  <c r="I93" i="4"/>
  <c r="H92" i="4"/>
  <c r="H91" i="4"/>
  <c r="H90" i="4"/>
  <c r="H89" i="4"/>
  <c r="H88" i="4"/>
  <c r="H87" i="4"/>
  <c r="I87" i="4"/>
  <c r="H86" i="4"/>
  <c r="I86" i="4"/>
  <c r="H85" i="4"/>
  <c r="I85" i="4"/>
  <c r="H84" i="4"/>
  <c r="H83" i="4"/>
  <c r="H82" i="4"/>
  <c r="H81" i="4"/>
  <c r="I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G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E5" i="14"/>
  <c r="D5" i="14"/>
  <c r="G5" i="14"/>
  <c r="C5" i="14"/>
  <c r="B5" i="14"/>
  <c r="F4" i="14"/>
  <c r="G4" i="14"/>
  <c r="C4" i="14"/>
  <c r="B4" i="14"/>
  <c r="F3" i="14"/>
  <c r="G3" i="14"/>
  <c r="C3" i="14"/>
  <c r="B3" i="14"/>
  <c r="F2" i="14"/>
  <c r="G2" i="14"/>
  <c r="C2" i="14"/>
  <c r="B2" i="14"/>
  <c r="H308" i="4"/>
  <c r="J4" i="14"/>
  <c r="J5" i="14"/>
  <c r="I5" i="14"/>
  <c r="K5" i="14"/>
  <c r="I3" i="14"/>
  <c r="K3" i="14"/>
  <c r="J3" i="14"/>
  <c r="I2" i="14"/>
  <c r="K2" i="14"/>
  <c r="J2" i="14"/>
  <c r="I4" i="14"/>
  <c r="K4" i="14"/>
</calcChain>
</file>

<file path=xl/comments1.xml><?xml version="1.0" encoding="utf-8"?>
<comments xmlns="http://schemas.openxmlformats.org/spreadsheetml/2006/main">
  <authors>
    <author>ocsadmin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</text>
    </comment>
    <comment ref="L24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</text>
    </comment>
    <comment ref="L32" authorId="0">
      <text>
        <r>
          <rPr>
            <b/>
            <sz val="9"/>
            <color indexed="81"/>
            <rFont val="Tahoma"/>
            <family val="2"/>
          </rPr>
          <t>total for all recycling in this month</t>
        </r>
      </text>
    </comment>
  </commentList>
</comments>
</file>

<file path=xl/comments2.xml><?xml version="1.0" encoding="utf-8"?>
<comments xmlns="http://schemas.openxmlformats.org/spreadsheetml/2006/main">
  <authors>
    <author>Michael Rea</author>
  </authors>
  <commentList>
    <comment ref="F294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Change because I was notified that the bins never got full.</t>
        </r>
      </text>
    </comment>
    <comment ref="F360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Estimated less weight because of composting and recycling</t>
        </r>
      </text>
    </comment>
    <comment ref="F382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Estimated less tonnage because of increase in recycling.</t>
        </r>
      </text>
    </comment>
    <comment ref="F467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Higher tonnage because grounds no longer takes trash</t>
        </r>
      </text>
    </comment>
    <comment ref="F490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512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532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55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57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594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11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24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40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53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66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68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82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83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693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07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16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27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42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51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6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78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86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798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12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2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41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5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6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80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891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903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91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920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925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  <comment ref="F938" authorId="0">
      <text>
        <r>
          <rPr>
            <b/>
            <sz val="9"/>
            <color indexed="81"/>
            <rFont val="Tahoma"/>
            <family val="2"/>
          </rPr>
          <t>Michael Rea:</t>
        </r>
        <r>
          <rPr>
            <sz val="9"/>
            <color indexed="81"/>
            <rFont val="Tahoma"/>
            <family val="2"/>
          </rPr>
          <t xml:space="preserve">
Should this be higher if being emptied twice a week.</t>
        </r>
      </text>
    </comment>
  </commentList>
</comments>
</file>

<file path=xl/sharedStrings.xml><?xml version="1.0" encoding="utf-8"?>
<sst xmlns="http://schemas.openxmlformats.org/spreadsheetml/2006/main" count="5293" uniqueCount="350">
  <si>
    <t>Year</t>
  </si>
  <si>
    <t>Trash</t>
  </si>
  <si>
    <t xml:space="preserve">Single Stream </t>
  </si>
  <si>
    <t>e-waste</t>
  </si>
  <si>
    <t>Metal</t>
  </si>
  <si>
    <t>Other</t>
  </si>
  <si>
    <t>Compost</t>
  </si>
  <si>
    <t>surplus Donations</t>
  </si>
  <si>
    <t>Recycling markets slightly lowered</t>
  </si>
  <si>
    <t>Cancelled pickup schedules to on-call only</t>
  </si>
  <si>
    <t>Increased recycling</t>
  </si>
  <si>
    <t>Diversion Rate</t>
  </si>
  <si>
    <t>Total Diverted Weight</t>
  </si>
  <si>
    <t>Total Recycling weight</t>
  </si>
  <si>
    <t>Other recyclables</t>
  </si>
  <si>
    <t>Surplus Donations</t>
  </si>
  <si>
    <t>Recycling Rate</t>
  </si>
  <si>
    <t>This doesn't include surplus items in annual auction</t>
  </si>
  <si>
    <t>Single Stream new 2011</t>
  </si>
  <si>
    <t>New campus waste procedures 2012</t>
  </si>
  <si>
    <t>Recycle off campus and other locations 2011</t>
  </si>
  <si>
    <t>Metal wasn't being tracked as trash or recycling prior to summer 2012</t>
  </si>
  <si>
    <t>trash cost is minus temporary container rentals</t>
  </si>
  <si>
    <t>Percent change</t>
  </si>
  <si>
    <t>% increase over last year.</t>
  </si>
  <si>
    <t>Changed pickup schedules</t>
  </si>
  <si>
    <t>Pickup date</t>
  </si>
  <si>
    <t>Location</t>
  </si>
  <si>
    <t>Material</t>
  </si>
  <si>
    <t>Vendor</t>
  </si>
  <si>
    <t>Qty</t>
  </si>
  <si>
    <t>Weight lb</t>
  </si>
  <si>
    <t>Weight ton</t>
  </si>
  <si>
    <t>Stated Rebate</t>
  </si>
  <si>
    <t>Revenue</t>
  </si>
  <si>
    <t>Haul/Tip fee</t>
  </si>
  <si>
    <t>Payment</t>
  </si>
  <si>
    <t>Vendor Ticket #</t>
  </si>
  <si>
    <t>JCCC Receipt#</t>
  </si>
  <si>
    <t>Receipt date</t>
  </si>
  <si>
    <t>Notes</t>
  </si>
  <si>
    <t>Warehouse</t>
  </si>
  <si>
    <t>Unicor</t>
  </si>
  <si>
    <t>batteries</t>
  </si>
  <si>
    <t>Call2recycle</t>
  </si>
  <si>
    <t>Book  Store</t>
  </si>
  <si>
    <t>Books</t>
  </si>
  <si>
    <t>One Planet books</t>
  </si>
  <si>
    <t>316 boxes</t>
  </si>
  <si>
    <t>CC compactor</t>
  </si>
  <si>
    <t>Single Stream</t>
  </si>
  <si>
    <t>RockTenn</t>
  </si>
  <si>
    <t>CC Compactor</t>
  </si>
  <si>
    <t>All/Dumpsters</t>
  </si>
  <si>
    <t>RockTenn/Abitibi</t>
  </si>
  <si>
    <t>CSB  paper trailer</t>
  </si>
  <si>
    <t>OW</t>
  </si>
  <si>
    <t>OCC</t>
  </si>
  <si>
    <t>Glass</t>
  </si>
  <si>
    <t>Ripple</t>
  </si>
  <si>
    <t>Student Center compactor</t>
  </si>
  <si>
    <t>Book stock</t>
  </si>
  <si>
    <t>569 boxes</t>
  </si>
  <si>
    <t>unicor</t>
  </si>
  <si>
    <t>Materials from 2011</t>
  </si>
  <si>
    <t>Aluminum plates with paper</t>
  </si>
  <si>
    <t>Aluminum Litho</t>
  </si>
  <si>
    <t>copper cords wires 35%</t>
  </si>
  <si>
    <t>Copper</t>
  </si>
  <si>
    <t>ow</t>
  </si>
  <si>
    <t>occ</t>
  </si>
  <si>
    <t>Garbage</t>
  </si>
  <si>
    <t>LDPE grade a</t>
  </si>
  <si>
    <t>May have went to the Trash</t>
  </si>
  <si>
    <t>CSB Trailer</t>
  </si>
  <si>
    <t>Single stream</t>
  </si>
  <si>
    <t>south compound</t>
  </si>
  <si>
    <t>Shred Iron</t>
  </si>
  <si>
    <t>Advantage Metal</t>
  </si>
  <si>
    <t>TKXFDD</t>
  </si>
  <si>
    <t>Surplus Exchange</t>
  </si>
  <si>
    <t>SC compactor</t>
  </si>
  <si>
    <t>Delivered</t>
  </si>
  <si>
    <t>#2 Copper</t>
  </si>
  <si>
    <t>ZHEAAN</t>
  </si>
  <si>
    <t>35% insulated copper</t>
  </si>
  <si>
    <t>Mixed Paper</t>
  </si>
  <si>
    <t>Abitibi pickup</t>
  </si>
  <si>
    <t>fees Awaiting adjustment</t>
  </si>
  <si>
    <t>TLNAEY</t>
  </si>
  <si>
    <t>Unknown</t>
  </si>
  <si>
    <t>zhmouw</t>
  </si>
  <si>
    <t>Alum sheet - clean</t>
  </si>
  <si>
    <t>Alum rads</t>
  </si>
  <si>
    <t>cu/al rads</t>
  </si>
  <si>
    <t>304 stainles</t>
  </si>
  <si>
    <t>al/cu ends</t>
  </si>
  <si>
    <t>Abitibi Correction</t>
  </si>
  <si>
    <t>adjustment</t>
  </si>
  <si>
    <t>south compactor</t>
  </si>
  <si>
    <t>Deffenbaugh</t>
  </si>
  <si>
    <t>We were reimbursed for this by deffenbaugh</t>
  </si>
  <si>
    <t>Check from Deffenbaugh received</t>
  </si>
  <si>
    <t>TLXQKL</t>
  </si>
  <si>
    <t>trash</t>
  </si>
  <si>
    <t>reimbursed by Deffenbaugh</t>
  </si>
  <si>
    <t>South compound</t>
  </si>
  <si>
    <t>South Compound 20yd</t>
  </si>
  <si>
    <t>Wood Waste</t>
  </si>
  <si>
    <t>Missouri Organic</t>
  </si>
  <si>
    <t>?</t>
  </si>
  <si>
    <t>530 boxes</t>
  </si>
  <si>
    <t>tmjqtq</t>
  </si>
  <si>
    <t>Gym</t>
  </si>
  <si>
    <t>Pallet</t>
  </si>
  <si>
    <t>BCD sales</t>
  </si>
  <si>
    <t>Awaiting info from RockTenn</t>
  </si>
  <si>
    <t>TMTiHN</t>
  </si>
  <si>
    <t>SC Compactor</t>
  </si>
  <si>
    <t>Town Country</t>
  </si>
  <si>
    <t>Vintage Tech</t>
  </si>
  <si>
    <t>GYM</t>
  </si>
  <si>
    <t>TNDHHC</t>
  </si>
  <si>
    <t>TNDSXQ</t>
  </si>
  <si>
    <t>Commingled</t>
  </si>
  <si>
    <t>South compound 30yd</t>
  </si>
  <si>
    <t>TNJSOP</t>
  </si>
  <si>
    <t>single Stream</t>
  </si>
  <si>
    <t>South Compound</t>
  </si>
  <si>
    <t>TNVQPE</t>
  </si>
  <si>
    <t>MRC</t>
  </si>
  <si>
    <t>ZJEHIY</t>
  </si>
  <si>
    <t>Cast Aluminum</t>
  </si>
  <si>
    <t>Irony 304 stainles</t>
  </si>
  <si>
    <t>mrc</t>
  </si>
  <si>
    <t>Date</t>
  </si>
  <si>
    <t>Materials</t>
  </si>
  <si>
    <t>qty</t>
  </si>
  <si>
    <t>Item weight</t>
  </si>
  <si>
    <t>Lab stools</t>
  </si>
  <si>
    <t>Stack Chairs</t>
  </si>
  <si>
    <t>Tables</t>
  </si>
  <si>
    <t>lounge Chairs</t>
  </si>
  <si>
    <t>Tablet Arm chairs</t>
  </si>
  <si>
    <t>Task chairs</t>
  </si>
  <si>
    <t>Habitat Restore</t>
  </si>
  <si>
    <t>4 drawer file</t>
  </si>
  <si>
    <t>4x4 tables</t>
  </si>
  <si>
    <t>2x5 tables</t>
  </si>
  <si>
    <t>Chairs</t>
  </si>
  <si>
    <t>Library Shelving</t>
  </si>
  <si>
    <t>landscape bricks</t>
  </si>
  <si>
    <t>Recycling containers</t>
  </si>
  <si>
    <t>Binders and office supplies</t>
  </si>
  <si>
    <t>Large table</t>
  </si>
  <si>
    <t>Office mail boxes</t>
  </si>
  <si>
    <t>3 pallets of notebooks</t>
  </si>
  <si>
    <t xml:space="preserve">Tonnage Fee </t>
  </si>
  <si>
    <t>Invoice number</t>
  </si>
  <si>
    <t>Container type</t>
  </si>
  <si>
    <t>Container size</t>
  </si>
  <si>
    <t>Tonnage</t>
  </si>
  <si>
    <t>Tip charge</t>
  </si>
  <si>
    <t>Tipping fee</t>
  </si>
  <si>
    <t>Fuel charge</t>
  </si>
  <si>
    <t>State tonnage fee</t>
  </si>
  <si>
    <t>Tip and fuel</t>
  </si>
  <si>
    <t>Total per pick up</t>
  </si>
  <si>
    <t>Price per ton</t>
  </si>
  <si>
    <t>OT</t>
  </si>
  <si>
    <t>COM</t>
  </si>
  <si>
    <t>SC</t>
  </si>
  <si>
    <t>CSB</t>
  </si>
  <si>
    <t>OCB</t>
  </si>
  <si>
    <t>HCDC</t>
  </si>
  <si>
    <t>FL</t>
  </si>
  <si>
    <t>ITC</t>
  </si>
  <si>
    <t>Westpark</t>
  </si>
  <si>
    <t>Nerman</t>
  </si>
  <si>
    <t>Olathe Center</t>
  </si>
  <si>
    <t>Bookstore</t>
  </si>
  <si>
    <t>CC</t>
  </si>
  <si>
    <t xml:space="preserve">OT </t>
  </si>
  <si>
    <t xml:space="preserve">OCB </t>
  </si>
  <si>
    <t xml:space="preserve">SC </t>
  </si>
  <si>
    <t>csb</t>
  </si>
  <si>
    <t>sc</t>
  </si>
  <si>
    <t>fl</t>
  </si>
  <si>
    <t>ot</t>
  </si>
  <si>
    <t>Com</t>
  </si>
  <si>
    <t>OHEC</t>
  </si>
  <si>
    <t>? Itc</t>
  </si>
  <si>
    <t>?Warehouse</t>
  </si>
  <si>
    <t>C&amp;D</t>
  </si>
  <si>
    <t>warehouse</t>
  </si>
  <si>
    <t>Row Labels</t>
  </si>
  <si>
    <t>Sum of Total per pick up</t>
  </si>
  <si>
    <t>Sum of Tonnage</t>
  </si>
  <si>
    <t>Grand Total</t>
  </si>
  <si>
    <t>Recyclemania figures</t>
  </si>
  <si>
    <t>LBS per Yard for Trash</t>
  </si>
  <si>
    <t>LBS per yard for single stream</t>
  </si>
  <si>
    <t>LBS per yard compacted trash</t>
  </si>
  <si>
    <t>Weeks in a year</t>
  </si>
  <si>
    <t>Assumption of dumpster fullness</t>
  </si>
  <si>
    <t>Container size Yd</t>
  </si>
  <si>
    <t>Pickup day</t>
  </si>
  <si>
    <t>Frequency</t>
  </si>
  <si>
    <t>Est. weight</t>
  </si>
  <si>
    <t>Yearly weight</t>
  </si>
  <si>
    <t>Monthly weight</t>
  </si>
  <si>
    <t>On Call</t>
  </si>
  <si>
    <t>Compactor</t>
  </si>
  <si>
    <t>Open top</t>
  </si>
  <si>
    <t>M, R</t>
  </si>
  <si>
    <t>Twice a week</t>
  </si>
  <si>
    <t>Front Load</t>
  </si>
  <si>
    <t>Construction</t>
  </si>
  <si>
    <t>T</t>
  </si>
  <si>
    <t>Weekly</t>
  </si>
  <si>
    <t>Front load</t>
  </si>
  <si>
    <t>West Park</t>
  </si>
  <si>
    <t>T, R</t>
  </si>
  <si>
    <t>F</t>
  </si>
  <si>
    <t>M</t>
  </si>
  <si>
    <t>Rear load</t>
  </si>
  <si>
    <t>ATB</t>
  </si>
  <si>
    <t>Monthly Recycling weight</t>
  </si>
  <si>
    <t>Fiscal year (July 1-June 30)</t>
  </si>
  <si>
    <t>Sum of Weight ton</t>
  </si>
  <si>
    <t>Batliner</t>
  </si>
  <si>
    <t>Plastic</t>
  </si>
  <si>
    <t>Book Stock</t>
  </si>
  <si>
    <t>Newspaper</t>
  </si>
  <si>
    <t>plastic</t>
  </si>
  <si>
    <t>book Stock</t>
  </si>
  <si>
    <t>book stock</t>
  </si>
  <si>
    <t>Mixed paper</t>
  </si>
  <si>
    <t>white ledger</t>
  </si>
  <si>
    <t>bookstock</t>
  </si>
  <si>
    <t>newspaper</t>
  </si>
  <si>
    <t>Sum of Payment</t>
  </si>
  <si>
    <t>Recycling Revenue</t>
  </si>
  <si>
    <t>Trash Costs</t>
  </si>
  <si>
    <t>Total weight lbs</t>
  </si>
  <si>
    <t>tons</t>
  </si>
  <si>
    <t>Trash weight (tons)</t>
  </si>
  <si>
    <t>Recycling weight (tons)</t>
  </si>
  <si>
    <t>Compost weight (tons)</t>
  </si>
  <si>
    <t>Total Recycling weight (tons)</t>
  </si>
  <si>
    <t>Surplus Donations  (tons)</t>
  </si>
  <si>
    <t>Assumptions and changes:</t>
  </si>
  <si>
    <t>Trash cost is minus temporary container rentals</t>
  </si>
  <si>
    <t>Recycling figures now include Books</t>
  </si>
  <si>
    <t>Total Diverted Weight (tons)</t>
  </si>
  <si>
    <t>8yd or less trash and recycling dumpsters are not weighed therefore  are calculated by EPA standards and then converted to an equivelant weight.</t>
  </si>
  <si>
    <t>Nerman compactor no longer on schedule and was being calculated as full on a weekly basis prior to Feb 2013</t>
  </si>
  <si>
    <t>Batteries Solutions</t>
  </si>
  <si>
    <t>Pallets</t>
  </si>
  <si>
    <t>B&amp;T</t>
  </si>
  <si>
    <t>Used Oil</t>
  </si>
  <si>
    <t>Heritage-Crystal clean</t>
  </si>
  <si>
    <t>00-005tnj6</t>
  </si>
  <si>
    <t>Lect Tables</t>
  </si>
  <si>
    <t>TAC</t>
  </si>
  <si>
    <t>Stack</t>
  </si>
  <si>
    <t>lab stools</t>
  </si>
  <si>
    <t>Task</t>
  </si>
  <si>
    <t>Instruc Tables</t>
  </si>
  <si>
    <t>Inst stool</t>
  </si>
  <si>
    <t>ADA Table</t>
  </si>
  <si>
    <t>Lounge Chairs</t>
  </si>
  <si>
    <t>Values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</si>
  <si>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</si>
  <si>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</si>
  <si>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</si>
  <si>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</si>
  <si>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</si>
  <si>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</si>
  <si>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</si>
  <si>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</si>
  <si>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</si>
  <si>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</si>
  <si>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</si>
  <si>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</si>
  <si>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CC 8yd</t>
  </si>
  <si>
    <t>Temp</t>
  </si>
  <si>
    <t>HCA</t>
  </si>
  <si>
    <t>Column Labels</t>
  </si>
  <si>
    <t>This year to date</t>
  </si>
  <si>
    <t>zkemnw</t>
  </si>
  <si>
    <t>Toners</t>
  </si>
  <si>
    <t>Clover Technologies</t>
  </si>
  <si>
    <t>totuhh</t>
  </si>
  <si>
    <t>tpskdo</t>
  </si>
  <si>
    <t>Alum Sheet - dirty</t>
  </si>
  <si>
    <t>zkisau</t>
  </si>
  <si>
    <t>6061 Extrusion</t>
  </si>
  <si>
    <t>45% insulated copper</t>
  </si>
  <si>
    <t>POC05365</t>
  </si>
  <si>
    <t>Campus</t>
  </si>
  <si>
    <t>Cintas</t>
  </si>
  <si>
    <t>Pallets office supplies</t>
  </si>
  <si>
    <t>tqtebj</t>
  </si>
  <si>
    <t>HCA?</t>
  </si>
  <si>
    <t>zkyevx</t>
  </si>
  <si>
    <t>Irony alum</t>
  </si>
  <si>
    <t>Irony Sheet</t>
  </si>
  <si>
    <t>NLC</t>
  </si>
  <si>
    <t>POC06493</t>
  </si>
  <si>
    <t>ONP</t>
  </si>
  <si>
    <t>TRRVMQ</t>
  </si>
  <si>
    <t>Alum litho</t>
  </si>
  <si>
    <t>10/10 Extrusion</t>
  </si>
  <si>
    <t>Yellow Brass</t>
  </si>
  <si>
    <t>#2 Insulated Copper 45%</t>
  </si>
  <si>
    <t>zlowml</t>
  </si>
  <si>
    <t>Classification</t>
  </si>
  <si>
    <t>Paper</t>
  </si>
  <si>
    <t>Wood</t>
  </si>
  <si>
    <t>Cardboard</t>
  </si>
  <si>
    <t>Oil</t>
  </si>
  <si>
    <t>4x10 oval tables</t>
  </si>
  <si>
    <t>Credenza</t>
  </si>
  <si>
    <t>task chairs</t>
  </si>
  <si>
    <t>2013-2014</t>
  </si>
  <si>
    <t>2012-2013</t>
  </si>
  <si>
    <t>2011-2012</t>
  </si>
  <si>
    <t>2010-2011</t>
  </si>
  <si>
    <t>OCB?</t>
  </si>
  <si>
    <t>books</t>
  </si>
  <si>
    <t>(Multiple Items)</t>
  </si>
  <si>
    <t>Recycling bins</t>
  </si>
  <si>
    <t>dining room trash containers</t>
  </si>
  <si>
    <t>hallway trash containers</t>
  </si>
  <si>
    <t>Lockers</t>
  </si>
  <si>
    <t>open top standing desks</t>
  </si>
  <si>
    <t>small office supplies</t>
  </si>
  <si>
    <t>filing cabinets</t>
  </si>
  <si>
    <t>POC07829</t>
  </si>
  <si>
    <t>KC pallets</t>
  </si>
  <si>
    <t>TTPHIU</t>
  </si>
  <si>
    <t>south Compound</t>
  </si>
  <si>
    <t>JCCC</t>
  </si>
  <si>
    <t>Grass/Leaves (Cuyds)</t>
  </si>
  <si>
    <t>Wood mulch (Cuyds)</t>
  </si>
  <si>
    <t>Calendar Year</t>
  </si>
  <si>
    <t>Grand Total 2014</t>
  </si>
  <si>
    <t>2014 not up to date</t>
  </si>
  <si>
    <t>POC08788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</si>
</sst>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m/d/yy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44" fontId="0" fillId="0" borderId="0" xfId="2" applyFont="1"/>
    <xf numFmtId="43" fontId="0" fillId="0" borderId="0" xfId="1" applyFont="1"/>
    <xf numFmtId="43" fontId="0" fillId="0" borderId="0" xfId="0" applyNumberFormat="1"/>
    <xf numFmtId="9" fontId="0" fillId="0" borderId="0" xfId="3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44" fontId="2" fillId="0" borderId="0" xfId="2" applyFont="1"/>
    <xf numFmtId="0" fontId="2" fillId="0" borderId="0" xfId="4" applyNumberFormat="1" applyFont="1"/>
    <xf numFmtId="0" fontId="2" fillId="0" borderId="0" xfId="4" applyFont="1"/>
    <xf numFmtId="0" fontId="3" fillId="0" borderId="0" xfId="4" applyNumberFormat="1" applyFont="1"/>
    <xf numFmtId="0" fontId="3" fillId="0" borderId="0" xfId="4" applyFont="1"/>
    <xf numFmtId="0" fontId="0" fillId="0" borderId="0" xfId="0" applyFill="1"/>
    <xf numFmtId="44" fontId="0" fillId="0" borderId="0" xfId="0" applyNumberFormat="1" applyFill="1"/>
    <xf numFmtId="14" fontId="2" fillId="0" borderId="0" xfId="4" applyNumberFormat="1" applyFont="1"/>
    <xf numFmtId="0" fontId="2" fillId="0" borderId="0" xfId="4" applyFont="1" applyAlignment="1">
      <alignment horizontal="left"/>
    </xf>
    <xf numFmtId="0" fontId="2" fillId="0" borderId="0" xfId="0" applyFont="1" applyFill="1"/>
    <xf numFmtId="14" fontId="2" fillId="0" borderId="0" xfId="4" applyNumberFormat="1" applyFont="1" applyFill="1"/>
    <xf numFmtId="0" fontId="2" fillId="0" borderId="0" xfId="4" applyFont="1" applyFill="1"/>
    <xf numFmtId="44" fontId="2" fillId="0" borderId="0" xfId="0" applyNumberFormat="1" applyFont="1" applyFill="1"/>
    <xf numFmtId="44" fontId="2" fillId="0" borderId="0" xfId="2" applyFont="1" applyFill="1"/>
    <xf numFmtId="0" fontId="2" fillId="0" borderId="0" xfId="4" applyNumberFormat="1" applyFont="1" applyFill="1"/>
    <xf numFmtId="0" fontId="4" fillId="0" borderId="0" xfId="6"/>
    <xf numFmtId="14" fontId="4" fillId="0" borderId="0" xfId="6" applyNumberFormat="1"/>
    <xf numFmtId="0" fontId="0" fillId="2" borderId="0" xfId="0" applyFill="1"/>
    <xf numFmtId="44" fontId="0" fillId="0" borderId="0" xfId="2" applyFont="1" applyFill="1"/>
    <xf numFmtId="14" fontId="0" fillId="0" borderId="0" xfId="0" applyNumberFormat="1" applyFill="1"/>
    <xf numFmtId="0" fontId="0" fillId="0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4" fontId="0" fillId="3" borderId="0" xfId="0" applyNumberFormat="1" applyFill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4" fontId="0" fillId="0" borderId="0" xfId="2" applyNumberFormat="1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0" fontId="0" fillId="0" borderId="0" xfId="0" applyNumberFormat="1"/>
    <xf numFmtId="44" fontId="11" fillId="0" borderId="0" xfId="2" applyFont="1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2" fontId="2" fillId="0" borderId="0" xfId="4" applyNumberFormat="1" applyFont="1"/>
    <xf numFmtId="44" fontId="2" fillId="0" borderId="0" xfId="0" applyNumberFormat="1" applyFont="1"/>
    <xf numFmtId="16" fontId="2" fillId="0" borderId="0" xfId="4" applyNumberFormat="1" applyFont="1"/>
    <xf numFmtId="0" fontId="2" fillId="0" borderId="0" xfId="4" applyFont="1" applyFill="1" applyAlignment="1">
      <alignment horizontal="left"/>
    </xf>
    <xf numFmtId="14" fontId="3" fillId="0" borderId="0" xfId="0" applyNumberFormat="1" applyFont="1" applyAlignment="1">
      <alignment horizontal="left" vertical="top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2" fillId="0" borderId="0" xfId="0" applyNumberFormat="1" applyFont="1"/>
    <xf numFmtId="0" fontId="2" fillId="0" borderId="0" xfId="2" applyNumberFormat="1" applyFont="1"/>
    <xf numFmtId="14" fontId="11" fillId="0" borderId="0" xfId="0" applyNumberFormat="1" applyFont="1"/>
    <xf numFmtId="0" fontId="11" fillId="0" borderId="0" xfId="0" applyFont="1"/>
    <xf numFmtId="2" fontId="11" fillId="0" borderId="0" xfId="0" applyNumberFormat="1" applyFont="1"/>
    <xf numFmtId="0" fontId="11" fillId="0" borderId="0" xfId="0" applyNumberFormat="1" applyFont="1"/>
    <xf numFmtId="165" fontId="2" fillId="0" borderId="0" xfId="1" applyNumberFormat="1" applyFont="1"/>
    <xf numFmtId="14" fontId="2" fillId="0" borderId="0" xfId="4" applyNumberFormat="1" applyFont="1" applyFill="1" applyAlignment="1">
      <alignment horizontal="right"/>
    </xf>
    <xf numFmtId="166" fontId="0" fillId="0" borderId="0" xfId="0" applyNumberFormat="1" applyAlignment="1">
      <alignment horizontal="left"/>
    </xf>
    <xf numFmtId="165" fontId="2" fillId="0" borderId="0" xfId="0" applyNumberFormat="1" applyFont="1"/>
    <xf numFmtId="164" fontId="0" fillId="0" borderId="0" xfId="0" applyNumberFormat="1"/>
    <xf numFmtId="44" fontId="0" fillId="0" borderId="0" xfId="0" applyNumberFormat="1"/>
    <xf numFmtId="44" fontId="0" fillId="0" borderId="0" xfId="0" applyNumberFormat="1" applyAlignment="1">
      <alignment vertical="top" wrapText="1"/>
    </xf>
    <xf numFmtId="167" fontId="0" fillId="0" borderId="0" xfId="0" applyNumberFormat="1"/>
    <xf numFmtId="1" fontId="0" fillId="0" borderId="1" xfId="0" applyNumberFormat="1" applyFont="1" applyFill="1" applyBorder="1"/>
    <xf numFmtId="0" fontId="12" fillId="0" borderId="0" xfId="0" applyFont="1" applyAlignment="1">
      <alignment vertical="top" wrapText="1"/>
    </xf>
    <xf numFmtId="1" fontId="12" fillId="0" borderId="0" xfId="0" applyNumberFormat="1" applyFont="1"/>
    <xf numFmtId="44" fontId="12" fillId="0" borderId="0" xfId="0" applyNumberFormat="1" applyFont="1" applyAlignment="1">
      <alignment vertical="top" wrapText="1"/>
    </xf>
    <xf numFmtId="1" fontId="12" fillId="0" borderId="1" xfId="0" applyNumberFormat="1" applyFont="1" applyFill="1" applyBorder="1"/>
    <xf numFmtId="9" fontId="12" fillId="0" borderId="0" xfId="3" applyFont="1"/>
    <xf numFmtId="0" fontId="13" fillId="0" borderId="1" xfId="0" applyNumberFormat="1" applyFont="1" applyFill="1" applyBorder="1"/>
  </cellXfs>
  <cellStyles count="15">
    <cellStyle name="Comma" xfId="1" builtinId="3"/>
    <cellStyle name="Currency" xfId="2" builtinId="4"/>
    <cellStyle name="Currency 2" xfId="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4"/>
    <cellStyle name="Normal 3" xfId="6"/>
    <cellStyle name="Percent" xfId="3" builtinId="5"/>
  </cellStyles>
  <dxfs count="19">
    <dxf>
      <numFmt numFmtId="167" formatCode="0.0"/>
    </dxf>
    <dxf>
      <numFmt numFmtId="164" formatCode="_(&quot;$&quot;* #,##0_);_(&quot;$&quot;* \(#,##0\);_(&quot;$&quot;* &quot;-&quot;??_);_(@_)"/>
    </dxf>
    <dxf>
      <numFmt numFmtId="167" formatCode="0.0"/>
    </dxf>
    <dxf>
      <numFmt numFmtId="164" formatCode="_(&quot;$&quot;* #,##0_);_(&quot;$&quot;* \(#,##0\);_(&quot;$&quot;* &quot;-&quot;??_);_(@_)"/>
    </dxf>
    <dxf>
      <numFmt numFmtId="167" formatCode="0.0"/>
    </dxf>
    <dxf>
      <numFmt numFmtId="164" formatCode="_(&quot;$&quot;* #,##0_);_(&quot;$&quot;* \(#,##0\);_(&quot;$&quot;* &quot;-&quot;??_);_(@_)"/>
    </dxf>
    <dxf>
      <numFmt numFmtId="166" formatCode="m/d/yy"/>
    </dxf>
    <dxf>
      <numFmt numFmtId="164" formatCode="_(&quot;$&quot;* #,##0_);_(&quot;$&quot;* \(#,##0\);_(&quot;$&quot;* &quot;-&quot;??_);_(@_)"/>
    </dxf>
    <dxf>
      <numFmt numFmtId="167" formatCode="0.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aseline="0"/>
            </a:pPr>
            <a:r>
              <a:rPr lang="en-US" sz="1400" baseline="0"/>
              <a:t>Calendar year cost analysis</a:t>
            </a:r>
          </a:p>
        </c:rich>
      </c:tx>
      <c:layout>
        <c:manualLayout>
          <c:xMode val="edge"/>
          <c:yMode val="edge"/>
          <c:x val="0.13199331432174966"/>
          <c:y val="2.3391812865497075E-2"/>
        </c:manualLayout>
      </c:layout>
      <c:overlay val="0"/>
      <c:spPr>
        <a:ln>
          <a:solidFill>
            <a:schemeClr val="accent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4.5128205128205132E-2"/>
          <c:y val="0.12951800485872964"/>
          <c:w val="0.68326653182445918"/>
          <c:h val="0.66387648912307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'Calendar year analysis'!$C$1</c:f>
              <c:strCache>
                <c:ptCount val="1"/>
                <c:pt idx="0">
                  <c:v>Trash Costs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'Calendar year analysis'!$A$3:$A$6</c:f>
              <c:numCache>
                <c:formatCode>General</c:formatCode>
                <c:ptCount val="4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</c:numCache>
            </c:numRef>
          </c:cat>
          <c:val>
            <c:numRef>
              <c:f>'Calendar year analysis'!$C$3:$C$6</c:f>
              <c:numCache>
                <c:formatCode>_("$"* #,##0.00_);_("$"* \(#,##0.00\);_("$"* "-"??_);_(@_)</c:formatCode>
                <c:ptCount val="4"/>
                <c:pt idx="0">
                  <c:v>27334.650000000005</c:v>
                </c:pt>
                <c:pt idx="1">
                  <c:v>30764.909999999993</c:v>
                </c:pt>
                <c:pt idx="2">
                  <c:v>47572.58</c:v>
                </c:pt>
                <c:pt idx="3">
                  <c:v>53084.979999999996</c:v>
                </c:pt>
              </c:numCache>
            </c:numRef>
          </c:val>
        </c:ser>
        <c:ser>
          <c:idx val="1"/>
          <c:order val="1"/>
          <c:tx>
            <c:strRef>
              <c:f>'Calendar year analysis'!$E$1</c:f>
              <c:strCache>
                <c:ptCount val="1"/>
                <c:pt idx="0">
                  <c:v>Recycling Revenue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'Calendar year analysis'!$A$3:$A$6</c:f>
              <c:numCache>
                <c:formatCode>General</c:formatCode>
                <c:ptCount val="4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</c:numCache>
            </c:numRef>
          </c:cat>
          <c:val>
            <c:numRef>
              <c:f>'Calendar year analysis'!$E$3:$E$6</c:f>
              <c:numCache>
                <c:formatCode>General</c:formatCode>
                <c:ptCount val="4"/>
                <c:pt idx="0">
                  <c:v>15778.510000000002</c:v>
                </c:pt>
                <c:pt idx="1">
                  <c:v>15670.650000000001</c:v>
                </c:pt>
                <c:pt idx="2">
                  <c:v>15129.98</c:v>
                </c:pt>
                <c:pt idx="3">
                  <c:v>9640.02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-1"/>
        <c:axId val="168798464"/>
        <c:axId val="171803776"/>
      </c:barChart>
      <c:catAx>
        <c:axId val="16879846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crossAx val="171803776"/>
        <c:crosses val="autoZero"/>
        <c:auto val="1"/>
        <c:lblAlgn val="ctr"/>
        <c:lblOffset val="100"/>
        <c:noMultiLvlLbl val="0"/>
      </c:catAx>
      <c:valAx>
        <c:axId val="171803776"/>
        <c:scaling>
          <c:orientation val="minMax"/>
        </c:scaling>
        <c:delete val="0"/>
        <c:axPos val="r"/>
        <c:majorGridlines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6879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13214306859191"/>
          <c:y val="0.86189657590511115"/>
          <c:w val="0.55688197936257244"/>
          <c:h val="0.116052598688321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aseline="0"/>
            </a:pPr>
            <a:r>
              <a:rPr lang="en-US" sz="1400" baseline="0"/>
              <a:t>Calendar year weight analysis</a:t>
            </a:r>
          </a:p>
        </c:rich>
      </c:tx>
      <c:layout>
        <c:manualLayout>
          <c:xMode val="edge"/>
          <c:yMode val="edge"/>
          <c:x val="0.11193836254339175"/>
          <c:y val="2.5265878674277209E-2"/>
        </c:manualLayout>
      </c:layout>
      <c:overlay val="1"/>
      <c:spPr>
        <a:ln>
          <a:solidFill>
            <a:schemeClr val="accent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4.0072859744990891E-2"/>
          <c:y val="0.14169484236157226"/>
          <c:w val="0.81643315553297768"/>
          <c:h val="0.64710252010882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'Calendar year analysis'!$B$1</c:f>
              <c:strCache>
                <c:ptCount val="1"/>
                <c:pt idx="0">
                  <c:v>Trash weight (tons)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'Calendar year analysis'!$A$3:$A$6</c:f>
              <c:numCache>
                <c:formatCode>General</c:formatCode>
                <c:ptCount val="4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</c:numCache>
            </c:numRef>
          </c:cat>
          <c:val>
            <c:numRef>
              <c:f>'Calendar year analysis'!$B$3:$B$6</c:f>
              <c:numCache>
                <c:formatCode>0</c:formatCode>
                <c:ptCount val="4"/>
                <c:pt idx="0">
                  <c:v>557.34400000000005</c:v>
                </c:pt>
                <c:pt idx="1">
                  <c:v>540.93999999999994</c:v>
                </c:pt>
                <c:pt idx="2">
                  <c:v>726.07999999999993</c:v>
                </c:pt>
                <c:pt idx="3">
                  <c:v>841.04000000000008</c:v>
                </c:pt>
              </c:numCache>
            </c:numRef>
          </c:val>
        </c:ser>
        <c:ser>
          <c:idx val="1"/>
          <c:order val="1"/>
          <c:tx>
            <c:strRef>
              <c:f>'Calendar year analysis'!$G$1</c:f>
              <c:strCache>
                <c:ptCount val="1"/>
                <c:pt idx="0">
                  <c:v>Total Recycling weight (tons)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'Calendar year analysis'!$A$3:$A$6</c:f>
              <c:numCache>
                <c:formatCode>General</c:formatCode>
                <c:ptCount val="4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</c:numCache>
            </c:numRef>
          </c:cat>
          <c:val>
            <c:numRef>
              <c:f>'Calendar year analysis'!$G$3:$G$6</c:f>
              <c:numCache>
                <c:formatCode>0</c:formatCode>
                <c:ptCount val="4"/>
                <c:pt idx="0">
                  <c:v>371.25040000000007</c:v>
                </c:pt>
                <c:pt idx="1">
                  <c:v>333.80550000000005</c:v>
                </c:pt>
                <c:pt idx="2">
                  <c:v>184.84699999999992</c:v>
                </c:pt>
                <c:pt idx="3">
                  <c:v>145.61949999999993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793856"/>
        <c:axId val="90795392"/>
      </c:barChart>
      <c:catAx>
        <c:axId val="9079385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90795392"/>
        <c:crosses val="autoZero"/>
        <c:auto val="1"/>
        <c:lblAlgn val="ctr"/>
        <c:lblOffset val="100"/>
        <c:noMultiLvlLbl val="0"/>
      </c:catAx>
      <c:valAx>
        <c:axId val="90795392"/>
        <c:scaling>
          <c:orientation val="minMax"/>
        </c:scaling>
        <c:delete val="0"/>
        <c:axPos val="r"/>
        <c:majorGridlines/>
        <c:numFmt formatCode="0" sourceLinked="1"/>
        <c:majorTickMark val="out"/>
        <c:minorTickMark val="none"/>
        <c:tickLblPos val="nextTo"/>
        <c:crossAx val="90793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6666158665650654E-2"/>
          <c:y val="0.86732643575541912"/>
          <c:w val="0.86480975361950729"/>
          <c:h val="0.1038767985327135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aseline="0"/>
            </a:pPr>
            <a:r>
              <a:rPr lang="en-US" sz="1600" baseline="0"/>
              <a:t>Fiscal year cost analysis</a:t>
            </a:r>
          </a:p>
        </c:rich>
      </c:tx>
      <c:overlay val="0"/>
      <c:spPr>
        <a:ln>
          <a:solidFill>
            <a:schemeClr val="accent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'fiscal year analysis'!$C$1</c:f>
              <c:strCache>
                <c:ptCount val="1"/>
                <c:pt idx="0">
                  <c:v>Trash Costs</c:v>
                </c:pt>
              </c:strCache>
            </c:strRef>
          </c:tx>
          <c:invertIfNegative val="0"/>
          <c:cat>
            <c:strRef>
              <c:f>'fiscal year analysis'!$A$2:$A$5</c:f>
              <c:strCache>
                <c:ptCount val="4"/>
                <c:pt idx="0">
                  <c:v>2013-2014</c:v>
                </c:pt>
                <c:pt idx="1">
                  <c:v>2012-2013</c:v>
                </c:pt>
                <c:pt idx="2">
                  <c:v>2011-2012</c:v>
                </c:pt>
                <c:pt idx="3">
                  <c:v>2010-2011</c:v>
                </c:pt>
              </c:strCache>
            </c:strRef>
          </c:cat>
          <c:val>
            <c:numRef>
              <c:f>'fiscal year analysis'!$C$2:$C$5</c:f>
              <c:numCache>
                <c:formatCode>_("$"* #,##0.00_);_("$"* \(#,##0.00\);_("$"* "-"??_);_(@_)</c:formatCode>
                <c:ptCount val="4"/>
                <c:pt idx="0">
                  <c:v>28375.450000000004</c:v>
                </c:pt>
                <c:pt idx="1">
                  <c:v>25111.079999999998</c:v>
                </c:pt>
                <c:pt idx="2">
                  <c:v>41683.279999999999</c:v>
                </c:pt>
                <c:pt idx="3">
                  <c:v>51526.299999999996</c:v>
                </c:pt>
              </c:numCache>
            </c:numRef>
          </c:val>
        </c:ser>
        <c:ser>
          <c:idx val="1"/>
          <c:order val="1"/>
          <c:tx>
            <c:strRef>
              <c:f>'fiscal year analysis'!$E$1</c:f>
              <c:strCache>
                <c:ptCount val="1"/>
                <c:pt idx="0">
                  <c:v>Recycling Revenue</c:v>
                </c:pt>
              </c:strCache>
            </c:strRef>
          </c:tx>
          <c:invertIfNegative val="0"/>
          <c:cat>
            <c:strRef>
              <c:f>'fiscal year analysis'!$A$2:$A$5</c:f>
              <c:strCache>
                <c:ptCount val="4"/>
                <c:pt idx="0">
                  <c:v>2013-2014</c:v>
                </c:pt>
                <c:pt idx="1">
                  <c:v>2012-2013</c:v>
                </c:pt>
                <c:pt idx="2">
                  <c:v>2011-2012</c:v>
                </c:pt>
                <c:pt idx="3">
                  <c:v>2010-2011</c:v>
                </c:pt>
              </c:strCache>
            </c:strRef>
          </c:cat>
          <c:val>
            <c:numRef>
              <c:f>'fiscal year analysis'!$E$2:$E$5</c:f>
              <c:numCache>
                <c:formatCode>General</c:formatCode>
                <c:ptCount val="4"/>
                <c:pt idx="0">
                  <c:v>16282.061500000002</c:v>
                </c:pt>
                <c:pt idx="1">
                  <c:v>17068.939999999995</c:v>
                </c:pt>
                <c:pt idx="2">
                  <c:v>16213.640000000001</c:v>
                </c:pt>
                <c:pt idx="3">
                  <c:v>10157.080000000004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-1"/>
        <c:axId val="161356416"/>
        <c:axId val="161358208"/>
      </c:barChart>
      <c:catAx>
        <c:axId val="161356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crossAx val="161358208"/>
        <c:crosses val="autoZero"/>
        <c:auto val="1"/>
        <c:lblAlgn val="ctr"/>
        <c:lblOffset val="100"/>
        <c:noMultiLvlLbl val="0"/>
      </c:catAx>
      <c:valAx>
        <c:axId val="161358208"/>
        <c:scaling>
          <c:orientation val="minMax"/>
        </c:scaling>
        <c:delete val="0"/>
        <c:axPos val="r"/>
        <c:majorGridlines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6135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aseline="0"/>
            </a:pPr>
            <a:r>
              <a:rPr lang="en-US" sz="1600" baseline="0"/>
              <a:t>Fiscal year weight analysis</a:t>
            </a:r>
          </a:p>
        </c:rich>
      </c:tx>
      <c:overlay val="1"/>
      <c:spPr>
        <a:ln>
          <a:solidFill>
            <a:schemeClr val="accent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'fiscal year analysis'!$B$1</c:f>
              <c:strCache>
                <c:ptCount val="1"/>
                <c:pt idx="0">
                  <c:v>Trash weight (tons)</c:v>
                </c:pt>
              </c:strCache>
            </c:strRef>
          </c:tx>
          <c:invertIfNegative val="0"/>
          <c:cat>
            <c:strRef>
              <c:f>('fiscal year analysis'!$A$2,'fiscal year analysis'!$A$3,'fiscal year analysis'!$A$4,'fiscal year analysis'!$A$5)</c:f>
              <c:strCache>
                <c:ptCount val="4"/>
                <c:pt idx="0">
                  <c:v>2013-2014</c:v>
                </c:pt>
                <c:pt idx="1">
                  <c:v>2012-2013</c:v>
                </c:pt>
                <c:pt idx="2">
                  <c:v>2011-2012</c:v>
                </c:pt>
                <c:pt idx="3">
                  <c:v>2010-2011</c:v>
                </c:pt>
              </c:strCache>
            </c:strRef>
          </c:cat>
          <c:val>
            <c:numRef>
              <c:f>'fiscal year analysis'!$B$2:$B$5</c:f>
              <c:numCache>
                <c:formatCode>0</c:formatCode>
                <c:ptCount val="4"/>
                <c:pt idx="0">
                  <c:v>584.54800000000012</c:v>
                </c:pt>
                <c:pt idx="1">
                  <c:v>487.49</c:v>
                </c:pt>
                <c:pt idx="2">
                  <c:v>681.72</c:v>
                </c:pt>
                <c:pt idx="3">
                  <c:v>769.5100000000001</c:v>
                </c:pt>
              </c:numCache>
            </c:numRef>
          </c:val>
        </c:ser>
        <c:ser>
          <c:idx val="1"/>
          <c:order val="1"/>
          <c:tx>
            <c:strRef>
              <c:f>'fiscal year analysis'!$G$1</c:f>
              <c:strCache>
                <c:ptCount val="1"/>
                <c:pt idx="0">
                  <c:v>Total Recycling weight (tons)</c:v>
                </c:pt>
              </c:strCache>
            </c:strRef>
          </c:tx>
          <c:invertIfNegative val="0"/>
          <c:cat>
            <c:strRef>
              <c:f>('fiscal year analysis'!$A$2,'fiscal year analysis'!$A$3,'fiscal year analysis'!$A$4,'fiscal year analysis'!$A$5)</c:f>
              <c:strCache>
                <c:ptCount val="4"/>
                <c:pt idx="0">
                  <c:v>2013-2014</c:v>
                </c:pt>
                <c:pt idx="1">
                  <c:v>2012-2013</c:v>
                </c:pt>
                <c:pt idx="2">
                  <c:v>2011-2012</c:v>
                </c:pt>
                <c:pt idx="3">
                  <c:v>2010-2011</c:v>
                </c:pt>
              </c:strCache>
            </c:strRef>
          </c:cat>
          <c:val>
            <c:numRef>
              <c:f>'fiscal year analysis'!$G$2:$G$5</c:f>
              <c:numCache>
                <c:formatCode>0</c:formatCode>
                <c:ptCount val="4"/>
                <c:pt idx="0">
                  <c:v>377.46870000000007</c:v>
                </c:pt>
                <c:pt idx="1">
                  <c:v>352.6418000000001</c:v>
                </c:pt>
                <c:pt idx="2">
                  <c:v>282.39300000000003</c:v>
                </c:pt>
                <c:pt idx="3">
                  <c:v>141.19449999999998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375360"/>
        <c:axId val="161376896"/>
      </c:barChart>
      <c:catAx>
        <c:axId val="16137536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161376896"/>
        <c:crosses val="autoZero"/>
        <c:auto val="1"/>
        <c:lblAlgn val="ctr"/>
        <c:lblOffset val="100"/>
        <c:noMultiLvlLbl val="0"/>
      </c:catAx>
      <c:valAx>
        <c:axId val="161376896"/>
        <c:scaling>
          <c:orientation val="minMax"/>
        </c:scaling>
        <c:delete val="0"/>
        <c:axPos val="r"/>
        <c:majorGridlines/>
        <c:numFmt formatCode="0" sourceLinked="1"/>
        <c:majorTickMark val="out"/>
        <c:minorTickMark val="none"/>
        <c:tickLblPos val="nextTo"/>
        <c:crossAx val="16137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 Management Analysis.xlsx]Recycling commodity types!PivotTable5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'Recycling commodity types'!$B$3:$B$4</c:f>
              <c:strCache>
                <c:ptCount val="1"/>
                <c:pt idx="0">
                  <c:v>Sum of Weight ton</c:v>
                </c:pt>
              </c:strCache>
            </c:strRef>
          </c:tx>
          <c:cat>
            <c:strRef>
              <c:f>'Recycling commodity types'!$A$5:$A$14</c:f>
              <c:strCache>
                <c:ptCount val="9"/>
                <c:pt idx="0">
                  <c:v>Cardboard</c:v>
                </c:pt>
                <c:pt idx="1">
                  <c:v>e-waste</c:v>
                </c:pt>
                <c:pt idx="2">
                  <c:v>Glass</c:v>
                </c:pt>
                <c:pt idx="3">
                  <c:v>Metal</c:v>
                </c:pt>
                <c:pt idx="4">
                  <c:v>Paper</c:v>
                </c:pt>
                <c:pt idx="5">
                  <c:v>Plastic</c:v>
                </c:pt>
                <c:pt idx="6">
                  <c:v>Single Stream</c:v>
                </c:pt>
                <c:pt idx="7">
                  <c:v>Trash</c:v>
                </c:pt>
                <c:pt idx="8">
                  <c:v>books</c:v>
                </c:pt>
              </c:strCache>
            </c:strRef>
          </c:cat>
          <c:val>
            <c:numRef>
              <c:f>'Recycling commodity types'!$B$5:$B$14</c:f>
              <c:numCache>
                <c:formatCode>0.0</c:formatCode>
                <c:ptCount val="9"/>
                <c:pt idx="0">
                  <c:v>2.9550000000000001</c:v>
                </c:pt>
                <c:pt idx="1">
                  <c:v>7.7869999999999999</c:v>
                </c:pt>
                <c:pt idx="2">
                  <c:v>34.92</c:v>
                </c:pt>
                <c:pt idx="3">
                  <c:v>0.97000000000000008</c:v>
                </c:pt>
                <c:pt idx="4">
                  <c:v>60.74499999999999</c:v>
                </c:pt>
                <c:pt idx="5">
                  <c:v>0.34500000000000003</c:v>
                </c:pt>
                <c:pt idx="6">
                  <c:v>102.06499999999998</c:v>
                </c:pt>
                <c:pt idx="7">
                  <c:v>1.1875</c:v>
                </c:pt>
                <c:pt idx="8">
                  <c:v>11.38</c:v>
                </c:pt>
              </c:numCache>
            </c:numRef>
          </c:val>
        </c:ser>
        <c:ser>
          <c:idx val="1"/>
          <c:order val="1"/>
          <c:tx>
            <c:strRef>
              <c:f>'Recycling commodity types'!$C$3:$C$4</c:f>
              <c:strCache>
                <c:ptCount val="1"/>
                <c:pt idx="0">
                  <c:v>Sum of Payment</c:v>
                </c:pt>
              </c:strCache>
            </c:strRef>
          </c:tx>
          <c:cat>
            <c:strRef>
              <c:f>'Recycling commodity types'!$A$5:$A$14</c:f>
              <c:strCache>
                <c:ptCount val="9"/>
                <c:pt idx="0">
                  <c:v>Cardboard</c:v>
                </c:pt>
                <c:pt idx="1">
                  <c:v>e-waste</c:v>
                </c:pt>
                <c:pt idx="2">
                  <c:v>Glass</c:v>
                </c:pt>
                <c:pt idx="3">
                  <c:v>Metal</c:v>
                </c:pt>
                <c:pt idx="4">
                  <c:v>Paper</c:v>
                </c:pt>
                <c:pt idx="5">
                  <c:v>Plastic</c:v>
                </c:pt>
                <c:pt idx="6">
                  <c:v>Single Stream</c:v>
                </c:pt>
                <c:pt idx="7">
                  <c:v>Trash</c:v>
                </c:pt>
                <c:pt idx="8">
                  <c:v>books</c:v>
                </c:pt>
              </c:strCache>
            </c:strRef>
          </c:cat>
          <c:val>
            <c:numRef>
              <c:f>'Recycling commodity types'!$C$5:$C$14</c:f>
              <c:numCache>
                <c:formatCode>_("$"* #,##0_);_("$"* \(#,##0\);_("$"* "-"??_);_(@_)</c:formatCode>
                <c:ptCount val="9"/>
                <c:pt idx="0">
                  <c:v>171.66</c:v>
                </c:pt>
                <c:pt idx="3">
                  <c:v>581</c:v>
                </c:pt>
                <c:pt idx="4">
                  <c:v>5087.1400000000003</c:v>
                </c:pt>
                <c:pt idx="5">
                  <c:v>15</c:v>
                </c:pt>
                <c:pt idx="6">
                  <c:v>4707.99</c:v>
                </c:pt>
                <c:pt idx="7">
                  <c:v>-39.15</c:v>
                </c:pt>
                <c:pt idx="8">
                  <c:v>5690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weight!$A$2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val>
        </c:ser>
        <c:ser>
          <c:idx val="1"/>
          <c:order val="1"/>
          <c:tx>
            <c:strRef>
              <c:f>weight!$B$2</c:f>
              <c:strCache>
                <c:ptCount val="1"/>
                <c:pt idx="0">
                  <c:v>Trash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weight!$B$3:$B$5</c:f>
              <c:numCache>
                <c:formatCode>_(* #,##0.00_);_(* \(#,##0.00\);_(* "-"??_);_(@_)</c:formatCode>
                <c:ptCount val="3"/>
                <c:pt idx="0">
                  <c:v>1682000</c:v>
                </c:pt>
                <c:pt idx="1">
                  <c:v>1452000</c:v>
                </c:pt>
                <c:pt idx="2">
                  <c:v>1135300</c:v>
                </c:pt>
              </c:numCache>
            </c:numRef>
          </c:val>
        </c:ser>
        <c:ser>
          <c:idx val="2"/>
          <c:order val="2"/>
          <c:tx>
            <c:strRef>
              <c:f>weight!$C$2</c:f>
              <c:strCache>
                <c:ptCount val="1"/>
                <c:pt idx="0">
                  <c:v>Single Stream 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weight!$C$3:$C$5</c:f>
              <c:numCache>
                <c:formatCode>_(* #,##0.00_);_(* \(#,##0.00\);_(* "-"??_);_(@_)</c:formatCode>
                <c:ptCount val="3"/>
                <c:pt idx="0">
                  <c:v>273200</c:v>
                </c:pt>
                <c:pt idx="1">
                  <c:v>272542</c:v>
                </c:pt>
                <c:pt idx="2">
                  <c:v>374803</c:v>
                </c:pt>
              </c:numCache>
            </c:numRef>
          </c:val>
        </c:ser>
        <c:ser>
          <c:idx val="3"/>
          <c:order val="3"/>
          <c:tx>
            <c:strRef>
              <c:f>weight!$D$2</c:f>
              <c:strCache>
                <c:ptCount val="1"/>
                <c:pt idx="0">
                  <c:v>e-waste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weight!$D$3:$D$5</c:f>
              <c:numCache>
                <c:formatCode>_(* #,##0.00_);_(* \(#,##0.00\);_(* "-"??_);_(@_)</c:formatCode>
                <c:ptCount val="3"/>
                <c:pt idx="0">
                  <c:v>683</c:v>
                </c:pt>
                <c:pt idx="1">
                  <c:v>4293</c:v>
                </c:pt>
                <c:pt idx="2">
                  <c:v>24381</c:v>
                </c:pt>
              </c:numCache>
            </c:numRef>
          </c:val>
        </c:ser>
        <c:ser>
          <c:idx val="4"/>
          <c:order val="4"/>
          <c:tx>
            <c:strRef>
              <c:f>weight!$E$2</c:f>
              <c:strCache>
                <c:ptCount val="1"/>
                <c:pt idx="0">
                  <c:v>Metal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weight!$E$3:$E$5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29323</c:v>
                </c:pt>
              </c:numCache>
            </c:numRef>
          </c:val>
        </c:ser>
        <c:ser>
          <c:idx val="5"/>
          <c:order val="5"/>
          <c:tx>
            <c:strRef>
              <c:f>weight!$F$2</c:f>
              <c:strCache>
                <c:ptCount val="1"/>
                <c:pt idx="0">
                  <c:v>Compost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weight!$F$3:$F$5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35250</c:v>
                </c:pt>
                <c:pt idx="2">
                  <c:v>68279</c:v>
                </c:pt>
              </c:numCache>
            </c:numRef>
          </c:val>
        </c:ser>
        <c:ser>
          <c:idx val="6"/>
          <c:order val="6"/>
          <c:tx>
            <c:strRef>
              <c:f>weight!$G$2</c:f>
              <c:strCache>
                <c:ptCount val="1"/>
                <c:pt idx="0">
                  <c:v>Other recyclables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weight!$G$3:$G$5</c:f>
              <c:numCache>
                <c:formatCode>_(* #,##0.00_);_(* \(#,##0.00\);_(* "-"??_);_(@_)</c:formatCode>
                <c:ptCount val="3"/>
                <c:pt idx="0">
                  <c:v>800</c:v>
                </c:pt>
                <c:pt idx="1">
                  <c:v>3754</c:v>
                </c:pt>
                <c:pt idx="2">
                  <c:v>4500</c:v>
                </c:pt>
              </c:numCache>
            </c:numRef>
          </c:val>
        </c:ser>
        <c:ser>
          <c:idx val="7"/>
          <c:order val="7"/>
          <c:tx>
            <c:strRef>
              <c:f>weight!$H$2</c:f>
              <c:strCache>
                <c:ptCount val="1"/>
                <c:pt idx="0">
                  <c:v>Surplus Donations</c:v>
                </c:pt>
              </c:strCache>
            </c:strRef>
          </c:tx>
          <c:invertIfNegative val="0"/>
          <c:cat>
            <c:numRef>
              <c:f>weight!$A$3:$A$5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weight!$H$3:$H$5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114450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245248"/>
        <c:axId val="182246784"/>
      </c:barChart>
      <c:catAx>
        <c:axId val="18224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246784"/>
        <c:crosses val="autoZero"/>
        <c:auto val="1"/>
        <c:lblAlgn val="ctr"/>
        <c:lblOffset val="100"/>
        <c:noMultiLvlLbl val="0"/>
      </c:catAx>
      <c:valAx>
        <c:axId val="18224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45248"/>
        <c:crosses val="autoZero"/>
        <c:crossBetween val="between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weight!$A$2:$H$2</c:f>
              <c:strCache>
                <c:ptCount val="8"/>
                <c:pt idx="0">
                  <c:v>Year</c:v>
                </c:pt>
                <c:pt idx="1">
                  <c:v>Trash</c:v>
                </c:pt>
                <c:pt idx="2">
                  <c:v>Single Stream </c:v>
                </c:pt>
                <c:pt idx="3">
                  <c:v>e-waste</c:v>
                </c:pt>
                <c:pt idx="4">
                  <c:v>Metal</c:v>
                </c:pt>
                <c:pt idx="5">
                  <c:v>Compost</c:v>
                </c:pt>
                <c:pt idx="6">
                  <c:v>Other recyclables</c:v>
                </c:pt>
                <c:pt idx="7">
                  <c:v>Surplus Donations</c:v>
                </c:pt>
              </c:strCache>
            </c:strRef>
          </c:cat>
          <c:val>
            <c:numRef>
              <c:f>weight!$A$5:$H$5</c:f>
              <c:numCache>
                <c:formatCode>_(* #,##0.00_);_(* \(#,##0.00\);_(* "-"??_);_(@_)</c:formatCode>
                <c:ptCount val="8"/>
                <c:pt idx="0" formatCode="General">
                  <c:v>2012</c:v>
                </c:pt>
                <c:pt idx="1">
                  <c:v>1135300</c:v>
                </c:pt>
                <c:pt idx="2">
                  <c:v>374803</c:v>
                </c:pt>
                <c:pt idx="3">
                  <c:v>24381</c:v>
                </c:pt>
                <c:pt idx="4">
                  <c:v>29323</c:v>
                </c:pt>
                <c:pt idx="5">
                  <c:v>68279</c:v>
                </c:pt>
                <c:pt idx="6">
                  <c:v>4500</c:v>
                </c:pt>
                <c:pt idx="7">
                  <c:v>114450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money!$B$2</c:f>
              <c:strCache>
                <c:ptCount val="1"/>
                <c:pt idx="0">
                  <c:v>Trash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money!$B$3:$B$5</c:f>
              <c:numCache>
                <c:formatCode>_("$"* #,##0.00_);_("$"* \(#,##0.00\);_("$"* "-"??_);_(@_)</c:formatCode>
                <c:ptCount val="3"/>
                <c:pt idx="0">
                  <c:v>-53084</c:v>
                </c:pt>
                <c:pt idx="1">
                  <c:v>-47289</c:v>
                </c:pt>
                <c:pt idx="2">
                  <c:v>-30926.91</c:v>
                </c:pt>
              </c:numCache>
            </c:numRef>
          </c:val>
        </c:ser>
        <c:ser>
          <c:idx val="1"/>
          <c:order val="1"/>
          <c:tx>
            <c:strRef>
              <c:f>money!$D$2</c:f>
              <c:strCache>
                <c:ptCount val="1"/>
                <c:pt idx="0">
                  <c:v>Single Stream 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money!$D$3:$D$5</c:f>
              <c:numCache>
                <c:formatCode>_("$"* #,##0.00_);_("$"* \(#,##0.00\);_("$"* "-"??_);_(@_)</c:formatCode>
                <c:ptCount val="3"/>
                <c:pt idx="0">
                  <c:v>6480</c:v>
                </c:pt>
                <c:pt idx="1">
                  <c:v>10406</c:v>
                </c:pt>
                <c:pt idx="2">
                  <c:v>7800</c:v>
                </c:pt>
              </c:numCache>
            </c:numRef>
          </c:val>
        </c:ser>
        <c:ser>
          <c:idx val="2"/>
          <c:order val="2"/>
          <c:tx>
            <c:strRef>
              <c:f>money!$E$2</c:f>
              <c:strCache>
                <c:ptCount val="1"/>
                <c:pt idx="0">
                  <c:v>e-waste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money!$E$3:$E$5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money!$F$2</c:f>
              <c:strCache>
                <c:ptCount val="1"/>
                <c:pt idx="0">
                  <c:v>Metal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money!$F$3:$F$5</c:f>
              <c:numCache>
                <c:formatCode>_("$"* #,##0.00_);_("$"* \(#,##0.00\);_("$"* "-"??_);_(@_)</c:formatCode>
                <c:ptCount val="3"/>
                <c:pt idx="2">
                  <c:v>3782</c:v>
                </c:pt>
              </c:numCache>
            </c:numRef>
          </c:val>
        </c:ser>
        <c:ser>
          <c:idx val="4"/>
          <c:order val="4"/>
          <c:tx>
            <c:strRef>
              <c:f>money!$G$2</c:f>
              <c:strCache>
                <c:ptCount val="1"/>
                <c:pt idx="0">
                  <c:v>Compost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money!$G$3:$G$5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money!$H$2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money!$H$3:$H$5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6"/>
          <c:order val="6"/>
          <c:tx>
            <c:strRef>
              <c:f>money!$I$2</c:f>
              <c:strCache>
                <c:ptCount val="1"/>
                <c:pt idx="0">
                  <c:v>surplus Donations</c:v>
                </c:pt>
              </c:strCache>
            </c:strRef>
          </c:tx>
          <c:invertIfNegative val="0"/>
          <c:cat>
            <c:numRef>
              <c:f>money!$A$3:$A$5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money!$I$3:$I$5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676800"/>
        <c:axId val="195682688"/>
      </c:barChart>
      <c:catAx>
        <c:axId val="19567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682688"/>
        <c:crosses val="autoZero"/>
        <c:auto val="1"/>
        <c:lblAlgn val="ctr"/>
        <c:lblOffset val="100"/>
        <c:noMultiLvlLbl val="0"/>
      </c:catAx>
      <c:valAx>
        <c:axId val="195682688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95676800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10</xdr:row>
      <xdr:rowOff>57150</xdr:rowOff>
    </xdr:from>
    <xdr:to>
      <xdr:col>12</xdr:col>
      <xdr:colOff>571499</xdr:colOff>
      <xdr:row>17</xdr:row>
      <xdr:rowOff>66675</xdr:rowOff>
    </xdr:to>
    <xdr:graphicFrame macro="">
      <xdr:nvGraphicFramePr>
        <xdr:cNvPr id="2" name="Chart 1" title="Fiscal Year waste analysi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438150</xdr:colOff>
      <xdr:row>10</xdr:row>
      <xdr:rowOff>47626</xdr:rowOff>
    </xdr:from>
    <xdr:to>
      <xdr:col>5</xdr:col>
      <xdr:colOff>219075</xdr:colOff>
      <xdr:row>17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10</xdr:row>
      <xdr:rowOff>28575</xdr:rowOff>
    </xdr:from>
    <xdr:to>
      <xdr:col>11</xdr:col>
      <xdr:colOff>409575</xdr:colOff>
      <xdr:row>16</xdr:row>
      <xdr:rowOff>209550</xdr:rowOff>
    </xdr:to>
    <xdr:graphicFrame macro="">
      <xdr:nvGraphicFramePr>
        <xdr:cNvPr id="6" name="Chart 5" title="Fiscal Year waste analysi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438150</xdr:colOff>
      <xdr:row>10</xdr:row>
      <xdr:rowOff>47625</xdr:rowOff>
    </xdr:from>
    <xdr:to>
      <xdr:col>6</xdr:col>
      <xdr:colOff>0</xdr:colOff>
      <xdr:row>17</xdr:row>
      <xdr:rowOff>209550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47625</xdr:rowOff>
    </xdr:from>
    <xdr:to>
      <xdr:col>2</xdr:col>
      <xdr:colOff>1876424</xdr:colOff>
      <xdr:row>38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386831</xdr:colOff>
      <xdr:row>13</xdr:row>
      <xdr:rowOff>154342</xdr:rowOff>
    </xdr:from>
    <xdr:to>
      <xdr:col>9</xdr:col>
      <xdr:colOff>58316</xdr:colOff>
      <xdr:row>36</xdr:row>
      <xdr:rowOff>68036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109829</xdr:colOff>
      <xdr:row>13</xdr:row>
      <xdr:rowOff>110606</xdr:rowOff>
    </xdr:from>
    <xdr:to>
      <xdr:col>13</xdr:col>
      <xdr:colOff>473334</xdr:colOff>
      <xdr:row>27</xdr:row>
      <xdr:rowOff>132377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223837</xdr:colOff>
      <xdr:row>12</xdr:row>
      <xdr:rowOff>138112</xdr:rowOff>
    </xdr:from>
    <xdr:to>
      <xdr:col>12</xdr:col>
      <xdr:colOff>404812</xdr:colOff>
      <xdr:row>27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csadmin" refreshedDate="41901.595886226853" createdVersion="4" refreshedVersion="4" minRefreshableVersion="3" recordCount="824">
  <cacheSource type="worksheet">
    <worksheetSource ref="A3:M827" sheet="Trash data"/>
  </cacheSource>
  <cacheFields count="13">
    <cacheField name="Invoice number" numFmtId="0">
      <sharedItems containsBlank="1" containsMixedTypes="1" containsNumber="1" containsInteger="1" minValue="5492612" maxValue="6595313"/>
    </cacheField>
    <cacheField name="Date" numFmtId="14">
      <sharedItems containsSemiMixedTypes="0" containsNonDate="0" containsDate="1" containsString="0" minDate="2010-01-08T00:00:00" maxDate="2013-10-01T00:00:00" count="457">
        <d v="2010-01-08T00:00:00"/>
        <d v="2010-01-10T00:00:00"/>
        <d v="2010-01-14T00:00:00"/>
        <d v="2010-01-17T00:00:00"/>
        <d v="2010-01-20T00:00:00"/>
        <d v="2010-01-21T00:00:00"/>
        <d v="2010-01-24T00:00:00"/>
        <d v="2010-01-27T00:00:00"/>
        <d v="2010-01-29T00:00:00"/>
        <d v="2010-01-31T00:00:00"/>
        <d v="2010-02-03T00:00:00"/>
        <d v="2010-02-07T00:00:00"/>
        <d v="2010-02-09T00:00:00"/>
        <d v="2010-02-10T00:00:00"/>
        <d v="2010-02-12T00:00:00"/>
        <d v="2010-02-14T00:00:00"/>
        <d v="2010-02-16T00:00:00"/>
        <d v="2010-02-17T00:00:00"/>
        <d v="2010-02-18T00:00:00"/>
        <d v="2010-02-23T00:00:00"/>
        <d v="2010-02-24T00:00:00"/>
        <d v="2010-02-25T00:00:00"/>
        <d v="2010-02-28T00:00:00"/>
        <d v="2010-03-02T00:00:00"/>
        <d v="2010-03-03T00:00:00"/>
        <d v="2010-03-05T00:00:00"/>
        <d v="2010-03-09T00:00:00"/>
        <d v="2010-03-10T00:00:00"/>
        <d v="2010-03-15T00:00:00"/>
        <d v="2010-03-17T00:00:00"/>
        <d v="2010-03-21T00:00:00"/>
        <d v="2010-03-23T00:00:00"/>
        <d v="2010-03-24T00:00:00"/>
        <d v="2010-03-25T00:00:00"/>
        <d v="2010-03-28T00:00:00"/>
        <d v="2010-03-31T00:00:00"/>
        <d v="2010-04-01T00:00:00"/>
        <d v="2010-04-04T00:00:00"/>
        <d v="2010-04-06T00:00:00"/>
        <d v="2010-04-07T00:00:00"/>
        <d v="2010-04-11T00:00:00"/>
        <d v="2010-04-12T00:00:00"/>
        <d v="2010-04-13T00:00:00"/>
        <d v="2010-04-18T00:00:00"/>
        <d v="2010-04-19T00:00:00"/>
        <d v="2010-04-21T00:00:00"/>
        <d v="2010-04-25T00:00:00"/>
        <d v="2010-04-28T00:00:00"/>
        <d v="2010-04-29T00:00:00"/>
        <d v="2010-04-30T00:00:00"/>
        <d v="2010-05-03T00:00:00"/>
        <d v="2010-05-04T00:00:00"/>
        <d v="2010-05-06T00:00:00"/>
        <d v="2010-05-09T00:00:00"/>
        <d v="2010-05-12T00:00:00"/>
        <d v="2010-05-13T00:00:00"/>
        <d v="2010-05-14T00:00:00"/>
        <d v="2010-05-16T00:00:00"/>
        <d v="2010-05-18T00:00:00"/>
        <d v="2010-05-19T00:00:00"/>
        <d v="2010-05-23T00:00:00"/>
        <d v="2010-05-26T00:00:00"/>
        <d v="2010-05-29T00:00:00"/>
        <d v="2010-05-31T00:00:00"/>
        <d v="2010-06-02T00:00:00"/>
        <d v="2010-06-06T00:00:00"/>
        <d v="2010-06-08T00:00:00"/>
        <d v="2010-06-10T00:00:00"/>
        <d v="2010-06-16T00:00:00"/>
        <d v="2010-06-20T00:00:00"/>
        <d v="2010-06-21T00:00:00"/>
        <d v="2010-06-23T00:00:00"/>
        <d v="2010-06-27T00:00:00"/>
        <d v="2010-06-29T00:00:00"/>
        <d v="2010-06-30T00:00:00"/>
        <d v="2010-07-01T00:00:00"/>
        <d v="2010-07-04T00:00:00"/>
        <d v="2010-07-06T00:00:00"/>
        <d v="2010-07-09T00:00:00"/>
        <d v="2010-07-13T00:00:00"/>
        <d v="2010-07-14T00:00:00"/>
        <d v="2010-07-18T00:00:00"/>
        <d v="2010-07-21T00:00:00"/>
        <d v="2010-07-23T00:00:00"/>
        <d v="2010-07-25T00:00:00"/>
        <d v="2010-07-28T00:00:00"/>
        <d v="2010-07-31T00:00:00"/>
        <d v="2010-08-02T00:00:00"/>
        <d v="2010-08-05T00:00:00"/>
        <d v="2010-08-08T00:00:00"/>
        <d v="2010-08-10T00:00:00"/>
        <d v="2010-08-15T00:00:00"/>
        <d v="2010-08-16T00:00:00"/>
        <d v="2010-08-18T00:00:00"/>
        <d v="2010-08-19T00:00:00"/>
        <d v="2010-08-20T00:00:00"/>
        <d v="2010-08-23T00:00:00"/>
        <d v="2010-08-24T00:00:00"/>
        <d v="2010-08-26T00:00:00"/>
        <d v="2010-08-28T00:00:00"/>
        <d v="2010-08-30T00:00:00"/>
        <d v="2010-08-31T00:00:00"/>
        <d v="2010-09-01T00:00:00"/>
        <d v="2010-09-04T00:00:00"/>
        <d v="2010-09-07T00:00:00"/>
        <d v="2010-09-08T00:00:00"/>
        <d v="2010-09-12T00:00:00"/>
        <d v="2010-09-13T00:00:00"/>
        <d v="2010-09-14T00:00:00"/>
        <d v="2010-09-18T00:00:00"/>
        <d v="2010-09-20T00:00:00"/>
        <d v="2010-09-21T00:00:00"/>
        <d v="2010-09-22T00:00:00"/>
        <d v="2010-09-24T00:00:00"/>
        <d v="2010-09-26T00:00:00"/>
        <d v="2010-09-28T00:00:00"/>
        <d v="2010-09-30T00:00:00"/>
        <d v="2010-10-03T00:00:00"/>
        <d v="2010-10-04T00:00:00"/>
        <d v="2010-10-05T00:00:00"/>
        <d v="2010-10-06T00:00:00"/>
        <d v="2010-10-07T00:00:00"/>
        <d v="2010-10-11T00:00:00"/>
        <d v="2010-10-13T00:00:00"/>
        <d v="2010-10-14T00:00:00"/>
        <d v="2010-10-17T00:00:00"/>
        <d v="2010-10-20T00:00:00"/>
        <d v="2010-10-24T00:00:00"/>
        <d v="2010-10-26T00:00:00"/>
        <d v="2010-10-27T00:00:00"/>
        <d v="2010-10-31T00:00:00"/>
        <d v="2010-11-02T00:00:00"/>
        <d v="2010-11-03T00:00:00"/>
        <d v="2010-11-08T00:00:00"/>
        <d v="2010-11-10T00:00:00"/>
        <d v="2010-11-12T00:00:00"/>
        <d v="2010-11-13T00:00:00"/>
        <d v="2010-11-15T00:00:00"/>
        <d v="2010-11-17T00:00:00"/>
        <d v="2010-11-18T00:00:00"/>
        <d v="2010-11-21T00:00:00"/>
        <d v="2010-11-23T00:00:00"/>
        <d v="2010-11-28T00:00:00"/>
        <d v="2010-11-30T00:00:00"/>
        <d v="2010-12-01T00:00:00"/>
        <d v="2010-12-06T00:00:00"/>
        <d v="2010-12-08T00:00:00"/>
        <d v="2010-12-09T00:00:00"/>
        <d v="2010-12-11T00:00:00"/>
        <d v="2010-12-13T00:00:00"/>
        <d v="2010-12-14T00:00:00"/>
        <d v="2010-12-19T00:00:00"/>
        <d v="2010-12-20T00:00:00"/>
        <d v="2010-12-21T00:00:00"/>
        <d v="2010-12-28T00:00:00"/>
        <d v="2010-12-31T00:00:00"/>
        <d v="2011-01-05T00:00:00"/>
        <d v="2011-01-07T00:00:00"/>
        <d v="2011-01-10T00:00:00"/>
        <d v="2011-01-13T00:00:00"/>
        <d v="2011-01-14T00:00:00"/>
        <d v="2011-01-17T00:00:00"/>
        <d v="2011-01-20T00:00:00"/>
        <d v="2011-01-24T00:00:00"/>
        <d v="2011-01-26T00:00:00"/>
        <d v="2011-01-27T00:00:00"/>
        <d v="2011-01-31T00:00:00"/>
        <d v="2011-02-04T00:00:00"/>
        <d v="2011-02-07T00:00:00"/>
        <d v="2011-02-08T00:00:00"/>
        <d v="2011-02-09T00:00:00"/>
        <d v="2011-02-11T00:00:00"/>
        <d v="2011-02-14T00:00:00"/>
        <d v="2011-02-16T00:00:00"/>
        <d v="2011-02-17T00:00:00"/>
        <d v="2011-02-21T00:00:00"/>
        <d v="2011-02-23T00:00:00"/>
        <d v="2011-02-28T00:00:00"/>
        <d v="2011-03-01T00:00:00"/>
        <d v="2011-03-02T00:00:00"/>
        <d v="2011-03-07T00:00:00"/>
        <d v="2011-03-09T00:00:00"/>
        <d v="2011-03-14T00:00:00"/>
        <d v="2011-03-16T00:00:00"/>
        <d v="2011-03-18T00:00:00"/>
        <d v="2011-03-21T00:00:00"/>
        <d v="2011-03-22T00:00:00"/>
        <d v="2011-03-25T00:00:00"/>
        <d v="2011-03-28T00:00:00"/>
        <d v="2011-03-30T00:00:00"/>
        <d v="2011-03-31T00:00:00"/>
        <d v="2011-04-04T00:00:00"/>
        <d v="2011-04-05T00:00:00"/>
        <d v="2011-04-07T00:00:00"/>
        <d v="2011-04-11T00:00:00"/>
        <d v="2011-04-13T00:00:00"/>
        <d v="2011-04-14T00:00:00"/>
        <d v="2011-04-18T00:00:00"/>
        <d v="2011-04-19T00:00:00"/>
        <d v="2011-04-20T00:00:00"/>
        <d v="2011-04-25T00:00:00"/>
        <d v="2011-04-26T00:00:00"/>
        <d v="2011-04-28T00:00:00"/>
        <d v="2011-04-30T00:00:00"/>
        <d v="2011-05-02T00:00:00"/>
        <d v="2011-05-03T00:00:00"/>
        <d v="2011-05-04T00:00:00"/>
        <d v="2011-05-06T00:00:00"/>
        <d v="2011-05-09T00:00:00"/>
        <d v="2011-05-10T00:00:00"/>
        <d v="2011-05-16T00:00:00"/>
        <d v="2011-05-18T00:00:00"/>
        <d v="2011-05-23T00:00:00"/>
        <d v="2011-05-25T00:00:00"/>
        <d v="2011-05-31T00:00:00"/>
        <d v="2011-06-01T00:00:00"/>
        <d v="2011-06-02T00:00:00"/>
        <d v="2011-06-03T00:00:00"/>
        <d v="2011-06-06T00:00:00"/>
        <d v="2011-06-08T00:00:00"/>
        <d v="2011-06-13T00:00:00"/>
        <d v="2011-06-15T00:00:00"/>
        <d v="2011-06-16T00:00:00"/>
        <d v="2011-06-17T00:00:00"/>
        <d v="2011-06-20T00:00:00"/>
        <d v="2011-06-21T00:00:00"/>
        <d v="2011-06-27T00:00:00"/>
        <d v="2011-06-28T00:00:00"/>
        <d v="2011-06-30T00:00:00"/>
        <d v="2011-07-02T00:00:00"/>
        <d v="2011-07-05T00:00:00"/>
        <d v="2011-07-06T00:00:00"/>
        <d v="2011-07-07T00:00:00"/>
        <d v="2011-07-11T00:00:00"/>
        <d v="2011-07-12T00:00:00"/>
        <d v="2011-07-14T00:00:00"/>
        <d v="2011-07-18T00:00:00"/>
        <d v="2011-07-21T00:00:00"/>
        <d v="2011-07-25T00:00:00"/>
        <d v="2011-07-27T00:00:00"/>
        <d v="2011-07-31T00:00:00"/>
        <d v="2011-08-01T00:00:00"/>
        <d v="2011-08-02T00:00:00"/>
        <d v="2011-08-03T00:00:00"/>
        <d v="2011-08-05T00:00:00"/>
        <d v="2011-08-08T00:00:00"/>
        <d v="2011-08-10T00:00:00"/>
        <d v="2011-08-11T00:00:00"/>
        <d v="2011-08-15T00:00:00"/>
        <d v="2011-08-16T00:00:00"/>
        <d v="2011-08-17T00:00:00"/>
        <d v="2011-08-18T00:00:00"/>
        <d v="2011-08-22T00:00:00"/>
        <d v="2011-08-23T00:00:00"/>
        <d v="2011-08-24T00:00:00"/>
        <d v="2011-08-29T00:00:00"/>
        <d v="2011-08-31T00:00:00"/>
        <d v="2011-09-02T00:00:00"/>
        <d v="2011-09-06T00:00:00"/>
        <d v="2011-09-07T00:00:00"/>
        <d v="2011-09-08T00:00:00"/>
        <d v="2011-09-12T00:00:00"/>
        <d v="2011-09-14T00:00:00"/>
        <d v="2011-09-19T00:00:00"/>
        <d v="2011-09-21T00:00:00"/>
        <d v="2011-09-22T00:00:00"/>
        <d v="2011-09-26T00:00:00"/>
        <d v="2011-09-28T00:00:00"/>
        <d v="2011-09-30T00:00:00"/>
        <d v="2011-10-03T00:00:00"/>
        <d v="2011-10-05T00:00:00"/>
        <d v="2011-10-06T00:00:00"/>
        <d v="2011-10-10T00:00:00"/>
        <d v="2011-10-11T00:00:00"/>
        <d v="2011-10-12T00:00:00"/>
        <d v="2011-10-13T00:00:00"/>
        <d v="2011-10-17T00:00:00"/>
        <d v="2011-10-19T00:00:00"/>
        <d v="2011-10-20T00:00:00"/>
        <d v="2011-10-24T00:00:00"/>
        <d v="2011-10-26T00:00:00"/>
        <d v="2011-10-31T00:00:00"/>
        <d v="2011-11-01T00:00:00"/>
        <d v="2011-11-02T00:00:00"/>
        <d v="2011-11-07T00:00:00"/>
        <d v="2011-11-09T00:00:00"/>
        <d v="2011-11-12T00:00:00"/>
        <d v="2011-11-14T00:00:00"/>
        <d v="2011-11-15T00:00:00"/>
        <d v="2011-11-16T00:00:00"/>
        <d v="2011-11-17T00:00:00"/>
        <d v="2011-11-21T00:00:00"/>
        <d v="2011-11-22T00:00:00"/>
        <d v="2011-11-28T00:00:00"/>
        <d v="2011-11-29T00:00:00"/>
        <d v="2011-11-30T00:00:00"/>
        <d v="2011-12-05T00:00:00"/>
        <d v="2011-12-07T00:00:00"/>
        <d v="2011-12-12T00:00:00"/>
        <d v="2011-12-14T00:00:00"/>
        <d v="2011-12-19T00:00:00"/>
        <d v="2011-12-21T00:00:00"/>
        <d v="2011-12-26T00:00:00"/>
        <d v="2011-12-27T00:00:00"/>
        <d v="2011-12-28T00:00:00"/>
        <d v="2011-12-31T00:00:00"/>
        <d v="2012-01-02T00:00:00"/>
        <d v="2012-01-03T00:00:00"/>
        <d v="2012-01-04T00:00:00"/>
        <d v="2012-01-06T00:00:00"/>
        <d v="2012-01-11T00:00:00"/>
        <d v="2012-01-12T00:00:00"/>
        <d v="2012-01-16T00:00:00"/>
        <d v="2012-01-17T00:00:00"/>
        <d v="2012-01-23T00:00:00"/>
        <d v="2012-01-25T00:00:00"/>
        <d v="2012-01-30T00:00:00"/>
        <d v="2012-01-31T00:00:00"/>
        <d v="2012-02-01T00:00:00"/>
        <d v="2012-02-03T00:00:00"/>
        <d v="2012-02-06T00:00:00"/>
        <d v="2012-02-08T00:00:00"/>
        <d v="2012-02-10T00:00:00"/>
        <d v="2012-02-13T00:00:00"/>
        <d v="2012-02-15T00:00:00"/>
        <d v="2012-02-17T00:00:00"/>
        <d v="2012-02-20T00:00:00"/>
        <d v="2012-02-21T00:00:00"/>
        <d v="2012-02-22T00:00:00"/>
        <d v="2012-02-23T00:00:00"/>
        <d v="2012-02-27T00:00:00"/>
        <d v="2012-02-29T00:00:00"/>
        <d v="2012-03-02T00:00:00"/>
        <d v="2012-03-05T00:00:00"/>
        <d v="2012-03-07T00:00:00"/>
        <d v="2012-03-09T00:00:00"/>
        <d v="2012-03-12T00:00:00"/>
        <d v="2012-03-14T00:00:00"/>
        <d v="2012-03-19T00:00:00"/>
        <d v="2012-03-21T00:00:00"/>
        <d v="2012-03-26T00:00:00"/>
        <d v="2012-03-27T00:00:00"/>
        <d v="2012-03-31T00:00:00"/>
        <d v="2012-04-02T00:00:00"/>
        <d v="2012-04-03T00:00:00"/>
        <d v="2012-04-05T00:00:00"/>
        <d v="2012-04-06T00:00:00"/>
        <d v="2012-04-10T00:00:00"/>
        <d v="2012-04-16T00:00:00"/>
        <d v="2012-04-18T00:00:00"/>
        <d v="2012-04-24T00:00:00"/>
        <d v="2012-04-27T00:00:00"/>
        <d v="2012-04-30T00:00:00"/>
        <d v="2012-05-07T00:00:00"/>
        <d v="2012-05-08T00:00:00"/>
        <d v="2012-05-10T00:00:00"/>
        <d v="2012-05-16T00:00:00"/>
        <d v="2012-05-24T00:00:00"/>
        <d v="2012-05-31T00:00:00"/>
        <d v="2012-06-01T00:00:00"/>
        <d v="2012-06-02T00:00:00"/>
        <d v="2012-06-05T00:00:00"/>
        <d v="2012-06-08T00:00:00"/>
        <d v="2012-06-16T00:00:00"/>
        <d v="2012-06-21T00:00:00"/>
        <d v="2012-06-25T00:00:00"/>
        <d v="2012-06-30T00:00:00"/>
        <d v="2012-07-03T00:00:00"/>
        <d v="2012-07-16T00:00:00"/>
        <d v="2012-07-18T00:00:00"/>
        <d v="2012-07-27T00:00:00"/>
        <d v="2012-07-31T00:00:00"/>
        <d v="2012-08-07T00:00:00"/>
        <d v="2012-08-08T00:00:00"/>
        <d v="2012-08-14T00:00:00"/>
        <d v="2012-08-15T00:00:00"/>
        <d v="2012-08-25T00:00:00"/>
        <d v="2012-08-26T00:00:00"/>
        <d v="2012-08-31T00:00:00"/>
        <d v="2012-09-08T00:00:00"/>
        <d v="2012-09-10T00:00:00"/>
        <d v="2012-09-11T00:00:00"/>
        <d v="2012-09-19T00:00:00"/>
        <d v="2012-09-20T00:00:00"/>
        <d v="2012-09-25T00:00:00"/>
        <d v="2012-09-29T00:00:00"/>
        <d v="2012-09-30T00:00:00"/>
        <d v="2012-10-03T00:00:00"/>
        <d v="2012-10-30T00:00:00"/>
        <d v="2012-10-31T00:00:00"/>
        <d v="2012-11-07T00:00:00"/>
        <d v="2012-11-10T00:00:00"/>
        <d v="2012-11-12T00:00:00"/>
        <d v="2012-11-19T00:00:00"/>
        <d v="2012-11-30T00:00:00"/>
        <d v="2012-12-05T00:00:00"/>
        <d v="2012-12-07T00:00:00"/>
        <d v="2012-12-31T00:00:00"/>
        <d v="2013-01-03T00:00:00"/>
        <d v="2013-01-08T00:00:00"/>
        <d v="2013-01-16T00:00:00"/>
        <d v="2013-01-22T00:00:00"/>
        <d v="2013-01-30T00:00:00"/>
        <d v="2013-02-01T00:00:00"/>
        <d v="2013-02-05T00:00:00"/>
        <d v="2013-02-09T00:00:00"/>
        <d v="2013-02-13T00:00:00"/>
        <d v="2013-02-18T00:00:00"/>
        <d v="2013-02-27T00:00:00"/>
        <d v="2013-02-28T00:00:00"/>
        <d v="2013-03-04T00:00:00"/>
        <d v="2013-03-05T00:00:00"/>
        <d v="2013-03-08T00:00:00"/>
        <d v="2013-03-21T00:00:00"/>
        <d v="2013-03-31T00:00:00"/>
        <d v="2013-04-03T00:00:00"/>
        <d v="2013-04-04T00:00:00"/>
        <d v="2013-04-12T00:00:00"/>
        <d v="2013-04-13T00:00:00"/>
        <d v="2013-04-15T00:00:00"/>
        <d v="2013-04-24T00:00:00"/>
        <d v="2013-04-27T00:00:00"/>
        <d v="2013-04-30T00:00:00"/>
        <d v="2013-05-01T00:00:00"/>
        <d v="2013-05-08T00:00:00"/>
        <d v="2013-05-09T00:00:00"/>
        <d v="2013-05-14T00:00:00"/>
        <d v="2013-05-15T00:00:00"/>
        <d v="2013-05-22T00:00:00"/>
        <d v="2013-05-30T00:00:00"/>
        <d v="2013-05-31T00:00:00"/>
        <d v="2013-06-07T00:00:00"/>
        <d v="2013-06-11T00:00:00"/>
        <d v="2013-06-26T00:00:00"/>
        <d v="2013-06-30T00:00:00"/>
        <d v="2013-07-02T00:00:00"/>
        <d v="2013-07-09T00:00:00"/>
        <d v="2013-07-16T00:00:00"/>
        <d v="2013-07-17T00:00:00"/>
        <d v="2013-07-26T00:00:00"/>
        <d v="2013-07-31T00:00:00"/>
        <d v="2013-08-06T00:00:00"/>
        <d v="2013-08-17T00:00:00"/>
        <d v="2013-08-20T00:00:00"/>
        <d v="2013-08-21T00:00:00"/>
        <d v="2013-08-22T00:00:00"/>
        <d v="2013-08-23T00:00:00"/>
        <d v="2013-08-31T00:00:00"/>
        <d v="2013-09-03T00:00:00"/>
        <d v="2013-09-10T00:00:00"/>
        <d v="2013-09-12T00:00:00"/>
        <d v="2013-09-14T00:00:00"/>
        <d v="2013-09-15T00:00:00"/>
        <d v="2013-09-18T00:00:00"/>
        <d v="2013-09-25T00:00:00"/>
        <d v="2013-09-27T00:00:00"/>
        <d v="2013-09-30T00:00:00"/>
      </sharedItems>
      <fieldGroup base="1">
        <rangePr groupBy="months" startDate="2010-01-08T00:00:00" endDate="2013-10-01T00:00:00"/>
        <groupItems count="14">
          <s v="&lt;1/8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13"/>
        </groupItems>
      </fieldGroup>
    </cacheField>
    <cacheField name="Location" numFmtId="0">
      <sharedItems count="19">
        <s v="?"/>
        <s v="COM"/>
        <s v="CSB"/>
        <s v="South Compound"/>
        <s v="OCB"/>
        <s v="HCDC"/>
        <s v="ITC"/>
        <s v="Westpark"/>
        <s v="Nerman"/>
        <s v="Olathe Center"/>
        <s v="Bookstore"/>
        <s v="Warehouse"/>
        <s v="CC"/>
        <s v="OCB "/>
        <s v="OHEC"/>
        <s v="? Itc"/>
        <s v="?Warehouse"/>
        <s v="C&amp;D"/>
        <s v="HCA"/>
      </sharedItems>
    </cacheField>
    <cacheField name="Container type" numFmtId="0">
      <sharedItems/>
    </cacheField>
    <cacheField name="Container size" numFmtId="0">
      <sharedItems containsMixedTypes="1" containsNumber="1" containsInteger="1" minValue="2" maxValue="40"/>
    </cacheField>
    <cacheField name="Tonnage" numFmtId="0">
      <sharedItems containsSemiMixedTypes="0" containsString="0" containsNumber="1" minValue="0" maxValue="13.92"/>
    </cacheField>
    <cacheField name="Tip charge" numFmtId="44">
      <sharedItems containsString="0" containsBlank="1" containsNumber="1" minValue="0.78" maxValue="361.92"/>
    </cacheField>
    <cacheField name="Tipping fee" numFmtId="44">
      <sharedItems containsSemiMixedTypes="0" containsString="0" containsNumber="1" minValue="45.28" maxValue="189"/>
    </cacheField>
    <cacheField name="Fuel charge" numFmtId="44">
      <sharedItems containsString="0" containsBlank="1" containsNumber="1" minValue="0" maxValue="27.03"/>
    </cacheField>
    <cacheField name="State tonnage fee" numFmtId="0">
      <sharedItems containsString="0" containsBlank="1" containsNumber="1" minValue="0.03" maxValue="13.92"/>
    </cacheField>
    <cacheField name="Tip and fuel" numFmtId="0">
      <sharedItems containsString="0" containsBlank="1" containsNumber="1" minValue="115" maxValue="142.03"/>
    </cacheField>
    <cacheField name="Total per pick up" numFmtId="44">
      <sharedItems containsSemiMixedTypes="0" containsString="0" containsNumber="1" minValue="45.28" maxValue="490.84000000000003"/>
    </cacheField>
    <cacheField name="Price per ton" numFmtId="0">
      <sharedItems containsBlank="1" containsMixedTypes="1" containsNumber="1" minValue="35.261494252873568" maxValue="3860.3333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csadmin" refreshedDate="41901.59588645833" createdVersion="4" refreshedVersion="4" minRefreshableVersion="3" recordCount="402">
  <cacheSource type="worksheet">
    <worksheetSource ref="A1:O403" sheet="Recycling data"/>
  </cacheSource>
  <cacheFields count="15">
    <cacheField name="Pickup date" numFmtId="14">
      <sharedItems containsSemiMixedTypes="0" containsNonDate="0" containsDate="1" containsString="0" minDate="2010-01-30T00:00:00" maxDate="2014-08-30T00:00:00" count="212">
        <d v="2010-01-30T00:00:00"/>
        <d v="2010-02-28T00:00:00"/>
        <d v="2010-03-30T00:00:00"/>
        <d v="2010-04-30T00:00:00"/>
        <d v="2010-05-30T00:00:00"/>
        <d v="2010-06-30T00:00:00"/>
        <d v="2010-07-30T00:00:00"/>
        <d v="2010-08-30T00:00:00"/>
        <d v="2010-09-30T00:00:00"/>
        <d v="2010-10-30T00:00:00"/>
        <d v="2010-11-30T00:00:00"/>
        <d v="2010-12-07T00:00:00"/>
        <d v="2010-12-30T00:00:00"/>
        <d v="2010-12-31T00:00:00"/>
        <d v="2011-01-30T00:00:00"/>
        <d v="2011-02-28T00:00:00"/>
        <d v="2011-03-30T00:00:00"/>
        <d v="2011-04-30T00:00:00"/>
        <d v="2011-05-30T00:00:00"/>
        <d v="2011-06-30T00:00:00"/>
        <d v="2011-07-25T00:00:00"/>
        <d v="2011-07-30T00:00:00"/>
        <d v="2011-08-10T00:00:00"/>
        <d v="2011-08-29T00:00:00"/>
        <d v="2011-08-30T00:00:00"/>
        <d v="2011-09-17T00:00:00"/>
        <d v="2011-09-20T00:00:00"/>
        <d v="2011-09-30T00:00:00"/>
        <d v="2011-10-07T00:00:00"/>
        <d v="2011-10-14T00:00:00"/>
        <d v="2011-10-18T00:00:00"/>
        <d v="2011-10-19T00:00:00"/>
        <d v="2011-10-24T00:00:00"/>
        <d v="2011-10-30T00:00:00"/>
        <d v="2011-11-03T00:00:00"/>
        <d v="2011-11-17T00:00:00"/>
        <d v="2011-11-18T00:00:00"/>
        <d v="2011-11-22T00:00:00"/>
        <d v="2011-11-30T00:00:00"/>
        <d v="2011-12-13T00:00:00"/>
        <d v="2011-12-30T00:00:00"/>
        <d v="2011-12-31T00:00:00"/>
        <d v="2012-01-03T00:00:00"/>
        <d v="2012-01-04T00:00:00"/>
        <d v="2012-01-16T00:00:00"/>
        <d v="2012-01-18T00:00:00"/>
        <d v="2012-01-30T00:00:00"/>
        <d v="2012-02-01T00:00:00"/>
        <d v="2012-02-02T00:00:00"/>
        <d v="2012-02-03T00:00:00"/>
        <d v="2012-02-15T00:00:00"/>
        <d v="2012-02-27T00:00:00"/>
        <d v="2012-02-28T00:00:00"/>
        <d v="2012-02-29T00:00:00"/>
        <d v="2012-03-08T00:00:00"/>
        <d v="2012-03-24T00:00:00"/>
        <d v="2012-03-30T00:00:00"/>
        <d v="2012-04-06T00:00:00"/>
        <d v="2012-04-23T00:00:00"/>
        <d v="2012-04-30T00:00:00"/>
        <d v="2012-05-05T00:00:00"/>
        <d v="2012-05-07T00:00:00"/>
        <d v="2012-05-08T00:00:00"/>
        <d v="2012-05-29T00:00:00"/>
        <d v="2012-05-30T00:00:00"/>
        <d v="2012-06-06T00:00:00"/>
        <d v="2012-06-07T00:00:00"/>
        <d v="2012-06-09T00:00:00"/>
        <d v="2012-06-13T00:00:00"/>
        <d v="2012-06-28T00:00:00"/>
        <d v="2012-06-30T00:00:00"/>
        <d v="2012-07-05T00:00:00"/>
        <d v="2012-07-11T00:00:00"/>
        <d v="2012-07-28T00:00:00"/>
        <d v="2012-07-30T00:00:00"/>
        <d v="2012-08-06T00:00:00"/>
        <d v="2012-08-10T00:00:00"/>
        <d v="2012-08-13T00:00:00"/>
        <d v="2012-08-14T00:00:00"/>
        <d v="2012-08-15T00:00:00"/>
        <d v="2012-08-24T00:00:00"/>
        <d v="2012-08-29T00:00:00"/>
        <d v="2012-08-30T00:00:00"/>
        <d v="2012-09-06T00:00:00"/>
        <d v="2012-09-13T00:00:00"/>
        <d v="2012-09-25T00:00:00"/>
        <d v="2012-09-28T00:00:00"/>
        <d v="2012-09-30T00:00:00"/>
        <d v="2012-10-02T00:00:00"/>
        <d v="2012-10-03T00:00:00"/>
        <d v="2012-10-04T00:00:00"/>
        <d v="2012-10-12T00:00:00"/>
        <d v="2012-10-24T00:00:00"/>
        <d v="2012-10-30T00:00:00"/>
        <d v="2012-10-31T00:00:00"/>
        <d v="2012-11-01T00:00:00"/>
        <d v="2012-11-06T00:00:00"/>
        <d v="2012-11-12T00:00:00"/>
        <d v="2012-11-13T00:00:00"/>
        <d v="2012-11-30T00:00:00"/>
        <d v="2012-12-03T00:00:00"/>
        <d v="2012-12-04T00:00:00"/>
        <d v="2012-12-06T00:00:00"/>
        <d v="2012-12-11T00:00:00"/>
        <d v="2012-12-17T00:00:00"/>
        <d v="2012-12-27T00:00:00"/>
        <d v="2012-12-31T00:00:00"/>
        <d v="2013-01-03T00:00:00"/>
        <d v="2013-01-08T00:00:00"/>
        <d v="2013-01-12T00:00:00"/>
        <d v="2013-01-16T00:00:00"/>
        <d v="2013-01-17T00:00:00"/>
        <d v="2013-01-28T00:00:00"/>
        <d v="2013-01-30T00:00:00"/>
        <d v="2013-02-06T00:00:00"/>
        <d v="2013-02-07T00:00:00"/>
        <d v="2013-02-08T00:00:00"/>
        <d v="2013-02-15T00:00:00"/>
        <d v="2013-02-18T00:00:00"/>
        <d v="2013-02-28T00:00:00"/>
        <d v="2013-03-03T00:00:00"/>
        <d v="2013-03-06T00:00:00"/>
        <d v="2013-03-18T00:00:00"/>
        <d v="2013-03-19T00:00:00"/>
        <d v="2013-03-28T00:00:00"/>
        <d v="2013-03-30T00:00:00"/>
        <d v="2013-04-02T00:00:00"/>
        <d v="2013-04-09T00:00:00"/>
        <d v="2013-04-11T00:00:00"/>
        <d v="2013-04-25T00:00:00"/>
        <d v="2013-04-28T00:00:00"/>
        <d v="2013-04-30T00:00:00"/>
        <d v="2013-05-18T00:00:00"/>
        <d v="2013-05-21T00:00:00"/>
        <d v="2013-05-28T00:00:00"/>
        <d v="2013-05-30T00:00:00"/>
        <d v="2013-06-03T00:00:00"/>
        <d v="2013-06-06T00:00:00"/>
        <d v="2013-06-07T00:00:00"/>
        <d v="2013-06-13T00:00:00"/>
        <d v="2013-06-14T00:00:00"/>
        <d v="2013-06-27T00:00:00"/>
        <d v="2013-06-28T00:00:00"/>
        <d v="2013-06-30T00:00:00"/>
        <d v="2013-07-02T00:00:00"/>
        <d v="2013-07-11T00:00:00"/>
        <d v="2013-07-28T00:00:00"/>
        <d v="2013-07-30T00:00:00"/>
        <d v="2013-08-06T00:00:00"/>
        <d v="2013-08-13T00:00:00"/>
        <d v="2013-08-15T00:00:00"/>
        <d v="2013-08-22T00:00:00"/>
        <d v="2013-08-23T00:00:00"/>
        <d v="2013-08-26T00:00:00"/>
        <d v="2013-08-27T00:00:00"/>
        <d v="2013-08-28T00:00:00"/>
        <d v="2013-08-30T00:00:00"/>
        <d v="2013-09-04T00:00:00"/>
        <d v="2013-09-25T00:00:00"/>
        <d v="2013-09-28T00:00:00"/>
        <d v="2013-09-30T00:00:00"/>
        <d v="2013-10-16T00:00:00"/>
        <d v="2013-10-17T00:00:00"/>
        <d v="2013-10-23T00:00:00"/>
        <d v="2013-10-28T00:00:00"/>
        <d v="2013-10-30T00:00:00"/>
        <d v="2013-11-05T00:00:00"/>
        <d v="2013-11-11T00:00:00"/>
        <d v="2013-11-12T00:00:00"/>
        <d v="2013-11-14T00:00:00"/>
        <d v="2013-11-21T00:00:00"/>
        <d v="2013-11-22T00:00:00"/>
        <d v="2013-11-28T00:00:00"/>
        <d v="2013-11-30T00:00:00"/>
        <d v="2013-12-02T00:00:00"/>
        <d v="2013-12-09T00:00:00"/>
        <d v="2013-12-10T00:00:00"/>
        <d v="2013-12-13T00:00:00"/>
        <d v="2013-12-28T00:00:00"/>
        <d v="2013-12-30T00:00:00"/>
        <d v="2013-12-31T00:00:00"/>
        <d v="2014-01-16T00:00:00"/>
        <d v="2014-01-17T00:00:00"/>
        <d v="2014-01-28T00:00:00"/>
        <d v="2014-01-30T00:00:00"/>
        <d v="2014-02-12T00:00:00"/>
        <d v="2014-02-25T00:00:00"/>
        <d v="2014-02-26T00:00:00"/>
        <d v="2014-02-28T00:00:00"/>
        <d v="2014-03-06T00:00:00"/>
        <d v="2014-03-18T00:00:00"/>
        <d v="2014-03-28T00:00:00"/>
        <d v="2014-03-31T00:00:00"/>
        <d v="2014-04-08T00:00:00"/>
        <d v="2014-04-23T00:00:00"/>
        <d v="2014-04-28T00:00:00"/>
        <d v="2014-05-20T00:00:00"/>
        <d v="2014-05-21T00:00:00"/>
        <d v="2014-05-23T00:00:00"/>
        <d v="2014-05-28T00:00:00"/>
        <d v="2014-05-29T00:00:00"/>
        <d v="2014-06-06T00:00:00"/>
        <d v="2014-06-18T00:00:00"/>
        <d v="2014-06-19T00:00:00"/>
        <d v="2014-06-28T00:00:00"/>
        <d v="2014-06-30T00:00:00"/>
        <d v="2014-07-21T00:00:00"/>
        <d v="2014-07-28T00:00:00"/>
        <d v="2014-07-29T00:00:00"/>
        <d v="2014-08-07T00:00:00"/>
        <d v="2014-08-28T00:00:00"/>
        <d v="2014-08-29T00:00:00" u="1"/>
      </sharedItems>
    </cacheField>
    <cacheField name="Location" numFmtId="0">
      <sharedItems/>
    </cacheField>
    <cacheField name="Classification" numFmtId="0">
      <sharedItems/>
    </cacheField>
    <cacheField name="Material" numFmtId="0">
      <sharedItems containsBlank="1" count="48">
        <s v="ow"/>
        <s v="occ"/>
        <s v="Plastic"/>
        <s v="book stock"/>
        <s v="Mixed paper"/>
        <s v="newspaper"/>
        <s v="white ledger"/>
        <s v="bookstock"/>
        <s v="e-waste"/>
        <s v="batteries"/>
        <s v="Books"/>
        <s v="Single Stream"/>
        <s v="Glass"/>
        <s v="Aluminum Litho"/>
        <s v="Copper"/>
        <s v="Garbage"/>
        <s v="LDPE grade a"/>
        <s v="Shred Iron"/>
        <s v="#2 Copper"/>
        <s v="35% insulated copper"/>
        <s v="fees Awaiting adjustment"/>
        <s v="Alum sheet - clean"/>
        <s v="Alum rads"/>
        <s v="cu/al rads"/>
        <s v="304 stainles"/>
        <s v="al/cu ends"/>
        <s v="adjustment"/>
        <s v="Trash"/>
        <s v="Wood Waste"/>
        <s v="Pallet"/>
        <s v="Commingled"/>
        <s v="Pallets"/>
        <s v="Cast Aluminum"/>
        <s v="Irony 304 stainles"/>
        <s v="Used Oil"/>
        <s v="Toners"/>
        <s v="Alum Sheet - dirty"/>
        <s v="6061 Extrusion"/>
        <s v="45% insulated copper"/>
        <s v="Irony alum"/>
        <s v="Irony Sheet"/>
        <s v="NLC"/>
        <s v="ONP"/>
        <s v="Alum litho"/>
        <s v="10/10 Extrusion"/>
        <s v="Yellow Brass"/>
        <s v="#2 Insulated Copper 45%"/>
        <m u="1"/>
      </sharedItems>
    </cacheField>
    <cacheField name="Vendor" numFmtId="0">
      <sharedItems/>
    </cacheField>
    <cacheField name="Qty" numFmtId="0">
      <sharedItems containsBlank="1" containsMixedTypes="1" containsNumber="1" containsInteger="1" minValue="2" maxValue="587"/>
    </cacheField>
    <cacheField name="Weight lb" numFmtId="0">
      <sharedItems containsBlank="1" containsMixedTypes="1" containsNumber="1" minValue="0" maxValue="31015"/>
    </cacheField>
    <cacheField name="Weight ton" numFmtId="0">
      <sharedItems containsBlank="1" containsMixedTypes="1" containsNumber="1" minValue="0" maxValue="15.5075"/>
    </cacheField>
    <cacheField name="Stated Rebate" numFmtId="0">
      <sharedItems containsBlank="1" containsMixedTypes="1" containsNumber="1" minValue="-100" maxValue="1100"/>
    </cacheField>
    <cacheField name="Revenue" numFmtId="44">
      <sharedItems containsString="0" containsBlank="1" containsNumber="1" minValue="-680" maxValue="1104.95"/>
    </cacheField>
    <cacheField name="Haul/Tip fee" numFmtId="44">
      <sharedItems containsString="0" containsBlank="1" containsNumber="1" containsInteger="1" minValue="0" maxValue="230"/>
    </cacheField>
    <cacheField name="Payment" numFmtId="44">
      <sharedItems containsString="0" containsBlank="1" containsNumber="1" minValue="-680" maxValue="5690"/>
    </cacheField>
    <cacheField name="Vendor Ticket #" numFmtId="0">
      <sharedItems containsBlank="1" containsMixedTypes="1" containsNumber="1" containsInteger="1" minValue="0" maxValue="3257303"/>
    </cacheField>
    <cacheField name="JCCC Receipt#" numFmtId="0">
      <sharedItems containsString="0" containsBlank="1" containsNumber="1" containsInteger="1" minValue="0" maxValue="237009"/>
    </cacheField>
    <cacheField name="Receipt date" numFmtId="0">
      <sharedItems containsDate="1" containsString="0" containsBlank="1" containsMixedTypes="1" minDate="1899-12-31T00:00:00" maxDate="2014-07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csadmin" refreshedDate="41901.595887037038" createdVersion="4" refreshedVersion="4" minRefreshableVersion="3" recordCount="285">
  <cacheSource type="worksheet">
    <worksheetSource ref="A1:O286" sheet="Recycling data"/>
  </cacheSource>
  <cacheFields count="15">
    <cacheField name="Pickup date" numFmtId="14">
      <sharedItems containsSemiMixedTypes="0" containsNonDate="0" containsDate="1" containsString="0" minDate="2010-01-30T00:00:00" maxDate="2013-07-12T00:00:00" count="145">
        <d v="2010-01-30T00:00:00"/>
        <d v="2010-02-28T00:00:00"/>
        <d v="2010-03-30T00:00:00"/>
        <d v="2010-04-30T00:00:00"/>
        <d v="2010-05-30T00:00:00"/>
        <d v="2010-06-30T00:00:00"/>
        <d v="2010-07-30T00:00:00"/>
        <d v="2010-08-30T00:00:00"/>
        <d v="2010-09-30T00:00:00"/>
        <d v="2010-10-30T00:00:00"/>
        <d v="2010-11-30T00:00:00"/>
        <d v="2010-12-07T00:00:00"/>
        <d v="2010-12-30T00:00:00"/>
        <d v="2010-12-31T00:00:00"/>
        <d v="2011-01-30T00:00:00"/>
        <d v="2011-02-28T00:00:00"/>
        <d v="2011-03-30T00:00:00"/>
        <d v="2011-04-30T00:00:00"/>
        <d v="2011-05-30T00:00:00"/>
        <d v="2011-06-30T00:00:00"/>
        <d v="2011-07-25T00:00:00"/>
        <d v="2011-07-30T00:00:00"/>
        <d v="2011-08-10T00:00:00"/>
        <d v="2011-08-29T00:00:00"/>
        <d v="2011-08-30T00:00:00"/>
        <d v="2011-09-17T00:00:00"/>
        <d v="2011-09-20T00:00:00"/>
        <d v="2011-09-30T00:00:00"/>
        <d v="2011-10-07T00:00:00"/>
        <d v="2011-10-14T00:00:00"/>
        <d v="2011-10-18T00:00:00"/>
        <d v="2011-10-19T00:00:00"/>
        <d v="2011-10-24T00:00:00"/>
        <d v="2011-10-30T00:00:00"/>
        <d v="2011-11-03T00:00:00"/>
        <d v="2011-11-17T00:00:00"/>
        <d v="2011-11-18T00:00:00"/>
        <d v="2011-11-22T00:00:00"/>
        <d v="2011-11-30T00:00:00"/>
        <d v="2011-12-13T00:00:00"/>
        <d v="2011-12-30T00:00:00"/>
        <d v="2011-12-31T00:00:00"/>
        <d v="2012-01-03T00:00:00"/>
        <d v="2012-01-04T00:00:00"/>
        <d v="2012-01-16T00:00:00"/>
        <d v="2012-01-18T00:00:00"/>
        <d v="2012-01-30T00:00:00"/>
        <d v="2012-02-01T00:00:00"/>
        <d v="2012-02-02T00:00:00"/>
        <d v="2012-02-03T00:00:00"/>
        <d v="2012-02-15T00:00:00"/>
        <d v="2012-02-27T00:00:00"/>
        <d v="2012-02-28T00:00:00"/>
        <d v="2012-02-29T00:00:00"/>
        <d v="2012-03-08T00:00:00"/>
        <d v="2012-03-24T00:00:00"/>
        <d v="2012-03-30T00:00:00"/>
        <d v="2012-04-06T00:00:00"/>
        <d v="2012-04-23T00:00:00"/>
        <d v="2012-04-30T00:00:00"/>
        <d v="2012-05-05T00:00:00"/>
        <d v="2012-05-07T00:00:00"/>
        <d v="2012-05-08T00:00:00"/>
        <d v="2012-05-29T00:00:00"/>
        <d v="2012-05-30T00:00:00"/>
        <d v="2012-06-06T00:00:00"/>
        <d v="2012-06-07T00:00:00"/>
        <d v="2012-06-09T00:00:00"/>
        <d v="2012-06-13T00:00:00"/>
        <d v="2012-06-28T00:00:00"/>
        <d v="2012-06-30T00:00:00"/>
        <d v="2012-07-05T00:00:00"/>
        <d v="2012-07-11T00:00:00"/>
        <d v="2012-07-28T00:00:00"/>
        <d v="2012-07-30T00:00:00"/>
        <d v="2012-08-06T00:00:00"/>
        <d v="2012-08-10T00:00:00"/>
        <d v="2012-08-13T00:00:00"/>
        <d v="2012-08-14T00:00:00"/>
        <d v="2012-08-15T00:00:00"/>
        <d v="2012-08-24T00:00:00"/>
        <d v="2012-08-29T00:00:00"/>
        <d v="2012-08-30T00:00:00"/>
        <d v="2012-09-06T00:00:00"/>
        <d v="2012-09-13T00:00:00"/>
        <d v="2012-09-25T00:00:00"/>
        <d v="2012-09-28T00:00:00"/>
        <d v="2012-09-30T00:00:00"/>
        <d v="2012-10-02T00:00:00"/>
        <d v="2012-10-03T00:00:00"/>
        <d v="2012-10-04T00:00:00"/>
        <d v="2012-10-12T00:00:00"/>
        <d v="2012-10-24T00:00:00"/>
        <d v="2012-10-30T00:00:00"/>
        <d v="2012-10-31T00:00:00"/>
        <d v="2012-11-01T00:00:00"/>
        <d v="2012-11-06T00:00:00"/>
        <d v="2012-11-12T00:00:00"/>
        <d v="2012-11-13T00:00:00"/>
        <d v="2012-11-30T00:00:00"/>
        <d v="2012-12-03T00:00:00"/>
        <d v="2012-12-04T00:00:00"/>
        <d v="2012-12-06T00:00:00"/>
        <d v="2012-12-11T00:00:00"/>
        <d v="2012-12-17T00:00:00"/>
        <d v="2012-12-27T00:00:00"/>
        <d v="2012-12-31T00:00:00"/>
        <d v="2013-01-03T00:00:00"/>
        <d v="2013-01-08T00:00:00"/>
        <d v="2013-01-12T00:00:00"/>
        <d v="2013-01-16T00:00:00"/>
        <d v="2013-01-17T00:00:00"/>
        <d v="2013-01-28T00:00:00"/>
        <d v="2013-01-30T00:00:00"/>
        <d v="2013-02-06T00:00:00"/>
        <d v="2013-02-07T00:00:00"/>
        <d v="2013-02-08T00:00:00"/>
        <d v="2013-02-15T00:00:00"/>
        <d v="2013-02-18T00:00:00"/>
        <d v="2013-02-28T00:00:00"/>
        <d v="2013-03-03T00:00:00"/>
        <d v="2013-03-06T00:00:00"/>
        <d v="2013-03-18T00:00:00"/>
        <d v="2013-03-19T00:00:00"/>
        <d v="2013-03-28T00:00:00"/>
        <d v="2013-03-30T00:00:00"/>
        <d v="2013-04-02T00:00:00"/>
        <d v="2013-04-09T00:00:00"/>
        <d v="2013-04-11T00:00:00"/>
        <d v="2013-04-25T00:00:00"/>
        <d v="2013-04-28T00:00:00"/>
        <d v="2013-04-30T00:00:00"/>
        <d v="2013-05-18T00:00:00"/>
        <d v="2013-05-21T00:00:00"/>
        <d v="2013-05-28T00:00:00"/>
        <d v="2013-05-30T00:00:00"/>
        <d v="2013-06-03T00:00:00"/>
        <d v="2013-06-06T00:00:00"/>
        <d v="2013-06-07T00:00:00"/>
        <d v="2013-06-13T00:00:00"/>
        <d v="2013-06-14T00:00:00"/>
        <d v="2013-06-27T00:00:00" u="1"/>
        <d v="2013-07-11T00:00:00" u="1"/>
        <d v="2013-06-30T00:00:00" u="1"/>
        <d v="2013-07-02T00:00:00" u="1"/>
      </sharedItems>
    </cacheField>
    <cacheField name="Location" numFmtId="0">
      <sharedItems/>
    </cacheField>
    <cacheField name="Classification" numFmtId="0">
      <sharedItems/>
    </cacheField>
    <cacheField name="Material" numFmtId="0">
      <sharedItems count="34">
        <s v="ow"/>
        <s v="occ"/>
        <s v="Plastic"/>
        <s v="book stock"/>
        <s v="Mixed paper"/>
        <s v="newspaper"/>
        <s v="white ledger"/>
        <s v="bookstock"/>
        <s v="e-waste"/>
        <s v="batteries"/>
        <s v="Books"/>
        <s v="Single Stream"/>
        <s v="Glass"/>
        <s v="Aluminum Litho"/>
        <s v="Copper"/>
        <s v="Garbage"/>
        <s v="LDPE grade a"/>
        <s v="Shred Iron"/>
        <s v="#2 Copper"/>
        <s v="35% insulated copper"/>
        <s v="fees Awaiting adjustment"/>
        <s v="Alum sheet - clean"/>
        <s v="Alum rads"/>
        <s v="cu/al rads"/>
        <s v="304 stainles"/>
        <s v="al/cu ends"/>
        <s v="adjustment"/>
        <s v="Trash"/>
        <s v="Wood Waste"/>
        <s v="Pallet"/>
        <s v="Commingled"/>
        <s v="Pallets"/>
        <s v="Cast Aluminum" u="1"/>
        <s v="Irony 304 stainles" u="1"/>
      </sharedItems>
    </cacheField>
    <cacheField name="Vendor" numFmtId="0">
      <sharedItems/>
    </cacheField>
    <cacheField name="Qty" numFmtId="0">
      <sharedItems containsBlank="1" containsMixedTypes="1" containsNumber="1" containsInteger="1" minValue="2" maxValue="30"/>
    </cacheField>
    <cacheField name="Weight lb" numFmtId="0">
      <sharedItems containsBlank="1" containsMixedTypes="1" containsNumber="1" minValue="0" maxValue="22760"/>
    </cacheField>
    <cacheField name="Weight ton" numFmtId="0">
      <sharedItems containsMixedTypes="1" containsNumber="1" minValue="0" maxValue="11.38"/>
    </cacheField>
    <cacheField name="Stated Rebate" numFmtId="0">
      <sharedItems containsBlank="1" containsMixedTypes="1" containsNumber="1" minValue="-100" maxValue="1100"/>
    </cacheField>
    <cacheField name="Revenue" numFmtId="44">
      <sharedItems containsString="0" containsBlank="1" containsNumber="1" minValue="-680" maxValue="1104.95"/>
    </cacheField>
    <cacheField name="Haul/Tip fee" numFmtId="44">
      <sharedItems containsString="0" containsBlank="1" containsNumber="1" containsInteger="1" minValue="0" maxValue="230"/>
    </cacheField>
    <cacheField name="Payment" numFmtId="44">
      <sharedItems containsString="0" containsBlank="1" containsNumber="1" minValue="-680" maxValue="5690"/>
    </cacheField>
    <cacheField name="Vendor Ticket #" numFmtId="0">
      <sharedItems containsBlank="1" containsMixedTypes="1" containsNumber="1" containsInteger="1" minValue="4263" maxValue="3257303"/>
    </cacheField>
    <cacheField name="JCCC Receipt#" numFmtId="0">
      <sharedItems containsString="0" containsBlank="1" containsNumber="1" containsInteger="1" minValue="148606" maxValue="230249"/>
    </cacheField>
    <cacheField name="Receipt date" numFmtId="0">
      <sharedItems containsNonDate="0" containsDate="1" containsString="0" containsBlank="1" minDate="2011-07-25T00:00:00" maxDate="2014-04-0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ocsadmin" refreshedDate="41901.595887731484" createdVersion="4" refreshedVersion="4" minRefreshableVersion="3" recordCount="395">
  <cacheSource type="worksheet">
    <worksheetSource ref="A1:O396" sheet="Recycling data"/>
  </cacheSource>
  <cacheFields count="15">
    <cacheField name="Pickup date" numFmtId="14">
      <sharedItems containsSemiMixedTypes="0" containsNonDate="0" containsDate="1" containsString="0" minDate="2010-01-30T00:00:00" maxDate="2014-07-01T00:00:00" count="206">
        <d v="2010-01-30T00:00:00"/>
        <d v="2010-02-28T00:00:00"/>
        <d v="2010-03-30T00:00:00"/>
        <d v="2010-04-30T00:00:00"/>
        <d v="2010-05-30T00:00:00"/>
        <d v="2010-06-30T00:00:00"/>
        <d v="2010-07-30T00:00:00"/>
        <d v="2010-08-30T00:00:00"/>
        <d v="2010-09-30T00:00:00"/>
        <d v="2010-10-30T00:00:00"/>
        <d v="2010-11-30T00:00:00"/>
        <d v="2010-12-07T00:00:00"/>
        <d v="2010-12-30T00:00:00"/>
        <d v="2010-12-31T00:00:00"/>
        <d v="2011-01-30T00:00:00"/>
        <d v="2011-02-28T00:00:00"/>
        <d v="2011-03-30T00:00:00"/>
        <d v="2011-04-30T00:00:00"/>
        <d v="2011-05-30T00:00:00"/>
        <d v="2011-06-30T00:00:00"/>
        <d v="2011-07-25T00:00:00"/>
        <d v="2011-07-30T00:00:00"/>
        <d v="2011-08-10T00:00:00"/>
        <d v="2011-08-29T00:00:00"/>
        <d v="2011-08-30T00:00:00"/>
        <d v="2011-09-17T00:00:00"/>
        <d v="2011-09-20T00:00:00"/>
        <d v="2011-09-30T00:00:00"/>
        <d v="2011-10-07T00:00:00"/>
        <d v="2011-10-14T00:00:00"/>
        <d v="2011-10-18T00:00:00"/>
        <d v="2011-10-19T00:00:00"/>
        <d v="2011-10-24T00:00:00"/>
        <d v="2011-10-30T00:00:00"/>
        <d v="2011-11-03T00:00:00"/>
        <d v="2011-11-17T00:00:00"/>
        <d v="2011-11-18T00:00:00"/>
        <d v="2011-11-22T00:00:00"/>
        <d v="2011-11-30T00:00:00"/>
        <d v="2011-12-13T00:00:00"/>
        <d v="2011-12-30T00:00:00"/>
        <d v="2011-12-31T00:00:00"/>
        <d v="2012-01-03T00:00:00"/>
        <d v="2012-01-04T00:00:00"/>
        <d v="2012-01-16T00:00:00"/>
        <d v="2012-01-18T00:00:00"/>
        <d v="2012-01-30T00:00:00"/>
        <d v="2012-02-01T00:00:00"/>
        <d v="2012-02-02T00:00:00"/>
        <d v="2012-02-03T00:00:00"/>
        <d v="2012-02-15T00:00:00"/>
        <d v="2012-02-27T00:00:00"/>
        <d v="2012-02-28T00:00:00"/>
        <d v="2012-02-29T00:00:00"/>
        <d v="2012-03-08T00:00:00"/>
        <d v="2012-03-24T00:00:00"/>
        <d v="2012-03-30T00:00:00"/>
        <d v="2012-04-06T00:00:00"/>
        <d v="2012-04-23T00:00:00"/>
        <d v="2012-04-30T00:00:00"/>
        <d v="2012-05-05T00:00:00"/>
        <d v="2012-05-07T00:00:00"/>
        <d v="2012-05-08T00:00:00"/>
        <d v="2012-05-29T00:00:00"/>
        <d v="2012-05-30T00:00:00"/>
        <d v="2012-06-06T00:00:00"/>
        <d v="2012-06-07T00:00:00"/>
        <d v="2012-06-09T00:00:00"/>
        <d v="2012-06-13T00:00:00"/>
        <d v="2012-06-28T00:00:00"/>
        <d v="2012-06-30T00:00:00"/>
        <d v="2012-07-05T00:00:00"/>
        <d v="2012-07-11T00:00:00"/>
        <d v="2012-07-28T00:00:00"/>
        <d v="2012-07-30T00:00:00"/>
        <d v="2012-08-06T00:00:00"/>
        <d v="2012-08-10T00:00:00"/>
        <d v="2012-08-13T00:00:00"/>
        <d v="2012-08-14T00:00:00"/>
        <d v="2012-08-15T00:00:00"/>
        <d v="2012-08-24T00:00:00"/>
        <d v="2012-08-29T00:00:00"/>
        <d v="2012-08-30T00:00:00"/>
        <d v="2012-09-06T00:00:00"/>
        <d v="2012-09-13T00:00:00"/>
        <d v="2012-09-25T00:00:00"/>
        <d v="2012-09-28T00:00:00"/>
        <d v="2012-09-30T00:00:00"/>
        <d v="2012-10-02T00:00:00"/>
        <d v="2012-10-03T00:00:00"/>
        <d v="2012-10-04T00:00:00"/>
        <d v="2012-10-12T00:00:00"/>
        <d v="2012-10-24T00:00:00"/>
        <d v="2012-10-30T00:00:00"/>
        <d v="2012-10-31T00:00:00"/>
        <d v="2012-11-01T00:00:00"/>
        <d v="2012-11-06T00:00:00"/>
        <d v="2012-11-12T00:00:00"/>
        <d v="2012-11-13T00:00:00"/>
        <d v="2012-11-30T00:00:00"/>
        <d v="2012-12-03T00:00:00"/>
        <d v="2012-12-04T00:00:00"/>
        <d v="2012-12-06T00:00:00"/>
        <d v="2012-12-11T00:00:00"/>
        <d v="2012-12-17T00:00:00"/>
        <d v="2012-12-27T00:00:00"/>
        <d v="2012-12-31T00:00:00"/>
        <d v="2013-01-03T00:00:00"/>
        <d v="2013-01-08T00:00:00"/>
        <d v="2013-01-12T00:00:00"/>
        <d v="2013-01-16T00:00:00"/>
        <d v="2013-01-17T00:00:00"/>
        <d v="2013-01-28T00:00:00"/>
        <d v="2013-01-30T00:00:00"/>
        <d v="2013-02-06T00:00:00"/>
        <d v="2013-02-07T00:00:00"/>
        <d v="2013-02-08T00:00:00"/>
        <d v="2013-02-15T00:00:00"/>
        <d v="2013-02-18T00:00:00"/>
        <d v="2013-02-28T00:00:00"/>
        <d v="2013-03-03T00:00:00"/>
        <d v="2013-03-06T00:00:00"/>
        <d v="2013-03-18T00:00:00"/>
        <d v="2013-03-19T00:00:00"/>
        <d v="2013-03-28T00:00:00"/>
        <d v="2013-03-30T00:00:00"/>
        <d v="2013-04-02T00:00:00"/>
        <d v="2013-04-09T00:00:00"/>
        <d v="2013-04-11T00:00:00"/>
        <d v="2013-04-25T00:00:00"/>
        <d v="2013-04-28T00:00:00"/>
        <d v="2013-04-30T00:00:00"/>
        <d v="2013-05-18T00:00:00"/>
        <d v="2013-05-21T00:00:00"/>
        <d v="2013-05-28T00:00:00"/>
        <d v="2013-05-30T00:00:00"/>
        <d v="2013-06-03T00:00:00"/>
        <d v="2013-06-06T00:00:00"/>
        <d v="2013-06-07T00:00:00"/>
        <d v="2013-06-13T00:00:00"/>
        <d v="2013-06-14T00:00:00"/>
        <d v="2013-06-27T00:00:00"/>
        <d v="2013-06-28T00:00:00"/>
        <d v="2013-06-30T00:00:00"/>
        <d v="2013-07-02T00:00:00"/>
        <d v="2013-07-11T00:00:00"/>
        <d v="2013-07-28T00:00:00"/>
        <d v="2013-07-30T00:00:00"/>
        <d v="2013-08-06T00:00:00"/>
        <d v="2013-08-13T00:00:00"/>
        <d v="2013-08-15T00:00:00"/>
        <d v="2013-08-22T00:00:00"/>
        <d v="2013-08-23T00:00:00"/>
        <d v="2013-08-26T00:00:00"/>
        <d v="2013-08-27T00:00:00"/>
        <d v="2013-08-28T00:00:00"/>
        <d v="2013-08-30T00:00:00"/>
        <d v="2013-09-04T00:00:00"/>
        <d v="2013-09-25T00:00:00"/>
        <d v="2013-09-28T00:00:00"/>
        <d v="2013-09-30T00:00:00"/>
        <d v="2013-10-16T00:00:00"/>
        <d v="2013-10-17T00:00:00"/>
        <d v="2013-10-23T00:00:00"/>
        <d v="2013-10-28T00:00:00"/>
        <d v="2013-10-30T00:00:00"/>
        <d v="2013-11-05T00:00:00"/>
        <d v="2013-11-11T00:00:00"/>
        <d v="2013-11-12T00:00:00"/>
        <d v="2013-11-14T00:00:00"/>
        <d v="2013-11-21T00:00:00"/>
        <d v="2013-11-22T00:00:00"/>
        <d v="2013-11-28T00:00:00"/>
        <d v="2013-11-30T00:00:00"/>
        <d v="2013-12-02T00:00:00"/>
        <d v="2013-12-09T00:00:00"/>
        <d v="2013-12-10T00:00:00"/>
        <d v="2013-12-13T00:00:00"/>
        <d v="2013-12-28T00:00:00"/>
        <d v="2013-12-30T00:00:00"/>
        <d v="2013-12-31T00:00:00"/>
        <d v="2014-01-16T00:00:00"/>
        <d v="2014-01-17T00:00:00"/>
        <d v="2014-01-28T00:00:00"/>
        <d v="2014-01-30T00:00:00"/>
        <d v="2014-02-12T00:00:00"/>
        <d v="2014-02-25T00:00:00"/>
        <d v="2014-02-26T00:00:00"/>
        <d v="2014-02-28T00:00:00"/>
        <d v="2014-03-06T00:00:00"/>
        <d v="2014-03-18T00:00:00"/>
        <d v="2014-03-28T00:00:00"/>
        <d v="2014-03-31T00:00:00"/>
        <d v="2014-04-08T00:00:00"/>
        <d v="2014-04-23T00:00:00"/>
        <d v="2014-04-28T00:00:00"/>
        <d v="2014-05-20T00:00:00"/>
        <d v="2014-05-21T00:00:00"/>
        <d v="2014-05-23T00:00:00"/>
        <d v="2014-05-28T00:00:00"/>
        <d v="2014-05-29T00:00:00"/>
        <d v="2014-06-06T00:00:00"/>
        <d v="2014-06-18T00:00:00"/>
        <d v="2014-06-19T00:00:00"/>
        <d v="2014-06-28T00:00:00"/>
        <d v="2014-06-30T00:00:00"/>
      </sharedItems>
    </cacheField>
    <cacheField name="Location" numFmtId="0">
      <sharedItems/>
    </cacheField>
    <cacheField name="Classification" numFmtId="0">
      <sharedItems count="11">
        <s v="Paper"/>
        <s v="Cardboard"/>
        <s v="Plastic"/>
        <s v="e-waste"/>
        <s v="books"/>
        <s v="Single Stream"/>
        <s v="Glass"/>
        <s v="Metal"/>
        <s v="Trash"/>
        <s v="Wood"/>
        <s v="Oil"/>
      </sharedItems>
    </cacheField>
    <cacheField name="Material" numFmtId="0">
      <sharedItems/>
    </cacheField>
    <cacheField name="Vendor" numFmtId="0">
      <sharedItems/>
    </cacheField>
    <cacheField name="Qty" numFmtId="0">
      <sharedItems containsBlank="1" containsMixedTypes="1" containsNumber="1" containsInteger="1" minValue="2" maxValue="587"/>
    </cacheField>
    <cacheField name="Weight lb" numFmtId="0">
      <sharedItems containsBlank="1" containsMixedTypes="1" containsNumber="1" minValue="0" maxValue="31015"/>
    </cacheField>
    <cacheField name="Weight ton" numFmtId="0">
      <sharedItems containsBlank="1" containsMixedTypes="1" containsNumber="1" minValue="0" maxValue="15.5075"/>
    </cacheField>
    <cacheField name="Stated Rebate" numFmtId="0">
      <sharedItems containsBlank="1" containsMixedTypes="1" containsNumber="1" minValue="-100" maxValue="1100"/>
    </cacheField>
    <cacheField name="Revenue" numFmtId="44">
      <sharedItems containsString="0" containsBlank="1" containsNumber="1" minValue="-680" maxValue="1104.95"/>
    </cacheField>
    <cacheField name="Haul/Tip fee" numFmtId="44">
      <sharedItems containsString="0" containsBlank="1" containsNumber="1" containsInteger="1" minValue="0" maxValue="230"/>
    </cacheField>
    <cacheField name="Payment" numFmtId="44">
      <sharedItems containsString="0" containsBlank="1" containsNumber="1" minValue="-680" maxValue="5690"/>
    </cacheField>
    <cacheField name="Vendor Ticket #" numFmtId="0">
      <sharedItems containsBlank="1" containsMixedTypes="1" containsNumber="1" containsInteger="1" minValue="0" maxValue="3257303"/>
    </cacheField>
    <cacheField name="JCCC Receipt#" numFmtId="0">
      <sharedItems containsString="0" containsBlank="1" containsNumber="1" containsInteger="1" minValue="0" maxValue="237009"/>
    </cacheField>
    <cacheField name="Receipt date" numFmtId="0">
      <sharedItems containsDate="1" containsString="0" containsBlank="1" containsMixedTypes="1" minDate="1899-12-31T00:00:00" maxDate="2014-07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ocsadmin" refreshedDate="41983.38303020833" createdVersion="4" refreshedVersion="4" minRefreshableVersion="3" recordCount="938">
  <cacheSource type="worksheet">
    <worksheetSource ref="A3:M941" sheet="Trash data"/>
  </cacheSource>
  <cacheFields count="13">
    <cacheField name="Invoice number" numFmtId="0">
      <sharedItems containsBlank="1" containsMixedTypes="1" containsNumber="1" containsInteger="1" minValue="593814" maxValue="6743223"/>
    </cacheField>
    <cacheField name="Date" numFmtId="14">
      <sharedItems containsSemiMixedTypes="0" containsNonDate="0" containsDate="1" containsString="0" minDate="2010-01-08T00:00:00" maxDate="2014-07-01T00:00:00" count="512">
        <d v="2010-01-08T00:00:00"/>
        <d v="2010-01-10T00:00:00"/>
        <d v="2010-01-14T00:00:00"/>
        <d v="2010-01-17T00:00:00"/>
        <d v="2010-01-20T00:00:00"/>
        <d v="2010-01-21T00:00:00"/>
        <d v="2010-01-24T00:00:00"/>
        <d v="2010-01-27T00:00:00"/>
        <d v="2010-01-29T00:00:00"/>
        <d v="2010-01-31T00:00:00"/>
        <d v="2010-02-03T00:00:00"/>
        <d v="2010-02-07T00:00:00"/>
        <d v="2010-02-09T00:00:00"/>
        <d v="2010-02-10T00:00:00"/>
        <d v="2010-02-12T00:00:00"/>
        <d v="2010-02-14T00:00:00"/>
        <d v="2010-02-16T00:00:00"/>
        <d v="2010-02-17T00:00:00"/>
        <d v="2010-02-18T00:00:00"/>
        <d v="2010-02-23T00:00:00"/>
        <d v="2010-02-24T00:00:00"/>
        <d v="2010-02-25T00:00:00"/>
        <d v="2010-02-28T00:00:00"/>
        <d v="2010-03-02T00:00:00"/>
        <d v="2010-03-03T00:00:00"/>
        <d v="2010-03-05T00:00:00"/>
        <d v="2010-03-09T00:00:00"/>
        <d v="2010-03-10T00:00:00"/>
        <d v="2010-03-15T00:00:00"/>
        <d v="2010-03-17T00:00:00"/>
        <d v="2010-03-21T00:00:00"/>
        <d v="2010-03-23T00:00:00"/>
        <d v="2010-03-24T00:00:00"/>
        <d v="2010-03-25T00:00:00"/>
        <d v="2010-03-28T00:00:00"/>
        <d v="2010-03-31T00:00:00"/>
        <d v="2010-04-01T00:00:00"/>
        <d v="2010-04-04T00:00:00"/>
        <d v="2010-04-06T00:00:00"/>
        <d v="2010-04-07T00:00:00"/>
        <d v="2010-04-11T00:00:00"/>
        <d v="2010-04-12T00:00:00"/>
        <d v="2010-04-13T00:00:00"/>
        <d v="2010-04-18T00:00:00"/>
        <d v="2010-04-19T00:00:00"/>
        <d v="2010-04-21T00:00:00"/>
        <d v="2010-04-25T00:00:00"/>
        <d v="2010-04-28T00:00:00"/>
        <d v="2010-04-29T00:00:00"/>
        <d v="2010-04-30T00:00:00"/>
        <d v="2010-05-03T00:00:00"/>
        <d v="2010-05-04T00:00:00"/>
        <d v="2010-05-06T00:00:00"/>
        <d v="2010-05-09T00:00:00"/>
        <d v="2010-05-12T00:00:00"/>
        <d v="2010-05-13T00:00:00"/>
        <d v="2010-05-14T00:00:00"/>
        <d v="2010-05-16T00:00:00"/>
        <d v="2010-05-18T00:00:00"/>
        <d v="2010-05-19T00:00:00"/>
        <d v="2010-05-23T00:00:00"/>
        <d v="2010-05-26T00:00:00"/>
        <d v="2010-05-29T00:00:00"/>
        <d v="2010-05-31T00:00:00"/>
        <d v="2010-06-02T00:00:00"/>
        <d v="2010-06-06T00:00:00"/>
        <d v="2010-06-08T00:00:00"/>
        <d v="2010-06-10T00:00:00"/>
        <d v="2010-06-16T00:00:00"/>
        <d v="2010-06-20T00:00:00"/>
        <d v="2010-06-21T00:00:00"/>
        <d v="2010-06-23T00:00:00"/>
        <d v="2010-06-27T00:00:00"/>
        <d v="2010-06-29T00:00:00"/>
        <d v="2010-06-30T00:00:00"/>
        <d v="2010-07-01T00:00:00"/>
        <d v="2010-07-04T00:00:00"/>
        <d v="2010-07-06T00:00:00"/>
        <d v="2010-07-09T00:00:00"/>
        <d v="2010-07-13T00:00:00"/>
        <d v="2010-07-14T00:00:00"/>
        <d v="2010-07-18T00:00:00"/>
        <d v="2010-07-21T00:00:00"/>
        <d v="2010-07-23T00:00:00"/>
        <d v="2010-07-25T00:00:00"/>
        <d v="2010-07-28T00:00:00"/>
        <d v="2010-07-31T00:00:00"/>
        <d v="2010-08-02T00:00:00"/>
        <d v="2010-08-05T00:00:00"/>
        <d v="2010-08-08T00:00:00"/>
        <d v="2010-08-10T00:00:00"/>
        <d v="2010-08-15T00:00:00"/>
        <d v="2010-08-16T00:00:00"/>
        <d v="2010-08-18T00:00:00"/>
        <d v="2010-08-19T00:00:00"/>
        <d v="2010-08-20T00:00:00"/>
        <d v="2010-08-23T00:00:00"/>
        <d v="2010-08-24T00:00:00"/>
        <d v="2010-08-26T00:00:00"/>
        <d v="2010-08-28T00:00:00"/>
        <d v="2010-08-30T00:00:00"/>
        <d v="2010-08-31T00:00:00"/>
        <d v="2010-09-01T00:00:00"/>
        <d v="2010-09-04T00:00:00"/>
        <d v="2010-09-07T00:00:00"/>
        <d v="2010-09-08T00:00:00"/>
        <d v="2010-09-12T00:00:00"/>
        <d v="2010-09-13T00:00:00"/>
        <d v="2010-09-14T00:00:00"/>
        <d v="2010-09-18T00:00:00"/>
        <d v="2010-09-20T00:00:00"/>
        <d v="2010-09-21T00:00:00"/>
        <d v="2010-09-22T00:00:00"/>
        <d v="2010-09-24T00:00:00"/>
        <d v="2010-09-26T00:00:00"/>
        <d v="2010-09-28T00:00:00"/>
        <d v="2010-09-30T00:00:00"/>
        <d v="2010-10-03T00:00:00"/>
        <d v="2010-10-04T00:00:00"/>
        <d v="2010-10-05T00:00:00"/>
        <d v="2010-10-06T00:00:00"/>
        <d v="2010-10-07T00:00:00"/>
        <d v="2010-10-11T00:00:00"/>
        <d v="2010-10-13T00:00:00"/>
        <d v="2010-10-14T00:00:00"/>
        <d v="2010-10-17T00:00:00"/>
        <d v="2010-10-20T00:00:00"/>
        <d v="2010-10-24T00:00:00"/>
        <d v="2010-10-26T00:00:00"/>
        <d v="2010-10-27T00:00:00"/>
        <d v="2010-10-31T00:00:00"/>
        <d v="2010-11-02T00:00:00"/>
        <d v="2010-11-03T00:00:00"/>
        <d v="2010-11-08T00:00:00"/>
        <d v="2010-11-10T00:00:00"/>
        <d v="2010-11-12T00:00:00"/>
        <d v="2010-11-13T00:00:00"/>
        <d v="2010-11-15T00:00:00"/>
        <d v="2010-11-17T00:00:00"/>
        <d v="2010-11-18T00:00:00"/>
        <d v="2010-11-21T00:00:00"/>
        <d v="2010-11-23T00:00:00"/>
        <d v="2010-11-28T00:00:00"/>
        <d v="2010-11-30T00:00:00"/>
        <d v="2010-12-01T00:00:00"/>
        <d v="2010-12-06T00:00:00"/>
        <d v="2010-12-08T00:00:00"/>
        <d v="2010-12-09T00:00:00"/>
        <d v="2010-12-11T00:00:00"/>
        <d v="2010-12-13T00:00:00"/>
        <d v="2010-12-14T00:00:00"/>
        <d v="2010-12-19T00:00:00"/>
        <d v="2010-12-20T00:00:00"/>
        <d v="2010-12-21T00:00:00"/>
        <d v="2010-12-28T00:00:00"/>
        <d v="2010-12-31T00:00:00"/>
        <d v="2011-01-05T00:00:00"/>
        <d v="2011-01-07T00:00:00"/>
        <d v="2011-01-10T00:00:00"/>
        <d v="2011-01-13T00:00:00"/>
        <d v="2011-01-14T00:00:00"/>
        <d v="2011-01-17T00:00:00"/>
        <d v="2011-01-20T00:00:00"/>
        <d v="2011-01-24T00:00:00"/>
        <d v="2011-01-26T00:00:00"/>
        <d v="2011-01-27T00:00:00"/>
        <d v="2011-01-31T00:00:00"/>
        <d v="2011-02-04T00:00:00"/>
        <d v="2011-02-07T00:00:00"/>
        <d v="2011-02-08T00:00:00"/>
        <d v="2011-02-09T00:00:00"/>
        <d v="2011-02-11T00:00:00"/>
        <d v="2011-02-14T00:00:00"/>
        <d v="2011-02-16T00:00:00"/>
        <d v="2011-02-17T00:00:00"/>
        <d v="2011-02-21T00:00:00"/>
        <d v="2011-02-23T00:00:00"/>
        <d v="2011-02-28T00:00:00"/>
        <d v="2011-03-01T00:00:00"/>
        <d v="2011-03-02T00:00:00"/>
        <d v="2011-03-07T00:00:00"/>
        <d v="2011-03-09T00:00:00"/>
        <d v="2011-03-14T00:00:00"/>
        <d v="2011-03-16T00:00:00"/>
        <d v="2011-03-18T00:00:00"/>
        <d v="2011-03-21T00:00:00"/>
        <d v="2011-03-22T00:00:00"/>
        <d v="2011-03-25T00:00:00"/>
        <d v="2011-03-28T00:00:00"/>
        <d v="2011-03-30T00:00:00"/>
        <d v="2011-03-31T00:00:00"/>
        <d v="2011-04-04T00:00:00"/>
        <d v="2011-04-05T00:00:00"/>
        <d v="2011-04-07T00:00:00"/>
        <d v="2011-04-11T00:00:00"/>
        <d v="2011-04-13T00:00:00"/>
        <d v="2011-04-14T00:00:00"/>
        <d v="2011-04-18T00:00:00"/>
        <d v="2011-04-19T00:00:00"/>
        <d v="2011-04-20T00:00:00"/>
        <d v="2011-04-25T00:00:00"/>
        <d v="2011-04-26T00:00:00"/>
        <d v="2011-04-28T00:00:00"/>
        <d v="2011-04-30T00:00:00"/>
        <d v="2011-05-02T00:00:00"/>
        <d v="2011-05-03T00:00:00"/>
        <d v="2011-05-04T00:00:00"/>
        <d v="2011-05-06T00:00:00"/>
        <d v="2011-05-09T00:00:00"/>
        <d v="2011-05-10T00:00:00"/>
        <d v="2011-05-16T00:00:00"/>
        <d v="2011-05-18T00:00:00"/>
        <d v="2011-05-23T00:00:00"/>
        <d v="2011-05-25T00:00:00"/>
        <d v="2011-05-31T00:00:00"/>
        <d v="2011-06-01T00:00:00"/>
        <d v="2011-06-02T00:00:00"/>
        <d v="2011-06-03T00:00:00"/>
        <d v="2011-06-06T00:00:00"/>
        <d v="2011-06-08T00:00:00"/>
        <d v="2011-06-13T00:00:00"/>
        <d v="2011-06-15T00:00:00"/>
        <d v="2011-06-16T00:00:00"/>
        <d v="2011-06-17T00:00:00"/>
        <d v="2011-06-20T00:00:00"/>
        <d v="2011-06-21T00:00:00"/>
        <d v="2011-06-27T00:00:00"/>
        <d v="2011-06-28T00:00:00"/>
        <d v="2011-06-30T00:00:00"/>
        <d v="2011-07-02T00:00:00"/>
        <d v="2011-07-05T00:00:00"/>
        <d v="2011-07-06T00:00:00"/>
        <d v="2011-07-07T00:00:00"/>
        <d v="2011-07-11T00:00:00"/>
        <d v="2011-07-12T00:00:00"/>
        <d v="2011-07-14T00:00:00"/>
        <d v="2011-07-18T00:00:00"/>
        <d v="2011-07-21T00:00:00"/>
        <d v="2011-07-25T00:00:00"/>
        <d v="2011-07-27T00:00:00"/>
        <d v="2011-07-31T00:00:00"/>
        <d v="2011-08-01T00:00:00"/>
        <d v="2011-08-02T00:00:00"/>
        <d v="2011-08-03T00:00:00"/>
        <d v="2011-08-05T00:00:00"/>
        <d v="2011-08-08T00:00:00"/>
        <d v="2011-08-10T00:00:00"/>
        <d v="2011-08-11T00:00:00"/>
        <d v="2011-08-15T00:00:00"/>
        <d v="2011-08-16T00:00:00"/>
        <d v="2011-08-17T00:00:00"/>
        <d v="2011-08-18T00:00:00"/>
        <d v="2011-08-22T00:00:00"/>
        <d v="2011-08-23T00:00:00"/>
        <d v="2011-08-24T00:00:00"/>
        <d v="2011-08-29T00:00:00"/>
        <d v="2011-08-31T00:00:00"/>
        <d v="2011-09-02T00:00:00"/>
        <d v="2011-09-06T00:00:00"/>
        <d v="2011-09-07T00:00:00"/>
        <d v="2011-09-08T00:00:00"/>
        <d v="2011-09-12T00:00:00"/>
        <d v="2011-09-14T00:00:00"/>
        <d v="2011-09-19T00:00:00"/>
        <d v="2011-09-21T00:00:00"/>
        <d v="2011-09-22T00:00:00"/>
        <d v="2011-09-26T00:00:00"/>
        <d v="2011-09-28T00:00:00"/>
        <d v="2011-09-30T00:00:00"/>
        <d v="2011-10-03T00:00:00"/>
        <d v="2011-10-05T00:00:00"/>
        <d v="2011-10-06T00:00:00"/>
        <d v="2011-10-10T00:00:00"/>
        <d v="2011-10-11T00:00:00"/>
        <d v="2011-10-12T00:00:00"/>
        <d v="2011-10-13T00:00:00"/>
        <d v="2011-10-17T00:00:00"/>
        <d v="2011-10-19T00:00:00"/>
        <d v="2011-10-20T00:00:00"/>
        <d v="2011-10-24T00:00:00"/>
        <d v="2011-10-26T00:00:00"/>
        <d v="2011-10-31T00:00:00"/>
        <d v="2011-11-01T00:00:00"/>
        <d v="2011-11-02T00:00:00"/>
        <d v="2011-11-07T00:00:00"/>
        <d v="2011-11-09T00:00:00"/>
        <d v="2011-11-12T00:00:00"/>
        <d v="2011-11-14T00:00:00"/>
        <d v="2011-11-15T00:00:00"/>
        <d v="2011-11-16T00:00:00"/>
        <d v="2011-11-17T00:00:00"/>
        <d v="2011-11-21T00:00:00"/>
        <d v="2011-11-22T00:00:00"/>
        <d v="2011-11-28T00:00:00"/>
        <d v="2011-11-29T00:00:00"/>
        <d v="2011-11-30T00:00:00"/>
        <d v="2011-12-05T00:00:00"/>
        <d v="2011-12-07T00:00:00"/>
        <d v="2011-12-12T00:00:00"/>
        <d v="2011-12-14T00:00:00"/>
        <d v="2011-12-19T00:00:00"/>
        <d v="2011-12-21T00:00:00"/>
        <d v="2011-12-26T00:00:00"/>
        <d v="2011-12-27T00:00:00"/>
        <d v="2011-12-28T00:00:00"/>
        <d v="2011-12-31T00:00:00"/>
        <d v="2012-01-02T00:00:00"/>
        <d v="2012-01-03T00:00:00"/>
        <d v="2012-01-04T00:00:00"/>
        <d v="2012-01-06T00:00:00"/>
        <d v="2012-01-11T00:00:00"/>
        <d v="2012-01-12T00:00:00"/>
        <d v="2012-01-16T00:00:00"/>
        <d v="2012-01-17T00:00:00"/>
        <d v="2012-01-23T00:00:00"/>
        <d v="2012-01-25T00:00:00"/>
        <d v="2012-01-30T00:00:00"/>
        <d v="2012-01-31T00:00:00"/>
        <d v="2012-02-01T00:00:00"/>
        <d v="2012-02-03T00:00:00"/>
        <d v="2012-02-06T00:00:00"/>
        <d v="2012-02-08T00:00:00"/>
        <d v="2012-02-10T00:00:00"/>
        <d v="2012-02-13T00:00:00"/>
        <d v="2012-02-15T00:00:00"/>
        <d v="2012-02-17T00:00:00"/>
        <d v="2012-02-20T00:00:00"/>
        <d v="2012-02-21T00:00:00"/>
        <d v="2012-02-22T00:00:00"/>
        <d v="2012-02-23T00:00:00"/>
        <d v="2012-02-27T00:00:00"/>
        <d v="2012-02-29T00:00:00"/>
        <d v="2012-03-02T00:00:00"/>
        <d v="2012-03-05T00:00:00"/>
        <d v="2012-03-07T00:00:00"/>
        <d v="2012-03-09T00:00:00"/>
        <d v="2012-03-12T00:00:00"/>
        <d v="2012-03-14T00:00:00"/>
        <d v="2012-03-19T00:00:00"/>
        <d v="2012-03-21T00:00:00"/>
        <d v="2012-03-26T00:00:00"/>
        <d v="2012-03-27T00:00:00"/>
        <d v="2012-03-31T00:00:00"/>
        <d v="2012-04-02T00:00:00"/>
        <d v="2012-04-03T00:00:00"/>
        <d v="2012-04-05T00:00:00"/>
        <d v="2012-04-06T00:00:00"/>
        <d v="2012-04-10T00:00:00"/>
        <d v="2012-04-16T00:00:00"/>
        <d v="2012-04-18T00:00:00"/>
        <d v="2012-04-24T00:00:00"/>
        <d v="2012-04-27T00:00:00"/>
        <d v="2012-04-30T00:00:00"/>
        <d v="2012-05-07T00:00:00"/>
        <d v="2012-05-08T00:00:00"/>
        <d v="2012-05-10T00:00:00"/>
        <d v="2012-05-16T00:00:00"/>
        <d v="2012-05-24T00:00:00"/>
        <d v="2012-05-31T00:00:00"/>
        <d v="2012-06-01T00:00:00"/>
        <d v="2012-06-02T00:00:00"/>
        <d v="2012-06-05T00:00:00"/>
        <d v="2012-06-08T00:00:00"/>
        <d v="2012-06-16T00:00:00"/>
        <d v="2012-06-21T00:00:00"/>
        <d v="2012-06-25T00:00:00"/>
        <d v="2012-06-30T00:00:00"/>
        <d v="2012-07-03T00:00:00"/>
        <d v="2012-07-16T00:00:00"/>
        <d v="2012-07-18T00:00:00"/>
        <d v="2012-07-27T00:00:00"/>
        <d v="2012-07-31T00:00:00"/>
        <d v="2012-08-07T00:00:00"/>
        <d v="2012-08-08T00:00:00"/>
        <d v="2012-08-14T00:00:00"/>
        <d v="2012-08-15T00:00:00"/>
        <d v="2012-08-25T00:00:00"/>
        <d v="2012-08-26T00:00:00"/>
        <d v="2012-08-31T00:00:00"/>
        <d v="2012-09-08T00:00:00"/>
        <d v="2012-09-10T00:00:00"/>
        <d v="2012-09-11T00:00:00"/>
        <d v="2012-09-19T00:00:00"/>
        <d v="2012-09-20T00:00:00"/>
        <d v="2012-09-25T00:00:00"/>
        <d v="2012-09-29T00:00:00"/>
        <d v="2012-09-30T00:00:00"/>
        <d v="2012-10-03T00:00:00"/>
        <d v="2012-10-30T00:00:00"/>
        <d v="2012-10-31T00:00:00"/>
        <d v="2012-11-07T00:00:00"/>
        <d v="2012-11-10T00:00:00"/>
        <d v="2012-11-12T00:00:00"/>
        <d v="2012-11-19T00:00:00"/>
        <d v="2012-11-30T00:00:00"/>
        <d v="2012-12-05T00:00:00"/>
        <d v="2012-12-07T00:00:00"/>
        <d v="2012-12-31T00:00:00"/>
        <d v="2013-01-03T00:00:00"/>
        <d v="2013-01-08T00:00:00"/>
        <d v="2013-01-16T00:00:00"/>
        <d v="2013-01-22T00:00:00"/>
        <d v="2013-01-30T00:00:00"/>
        <d v="2013-02-01T00:00:00"/>
        <d v="2013-02-05T00:00:00"/>
        <d v="2013-02-09T00:00:00"/>
        <d v="2013-02-13T00:00:00"/>
        <d v="2013-02-18T00:00:00"/>
        <d v="2013-02-27T00:00:00"/>
        <d v="2013-02-28T00:00:00"/>
        <d v="2013-03-04T00:00:00"/>
        <d v="2013-03-05T00:00:00"/>
        <d v="2013-03-08T00:00:00"/>
        <d v="2013-03-21T00:00:00"/>
        <d v="2013-03-31T00:00:00"/>
        <d v="2013-04-03T00:00:00"/>
        <d v="2013-04-04T00:00:00"/>
        <d v="2013-04-12T00:00:00"/>
        <d v="2013-04-13T00:00:00"/>
        <d v="2013-04-15T00:00:00"/>
        <d v="2013-04-24T00:00:00"/>
        <d v="2013-04-27T00:00:00"/>
        <d v="2013-04-30T00:00:00"/>
        <d v="2013-05-01T00:00:00"/>
        <d v="2013-05-08T00:00:00"/>
        <d v="2013-05-09T00:00:00"/>
        <d v="2013-05-14T00:00:00"/>
        <d v="2013-05-15T00:00:00"/>
        <d v="2013-05-22T00:00:00"/>
        <d v="2013-05-30T00:00:00"/>
        <d v="2013-05-31T00:00:00"/>
        <d v="2013-06-07T00:00:00"/>
        <d v="2013-06-11T00:00:00"/>
        <d v="2013-06-26T00:00:00"/>
        <d v="2013-06-30T00:00:00"/>
        <d v="2013-07-02T00:00:00"/>
        <d v="2013-07-09T00:00:00"/>
        <d v="2013-07-16T00:00:00"/>
        <d v="2013-07-17T00:00:00"/>
        <d v="2013-07-26T00:00:00"/>
        <d v="2013-07-31T00:00:00"/>
        <d v="2013-08-06T00:00:00"/>
        <d v="2013-08-17T00:00:00"/>
        <d v="2013-08-20T00:00:00"/>
        <d v="2013-08-21T00:00:00"/>
        <d v="2013-08-22T00:00:00"/>
        <d v="2013-08-23T00:00:00"/>
        <d v="2013-08-31T00:00:00"/>
        <d v="2013-09-03T00:00:00"/>
        <d v="2013-09-10T00:00:00"/>
        <d v="2013-09-12T00:00:00"/>
        <d v="2013-09-14T00:00:00"/>
        <d v="2013-09-15T00:00:00"/>
        <d v="2013-09-18T00:00:00"/>
        <d v="2013-09-25T00:00:00"/>
        <d v="2013-09-27T00:00:00"/>
        <d v="2013-09-30T00:00:00"/>
        <d v="2013-10-01T00:00:00"/>
        <d v="2013-10-04T00:00:00"/>
        <d v="2013-10-08T00:00:00"/>
        <d v="2013-10-11T00:00:00"/>
        <d v="2013-10-16T00:00:00"/>
        <d v="2013-10-23T00:00:00"/>
        <d v="2013-10-27T00:00:00"/>
        <d v="2013-10-31T00:00:00"/>
        <d v="2013-11-05T00:00:00"/>
        <d v="2013-11-13T00:00:00"/>
        <d v="2013-11-14T00:00:00"/>
        <d v="2013-11-16T00:00:00"/>
        <d v="2013-11-20T00:00:00"/>
        <d v="2013-11-21T00:00:00"/>
        <d v="2013-11-30T00:00:00"/>
        <d v="2013-12-03T00:00:00"/>
        <d v="2013-12-07T00:00:00"/>
        <d v="2013-12-12T00:00:00"/>
        <d v="2013-12-13T00:00:00"/>
        <d v="2013-12-31T00:00:00"/>
        <d v="2014-01-03T00:00:00"/>
        <d v="2014-01-07T00:00:00"/>
        <d v="2014-01-11T00:00:00"/>
        <d v="2014-01-14T00:00:00"/>
        <d v="2014-01-15T00:00:00"/>
        <d v="2014-01-21T00:00:00"/>
        <d v="2014-01-29T00:00:00"/>
        <d v="2014-01-30T00:00:00"/>
        <d v="2014-01-31T00:00:00"/>
        <d v="2014-02-11T00:00:00"/>
        <d v="2014-02-25T00:00:00"/>
        <d v="2014-02-26T00:00:00"/>
        <d v="2014-02-28T00:00:00"/>
        <d v="2014-03-05T00:00:00"/>
        <d v="2014-03-07T00:00:00"/>
        <d v="2014-03-19T00:00:00"/>
        <d v="2014-03-26T00:00:00"/>
        <d v="2014-03-28T00:00:00"/>
        <d v="2014-03-31T00:00:00"/>
        <d v="2014-04-09T00:00:00"/>
        <d v="2014-04-16T00:00:00"/>
        <d v="2014-04-18T00:00:00"/>
        <d v="2014-04-22T00:00:00"/>
        <d v="2014-04-30T00:00:00"/>
        <d v="2014-05-09T00:00:00"/>
        <d v="2014-05-13T00:00:00"/>
        <d v="2014-05-14T00:00:00"/>
        <d v="2014-05-31T00:00:00"/>
        <d v="2014-06-03T00:00:00"/>
        <d v="2014-06-10T00:00:00"/>
        <d v="2014-06-15T00:00:00"/>
        <d v="2014-06-19T00:00:00"/>
        <d v="2014-06-23T00:00:00"/>
        <d v="2014-06-25T00:00:00"/>
        <d v="2014-06-30T00:00:00"/>
      </sharedItems>
      <fieldGroup base="1">
        <rangePr groupBy="months" startDate="2010-01-08T00:00:00" endDate="2014-07-01T00:00:00"/>
        <groupItems count="14">
          <s v="&lt;1/8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4"/>
        </groupItems>
      </fieldGroup>
    </cacheField>
    <cacheField name="Location" numFmtId="0">
      <sharedItems/>
    </cacheField>
    <cacheField name="Container type" numFmtId="0">
      <sharedItems/>
    </cacheField>
    <cacheField name="Container size" numFmtId="0">
      <sharedItems containsMixedTypes="1" containsNumber="1" containsInteger="1" minValue="2" maxValue="40"/>
    </cacheField>
    <cacheField name="Tonnage" numFmtId="0">
      <sharedItems containsSemiMixedTypes="0" containsString="0" containsNumber="1" minValue="0" maxValue="13.92"/>
    </cacheField>
    <cacheField name="Tip charge" numFmtId="44">
      <sharedItems containsString="0" containsBlank="1" containsNumber="1" minValue="0.78" maxValue="361.92"/>
    </cacheField>
    <cacheField name="Tipping fee" numFmtId="44">
      <sharedItems containsSemiMixedTypes="0" containsString="0" containsNumber="1" minValue="22.85" maxValue="189"/>
    </cacheField>
    <cacheField name="Fuel charge" numFmtId="44">
      <sharedItems containsString="0" containsBlank="1" containsNumber="1" minValue="0" maxValue="27.03"/>
    </cacheField>
    <cacheField name="State tonnage fee" numFmtId="0">
      <sharedItems containsString="0" containsBlank="1" containsNumber="1" minValue="0.03" maxValue="13.92"/>
    </cacheField>
    <cacheField name="Tip and fuel" numFmtId="0">
      <sharedItems containsString="0" containsBlank="1" containsNumber="1" minValue="115" maxValue="142.03"/>
    </cacheField>
    <cacheField name="Total per pick up" numFmtId="44">
      <sharedItems containsSemiMixedTypes="0" containsString="0" containsNumber="1" minValue="22.85" maxValue="490.84000000000003"/>
    </cacheField>
    <cacheField name="Price per ton" numFmtId="0">
      <sharedItems containsBlank="1" containsMixedTypes="1" containsNumber="1" minValue="35.261494252873568" maxValue="3860.3333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ocsadmin" refreshedDate="41983.384109953702" createdVersion="4" refreshedVersion="4" minRefreshableVersion="3" recordCount="423">
  <cacheSource type="worksheet">
    <worksheetSource ref="A1:O424" sheet="Recycling data"/>
  </cacheSource>
  <cacheFields count="15">
    <cacheField name="Pickup date" numFmtId="14">
      <sharedItems containsSemiMixedTypes="0" containsNonDate="0" containsDate="1" containsString="0" minDate="2010-01-30T00:00:00" maxDate="2015-01-01T00:00:00" count="223">
        <d v="2010-01-30T00:00:00"/>
        <d v="2010-02-28T00:00:00"/>
        <d v="2010-03-30T00:00:00"/>
        <d v="2010-04-30T00:00:00"/>
        <d v="2010-05-30T00:00:00"/>
        <d v="2010-06-30T00:00:00"/>
        <d v="2010-07-30T00:00:00"/>
        <d v="2010-08-30T00:00:00"/>
        <d v="2010-09-30T00:00:00"/>
        <d v="2010-10-30T00:00:00"/>
        <d v="2010-11-30T00:00:00"/>
        <d v="2010-12-07T00:00:00"/>
        <d v="2010-12-30T00:00:00"/>
        <d v="2010-12-31T00:00:00"/>
        <d v="2011-01-30T00:00:00"/>
        <d v="2011-02-28T00:00:00"/>
        <d v="2011-03-30T00:00:00"/>
        <d v="2011-04-30T00:00:00"/>
        <d v="2011-05-30T00:00:00"/>
        <d v="2011-06-30T00:00:00"/>
        <d v="2011-07-25T00:00:00"/>
        <d v="2011-07-30T00:00:00"/>
        <d v="2011-08-10T00:00:00"/>
        <d v="2011-08-29T00:00:00"/>
        <d v="2011-08-30T00:00:00"/>
        <d v="2011-09-17T00:00:00"/>
        <d v="2011-09-20T00:00:00"/>
        <d v="2011-09-30T00:00:00"/>
        <d v="2011-10-07T00:00:00"/>
        <d v="2011-10-14T00:00:00"/>
        <d v="2011-10-18T00:00:00"/>
        <d v="2011-10-19T00:00:00"/>
        <d v="2011-10-24T00:00:00"/>
        <d v="2011-10-30T00:00:00"/>
        <d v="2011-11-03T00:00:00"/>
        <d v="2011-11-17T00:00:00"/>
        <d v="2011-11-18T00:00:00"/>
        <d v="2011-11-22T00:00:00"/>
        <d v="2011-11-30T00:00:00"/>
        <d v="2011-12-13T00:00:00"/>
        <d v="2011-12-30T00:00:00"/>
        <d v="2011-12-31T00:00:00"/>
        <d v="2012-01-03T00:00:00"/>
        <d v="2012-01-04T00:00:00"/>
        <d v="2012-01-16T00:00:00"/>
        <d v="2012-01-18T00:00:00"/>
        <d v="2012-01-30T00:00:00"/>
        <d v="2012-02-01T00:00:00"/>
        <d v="2012-02-02T00:00:00"/>
        <d v="2012-02-03T00:00:00"/>
        <d v="2012-02-15T00:00:00"/>
        <d v="2012-02-27T00:00:00"/>
        <d v="2012-02-28T00:00:00"/>
        <d v="2012-02-29T00:00:00"/>
        <d v="2012-03-08T00:00:00"/>
        <d v="2012-03-24T00:00:00"/>
        <d v="2012-03-30T00:00:00"/>
        <d v="2012-04-06T00:00:00"/>
        <d v="2012-04-23T00:00:00"/>
        <d v="2012-04-30T00:00:00"/>
        <d v="2012-05-05T00:00:00"/>
        <d v="2012-05-07T00:00:00"/>
        <d v="2012-05-08T00:00:00"/>
        <d v="2012-05-29T00:00:00"/>
        <d v="2012-05-30T00:00:00"/>
        <d v="2012-06-06T00:00:00"/>
        <d v="2012-06-07T00:00:00"/>
        <d v="2012-06-09T00:00:00"/>
        <d v="2012-06-13T00:00:00"/>
        <d v="2012-06-28T00:00:00"/>
        <d v="2012-06-30T00:00:00"/>
        <d v="2012-07-05T00:00:00"/>
        <d v="2012-07-11T00:00:00"/>
        <d v="2012-07-28T00:00:00"/>
        <d v="2012-07-30T00:00:00"/>
        <d v="2012-08-06T00:00:00"/>
        <d v="2012-08-10T00:00:00"/>
        <d v="2012-08-13T00:00:00"/>
        <d v="2012-08-14T00:00:00"/>
        <d v="2012-08-15T00:00:00"/>
        <d v="2012-08-24T00:00:00"/>
        <d v="2012-08-29T00:00:00"/>
        <d v="2012-08-30T00:00:00"/>
        <d v="2012-09-06T00:00:00"/>
        <d v="2012-09-13T00:00:00"/>
        <d v="2012-09-25T00:00:00"/>
        <d v="2012-09-28T00:00:00"/>
        <d v="2012-09-30T00:00:00"/>
        <d v="2012-10-02T00:00:00"/>
        <d v="2012-10-03T00:00:00"/>
        <d v="2012-10-04T00:00:00"/>
        <d v="2012-10-12T00:00:00"/>
        <d v="2012-10-24T00:00:00"/>
        <d v="2012-10-30T00:00:00"/>
        <d v="2012-10-31T00:00:00"/>
        <d v="2012-11-01T00:00:00"/>
        <d v="2012-11-06T00:00:00"/>
        <d v="2012-11-12T00:00:00"/>
        <d v="2012-11-13T00:00:00"/>
        <d v="2012-11-30T00:00:00"/>
        <d v="2012-12-03T00:00:00"/>
        <d v="2012-12-04T00:00:00"/>
        <d v="2012-12-06T00:00:00"/>
        <d v="2012-12-11T00:00:00"/>
        <d v="2012-12-17T00:00:00"/>
        <d v="2012-12-27T00:00:00"/>
        <d v="2012-12-31T00:00:00"/>
        <d v="2013-01-03T00:00:00"/>
        <d v="2013-01-08T00:00:00"/>
        <d v="2013-01-12T00:00:00"/>
        <d v="2013-01-16T00:00:00"/>
        <d v="2013-01-17T00:00:00"/>
        <d v="2013-01-28T00:00:00"/>
        <d v="2013-01-30T00:00:00"/>
        <d v="2013-02-06T00:00:00"/>
        <d v="2013-02-07T00:00:00"/>
        <d v="2013-02-08T00:00:00"/>
        <d v="2013-02-15T00:00:00"/>
        <d v="2013-02-18T00:00:00"/>
        <d v="2013-02-28T00:00:00"/>
        <d v="2013-03-03T00:00:00"/>
        <d v="2013-03-06T00:00:00"/>
        <d v="2013-03-18T00:00:00"/>
        <d v="2013-03-19T00:00:00"/>
        <d v="2013-03-28T00:00:00"/>
        <d v="2013-03-30T00:00:00"/>
        <d v="2013-04-02T00:00:00"/>
        <d v="2013-04-09T00:00:00"/>
        <d v="2013-04-11T00:00:00"/>
        <d v="2013-04-25T00:00:00"/>
        <d v="2013-04-28T00:00:00"/>
        <d v="2013-04-30T00:00:00"/>
        <d v="2013-05-18T00:00:00"/>
        <d v="2013-05-21T00:00:00"/>
        <d v="2013-05-28T00:00:00"/>
        <d v="2013-05-30T00:00:00"/>
        <d v="2013-06-03T00:00:00"/>
        <d v="2013-06-06T00:00:00"/>
        <d v="2013-06-07T00:00:00"/>
        <d v="2013-06-13T00:00:00"/>
        <d v="2013-06-14T00:00:00"/>
        <d v="2013-06-27T00:00:00"/>
        <d v="2013-06-28T00:00:00"/>
        <d v="2013-06-30T00:00:00"/>
        <d v="2013-07-02T00:00:00"/>
        <d v="2013-07-11T00:00:00"/>
        <d v="2013-07-28T00:00:00"/>
        <d v="2013-07-30T00:00:00"/>
        <d v="2013-08-06T00:00:00"/>
        <d v="2013-08-13T00:00:00"/>
        <d v="2013-08-15T00:00:00"/>
        <d v="2013-08-22T00:00:00"/>
        <d v="2013-08-23T00:00:00"/>
        <d v="2013-08-26T00:00:00"/>
        <d v="2013-08-27T00:00:00"/>
        <d v="2013-08-28T00:00:00"/>
        <d v="2013-08-30T00:00:00"/>
        <d v="2013-09-04T00:00:00"/>
        <d v="2013-09-25T00:00:00"/>
        <d v="2013-09-28T00:00:00"/>
        <d v="2013-09-30T00:00:00"/>
        <d v="2013-10-16T00:00:00"/>
        <d v="2013-10-17T00:00:00"/>
        <d v="2013-10-23T00:00:00"/>
        <d v="2013-10-28T00:00:00"/>
        <d v="2013-10-30T00:00:00"/>
        <d v="2013-11-05T00:00:00"/>
        <d v="2013-11-11T00:00:00"/>
        <d v="2013-11-12T00:00:00"/>
        <d v="2013-11-14T00:00:00"/>
        <d v="2013-11-21T00:00:00"/>
        <d v="2013-11-22T00:00:00"/>
        <d v="2013-11-28T00:00:00"/>
        <d v="2013-11-30T00:00:00"/>
        <d v="2013-12-02T00:00:00"/>
        <d v="2013-12-09T00:00:00"/>
        <d v="2013-12-10T00:00:00"/>
        <d v="2013-12-13T00:00:00"/>
        <d v="2013-12-28T00:00:00"/>
        <d v="2013-12-30T00:00:00"/>
        <d v="2013-12-31T00:00:00"/>
        <d v="2014-01-16T00:00:00"/>
        <d v="2014-01-17T00:00:00"/>
        <d v="2014-01-28T00:00:00"/>
        <d v="2014-01-30T00:00:00"/>
        <d v="2014-02-12T00:00:00"/>
        <d v="2014-02-25T00:00:00"/>
        <d v="2014-02-26T00:00:00"/>
        <d v="2014-02-28T00:00:00"/>
        <d v="2014-03-06T00:00:00"/>
        <d v="2014-03-18T00:00:00"/>
        <d v="2014-03-28T00:00:00"/>
        <d v="2014-03-31T00:00:00"/>
        <d v="2014-04-08T00:00:00"/>
        <d v="2014-04-23T00:00:00"/>
        <d v="2014-04-28T00:00:00"/>
        <d v="2014-05-20T00:00:00"/>
        <d v="2014-05-21T00:00:00"/>
        <d v="2014-05-23T00:00:00"/>
        <d v="2014-05-28T00:00:00"/>
        <d v="2014-05-29T00:00:00"/>
        <d v="2014-06-06T00:00:00"/>
        <d v="2014-06-18T00:00:00"/>
        <d v="2014-06-19T00:00:00"/>
        <d v="2014-06-28T00:00:00"/>
        <d v="2014-06-30T00:00:00"/>
        <d v="2014-07-21T00:00:00"/>
        <d v="2014-07-22T00:00:00"/>
        <d v="2014-07-28T00:00:00"/>
        <d v="2014-07-29T00:00:00"/>
        <d v="2014-08-07T00:00:00"/>
        <d v="2014-08-08T00:00:00"/>
        <d v="2014-08-28T00:00:00"/>
        <d v="2014-08-29T00:00:00"/>
        <d v="2014-09-09T00:00:00"/>
        <d v="2014-09-10T00:00:00"/>
        <d v="2014-09-28T00:00:00"/>
        <d v="2014-10-08T00:00:00"/>
        <d v="2014-10-13T00:00:00"/>
        <d v="2014-11-05T00:00:00"/>
        <d v="2014-11-10T00:00:00"/>
        <d v="2014-11-12T00:00:00"/>
        <d v="2014-12-31T00:00:00"/>
      </sharedItems>
    </cacheField>
    <cacheField name="Location" numFmtId="0">
      <sharedItems/>
    </cacheField>
    <cacheField name="Classification" numFmtId="0">
      <sharedItems count="12">
        <s v="Paper"/>
        <s v="Cardboard"/>
        <s v="Plastic"/>
        <s v="e-waste"/>
        <s v="books"/>
        <s v="Single Stream"/>
        <s v="Glass"/>
        <s v="Compost"/>
        <s v="Wood"/>
        <s v="Metal"/>
        <s v="Trash"/>
        <s v="Oil"/>
      </sharedItems>
    </cacheField>
    <cacheField name="Material" numFmtId="0">
      <sharedItems count="48">
        <s v="ow"/>
        <s v="occ"/>
        <s v="Plastic"/>
        <s v="book stock"/>
        <s v="Mixed paper"/>
        <s v="newspaper"/>
        <s v="white ledger"/>
        <s v="bookstock"/>
        <s v="e-waste"/>
        <s v="batteries"/>
        <s v="Books"/>
        <s v="Single Stream"/>
        <s v="Glass"/>
        <s v="Grass/Leaves (Cuyds)"/>
        <s v="Wood mulch (Cuyds)"/>
        <s v="Aluminum Litho"/>
        <s v="Copper"/>
        <s v="Garbage"/>
        <s v="LDPE grade a"/>
        <s v="Shred Iron"/>
        <s v="#2 Copper"/>
        <s v="35% insulated copper"/>
        <s v="fees Awaiting adjustment"/>
        <s v="Alum sheet - clean"/>
        <s v="Alum rads"/>
        <s v="cu/al rads"/>
        <s v="304 stainles"/>
        <s v="al/cu ends"/>
        <s v="adjustment"/>
        <s v="Trash"/>
        <s v="Wood Waste"/>
        <s v="Pallets"/>
        <s v="Commingled"/>
        <s v="Cast Aluminum"/>
        <s v="Irony 304 stainles"/>
        <s v="Used Oil"/>
        <s v="Toners"/>
        <s v="Alum Sheet - dirty"/>
        <s v="6061 Extrusion"/>
        <s v="45% insulated copper"/>
        <s v="Irony alum"/>
        <s v="Irony Sheet"/>
        <s v="NLC"/>
        <s v="ONP"/>
        <s v="Alum litho"/>
        <s v="10/10 Extrusion"/>
        <s v="Yellow Brass"/>
        <s v="#2 Insulated Copper 45%"/>
      </sharedItems>
    </cacheField>
    <cacheField name="Vendor" numFmtId="0">
      <sharedItems/>
    </cacheField>
    <cacheField name="Qty" numFmtId="0">
      <sharedItems containsBlank="1" containsMixedTypes="1" containsNumber="1" containsInteger="1" minValue="2" maxValue="587"/>
    </cacheField>
    <cacheField name="Weight lb" numFmtId="0">
      <sharedItems containsBlank="1" containsMixedTypes="1" containsNumber="1" minValue="0" maxValue="38850"/>
    </cacheField>
    <cacheField name="Weight ton" numFmtId="0">
      <sharedItems containsBlank="1" containsMixedTypes="1" containsNumber="1" minValue="0" maxValue="19.425000000000001"/>
    </cacheField>
    <cacheField name="Stated Rebate" numFmtId="0">
      <sharedItems containsBlank="1" containsMixedTypes="1" containsNumber="1" minValue="-100" maxValue="1100"/>
    </cacheField>
    <cacheField name="Revenue" numFmtId="44">
      <sharedItems containsString="0" containsBlank="1" containsNumber="1" minValue="-680" maxValue="1104.95"/>
    </cacheField>
    <cacheField name="Haul/Tip fee" numFmtId="44">
      <sharedItems containsString="0" containsBlank="1" containsNumber="1" containsInteger="1" minValue="0" maxValue="230"/>
    </cacheField>
    <cacheField name="Payment" numFmtId="44">
      <sharedItems containsString="0" containsBlank="1" containsNumber="1" minValue="-680" maxValue="5690"/>
    </cacheField>
    <cacheField name="Vendor Ticket #" numFmtId="0">
      <sharedItems containsBlank="1" containsMixedTypes="1" containsNumber="1" containsInteger="1" minValue="0" maxValue="3257303"/>
    </cacheField>
    <cacheField name="JCCC Receipt#" numFmtId="0">
      <sharedItems containsString="0" containsBlank="1" containsNumber="1" containsInteger="1" minValue="0" maxValue="245792"/>
    </cacheField>
    <cacheField name="Receipt date" numFmtId="0">
      <sharedItems containsDate="1" containsString="0" containsBlank="1" containsMixedTypes="1" minDate="1899-12-31T00:00:00" maxDate="2014-12-0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ocsadmin" refreshedDate="41983.384262268519" createdVersion="4" refreshedVersion="4" minRefreshableVersion="3" recordCount="428">
  <cacheSource type="worksheet">
    <worksheetSource ref="A1:O429" sheet="Recycling data"/>
  </cacheSource>
  <cacheFields count="15">
    <cacheField name="Pickup date" numFmtId="14">
      <sharedItems containsSemiMixedTypes="0" containsNonDate="0" containsDate="1" containsString="0" minDate="2010-01-30T00:00:00" maxDate="2015-01-01T00:00:00" count="225">
        <d v="2010-01-30T00:00:00"/>
        <d v="2010-02-28T00:00:00"/>
        <d v="2010-03-30T00:00:00"/>
        <d v="2010-04-30T00:00:00"/>
        <d v="2010-05-30T00:00:00"/>
        <d v="2010-06-30T00:00:00"/>
        <d v="2010-07-30T00:00:00"/>
        <d v="2010-08-30T00:00:00"/>
        <d v="2010-09-30T00:00:00"/>
        <d v="2010-10-30T00:00:00"/>
        <d v="2010-11-30T00:00:00"/>
        <d v="2010-12-07T00:00:00"/>
        <d v="2010-12-30T00:00:00"/>
        <d v="2010-12-31T00:00:00"/>
        <d v="2011-01-30T00:00:00"/>
        <d v="2011-02-28T00:00:00"/>
        <d v="2011-03-30T00:00:00"/>
        <d v="2011-04-30T00:00:00"/>
        <d v="2011-05-30T00:00:00"/>
        <d v="2011-06-30T00:00:00"/>
        <d v="2011-07-25T00:00:00"/>
        <d v="2011-07-30T00:00:00"/>
        <d v="2011-08-10T00:00:00"/>
        <d v="2011-08-29T00:00:00"/>
        <d v="2011-08-30T00:00:00"/>
        <d v="2011-09-17T00:00:00"/>
        <d v="2011-09-20T00:00:00"/>
        <d v="2011-09-30T00:00:00"/>
        <d v="2011-10-07T00:00:00"/>
        <d v="2011-10-14T00:00:00"/>
        <d v="2011-10-18T00:00:00"/>
        <d v="2011-10-19T00:00:00"/>
        <d v="2011-10-24T00:00:00"/>
        <d v="2011-10-30T00:00:00"/>
        <d v="2011-11-03T00:00:00"/>
        <d v="2011-11-17T00:00:00"/>
        <d v="2011-11-18T00:00:00"/>
        <d v="2011-11-22T00:00:00"/>
        <d v="2011-11-30T00:00:00"/>
        <d v="2011-12-13T00:00:00"/>
        <d v="2011-12-30T00:00:00"/>
        <d v="2011-12-31T00:00:00"/>
        <d v="2012-01-03T00:00:00"/>
        <d v="2012-01-04T00:00:00"/>
        <d v="2012-01-16T00:00:00"/>
        <d v="2012-01-18T00:00:00"/>
        <d v="2012-01-30T00:00:00"/>
        <d v="2012-02-01T00:00:00"/>
        <d v="2012-02-02T00:00:00"/>
        <d v="2012-02-03T00:00:00"/>
        <d v="2012-02-15T00:00:00"/>
        <d v="2012-02-27T00:00:00"/>
        <d v="2012-02-28T00:00:00"/>
        <d v="2012-02-29T00:00:00"/>
        <d v="2012-03-08T00:00:00"/>
        <d v="2012-03-24T00:00:00"/>
        <d v="2012-03-30T00:00:00"/>
        <d v="2012-04-06T00:00:00"/>
        <d v="2012-04-23T00:00:00"/>
        <d v="2012-04-30T00:00:00"/>
        <d v="2012-05-05T00:00:00"/>
        <d v="2012-05-07T00:00:00"/>
        <d v="2012-05-08T00:00:00"/>
        <d v="2012-05-29T00:00:00"/>
        <d v="2012-05-30T00:00:00"/>
        <d v="2012-06-06T00:00:00"/>
        <d v="2012-06-07T00:00:00"/>
        <d v="2012-06-09T00:00:00"/>
        <d v="2012-06-13T00:00:00"/>
        <d v="2012-06-28T00:00:00"/>
        <d v="2012-06-30T00:00:00"/>
        <d v="2012-07-05T00:00:00"/>
        <d v="2012-07-11T00:00:00"/>
        <d v="2012-07-28T00:00:00"/>
        <d v="2012-07-30T00:00:00"/>
        <d v="2012-08-06T00:00:00"/>
        <d v="2012-08-10T00:00:00"/>
        <d v="2012-08-13T00:00:00"/>
        <d v="2012-08-14T00:00:00"/>
        <d v="2012-08-15T00:00:00"/>
        <d v="2012-08-24T00:00:00"/>
        <d v="2012-08-29T00:00:00"/>
        <d v="2012-08-30T00:00:00"/>
        <d v="2012-09-06T00:00:00"/>
        <d v="2012-09-13T00:00:00"/>
        <d v="2012-09-25T00:00:00"/>
        <d v="2012-09-28T00:00:00"/>
        <d v="2012-09-30T00:00:00"/>
        <d v="2012-10-02T00:00:00"/>
        <d v="2012-10-03T00:00:00"/>
        <d v="2012-10-04T00:00:00"/>
        <d v="2012-10-12T00:00:00"/>
        <d v="2012-10-24T00:00:00"/>
        <d v="2012-10-30T00:00:00"/>
        <d v="2012-10-31T00:00:00"/>
        <d v="2012-11-01T00:00:00"/>
        <d v="2012-11-06T00:00:00"/>
        <d v="2012-11-12T00:00:00"/>
        <d v="2012-11-13T00:00:00"/>
        <d v="2012-11-30T00:00:00"/>
        <d v="2012-12-03T00:00:00"/>
        <d v="2012-12-04T00:00:00"/>
        <d v="2012-12-06T00:00:00"/>
        <d v="2012-12-11T00:00:00"/>
        <d v="2012-12-17T00:00:00"/>
        <d v="2012-12-27T00:00:00"/>
        <d v="2012-12-31T00:00:00"/>
        <d v="2013-01-03T00:00:00"/>
        <d v="2013-01-08T00:00:00"/>
        <d v="2013-01-12T00:00:00"/>
        <d v="2013-01-16T00:00:00"/>
        <d v="2013-01-17T00:00:00"/>
        <d v="2013-01-28T00:00:00"/>
        <d v="2013-01-30T00:00:00"/>
        <d v="2013-02-06T00:00:00"/>
        <d v="2013-02-07T00:00:00"/>
        <d v="2013-02-08T00:00:00"/>
        <d v="2013-02-15T00:00:00"/>
        <d v="2013-02-18T00:00:00"/>
        <d v="2013-02-28T00:00:00"/>
        <d v="2013-03-03T00:00:00"/>
        <d v="2013-03-06T00:00:00"/>
        <d v="2013-03-18T00:00:00"/>
        <d v="2013-03-19T00:00:00"/>
        <d v="2013-03-28T00:00:00"/>
        <d v="2013-03-30T00:00:00"/>
        <d v="2013-04-02T00:00:00"/>
        <d v="2013-04-09T00:00:00"/>
        <d v="2013-04-11T00:00:00"/>
        <d v="2013-04-25T00:00:00"/>
        <d v="2013-04-28T00:00:00"/>
        <d v="2013-04-30T00:00:00"/>
        <d v="2013-05-18T00:00:00"/>
        <d v="2013-05-21T00:00:00"/>
        <d v="2013-05-28T00:00:00"/>
        <d v="2013-05-30T00:00:00"/>
        <d v="2013-06-03T00:00:00"/>
        <d v="2013-06-06T00:00:00"/>
        <d v="2013-06-07T00:00:00"/>
        <d v="2013-06-13T00:00:00"/>
        <d v="2013-06-14T00:00:00"/>
        <d v="2013-06-27T00:00:00"/>
        <d v="2013-06-28T00:00:00"/>
        <d v="2013-06-30T00:00:00"/>
        <d v="2013-07-02T00:00:00"/>
        <d v="2013-07-11T00:00:00"/>
        <d v="2013-07-28T00:00:00"/>
        <d v="2013-07-30T00:00:00"/>
        <d v="2013-08-06T00:00:00"/>
        <d v="2013-08-13T00:00:00"/>
        <d v="2013-08-15T00:00:00"/>
        <d v="2013-08-22T00:00:00"/>
        <d v="2013-08-23T00:00:00"/>
        <d v="2013-08-26T00:00:00"/>
        <d v="2013-08-27T00:00:00"/>
        <d v="2013-08-28T00:00:00"/>
        <d v="2013-08-30T00:00:00"/>
        <d v="2013-09-04T00:00:00"/>
        <d v="2013-09-25T00:00:00"/>
        <d v="2013-09-28T00:00:00"/>
        <d v="2013-09-30T00:00:00"/>
        <d v="2013-10-16T00:00:00"/>
        <d v="2013-10-17T00:00:00"/>
        <d v="2013-10-23T00:00:00"/>
        <d v="2013-10-28T00:00:00"/>
        <d v="2013-10-30T00:00:00"/>
        <d v="2013-11-05T00:00:00"/>
        <d v="2013-11-11T00:00:00"/>
        <d v="2013-11-12T00:00:00"/>
        <d v="2013-11-14T00:00:00"/>
        <d v="2013-11-21T00:00:00"/>
        <d v="2013-11-22T00:00:00"/>
        <d v="2013-11-28T00:00:00"/>
        <d v="2013-11-30T00:00:00"/>
        <d v="2013-12-02T00:00:00"/>
        <d v="2013-12-09T00:00:00"/>
        <d v="2013-12-10T00:00:00"/>
        <d v="2013-12-13T00:00:00"/>
        <d v="2013-12-28T00:00:00"/>
        <d v="2013-12-30T00:00:00"/>
        <d v="2013-12-31T00:00:00"/>
        <d v="2014-01-16T00:00:00"/>
        <d v="2014-01-17T00:00:00"/>
        <d v="2014-01-28T00:00:00"/>
        <d v="2014-01-30T00:00:00"/>
        <d v="2014-02-12T00:00:00"/>
        <d v="2014-02-25T00:00:00"/>
        <d v="2014-02-26T00:00:00"/>
        <d v="2014-02-28T00:00:00"/>
        <d v="2014-03-06T00:00:00"/>
        <d v="2014-03-18T00:00:00"/>
        <d v="2014-03-28T00:00:00"/>
        <d v="2014-03-31T00:00:00"/>
        <d v="2014-04-08T00:00:00"/>
        <d v="2014-04-23T00:00:00"/>
        <d v="2014-04-28T00:00:00"/>
        <d v="2014-05-20T00:00:00"/>
        <d v="2014-05-21T00:00:00"/>
        <d v="2014-05-23T00:00:00"/>
        <d v="2014-05-28T00:00:00"/>
        <d v="2014-05-29T00:00:00"/>
        <d v="2014-06-06T00:00:00"/>
        <d v="2014-06-18T00:00:00"/>
        <d v="2014-06-19T00:00:00"/>
        <d v="2014-06-28T00:00:00"/>
        <d v="2014-06-30T00:00:00"/>
        <d v="2014-07-21T00:00:00"/>
        <d v="2014-07-22T00:00:00"/>
        <d v="2014-07-28T00:00:00"/>
        <d v="2014-07-29T00:00:00"/>
        <d v="2014-08-07T00:00:00"/>
        <d v="2014-08-08T00:00:00"/>
        <d v="2014-08-28T00:00:00"/>
        <d v="2014-08-29T00:00:00"/>
        <d v="2014-09-09T00:00:00"/>
        <d v="2014-09-10T00:00:00"/>
        <d v="2014-09-28T00:00:00"/>
        <d v="2014-10-08T00:00:00"/>
        <d v="2014-10-13T00:00:00"/>
        <d v="2014-11-05T00:00:00"/>
        <d v="2014-11-10T00:00:00"/>
        <d v="2014-11-12T00:00:00"/>
        <d v="2014-12-31T00:00:00"/>
        <d v="2014-10-06T00:00:00"/>
        <d v="2014-12-09T00:00:00"/>
      </sharedItems>
    </cacheField>
    <cacheField name="Location" numFmtId="0">
      <sharedItems/>
    </cacheField>
    <cacheField name="Classification" numFmtId="0">
      <sharedItems/>
    </cacheField>
    <cacheField name="Material" numFmtId="0">
      <sharedItems count="48">
        <s v="ow"/>
        <s v="occ"/>
        <s v="Plastic"/>
        <s v="book stock"/>
        <s v="Mixed paper"/>
        <s v="newspaper"/>
        <s v="white ledger"/>
        <s v="bookstock"/>
        <s v="e-waste"/>
        <s v="batteries"/>
        <s v="Books"/>
        <s v="Single Stream"/>
        <s v="Glass"/>
        <s v="Grass/Leaves (Cuyds)"/>
        <s v="Wood mulch (Cuyds)"/>
        <s v="Aluminum Litho"/>
        <s v="Copper"/>
        <s v="Garbage"/>
        <s v="LDPE grade a"/>
        <s v="Shred Iron"/>
        <s v="#2 Copper"/>
        <s v="35% insulated copper"/>
        <s v="fees Awaiting adjustment"/>
        <s v="Alum sheet - clean"/>
        <s v="Alum rads"/>
        <s v="cu/al rads"/>
        <s v="304 stainles"/>
        <s v="al/cu ends"/>
        <s v="adjustment"/>
        <s v="Trash"/>
        <s v="Wood Waste"/>
        <s v="Pallets"/>
        <s v="Commingled"/>
        <s v="Cast Aluminum"/>
        <s v="Irony 304 stainles"/>
        <s v="Used Oil"/>
        <s v="Toners"/>
        <s v="Alum Sheet - dirty"/>
        <s v="6061 Extrusion"/>
        <s v="45% insulated copper"/>
        <s v="Irony alum"/>
        <s v="Irony Sheet"/>
        <s v="NLC"/>
        <s v="ONP"/>
        <s v="Alum litho"/>
        <s v="10/10 Extrusion"/>
        <s v="Yellow Brass"/>
        <s v="#2 Insulated Copper 45%"/>
      </sharedItems>
    </cacheField>
    <cacheField name="Vendor" numFmtId="0">
      <sharedItems/>
    </cacheField>
    <cacheField name="Qty" numFmtId="0">
      <sharedItems containsBlank="1" containsMixedTypes="1" containsNumber="1" containsInteger="1" minValue="2" maxValue="587"/>
    </cacheField>
    <cacheField name="Weight lb" numFmtId="0">
      <sharedItems containsBlank="1" containsMixedTypes="1" containsNumber="1" minValue="0" maxValue="38850"/>
    </cacheField>
    <cacheField name="Weight ton" numFmtId="0">
      <sharedItems containsBlank="1" containsMixedTypes="1" containsNumber="1" minValue="0" maxValue="19.425000000000001"/>
    </cacheField>
    <cacheField name="Stated Rebate" numFmtId="0">
      <sharedItems containsBlank="1" containsMixedTypes="1" containsNumber="1" minValue="-100" maxValue="1100"/>
    </cacheField>
    <cacheField name="Revenue" numFmtId="44">
      <sharedItems containsString="0" containsBlank="1" containsNumber="1" minValue="-680" maxValue="1104.95"/>
    </cacheField>
    <cacheField name="Haul/Tip fee" numFmtId="44">
      <sharedItems containsString="0" containsBlank="1" containsNumber="1" containsInteger="1" minValue="0" maxValue="230"/>
    </cacheField>
    <cacheField name="Payment" numFmtId="44">
      <sharedItems containsString="0" containsBlank="1" containsNumber="1" minValue="-680" maxValue="5690"/>
    </cacheField>
    <cacheField name="Vendor Ticket #" numFmtId="0">
      <sharedItems containsBlank="1" containsMixedTypes="1" containsNumber="1" containsInteger="1" minValue="0" maxValue="3257303"/>
    </cacheField>
    <cacheField name="JCCC Receipt#" numFmtId="0">
      <sharedItems containsString="0" containsBlank="1" containsNumber="1" containsInteger="1" minValue="0" maxValue="246084"/>
    </cacheField>
    <cacheField name="Receipt date" numFmtId="0">
      <sharedItems containsDate="1" containsString="0" containsBlank="1" containsMixedTypes="1" minDate="1899-12-31T00:00:00" maxDate="2014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ocsadmin" refreshedDate="42011.389026273151" createdVersion="4" refreshedVersion="4" minRefreshableVersion="3" recordCount="286">
  <cacheSource type="worksheet">
    <worksheetSource ref="A1:O287" sheet="Recycling data"/>
  </cacheSource>
  <cacheFields count="15">
    <cacheField name="Pickup date" numFmtId="14">
      <sharedItems containsSemiMixedTypes="0" containsNonDate="0" containsDate="1" containsString="0" minDate="2010-01-30T00:00:00" maxDate="2014-07-29T00:00:00" count="202">
        <d v="2010-01-30T00:00:00"/>
        <d v="2010-02-28T00:00:00"/>
        <d v="2010-03-30T00:00:00"/>
        <d v="2010-04-30T00:00:00"/>
        <d v="2010-05-30T00:00:00"/>
        <d v="2010-06-30T00:00:00"/>
        <d v="2010-07-30T00:00:00"/>
        <d v="2010-08-30T00:00:00"/>
        <d v="2010-09-30T00:00:00"/>
        <d v="2010-10-30T00:00:00"/>
        <d v="2010-11-30T00:00:00"/>
        <d v="2010-12-07T00:00:00"/>
        <d v="2010-12-30T00:00:00"/>
        <d v="2010-12-31T00:00:00"/>
        <d v="2011-01-30T00:00:00"/>
        <d v="2011-02-28T00:00:00"/>
        <d v="2011-03-30T00:00:00"/>
        <d v="2011-04-30T00:00:00"/>
        <d v="2011-05-30T00:00:00"/>
        <d v="2011-06-30T00:00:00"/>
        <d v="2011-07-25T00:00:00"/>
        <d v="2011-07-30T00:00:00"/>
        <d v="2011-08-10T00:00:00"/>
        <d v="2011-08-29T00:00:00"/>
        <d v="2011-08-30T00:00:00"/>
        <d v="2011-09-17T00:00:00"/>
        <d v="2011-09-20T00:00:00"/>
        <d v="2011-09-30T00:00:00"/>
        <d v="2011-10-07T00:00:00"/>
        <d v="2011-10-14T00:00:00"/>
        <d v="2011-10-18T00:00:00"/>
        <d v="2011-10-19T00:00:00"/>
        <d v="2011-10-24T00:00:00"/>
        <d v="2011-10-30T00:00:00"/>
        <d v="2011-11-03T00:00:00"/>
        <d v="2011-11-17T00:00:00"/>
        <d v="2011-11-18T00:00:00"/>
        <d v="2011-11-22T00:00:00"/>
        <d v="2011-11-30T00:00:00"/>
        <d v="2011-12-13T00:00:00"/>
        <d v="2011-12-30T00:00:00"/>
        <d v="2011-12-31T00:00:00"/>
        <d v="2012-01-03T00:00:00"/>
        <d v="2012-01-04T00:00:00"/>
        <d v="2012-01-16T00:00:00"/>
        <d v="2012-01-18T00:00:00"/>
        <d v="2012-01-30T00:00:00"/>
        <d v="2012-02-01T00:00:00"/>
        <d v="2012-02-02T00:00:00"/>
        <d v="2012-02-03T00:00:00"/>
        <d v="2012-02-15T00:00:00"/>
        <d v="2012-02-27T00:00:00"/>
        <d v="2012-02-28T00:00:00"/>
        <d v="2012-02-29T00:00:00"/>
        <d v="2012-03-08T00:00:00"/>
        <d v="2012-03-24T00:00:00"/>
        <d v="2012-03-30T00:00:00"/>
        <d v="2012-04-06T00:00:00"/>
        <d v="2012-04-23T00:00:00"/>
        <d v="2012-04-30T00:00:00"/>
        <d v="2012-05-05T00:00:00"/>
        <d v="2012-05-07T00:00:00"/>
        <d v="2012-05-08T00:00:00"/>
        <d v="2012-05-29T00:00:00"/>
        <d v="2012-05-30T00:00:00"/>
        <d v="2012-06-06T00:00:00"/>
        <d v="2012-06-07T00:00:00"/>
        <d v="2012-06-09T00:00:00"/>
        <d v="2012-06-13T00:00:00"/>
        <d v="2012-06-28T00:00:00"/>
        <d v="2012-06-30T00:00:00"/>
        <d v="2012-07-05T00:00:00"/>
        <d v="2012-07-11T00:00:00"/>
        <d v="2012-07-28T00:00:00"/>
        <d v="2012-07-30T00:00:00"/>
        <d v="2012-08-06T00:00:00"/>
        <d v="2012-08-10T00:00:00"/>
        <d v="2012-08-13T00:00:00"/>
        <d v="2012-08-14T00:00:00"/>
        <d v="2012-08-15T00:00:00"/>
        <d v="2012-08-24T00:00:00"/>
        <d v="2012-08-29T00:00:00"/>
        <d v="2012-08-30T00:00:00"/>
        <d v="2012-09-06T00:00:00"/>
        <d v="2012-09-13T00:00:00"/>
        <d v="2012-09-25T00:00:00"/>
        <d v="2012-09-28T00:00:00"/>
        <d v="2012-09-30T00:00:00"/>
        <d v="2012-10-02T00:00:00"/>
        <d v="2012-10-03T00:00:00"/>
        <d v="2012-10-04T00:00:00"/>
        <d v="2012-10-12T00:00:00"/>
        <d v="2012-10-24T00:00:00"/>
        <d v="2012-10-30T00:00:00"/>
        <d v="2012-10-31T00:00:00"/>
        <d v="2012-11-01T00:00:00"/>
        <d v="2012-11-06T00:00:00"/>
        <d v="2012-11-12T00:00:00"/>
        <d v="2012-11-13T00:00:00"/>
        <d v="2012-11-30T00:00:00"/>
        <d v="2012-12-03T00:00:00"/>
        <d v="2012-12-04T00:00:00"/>
        <d v="2012-12-06T00:00:00"/>
        <d v="2012-12-11T00:00:00"/>
        <d v="2012-12-17T00:00:00"/>
        <d v="2012-12-27T00:00:00"/>
        <d v="2012-12-31T00:00:00"/>
        <d v="2013-01-03T00:00:00"/>
        <d v="2013-01-08T00:00:00"/>
        <d v="2013-01-12T00:00:00"/>
        <d v="2013-01-16T00:00:00"/>
        <d v="2013-01-17T00:00:00"/>
        <d v="2013-01-28T00:00:00"/>
        <d v="2013-01-30T00:00:00"/>
        <d v="2013-02-06T00:00:00"/>
        <d v="2013-02-07T00:00:00"/>
        <d v="2013-02-08T00:00:00"/>
        <d v="2013-02-15T00:00:00"/>
        <d v="2013-02-18T00:00:00"/>
        <d v="2013-02-28T00:00:00"/>
        <d v="2013-03-03T00:00:00"/>
        <d v="2013-03-06T00:00:00"/>
        <d v="2013-03-18T00:00:00"/>
        <d v="2013-03-19T00:00:00"/>
        <d v="2013-03-28T00:00:00"/>
        <d v="2013-03-30T00:00:00"/>
        <d v="2013-04-02T00:00:00"/>
        <d v="2013-04-09T00:00:00"/>
        <d v="2013-04-11T00:00:00"/>
        <d v="2013-04-25T00:00:00"/>
        <d v="2013-04-28T00:00:00"/>
        <d v="2013-04-30T00:00:00"/>
        <d v="2013-05-18T00:00:00"/>
        <d v="2013-05-21T00:00:00"/>
        <d v="2013-05-28T00:00:00"/>
        <d v="2013-05-30T00:00:00"/>
        <d v="2013-06-03T00:00:00"/>
        <d v="2013-06-06T00:00:00"/>
        <d v="2013-06-07T00:00:00"/>
        <d v="2013-06-13T00:00:00"/>
        <d v="2013-11-05T00:00:00" u="1"/>
        <d v="2013-10-16T00:00:00" u="1"/>
        <d v="2014-04-08T00:00:00" u="1"/>
        <d v="2013-07-02T00:00:00" u="1"/>
        <d v="2014-02-26T00:00:00" u="1"/>
        <d v="2014-05-28T00:00:00" u="1"/>
        <d v="2013-08-30T00:00:00" u="1"/>
        <d v="2013-12-13T00:00:00" u="1"/>
        <d v="2013-08-26T00:00:00" u="1"/>
        <d v="2013-11-28T00:00:00" u="1"/>
        <d v="2013-12-09T00:00:00" u="1"/>
        <d v="2014-05-20T00:00:00" u="1"/>
        <d v="2013-08-22T00:00:00" u="1"/>
        <d v="2013-11-12T00:00:00" u="1"/>
        <d v="2014-04-23T00:00:00" u="1"/>
        <d v="2013-08-06T00:00:00" u="1"/>
        <d v="2014-01-17T00:00:00" u="1"/>
        <d v="2013-10-23T00:00:00" u="1"/>
        <d v="2013-06-28T00:00:00" u="1"/>
        <d v="2014-06-28T00:00:00" u="1"/>
        <d v="2013-09-30T00:00:00" u="1"/>
        <d v="2013-12-28T00:00:00" u="1"/>
        <d v="2014-03-18T00:00:00" u="1"/>
        <d v="2014-02-25T00:00:00" u="1"/>
        <d v="2014-03-06T00:00:00" u="1"/>
        <d v="2014-01-28T00:00:00" u="1"/>
        <d v="2013-08-13T00:00:00" u="1"/>
        <d v="2013-07-28T00:00:00" u="1"/>
        <d v="2014-07-28T00:00:00" u="1"/>
        <d v="2013-10-30T00:00:00" u="1"/>
        <d v="2013-11-11T00:00:00" u="1"/>
        <d v="2014-01-16T00:00:00" u="1"/>
        <d v="2013-06-27T00:00:00" u="1"/>
        <d v="2013-12-31T00:00:00" u="1"/>
        <d v="2013-09-25T00:00:00" u="1"/>
        <d v="2014-02-28T00:00:00" u="1"/>
        <d v="2013-08-28T00:00:00" u="1"/>
        <d v="2013-11-30T00:00:00" u="1"/>
        <d v="2013-11-22T00:00:00" u="1"/>
        <d v="2014-02-12T00:00:00" u="1"/>
        <d v="2013-11-14T00:00:00" u="1"/>
        <d v="2013-10-17T00:00:00" u="1"/>
        <d v="2014-03-28T00:00:00" u="1"/>
        <d v="2013-06-30T00:00:00" u="1"/>
        <d v="2013-07-11T00:00:00" u="1"/>
        <d v="2013-09-28T00:00:00" u="1"/>
        <d v="2013-12-30T00:00:00" u="1"/>
        <d v="2014-06-18T00:00:00" u="1"/>
        <d v="2013-06-14T00:00:00" u="1"/>
        <d v="2014-05-29T00:00:00" u="1"/>
        <d v="2013-08-27T00:00:00" u="1"/>
        <d v="2013-12-10T00:00:00" u="1"/>
        <d v="2014-05-21T00:00:00" u="1"/>
        <d v="2013-08-23T00:00:00" u="1"/>
        <d v="2013-09-04T00:00:00" u="1"/>
        <d v="2014-01-30T00:00:00" u="1"/>
        <d v="2013-11-21T00:00:00" u="1"/>
        <d v="2013-12-02T00:00:00" u="1"/>
        <d v="2013-08-15T00:00:00" u="1"/>
        <d v="2014-04-28T00:00:00" u="1"/>
        <d v="2013-07-30T00:00:00" u="1"/>
        <d v="2013-10-28T00:00:00" u="1"/>
      </sharedItems>
    </cacheField>
    <cacheField name="Location" numFmtId="0">
      <sharedItems/>
    </cacheField>
    <cacheField name="Classification" numFmtId="0">
      <sharedItems/>
    </cacheField>
    <cacheField name="Material" numFmtId="0">
      <sharedItems containsBlank="1" count="55">
        <s v="ow"/>
        <s v="occ"/>
        <s v="Plastic"/>
        <s v="book stock"/>
        <s v="Mixed paper"/>
        <s v="newspaper"/>
        <s v="white ledger"/>
        <s v="bookstock"/>
        <s v="e-waste"/>
        <s v="batteries"/>
        <s v="Books"/>
        <s v="Single Stream"/>
        <s v="Glass"/>
        <s v="Grass/Leaves (Cuyds)"/>
        <s v="Wood mulch (Cuyds)"/>
        <s v="Aluminum Litho"/>
        <s v="Copper"/>
        <s v="Garbage"/>
        <s v="LDPE grade a"/>
        <s v="Shred Iron"/>
        <s v="#2 Copper"/>
        <s v="35% insulated copper"/>
        <s v="fees Awaiting adjustment"/>
        <s v="Alum sheet - clean"/>
        <s v="Alum rads"/>
        <s v="cu/al rads"/>
        <s v="304 stainles"/>
        <s v="al/cu ends"/>
        <s v="adjustment"/>
        <s v="Trash"/>
        <s v="Wood Waste"/>
        <s v="Pallets"/>
        <s v="Commingled"/>
        <m u="1"/>
        <s v="Cast Aluminum" u="1"/>
        <s v="NLC" u="1"/>
        <s v="Mixed" u="1"/>
        <s v="Single Steam" u="1"/>
        <s v="6061 Extrusion" u="1"/>
        <s v="Yellow Brass" u="1"/>
        <s v="plastics" u="1"/>
        <s v="Toners" u="1"/>
        <s v="books stock" u="1"/>
        <s v="Alum litho" u="1"/>
        <s v="#2 Insulated Copper 45%" u="1"/>
        <s v="45% insulated copper" u="1"/>
        <s v="Single Stream (no haul charge.)" u="1"/>
        <s v="10/10 Extrusion" u="1"/>
        <s v="ONP" u="1"/>
        <s v="Alum Sheet - dirty" u="1"/>
        <s v="Irony Sheet" u="1"/>
        <s v="Irony 304 stainles" u="1"/>
        <s v="Used Oil" u="1"/>
        <s v="Irony alum" u="1"/>
        <s v="Pallet" u="1"/>
      </sharedItems>
    </cacheField>
    <cacheField name="Vendor" numFmtId="0">
      <sharedItems/>
    </cacheField>
    <cacheField name="Qty" numFmtId="0">
      <sharedItems containsBlank="1" containsMixedTypes="1" containsNumber="1" containsInteger="1" minValue="2" maxValue="111"/>
    </cacheField>
    <cacheField name="Weight lb" numFmtId="0">
      <sharedItems containsBlank="1" containsMixedTypes="1" containsNumber="1" minValue="0" maxValue="38850"/>
    </cacheField>
    <cacheField name="Weight ton" numFmtId="0">
      <sharedItems containsMixedTypes="1" containsNumber="1" minValue="0" maxValue="19.425000000000001"/>
    </cacheField>
    <cacheField name="Stated Rebate" numFmtId="0">
      <sharedItems containsBlank="1" containsMixedTypes="1" containsNumber="1" minValue="-100" maxValue="1100"/>
    </cacheField>
    <cacheField name="Revenue" numFmtId="44">
      <sharedItems containsString="0" containsBlank="1" containsNumber="1" minValue="-680" maxValue="1104.95"/>
    </cacheField>
    <cacheField name="Haul/Tip fee" numFmtId="44">
      <sharedItems containsString="0" containsBlank="1" containsNumber="1" containsInteger="1" minValue="0" maxValue="230"/>
    </cacheField>
    <cacheField name="Payment" numFmtId="44">
      <sharedItems containsString="0" containsBlank="1" containsNumber="1" minValue="-680" maxValue="5690"/>
    </cacheField>
    <cacheField name="Vendor Ticket #" numFmtId="0">
      <sharedItems containsBlank="1" containsMixedTypes="1" containsNumber="1" containsInteger="1" minValue="4263" maxValue="3257303"/>
    </cacheField>
    <cacheField name="JCCC Receipt#" numFmtId="0">
      <sharedItems containsString="0" containsBlank="1" containsNumber="1" containsInteger="1" minValue="148606" maxValue="230249"/>
    </cacheField>
    <cacheField name="Receipt date" numFmtId="0">
      <sharedItems containsNonDate="0" containsDate="1" containsString="0" containsBlank="1" minDate="2011-07-25T00:00:00" maxDate="2014-04-0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4">
  <r>
    <n v="5749391"/>
    <x v="0"/>
    <x v="0"/>
    <s v="OT"/>
    <n v="40"/>
    <n v="1.27"/>
    <n v="33.020000000000003"/>
    <n v="115"/>
    <n v="15.96"/>
    <n v="1.27"/>
    <m/>
    <n v="165.25000000000003"/>
    <n v="130.1181102362205"/>
  </r>
  <r>
    <n v="5749391"/>
    <x v="0"/>
    <x v="0"/>
    <s v="OT"/>
    <n v="40"/>
    <n v="4.7699999999999996"/>
    <n v="124.01999999999998"/>
    <n v="115"/>
    <n v="15.96"/>
    <n v="4.7699999999999996"/>
    <m/>
    <n v="259.75"/>
    <n v="54.454926624737951"/>
  </r>
  <r>
    <n v="5749391"/>
    <x v="0"/>
    <x v="0"/>
    <s v="OT"/>
    <n v="30"/>
    <n v="1.7"/>
    <n v="44.199999999999996"/>
    <n v="115"/>
    <n v="15.93"/>
    <n v="1.7"/>
    <m/>
    <n v="176.82999999999998"/>
    <n v="104.01764705882353"/>
  </r>
  <r>
    <n v="5749391"/>
    <x v="1"/>
    <x v="1"/>
    <s v="SC"/>
    <n v="32"/>
    <n v="1.3"/>
    <n v="33.800000000000004"/>
    <n v="115"/>
    <n v="15.96"/>
    <n v="1.3"/>
    <n v="130.96"/>
    <n v="166.06000000000003"/>
    <n v="127.73846153846156"/>
  </r>
  <r>
    <n v="5749391"/>
    <x v="2"/>
    <x v="2"/>
    <s v="OT"/>
    <n v="40"/>
    <n v="3.95"/>
    <n v="102.7"/>
    <n v="115"/>
    <n v="15.86"/>
    <n v="3.95"/>
    <m/>
    <n v="237.51"/>
    <n v="60.129113924050628"/>
  </r>
  <r>
    <n v="5749391"/>
    <x v="2"/>
    <x v="3"/>
    <s v="OT"/>
    <n v="20"/>
    <n v="1.69"/>
    <n v="43.94"/>
    <n v="115"/>
    <n v="15.96"/>
    <n v="1.69"/>
    <m/>
    <n v="176.59"/>
    <n v="104.49112426035504"/>
  </r>
  <r>
    <n v="5749391"/>
    <x v="2"/>
    <x v="3"/>
    <s v="SC"/>
    <n v="34"/>
    <n v="4.68"/>
    <n v="121.67999999999999"/>
    <n v="115"/>
    <n v="12.49"/>
    <n v="4.68"/>
    <m/>
    <n v="253.85000000000002"/>
    <n v="54.241452991453002"/>
  </r>
  <r>
    <n v="5749391"/>
    <x v="3"/>
    <x v="1"/>
    <s v="SC"/>
    <n v="32"/>
    <n v="2.5099999999999998"/>
    <n v="65.259999999999991"/>
    <n v="115"/>
    <n v="15.93"/>
    <n v="2.5099999999999998"/>
    <n v="130.93"/>
    <n v="198.7"/>
    <n v="79.163346613545812"/>
  </r>
  <r>
    <n v="5749391"/>
    <x v="4"/>
    <x v="4"/>
    <s v="SC"/>
    <n v="30"/>
    <n v="4.43"/>
    <n v="115.17999999999999"/>
    <n v="115"/>
    <n v="15.93"/>
    <n v="4.43"/>
    <n v="130.93"/>
    <n v="250.54000000000002"/>
    <n v="56.555304740406328"/>
  </r>
  <r>
    <n v="5749391"/>
    <x v="5"/>
    <x v="2"/>
    <s v="OT"/>
    <n v="40"/>
    <n v="3.04"/>
    <n v="79.040000000000006"/>
    <n v="115"/>
    <n v="15.93"/>
    <n v="3.04"/>
    <m/>
    <n v="213.01000000000002"/>
    <n v="70.069078947368425"/>
  </r>
  <r>
    <n v="5749391"/>
    <x v="6"/>
    <x v="1"/>
    <s v="SC"/>
    <n v="32"/>
    <n v="2.79"/>
    <n v="72.540000000000006"/>
    <n v="115"/>
    <n v="15.93"/>
    <n v="2.79"/>
    <n v="130.93"/>
    <n v="206.26000000000002"/>
    <n v="73.928315412186379"/>
  </r>
  <r>
    <n v="5749391"/>
    <x v="7"/>
    <x v="4"/>
    <s v="SC"/>
    <n v="30"/>
    <n v="2.98"/>
    <n v="77.48"/>
    <n v="115"/>
    <n v="15.79"/>
    <n v="2.98"/>
    <n v="130.79"/>
    <n v="211.25"/>
    <n v="70.889261744966447"/>
  </r>
  <r>
    <n v="5749391"/>
    <x v="8"/>
    <x v="2"/>
    <s v="OT"/>
    <n v="40"/>
    <n v="3.57"/>
    <n v="92.82"/>
    <n v="115"/>
    <n v="15.79"/>
    <n v="3.57"/>
    <m/>
    <n v="227.17999999999998"/>
    <n v="63.635854341736689"/>
  </r>
  <r>
    <n v="5749391"/>
    <x v="9"/>
    <x v="1"/>
    <s v="SC"/>
    <n v="32"/>
    <n v="3.04"/>
    <n v="79.040000000000006"/>
    <n v="115"/>
    <n v="15.79"/>
    <n v="3.04"/>
    <n v="130.79"/>
    <n v="212.87"/>
    <n v="70.02302631578948"/>
  </r>
  <r>
    <m/>
    <x v="9"/>
    <x v="5"/>
    <s v="FL"/>
    <n v="6"/>
    <n v="2.34"/>
    <m/>
    <n v="104"/>
    <m/>
    <m/>
    <m/>
    <n v="104"/>
    <n v="44.44444444444445"/>
  </r>
  <r>
    <m/>
    <x v="9"/>
    <x v="6"/>
    <s v="FL"/>
    <n v="2"/>
    <n v="0.78"/>
    <m/>
    <n v="65"/>
    <m/>
    <m/>
    <m/>
    <n v="65"/>
    <n v="83.333333333333329"/>
  </r>
  <r>
    <m/>
    <x v="9"/>
    <x v="6"/>
    <s v="FL"/>
    <n v="2"/>
    <n v="0.78"/>
    <m/>
    <n v="65"/>
    <m/>
    <m/>
    <m/>
    <n v="65"/>
    <n v="83.333333333333329"/>
  </r>
  <r>
    <m/>
    <x v="9"/>
    <x v="7"/>
    <s v="FL"/>
    <n v="8"/>
    <n v="4.68"/>
    <m/>
    <n v="189"/>
    <m/>
    <m/>
    <m/>
    <n v="189"/>
    <n v="40.384615384615387"/>
  </r>
  <r>
    <m/>
    <x v="9"/>
    <x v="8"/>
    <s v="SC"/>
    <n v="6"/>
    <n v="3.9"/>
    <m/>
    <n v="155.88"/>
    <m/>
    <m/>
    <m/>
    <n v="155.88"/>
    <n v="39.969230769230769"/>
  </r>
  <r>
    <m/>
    <x v="9"/>
    <x v="9"/>
    <s v="FL"/>
    <n v="2"/>
    <n v="0.39"/>
    <m/>
    <n v="48"/>
    <m/>
    <m/>
    <m/>
    <n v="48"/>
    <n v="123.07692307692307"/>
  </r>
  <r>
    <n v="5762792"/>
    <x v="10"/>
    <x v="4"/>
    <s v="SC"/>
    <n v="30"/>
    <n v="3.43"/>
    <n v="89.18"/>
    <n v="115"/>
    <n v="15.61"/>
    <n v="3.43"/>
    <n v="130.61000000000001"/>
    <n v="223.22000000000003"/>
    <n v="65.078717201166185"/>
  </r>
  <r>
    <n v="5762792"/>
    <x v="11"/>
    <x v="1"/>
    <s v="SC"/>
    <n v="32"/>
    <n v="3.24"/>
    <n v="84.240000000000009"/>
    <n v="115"/>
    <n v="15.61"/>
    <n v="3.24"/>
    <n v="130.61000000000001"/>
    <n v="218.09000000000003"/>
    <n v="67.311728395061735"/>
  </r>
  <r>
    <n v="5762792"/>
    <x v="12"/>
    <x v="2"/>
    <s v="OT"/>
    <n v="40"/>
    <n v="3.86"/>
    <n v="100.36"/>
    <n v="115"/>
    <n v="15.61"/>
    <n v="3.86"/>
    <m/>
    <n v="234.83000000000004"/>
    <n v="60.836787564766851"/>
  </r>
  <r>
    <n v="5762792"/>
    <x v="13"/>
    <x v="4"/>
    <s v="SC"/>
    <n v="30"/>
    <n v="3.29"/>
    <n v="85.54"/>
    <n v="115"/>
    <n v="15.61"/>
    <n v="3.29"/>
    <n v="130.61000000000001"/>
    <n v="219.44000000000003"/>
    <n v="66.699088145896667"/>
  </r>
  <r>
    <n v="5762792"/>
    <x v="14"/>
    <x v="3"/>
    <s v="OT"/>
    <n v="20"/>
    <n v="1.44"/>
    <n v="37.44"/>
    <n v="115"/>
    <n v="15.57"/>
    <n v="1.44"/>
    <m/>
    <n v="169.45"/>
    <n v="117.67361111111111"/>
  </r>
  <r>
    <n v="5762792"/>
    <x v="14"/>
    <x v="3"/>
    <s v="SC"/>
    <n v="34"/>
    <n v="6.87"/>
    <n v="178.62"/>
    <n v="115"/>
    <n v="15.57"/>
    <n v="6.87"/>
    <m/>
    <n v="316.06"/>
    <n v="46.005822416302763"/>
  </r>
  <r>
    <n v="5762792"/>
    <x v="15"/>
    <x v="1"/>
    <s v="SC"/>
    <n v="32"/>
    <n v="3.08"/>
    <n v="80.08"/>
    <n v="115"/>
    <n v="15.57"/>
    <n v="3.08"/>
    <n v="130.57"/>
    <n v="213.73"/>
    <n v="69.392857142857139"/>
  </r>
  <r>
    <n v="5762792"/>
    <x v="16"/>
    <x v="0"/>
    <s v="OT"/>
    <n v="40"/>
    <n v="2.5099999999999998"/>
    <n v="65.259999999999991"/>
    <n v="115"/>
    <n v="15.51"/>
    <n v="2.5099999999999998"/>
    <m/>
    <n v="198.27999999999997"/>
    <n v="78.996015936254977"/>
  </r>
  <r>
    <n v="5762792"/>
    <x v="17"/>
    <x v="4"/>
    <s v="SC"/>
    <n v="30"/>
    <n v="3.45"/>
    <n v="89.7"/>
    <n v="115"/>
    <n v="15.51"/>
    <n v="3.45"/>
    <n v="130.51"/>
    <n v="223.65999999999997"/>
    <n v="64.828985507246358"/>
  </r>
  <r>
    <n v="5762792"/>
    <x v="18"/>
    <x v="10"/>
    <s v="OT"/>
    <n v="40"/>
    <n v="1.89"/>
    <n v="49.14"/>
    <n v="115"/>
    <n v="15.51"/>
    <n v="1.89"/>
    <m/>
    <n v="181.53999999999996"/>
    <n v="96.052910052910036"/>
  </r>
  <r>
    <n v="5762792"/>
    <x v="19"/>
    <x v="2"/>
    <s v="OT"/>
    <n v="40"/>
    <n v="4.3600000000000003"/>
    <n v="113.36000000000001"/>
    <n v="115"/>
    <n v="15.77"/>
    <n v="4.3600000000000003"/>
    <m/>
    <n v="248.49000000000004"/>
    <n v="56.993119266055054"/>
  </r>
  <r>
    <n v="5762792"/>
    <x v="19"/>
    <x v="11"/>
    <s v="OT"/>
    <n v="40"/>
    <n v="4.13"/>
    <n v="107.38"/>
    <n v="115"/>
    <n v="15.77"/>
    <n v="4.13"/>
    <m/>
    <n v="242.28"/>
    <n v="58.663438256658594"/>
  </r>
  <r>
    <n v="5762792"/>
    <x v="20"/>
    <x v="4"/>
    <s v="SC"/>
    <n v="30"/>
    <n v="3.15"/>
    <n v="81.899999999999991"/>
    <n v="115"/>
    <n v="15.77"/>
    <n v="3.15"/>
    <n v="130.77000000000001"/>
    <n v="215.82"/>
    <n v="68.51428571428572"/>
  </r>
  <r>
    <n v="5762792"/>
    <x v="20"/>
    <x v="12"/>
    <s v="SC"/>
    <n v="30"/>
    <n v="8.9600000000000009"/>
    <n v="232.96000000000004"/>
    <n v="115"/>
    <n v="15.77"/>
    <n v="8.9600000000000009"/>
    <m/>
    <n v="372.69"/>
    <n v="41.594866071428569"/>
  </r>
  <r>
    <n v="5762792"/>
    <x v="21"/>
    <x v="1"/>
    <s v="SC"/>
    <n v="32"/>
    <n v="5.85"/>
    <n v="152.1"/>
    <n v="115"/>
    <n v="15.77"/>
    <n v="5.85"/>
    <n v="130.77000000000001"/>
    <n v="288.72000000000003"/>
    <n v="49.353846153846163"/>
  </r>
  <r>
    <m/>
    <x v="22"/>
    <x v="5"/>
    <s v="FL"/>
    <n v="6"/>
    <n v="2.34"/>
    <m/>
    <n v="104"/>
    <m/>
    <m/>
    <m/>
    <n v="104"/>
    <n v="44.44444444444445"/>
  </r>
  <r>
    <m/>
    <x v="22"/>
    <x v="6"/>
    <s v="FL"/>
    <n v="2"/>
    <n v="0.78"/>
    <m/>
    <n v="65"/>
    <m/>
    <m/>
    <m/>
    <n v="65"/>
    <n v="83.333333333333329"/>
  </r>
  <r>
    <m/>
    <x v="22"/>
    <x v="6"/>
    <s v="FL"/>
    <n v="2"/>
    <n v="0.78"/>
    <m/>
    <n v="65"/>
    <m/>
    <m/>
    <m/>
    <n v="65"/>
    <n v="83.333333333333329"/>
  </r>
  <r>
    <m/>
    <x v="22"/>
    <x v="7"/>
    <s v="FL"/>
    <n v="8"/>
    <n v="4.68"/>
    <m/>
    <n v="189"/>
    <m/>
    <m/>
    <m/>
    <n v="189"/>
    <n v="40.384615384615387"/>
  </r>
  <r>
    <m/>
    <x v="22"/>
    <x v="8"/>
    <s v="SC"/>
    <n v="6"/>
    <n v="3.9"/>
    <m/>
    <n v="155.88"/>
    <m/>
    <m/>
    <m/>
    <n v="155.88"/>
    <n v="39.969230769230769"/>
  </r>
  <r>
    <m/>
    <x v="22"/>
    <x v="9"/>
    <s v="FL"/>
    <n v="2"/>
    <n v="0.39"/>
    <m/>
    <n v="48"/>
    <m/>
    <m/>
    <m/>
    <n v="48"/>
    <n v="123.07692307692307"/>
  </r>
  <r>
    <n v="5780050"/>
    <x v="23"/>
    <x v="2"/>
    <s v="OT"/>
    <n v="40"/>
    <n v="2.8"/>
    <n v="72.8"/>
    <n v="115"/>
    <n v="15.86"/>
    <n v="2.8"/>
    <m/>
    <n v="206.46000000000004"/>
    <n v="73.735714285714309"/>
  </r>
  <r>
    <n v="5780050"/>
    <x v="23"/>
    <x v="3"/>
    <s v="OT"/>
    <n v="20"/>
    <n v="0.97"/>
    <n v="25.22"/>
    <n v="115"/>
    <n v="15.86"/>
    <n v="0.97"/>
    <m/>
    <n v="157.04999999999998"/>
    <n v="161.90721649484536"/>
  </r>
  <r>
    <n v="5780050"/>
    <x v="24"/>
    <x v="4"/>
    <s v="SC"/>
    <n v="30"/>
    <n v="3.02"/>
    <n v="78.52"/>
    <n v="115"/>
    <n v="16.02"/>
    <n v="3.02"/>
    <n v="131.02000000000001"/>
    <n v="212.56"/>
    <n v="70.384105960264904"/>
  </r>
  <r>
    <n v="5780050"/>
    <x v="25"/>
    <x v="3"/>
    <s v="SC"/>
    <n v="34"/>
    <n v="6.46"/>
    <n v="167.96"/>
    <n v="115"/>
    <n v="16.02"/>
    <n v="6.46"/>
    <m/>
    <n v="305.44"/>
    <n v="47.28173374613003"/>
  </r>
  <r>
    <n v="5780050"/>
    <x v="26"/>
    <x v="1"/>
    <s v="SC"/>
    <n v="32"/>
    <n v="5.53"/>
    <n v="143.78"/>
    <n v="115"/>
    <n v="16.02"/>
    <n v="5.53"/>
    <n v="131.02000000000001"/>
    <n v="280.32999999999993"/>
    <n v="50.692585895117524"/>
  </r>
  <r>
    <n v="5780050"/>
    <x v="26"/>
    <x v="3"/>
    <s v="OT"/>
    <n v="20"/>
    <n v="1.51"/>
    <n v="39.26"/>
    <n v="115"/>
    <n v="16.02"/>
    <n v="1.51"/>
    <m/>
    <n v="171.79"/>
    <n v="113.76821192052979"/>
  </r>
  <r>
    <n v="5780050"/>
    <x v="27"/>
    <x v="4"/>
    <s v="SC"/>
    <n v="30"/>
    <n v="3.28"/>
    <n v="85.28"/>
    <n v="115"/>
    <n v="16.02"/>
    <n v="3.28"/>
    <n v="131.02000000000001"/>
    <n v="219.58"/>
    <n v="66.945121951219519"/>
  </r>
  <r>
    <n v="5780050"/>
    <x v="27"/>
    <x v="0"/>
    <s v="OT"/>
    <n v="40"/>
    <n v="3.16"/>
    <n v="82.16"/>
    <n v="115"/>
    <n v="16.02"/>
    <n v="3.16"/>
    <m/>
    <n v="216.34"/>
    <n v="68.462025316455694"/>
  </r>
  <r>
    <n v="5780050"/>
    <x v="27"/>
    <x v="0"/>
    <s v="OT"/>
    <n v="40"/>
    <n v="1.1499999999999999"/>
    <n v="29.9"/>
    <n v="115"/>
    <n v="16.02"/>
    <n v="1.1499999999999999"/>
    <m/>
    <n v="162.07000000000002"/>
    <n v="140.93043478260873"/>
  </r>
  <r>
    <n v="5780050"/>
    <x v="28"/>
    <x v="1"/>
    <s v="SC"/>
    <n v="32"/>
    <n v="2.6"/>
    <n v="67.600000000000009"/>
    <n v="115"/>
    <n v="16.12"/>
    <n v="2.6"/>
    <n v="131.12"/>
    <n v="201.32000000000002"/>
    <n v="77.430769230769243"/>
  </r>
  <r>
    <n v="5780050"/>
    <x v="29"/>
    <x v="4"/>
    <s v="SC"/>
    <n v="30"/>
    <n v="2.39"/>
    <n v="62.14"/>
    <n v="115"/>
    <n v="16.12"/>
    <n v="2.39"/>
    <n v="131.12"/>
    <n v="195.64999999999998"/>
    <n v="81.861924686192452"/>
  </r>
  <r>
    <n v="5780050"/>
    <x v="30"/>
    <x v="1"/>
    <s v="SC"/>
    <n v="32"/>
    <n v="1.68"/>
    <n v="43.68"/>
    <n v="115"/>
    <n v="16.190000000000001"/>
    <n v="1.68"/>
    <n v="131.19"/>
    <n v="176.55"/>
    <n v="105.08928571428572"/>
  </r>
  <r>
    <n v="5780050"/>
    <x v="31"/>
    <x v="0"/>
    <s v="OT"/>
    <n v="40"/>
    <n v="5.62"/>
    <n v="146.12"/>
    <n v="115"/>
    <n v="16.190000000000001"/>
    <n v="5.62"/>
    <m/>
    <n v="282.93"/>
    <n v="50.343416370106759"/>
  </r>
  <r>
    <n v="5780050"/>
    <x v="31"/>
    <x v="3"/>
    <s v="OT"/>
    <n v="20"/>
    <n v="2.0099999999999998"/>
    <n v="52.259999999999991"/>
    <n v="115"/>
    <n v="16.190000000000001"/>
    <n v="2.0099999999999998"/>
    <m/>
    <n v="185.45999999999998"/>
    <n v="92.268656716417908"/>
  </r>
  <r>
    <n v="5780050"/>
    <x v="31"/>
    <x v="3"/>
    <s v="OT"/>
    <n v="20"/>
    <n v="6.69"/>
    <n v="173.94"/>
    <n v="115"/>
    <n v="16.190000000000001"/>
    <n v="6.69"/>
    <m/>
    <n v="311.82"/>
    <n v="46.609865470852014"/>
  </r>
  <r>
    <n v="5780050"/>
    <x v="32"/>
    <x v="4"/>
    <s v="SC"/>
    <n v="30"/>
    <n v="1.94"/>
    <n v="50.44"/>
    <n v="115"/>
    <n v="16.190000000000001"/>
    <n v="1.94"/>
    <n v="131.19"/>
    <n v="183.57"/>
    <n v="94.623711340206185"/>
  </r>
  <r>
    <n v="5780050"/>
    <x v="33"/>
    <x v="3"/>
    <s v="SC"/>
    <n v="34"/>
    <n v="6.5"/>
    <n v="169"/>
    <n v="115"/>
    <n v="16.190000000000001"/>
    <n v="6.5"/>
    <m/>
    <n v="306.69"/>
    <n v="47.183076923076925"/>
  </r>
  <r>
    <n v="5780050"/>
    <x v="34"/>
    <x v="1"/>
    <s v="SC"/>
    <n v="32"/>
    <n v="3.3"/>
    <n v="85.8"/>
    <n v="115"/>
    <n v="16.16"/>
    <n v="3.3"/>
    <n v="131.16"/>
    <n v="220.26000000000002"/>
    <n v="66.74545454545455"/>
  </r>
  <r>
    <n v="5492612"/>
    <x v="35"/>
    <x v="5"/>
    <s v="FL"/>
    <n v="6"/>
    <n v="2.34"/>
    <m/>
    <n v="104"/>
    <m/>
    <m/>
    <m/>
    <n v="104"/>
    <n v="44.44444444444445"/>
  </r>
  <r>
    <n v="5492612"/>
    <x v="35"/>
    <x v="6"/>
    <s v="FL"/>
    <n v="2"/>
    <n v="0.78"/>
    <m/>
    <n v="65"/>
    <m/>
    <m/>
    <m/>
    <n v="65"/>
    <n v="83.333333333333329"/>
  </r>
  <r>
    <n v="5492612"/>
    <x v="35"/>
    <x v="6"/>
    <s v="FL"/>
    <n v="2"/>
    <n v="0.78"/>
    <m/>
    <n v="65"/>
    <m/>
    <m/>
    <m/>
    <n v="65"/>
    <n v="83.333333333333329"/>
  </r>
  <r>
    <n v="5493066"/>
    <x v="35"/>
    <x v="7"/>
    <s v="FL"/>
    <n v="8"/>
    <n v="4.68"/>
    <m/>
    <n v="189"/>
    <m/>
    <m/>
    <m/>
    <n v="189"/>
    <n v="40.384615384615387"/>
  </r>
  <r>
    <n v="5495946"/>
    <x v="35"/>
    <x v="8"/>
    <s v="SC"/>
    <n v="6"/>
    <n v="3.9"/>
    <m/>
    <n v="155.88"/>
    <m/>
    <m/>
    <m/>
    <n v="155.88"/>
    <n v="39.969230769230769"/>
  </r>
  <r>
    <n v="5496313"/>
    <x v="35"/>
    <x v="9"/>
    <s v="FL"/>
    <n v="2"/>
    <n v="0.39"/>
    <m/>
    <n v="48"/>
    <m/>
    <m/>
    <m/>
    <n v="48"/>
    <n v="123.07692307692307"/>
  </r>
  <r>
    <n v="5780050"/>
    <x v="35"/>
    <x v="0"/>
    <s v="OT"/>
    <n v="40"/>
    <n v="4.1399999999999997"/>
    <n v="107.63999999999999"/>
    <n v="115"/>
    <n v="16.16"/>
    <n v="4.1399999999999997"/>
    <m/>
    <n v="242.93999999999997"/>
    <n v="58.681159420289852"/>
  </r>
  <r>
    <n v="5799540"/>
    <x v="36"/>
    <x v="4"/>
    <s v="SC"/>
    <n v="30"/>
    <n v="3.89"/>
    <n v="101.14"/>
    <n v="115"/>
    <n v="16.420000000000002"/>
    <n v="3.89"/>
    <n v="131.42000000000002"/>
    <n v="236.45"/>
    <n v="60.784061696658092"/>
  </r>
  <r>
    <n v="5799540"/>
    <x v="37"/>
    <x v="1"/>
    <s v="SC"/>
    <n v="32"/>
    <n v="2.84"/>
    <n v="73.84"/>
    <n v="115"/>
    <n v="16.420000000000002"/>
    <n v="2.84"/>
    <n v="131.42000000000002"/>
    <n v="208.1"/>
    <n v="73.274647887323951"/>
  </r>
  <r>
    <n v="5799540"/>
    <x v="38"/>
    <x v="0"/>
    <s v="OT"/>
    <n v="40"/>
    <n v="3.59"/>
    <n v="93.34"/>
    <n v="115"/>
    <n v="16.420000000000002"/>
    <n v="3.59"/>
    <m/>
    <n v="228.35"/>
    <n v="63.607242339832872"/>
  </r>
  <r>
    <n v="5799540"/>
    <x v="39"/>
    <x v="4"/>
    <s v="SC"/>
    <n v="30"/>
    <n v="3.22"/>
    <n v="83.72"/>
    <n v="115"/>
    <n v="16.420000000000002"/>
    <n v="3.22"/>
    <n v="131.42000000000002"/>
    <n v="218.35999999999999"/>
    <n v="67.813664596273284"/>
  </r>
  <r>
    <n v="5799540"/>
    <x v="40"/>
    <x v="1"/>
    <s v="SC"/>
    <n v="32"/>
    <n v="6.1"/>
    <n v="158.6"/>
    <n v="115"/>
    <n v="16.63"/>
    <n v="6.1"/>
    <n v="131.63"/>
    <n v="296.33000000000004"/>
    <n v="48.57868852459017"/>
  </r>
  <r>
    <n v="5799540"/>
    <x v="41"/>
    <x v="0"/>
    <s v="OT"/>
    <n v="40"/>
    <n v="4.1900000000000004"/>
    <n v="108.94000000000001"/>
    <n v="115"/>
    <n v="16.63"/>
    <n v="4.1900000000000004"/>
    <m/>
    <n v="244.76"/>
    <n v="58.415274463007151"/>
  </r>
  <r>
    <n v="5799540"/>
    <x v="42"/>
    <x v="4"/>
    <s v="SC"/>
    <n v="30"/>
    <n v="2.99"/>
    <n v="77.740000000000009"/>
    <n v="115"/>
    <n v="16.63"/>
    <n v="2.99"/>
    <n v="131.63"/>
    <n v="212.36"/>
    <n v="71.023411371237458"/>
  </r>
  <r>
    <n v="5799540"/>
    <x v="42"/>
    <x v="3"/>
    <s v="SC"/>
    <n v="34"/>
    <n v="5.72"/>
    <n v="148.72"/>
    <n v="115"/>
    <n v="16.63"/>
    <n v="5.72"/>
    <m/>
    <n v="286.07000000000005"/>
    <n v="50.012237762237774"/>
  </r>
  <r>
    <n v="5799540"/>
    <x v="43"/>
    <x v="0"/>
    <s v="OT"/>
    <n v="40"/>
    <n v="0.91"/>
    <n v="23.66"/>
    <n v="115"/>
    <n v="16.63"/>
    <n v="0.91"/>
    <m/>
    <n v="156.19999999999999"/>
    <n v="171.64835164835162"/>
  </r>
  <r>
    <n v="5799540"/>
    <x v="44"/>
    <x v="1"/>
    <s v="SC"/>
    <n v="32"/>
    <n v="7.04"/>
    <n v="183.04"/>
    <n v="115"/>
    <n v="16.63"/>
    <n v="7.04"/>
    <n v="131.63"/>
    <n v="321.70999999999998"/>
    <n v="45.69744318181818"/>
  </r>
  <r>
    <n v="5799540"/>
    <x v="45"/>
    <x v="4"/>
    <s v="SC"/>
    <n v="30"/>
    <n v="3.89"/>
    <n v="101.14"/>
    <n v="115"/>
    <n v="16.66"/>
    <n v="3.89"/>
    <n v="131.66"/>
    <n v="236.68999999999997"/>
    <n v="60.845758354755773"/>
  </r>
  <r>
    <n v="5799540"/>
    <x v="46"/>
    <x v="1"/>
    <s v="SC"/>
    <n v="32"/>
    <n v="3.09"/>
    <n v="80.34"/>
    <n v="115"/>
    <n v="16.66"/>
    <n v="3.09"/>
    <n v="131.66"/>
    <n v="215.09"/>
    <n v="69.608414239482201"/>
  </r>
  <r>
    <n v="5799540"/>
    <x v="47"/>
    <x v="4"/>
    <s v="SC"/>
    <n v="30"/>
    <n v="3.34"/>
    <n v="86.84"/>
    <n v="115"/>
    <n v="16.66"/>
    <n v="3.34"/>
    <n v="131.66"/>
    <n v="221.84"/>
    <n v="66.419161676646709"/>
  </r>
  <r>
    <n v="5799540"/>
    <x v="48"/>
    <x v="3"/>
    <s v="SC"/>
    <n v="34"/>
    <n v="5.91"/>
    <n v="153.66"/>
    <n v="115"/>
    <n v="16.66"/>
    <n v="5.91"/>
    <m/>
    <n v="291.23"/>
    <n v="49.277495769881561"/>
  </r>
  <r>
    <n v="5799540"/>
    <x v="48"/>
    <x v="0"/>
    <s v="OT"/>
    <n v="40"/>
    <n v="3.72"/>
    <n v="96.72"/>
    <n v="115"/>
    <n v="16.66"/>
    <n v="3.72"/>
    <m/>
    <n v="232.1"/>
    <n v="62.392473118279568"/>
  </r>
  <r>
    <n v="5503939"/>
    <x v="49"/>
    <x v="5"/>
    <s v="FL"/>
    <n v="6"/>
    <n v="2.34"/>
    <m/>
    <n v="104"/>
    <m/>
    <m/>
    <m/>
    <n v="104"/>
    <n v="44.44444444444445"/>
  </r>
  <r>
    <n v="5503939"/>
    <x v="49"/>
    <x v="6"/>
    <s v="FL"/>
    <n v="2"/>
    <n v="0.78"/>
    <m/>
    <n v="65"/>
    <m/>
    <m/>
    <m/>
    <n v="65"/>
    <n v="83.333333333333329"/>
  </r>
  <r>
    <n v="5503939"/>
    <x v="49"/>
    <x v="6"/>
    <s v="FL"/>
    <n v="2"/>
    <n v="0.78"/>
    <m/>
    <n v="65"/>
    <m/>
    <m/>
    <m/>
    <n v="65"/>
    <n v="83.333333333333329"/>
  </r>
  <r>
    <n v="5504389"/>
    <x v="49"/>
    <x v="7"/>
    <s v="FL"/>
    <n v="8"/>
    <n v="4.68"/>
    <m/>
    <n v="189"/>
    <m/>
    <m/>
    <m/>
    <n v="189"/>
    <n v="40.384615384615387"/>
  </r>
  <r>
    <n v="5507263"/>
    <x v="49"/>
    <x v="8"/>
    <s v="SC"/>
    <n v="6"/>
    <n v="3.9"/>
    <m/>
    <n v="155.88"/>
    <m/>
    <m/>
    <m/>
    <n v="155.88"/>
    <n v="39.969230769230769"/>
  </r>
  <r>
    <n v="5507606"/>
    <x v="49"/>
    <x v="9"/>
    <s v="FL"/>
    <n v="2"/>
    <n v="0.39"/>
    <m/>
    <n v="48"/>
    <m/>
    <m/>
    <m/>
    <n v="48"/>
    <n v="123.07692307692307"/>
  </r>
  <r>
    <n v="5817034"/>
    <x v="50"/>
    <x v="1"/>
    <s v="SC"/>
    <n v="32"/>
    <n v="4.4800000000000004"/>
    <n v="116.48000000000002"/>
    <n v="115"/>
    <n v="16.8"/>
    <n v="4.4800000000000004"/>
    <n v="131.80000000000001"/>
    <n v="252.76000000000002"/>
    <n v="56.419642857142854"/>
  </r>
  <r>
    <n v="5817034"/>
    <x v="51"/>
    <x v="4"/>
    <s v="SC"/>
    <n v="30"/>
    <n v="2.84"/>
    <n v="73.84"/>
    <n v="115"/>
    <n v="16.8"/>
    <n v="2.84"/>
    <n v="131.80000000000001"/>
    <n v="208.48000000000002"/>
    <n v="73.408450704225359"/>
  </r>
  <r>
    <n v="5817034"/>
    <x v="51"/>
    <x v="3"/>
    <s v="OT"/>
    <n v="20"/>
    <n v="6.36"/>
    <n v="165.36"/>
    <n v="115"/>
    <n v="16.8"/>
    <n v="6.36"/>
    <m/>
    <n v="303.52000000000004"/>
    <n v="47.723270440251575"/>
  </r>
  <r>
    <n v="5817034"/>
    <x v="52"/>
    <x v="0"/>
    <s v="OT"/>
    <n v="40"/>
    <n v="3.7"/>
    <n v="96.2"/>
    <n v="115"/>
    <n v="16.850000000000001"/>
    <n v="3.7"/>
    <m/>
    <n v="231.74999999999997"/>
    <n v="62.635135135135123"/>
  </r>
  <r>
    <n v="5817034"/>
    <x v="53"/>
    <x v="1"/>
    <s v="SC"/>
    <n v="32"/>
    <n v="3.24"/>
    <n v="84.240000000000009"/>
    <n v="115"/>
    <n v="16.850000000000001"/>
    <n v="3.24"/>
    <n v="131.85"/>
    <n v="219.33"/>
    <n v="67.694444444444443"/>
  </r>
  <r>
    <n v="5817034"/>
    <x v="54"/>
    <x v="0"/>
    <s v="SC"/>
    <s v="?"/>
    <n v="4.05"/>
    <n v="105.3"/>
    <n v="115"/>
    <n v="16.850000000000001"/>
    <n v="4.05"/>
    <m/>
    <n v="241.20000000000002"/>
    <n v="59.555555555555564"/>
  </r>
  <r>
    <n v="5817034"/>
    <x v="54"/>
    <x v="3"/>
    <s v="SC"/>
    <n v="34"/>
    <n v="4.43"/>
    <n v="115.17999999999999"/>
    <n v="115"/>
    <n v="16.850000000000001"/>
    <n v="4.43"/>
    <m/>
    <n v="251.46"/>
    <n v="56.762979683972915"/>
  </r>
  <r>
    <n v="5817034"/>
    <x v="55"/>
    <x v="3"/>
    <s v="OT"/>
    <n v="20"/>
    <n v="4.9000000000000004"/>
    <n v="127.4"/>
    <n v="115"/>
    <n v="16.850000000000001"/>
    <n v="4.9000000000000004"/>
    <m/>
    <n v="264.14999999999998"/>
    <n v="53.908163265306115"/>
  </r>
  <r>
    <n v="5817034"/>
    <x v="56"/>
    <x v="0"/>
    <s v="OT"/>
    <n v="40"/>
    <n v="3.46"/>
    <n v="89.96"/>
    <n v="115"/>
    <n v="16.850000000000001"/>
    <n v="3.46"/>
    <m/>
    <n v="225.26999999999998"/>
    <n v="65.106936416184965"/>
  </r>
  <r>
    <n v="5817034"/>
    <x v="57"/>
    <x v="1"/>
    <s v="SC"/>
    <n v="32"/>
    <n v="4.7"/>
    <n v="122.2"/>
    <n v="115"/>
    <n v="16.7"/>
    <n v="4.7"/>
    <n v="131.69999999999999"/>
    <n v="258.59999999999997"/>
    <n v="55.021276595744673"/>
  </r>
  <r>
    <n v="5817034"/>
    <x v="58"/>
    <x v="0"/>
    <s v="OT"/>
    <n v="40"/>
    <n v="2.39"/>
    <n v="62.14"/>
    <n v="115"/>
    <n v="16.7"/>
    <n v="2.39"/>
    <m/>
    <n v="196.22999999999996"/>
    <n v="82.104602510460225"/>
  </r>
  <r>
    <n v="5817034"/>
    <x v="58"/>
    <x v="3"/>
    <s v="OT"/>
    <n v="20"/>
    <n v="2.4"/>
    <n v="62.4"/>
    <n v="115"/>
    <n v="16.7"/>
    <n v="2.4"/>
    <m/>
    <n v="196.5"/>
    <n v="81.875"/>
  </r>
  <r>
    <n v="5817034"/>
    <x v="58"/>
    <x v="3"/>
    <s v="OT"/>
    <n v="20"/>
    <n v="2.67"/>
    <n v="69.42"/>
    <n v="115"/>
    <n v="16.7"/>
    <n v="2.67"/>
    <m/>
    <n v="203.79"/>
    <n v="76.325842696629209"/>
  </r>
  <r>
    <n v="5817034"/>
    <x v="59"/>
    <x v="4"/>
    <s v="SC"/>
    <n v="30"/>
    <n v="3.36"/>
    <n v="87.36"/>
    <n v="115"/>
    <n v="16.420000000000002"/>
    <n v="3.36"/>
    <n v="131.42000000000002"/>
    <n v="222.14000000000004"/>
    <n v="66.113095238095255"/>
  </r>
  <r>
    <n v="5817034"/>
    <x v="60"/>
    <x v="1"/>
    <s v="SC"/>
    <n v="32"/>
    <n v="3.33"/>
    <n v="86.58"/>
    <n v="115"/>
    <n v="16.420000000000002"/>
    <n v="3.33"/>
    <n v="131.42000000000002"/>
    <n v="221.33"/>
    <n v="66.465465465465471"/>
  </r>
  <r>
    <n v="5817034"/>
    <x v="61"/>
    <x v="0"/>
    <s v="SC"/>
    <s v="?"/>
    <n v="2.41"/>
    <n v="62.660000000000004"/>
    <n v="115"/>
    <n v="16.420000000000002"/>
    <n v="2.41"/>
    <m/>
    <n v="196.48999999999998"/>
    <n v="81.531120331950191"/>
  </r>
  <r>
    <n v="5817034"/>
    <x v="61"/>
    <x v="0"/>
    <s v="OT"/>
    <n v="40"/>
    <n v="3.58"/>
    <n v="93.08"/>
    <n v="115"/>
    <n v="16.420000000000002"/>
    <n v="3.58"/>
    <m/>
    <n v="228.08"/>
    <n v="63.709497206703915"/>
  </r>
  <r>
    <n v="5817034"/>
    <x v="62"/>
    <x v="1"/>
    <s v="SC"/>
    <n v="32"/>
    <n v="4.99"/>
    <n v="129.74"/>
    <n v="115"/>
    <n v="16.420000000000002"/>
    <n v="4.99"/>
    <n v="131.42000000000002"/>
    <n v="266.15000000000003"/>
    <n v="53.336673346693388"/>
  </r>
  <r>
    <n v="5514135"/>
    <x v="63"/>
    <x v="5"/>
    <s v="FL"/>
    <n v="6"/>
    <n v="2.34"/>
    <m/>
    <n v="104"/>
    <m/>
    <m/>
    <m/>
    <n v="104"/>
    <n v="44.44444444444445"/>
  </r>
  <r>
    <n v="5514135"/>
    <x v="63"/>
    <x v="6"/>
    <s v="FL"/>
    <n v="2"/>
    <n v="0.78"/>
    <m/>
    <n v="65"/>
    <m/>
    <m/>
    <m/>
    <n v="65"/>
    <n v="83.333333333333329"/>
  </r>
  <r>
    <n v="5514135"/>
    <x v="63"/>
    <x v="6"/>
    <s v="FL"/>
    <n v="2"/>
    <n v="0.78"/>
    <m/>
    <n v="65"/>
    <m/>
    <m/>
    <m/>
    <n v="65"/>
    <n v="83.333333333333329"/>
  </r>
  <r>
    <n v="5514588"/>
    <x v="63"/>
    <x v="7"/>
    <s v="FL"/>
    <n v="8"/>
    <n v="4.68"/>
    <m/>
    <n v="189"/>
    <m/>
    <m/>
    <m/>
    <n v="189"/>
    <n v="40.384615384615387"/>
  </r>
  <r>
    <n v="5517445"/>
    <x v="63"/>
    <x v="8"/>
    <s v="SC"/>
    <n v="6"/>
    <n v="3.9"/>
    <m/>
    <n v="155.88"/>
    <m/>
    <m/>
    <m/>
    <n v="155.88"/>
    <n v="39.969230769230769"/>
  </r>
  <r>
    <n v="5517787"/>
    <x v="63"/>
    <x v="9"/>
    <s v="FL"/>
    <n v="2"/>
    <n v="0.39"/>
    <m/>
    <n v="48"/>
    <m/>
    <m/>
    <m/>
    <n v="48"/>
    <n v="123.07692307692307"/>
  </r>
  <r>
    <n v="5838247"/>
    <x v="64"/>
    <x v="4"/>
    <s v="SC"/>
    <n v="30"/>
    <n v="1.5"/>
    <n v="39"/>
    <n v="115"/>
    <n v="16.16"/>
    <n v="1.5"/>
    <n v="131.16"/>
    <n v="171.66"/>
    <n v="114.44"/>
  </r>
  <r>
    <n v="5838247"/>
    <x v="65"/>
    <x v="0"/>
    <s v="SC"/>
    <n v="32"/>
    <n v="2"/>
    <n v="52"/>
    <n v="115"/>
    <n v="16.16"/>
    <n v="2"/>
    <m/>
    <n v="185.16"/>
    <n v="92.58"/>
  </r>
  <r>
    <n v="5838247"/>
    <x v="66"/>
    <x v="3"/>
    <s v="OT"/>
    <n v="20"/>
    <n v="2.85"/>
    <n v="74.100000000000009"/>
    <n v="115"/>
    <n v="16.16"/>
    <n v="2.85"/>
    <m/>
    <n v="208.11"/>
    <n v="73.021052631578954"/>
  </r>
  <r>
    <n v="5838247"/>
    <x v="66"/>
    <x v="3"/>
    <s v="OT"/>
    <n v="20"/>
    <n v="3.8"/>
    <n v="98.8"/>
    <n v="115"/>
    <n v="16.16"/>
    <n v="3.8"/>
    <m/>
    <n v="233.76000000000002"/>
    <n v="61.515789473684215"/>
  </r>
  <r>
    <n v="5838247"/>
    <x v="66"/>
    <x v="0"/>
    <s v="OT"/>
    <n v="40"/>
    <n v="5.98"/>
    <n v="155.48000000000002"/>
    <n v="115"/>
    <n v="16.16"/>
    <n v="5.98"/>
    <m/>
    <n v="292.62000000000006"/>
    <n v="48.933110367892986"/>
  </r>
  <r>
    <n v="5838247"/>
    <x v="67"/>
    <x v="4"/>
    <s v="SC"/>
    <n v="30"/>
    <n v="3.27"/>
    <n v="85.02"/>
    <n v="115"/>
    <n v="16.16"/>
    <n v="3.27"/>
    <n v="131.16"/>
    <n v="219.45"/>
    <n v="67.110091743119256"/>
  </r>
  <r>
    <n v="5838247"/>
    <x v="68"/>
    <x v="4"/>
    <s v="SC"/>
    <n v="30"/>
    <n v="9.69"/>
    <n v="251.94"/>
    <n v="115"/>
    <n v="16.260000000000002"/>
    <n v="9.69"/>
    <n v="131.26"/>
    <n v="392.89"/>
    <n v="40.545923632610936"/>
  </r>
  <r>
    <n v="5838247"/>
    <x v="69"/>
    <x v="1"/>
    <s v="SC"/>
    <n v="32"/>
    <n v="5.87"/>
    <n v="152.62"/>
    <n v="115"/>
    <n v="16.260000000000002"/>
    <n v="5.87"/>
    <n v="131.26"/>
    <n v="289.75"/>
    <n v="49.361158432708685"/>
  </r>
  <r>
    <n v="5838247"/>
    <x v="70"/>
    <x v="0"/>
    <s v="OT"/>
    <n v="40"/>
    <n v="6.29"/>
    <n v="163.54"/>
    <n v="115"/>
    <n v="16.260000000000002"/>
    <n v="6.29"/>
    <m/>
    <n v="301.08999999999997"/>
    <n v="47.868044515103335"/>
  </r>
  <r>
    <n v="5838247"/>
    <x v="71"/>
    <x v="4"/>
    <s v="SC"/>
    <n v="30"/>
    <n v="4.45"/>
    <n v="115.7"/>
    <n v="115"/>
    <n v="16.260000000000002"/>
    <n v="4.45"/>
    <n v="131.26"/>
    <n v="251.40999999999997"/>
    <n v="56.496629213483139"/>
  </r>
  <r>
    <n v="5838247"/>
    <x v="72"/>
    <x v="1"/>
    <s v="SC"/>
    <n v="32"/>
    <n v="2.2799999999999998"/>
    <n v="59.279999999999994"/>
    <n v="115"/>
    <n v="16.260000000000002"/>
    <n v="2.2799999999999998"/>
    <n v="131.26"/>
    <n v="192.82"/>
    <n v="84.570175438596493"/>
  </r>
  <r>
    <n v="5838247"/>
    <x v="73"/>
    <x v="0"/>
    <s v="OT"/>
    <n v="40"/>
    <n v="1.48"/>
    <n v="38.479999999999997"/>
    <n v="115"/>
    <n v="16.23"/>
    <n v="1.48"/>
    <m/>
    <n v="171.18999999999997"/>
    <n v="115.66891891891891"/>
  </r>
  <r>
    <n v="5522661"/>
    <x v="74"/>
    <x v="5"/>
    <s v="FL"/>
    <n v="6"/>
    <n v="2.34"/>
    <m/>
    <n v="104"/>
    <m/>
    <m/>
    <m/>
    <n v="104"/>
    <n v="44.44444444444445"/>
  </r>
  <r>
    <n v="5522661"/>
    <x v="74"/>
    <x v="6"/>
    <s v="FL"/>
    <n v="2"/>
    <n v="0.78"/>
    <m/>
    <n v="65"/>
    <m/>
    <m/>
    <m/>
    <n v="65"/>
    <n v="83.333333333333329"/>
  </r>
  <r>
    <n v="5522661"/>
    <x v="74"/>
    <x v="6"/>
    <s v="FL"/>
    <n v="2"/>
    <n v="0.78"/>
    <m/>
    <n v="65"/>
    <m/>
    <m/>
    <m/>
    <n v="65"/>
    <n v="83.333333333333329"/>
  </r>
  <r>
    <n v="5523113"/>
    <x v="74"/>
    <x v="7"/>
    <s v="FL"/>
    <n v="8"/>
    <n v="4.68"/>
    <m/>
    <n v="189"/>
    <m/>
    <m/>
    <m/>
    <n v="189"/>
    <n v="40.384615384615387"/>
  </r>
  <r>
    <n v="5525958"/>
    <x v="74"/>
    <x v="8"/>
    <s v="SC"/>
    <n v="6"/>
    <n v="3.9"/>
    <m/>
    <n v="155.88"/>
    <m/>
    <m/>
    <m/>
    <n v="155.88"/>
    <n v="39.969230769230769"/>
  </r>
  <r>
    <n v="5526298"/>
    <x v="74"/>
    <x v="9"/>
    <s v="FL"/>
    <n v="2"/>
    <n v="0.39"/>
    <m/>
    <n v="48"/>
    <m/>
    <m/>
    <m/>
    <n v="48"/>
    <n v="123.07692307692307"/>
  </r>
  <r>
    <n v="5838247"/>
    <x v="74"/>
    <x v="4"/>
    <s v="SC"/>
    <n v="30"/>
    <n v="1.7"/>
    <n v="44.199999999999996"/>
    <n v="115"/>
    <n v="16.23"/>
    <n v="1.7"/>
    <n v="131.22999999999999"/>
    <n v="177.12999999999997"/>
    <n v="104.1941176470588"/>
  </r>
  <r>
    <n v="5838247"/>
    <x v="74"/>
    <x v="3"/>
    <s v="OT"/>
    <n v="20"/>
    <n v="0.95"/>
    <n v="24.7"/>
    <n v="115"/>
    <n v="16.23"/>
    <n v="0.95"/>
    <m/>
    <n v="156.87999999999997"/>
    <n v="165.13684210526313"/>
  </r>
  <r>
    <n v="5858085"/>
    <x v="75"/>
    <x v="3"/>
    <s v="OT"/>
    <n v="20"/>
    <n v="0.81"/>
    <n v="21.060000000000002"/>
    <n v="115"/>
    <n v="16.02"/>
    <n v="0.81"/>
    <m/>
    <n v="152.89000000000001"/>
    <n v="188.75308641975309"/>
  </r>
  <r>
    <n v="5858085"/>
    <x v="76"/>
    <x v="1"/>
    <s v="SC"/>
    <n v="32"/>
    <n v="4.24"/>
    <n v="110.24000000000001"/>
    <n v="115"/>
    <n v="16.02"/>
    <n v="4.24"/>
    <n v="131.02000000000001"/>
    <n v="245.50000000000003"/>
    <n v="57.900943396226417"/>
  </r>
  <r>
    <n v="5858085"/>
    <x v="77"/>
    <x v="4"/>
    <s v="SC"/>
    <n v="30"/>
    <n v="0.4"/>
    <n v="10.4"/>
    <n v="115"/>
    <n v="16.02"/>
    <n v="0.4"/>
    <n v="131.02000000000001"/>
    <n v="141.82000000000002"/>
    <n v="354.55"/>
  </r>
  <r>
    <n v="5858085"/>
    <x v="77"/>
    <x v="1"/>
    <s v="SC"/>
    <n v="32"/>
    <n v="2.87"/>
    <n v="74.62"/>
    <n v="115"/>
    <n v="16.02"/>
    <n v="2.87"/>
    <n v="131.02000000000001"/>
    <n v="208.51000000000002"/>
    <n v="72.651567944250871"/>
  </r>
  <r>
    <n v="5858085"/>
    <x v="78"/>
    <x v="1"/>
    <s v="SC"/>
    <n v="32"/>
    <n v="1.1599999999999999"/>
    <n v="30.159999999999997"/>
    <n v="115"/>
    <n v="16.02"/>
    <n v="1.1599999999999999"/>
    <n v="131.02000000000001"/>
    <n v="162.34"/>
    <n v="139.94827586206898"/>
  </r>
  <r>
    <n v="5858085"/>
    <x v="79"/>
    <x v="0"/>
    <s v="OT"/>
    <n v="40"/>
    <n v="6.26"/>
    <n v="162.76"/>
    <n v="115"/>
    <n v="16.02"/>
    <n v="6.26"/>
    <m/>
    <n v="300.03999999999996"/>
    <n v="47.929712460063897"/>
  </r>
  <r>
    <n v="5858085"/>
    <x v="79"/>
    <x v="3"/>
    <s v="OT"/>
    <n v="20"/>
    <n v="2.5"/>
    <n v="65"/>
    <n v="115"/>
    <n v="16.02"/>
    <n v="2.5"/>
    <m/>
    <n v="198.52"/>
    <n v="79.408000000000001"/>
  </r>
  <r>
    <n v="5858085"/>
    <x v="79"/>
    <x v="3"/>
    <s v="OT"/>
    <n v="20"/>
    <n v="0.73"/>
    <n v="18.98"/>
    <n v="115"/>
    <n v="16.02"/>
    <n v="0.73"/>
    <m/>
    <n v="150.72999999999999"/>
    <n v="206.47945205479451"/>
  </r>
  <r>
    <n v="5858085"/>
    <x v="79"/>
    <x v="3"/>
    <s v="SC"/>
    <n v="34"/>
    <n v="8.85"/>
    <n v="230.1"/>
    <n v="115"/>
    <n v="16.02"/>
    <n v="8.85"/>
    <m/>
    <n v="369.97"/>
    <n v="41.804519774011304"/>
  </r>
  <r>
    <n v="5858085"/>
    <x v="80"/>
    <x v="4"/>
    <s v="SC"/>
    <n v="30"/>
    <n v="1.99"/>
    <n v="51.74"/>
    <n v="115"/>
    <n v="16.02"/>
    <n v="1.99"/>
    <n v="131.02000000000001"/>
    <n v="184.75000000000003"/>
    <n v="92.839195979899515"/>
  </r>
  <r>
    <n v="5858085"/>
    <x v="81"/>
    <x v="1"/>
    <s v="SC"/>
    <n v="32"/>
    <n v="2.7"/>
    <n v="70.2"/>
    <n v="115"/>
    <n v="16.02"/>
    <n v="2.7"/>
    <n v="131.02000000000001"/>
    <n v="203.92"/>
    <n v="75.525925925925918"/>
  </r>
  <r>
    <n v="5858085"/>
    <x v="82"/>
    <x v="4"/>
    <s v="SC"/>
    <n v="30"/>
    <n v="1.5"/>
    <n v="39"/>
    <n v="115"/>
    <n v="16.02"/>
    <n v="1.5"/>
    <n v="131.02000000000001"/>
    <n v="171.52"/>
    <n v="114.34666666666668"/>
  </r>
  <r>
    <n v="5858085"/>
    <x v="83"/>
    <x v="0"/>
    <s v="SC"/>
    <n v="35"/>
    <n v="5.27"/>
    <n v="137.01999999999998"/>
    <n v="115"/>
    <n v="16.02"/>
    <n v="5.27"/>
    <m/>
    <n v="273.30999999999995"/>
    <n v="51.861480075901319"/>
  </r>
  <r>
    <n v="5858085"/>
    <x v="83"/>
    <x v="3"/>
    <s v="OT"/>
    <n v="20"/>
    <n v="1.21"/>
    <n v="31.46"/>
    <n v="115"/>
    <n v="16.02"/>
    <n v="1.21"/>
    <m/>
    <n v="163.69000000000003"/>
    <n v="135.28099173553721"/>
  </r>
  <r>
    <n v="5858085"/>
    <x v="83"/>
    <x v="0"/>
    <s v="OT"/>
    <n v="40"/>
    <n v="5.48"/>
    <n v="142.48000000000002"/>
    <n v="115"/>
    <n v="16.02"/>
    <n v="5.48"/>
    <m/>
    <n v="278.98"/>
    <n v="50.908759124087588"/>
  </r>
  <r>
    <n v="5858085"/>
    <x v="83"/>
    <x v="0"/>
    <s v="OT"/>
    <n v="40"/>
    <n v="3.66"/>
    <n v="95.16"/>
    <n v="115"/>
    <n v="16.02"/>
    <n v="3.66"/>
    <m/>
    <n v="229.84"/>
    <n v="62.797814207650269"/>
  </r>
  <r>
    <n v="5858085"/>
    <x v="84"/>
    <x v="1"/>
    <s v="SC"/>
    <n v="32"/>
    <n v="2"/>
    <n v="52"/>
    <n v="115"/>
    <n v="16.02"/>
    <n v="2"/>
    <n v="131.02000000000001"/>
    <n v="185.02"/>
    <n v="92.51"/>
  </r>
  <r>
    <n v="5858085"/>
    <x v="85"/>
    <x v="4"/>
    <s v="SC"/>
    <n v="30"/>
    <n v="1.9"/>
    <n v="49.4"/>
    <n v="115"/>
    <n v="16.02"/>
    <n v="1.9"/>
    <n v="131.02000000000001"/>
    <n v="182.32000000000002"/>
    <n v="95.957894736842121"/>
  </r>
  <r>
    <n v="5531159"/>
    <x v="86"/>
    <x v="5"/>
    <s v="FL"/>
    <n v="6"/>
    <n v="2.34"/>
    <m/>
    <n v="104"/>
    <m/>
    <m/>
    <m/>
    <n v="104"/>
    <n v="44.44444444444445"/>
  </r>
  <r>
    <n v="5531159"/>
    <x v="86"/>
    <x v="6"/>
    <s v="FL"/>
    <n v="2"/>
    <n v="0.78"/>
    <m/>
    <n v="65"/>
    <m/>
    <m/>
    <m/>
    <n v="65"/>
    <n v="83.333333333333329"/>
  </r>
  <r>
    <n v="5531159"/>
    <x v="86"/>
    <x v="6"/>
    <s v="FL"/>
    <n v="2"/>
    <n v="0.78"/>
    <m/>
    <n v="65"/>
    <m/>
    <m/>
    <m/>
    <n v="65"/>
    <n v="83.333333333333329"/>
  </r>
  <r>
    <n v="5531606"/>
    <x v="86"/>
    <x v="7"/>
    <s v="FL"/>
    <n v="8"/>
    <n v="4.68"/>
    <m/>
    <n v="189"/>
    <m/>
    <m/>
    <m/>
    <n v="189"/>
    <n v="40.384615384615387"/>
  </r>
  <r>
    <n v="5534453"/>
    <x v="86"/>
    <x v="8"/>
    <s v="SC"/>
    <n v="6"/>
    <n v="3.9"/>
    <m/>
    <n v="155.88"/>
    <m/>
    <m/>
    <m/>
    <n v="155.88"/>
    <n v="39.969230769230769"/>
  </r>
  <r>
    <n v="5534793"/>
    <x v="86"/>
    <x v="9"/>
    <s v="FL"/>
    <n v="2"/>
    <n v="0.39"/>
    <m/>
    <n v="48"/>
    <m/>
    <m/>
    <m/>
    <n v="48"/>
    <n v="123.07692307692307"/>
  </r>
  <r>
    <n v="5858085"/>
    <x v="86"/>
    <x v="1"/>
    <s v="SC"/>
    <n v="32"/>
    <n v="2.16"/>
    <n v="56.160000000000004"/>
    <n v="115"/>
    <n v="16.02"/>
    <n v="2.16"/>
    <n v="131.02000000000001"/>
    <n v="189.34"/>
    <n v="87.657407407407405"/>
  </r>
  <r>
    <n v="5877672"/>
    <x v="87"/>
    <x v="2"/>
    <s v="OT"/>
    <n v="40"/>
    <n v="2.4700000000000002"/>
    <n v="64.22"/>
    <n v="115"/>
    <n v="16.02"/>
    <n v="2.4700000000000002"/>
    <m/>
    <n v="197.71"/>
    <n v="80.044534412955457"/>
  </r>
  <r>
    <n v="5877672"/>
    <x v="88"/>
    <x v="0"/>
    <s v="OT"/>
    <n v="40"/>
    <n v="2.97"/>
    <n v="77.22"/>
    <n v="115"/>
    <n v="16.02"/>
    <n v="2.97"/>
    <m/>
    <n v="211.21"/>
    <n v="71.114478114478118"/>
  </r>
  <r>
    <n v="5877672"/>
    <x v="88"/>
    <x v="4"/>
    <s v="SC"/>
    <n v="30"/>
    <n v="2.0099999999999998"/>
    <n v="52.259999999999991"/>
    <n v="115"/>
    <n v="16.02"/>
    <n v="2.0099999999999998"/>
    <n v="131.02000000000001"/>
    <n v="185.29"/>
    <n v="92.184079601990049"/>
  </r>
  <r>
    <n v="5877672"/>
    <x v="89"/>
    <x v="1"/>
    <s v="SC"/>
    <n v="32"/>
    <n v="2.0099999999999998"/>
    <n v="52.259999999999991"/>
    <n v="115"/>
    <n v="16.16"/>
    <n v="2.0099999999999998"/>
    <n v="131.16"/>
    <n v="185.42999999999998"/>
    <n v="92.253731343283576"/>
  </r>
  <r>
    <n v="5877672"/>
    <x v="90"/>
    <x v="4"/>
    <s v="SC"/>
    <n v="30"/>
    <n v="0.22"/>
    <n v="5.72"/>
    <n v="115"/>
    <n v="16.02"/>
    <n v="0.22"/>
    <n v="131.02000000000001"/>
    <n v="136.96"/>
    <n v="622.54545454545462"/>
  </r>
  <r>
    <n v="5877672"/>
    <x v="90"/>
    <x v="3"/>
    <s v="OT"/>
    <n v="20"/>
    <n v="1.32"/>
    <n v="34.32"/>
    <n v="115"/>
    <n v="16.02"/>
    <n v="1.32"/>
    <m/>
    <n v="166.66"/>
    <n v="126.25757575757575"/>
  </r>
  <r>
    <n v="5877672"/>
    <x v="90"/>
    <x v="2"/>
    <s v="OT"/>
    <n v="40"/>
    <n v="3.49"/>
    <n v="90.740000000000009"/>
    <n v="115"/>
    <n v="16.02"/>
    <n v="3.49"/>
    <m/>
    <n v="225.25000000000003"/>
    <n v="64.541547277936971"/>
  </r>
  <r>
    <n v="5877672"/>
    <x v="91"/>
    <x v="1"/>
    <s v="SC"/>
    <n v="32"/>
    <n v="2.14"/>
    <n v="55.64"/>
    <n v="115"/>
    <n v="16.02"/>
    <n v="2.14"/>
    <n v="131.02000000000001"/>
    <n v="188.79999999999998"/>
    <n v="88.224299065420553"/>
  </r>
  <r>
    <n v="5877672"/>
    <x v="92"/>
    <x v="3"/>
    <s v="OT"/>
    <n v="20"/>
    <n v="0.61"/>
    <n v="15.86"/>
    <n v="115"/>
    <n v="16.02"/>
    <n v="0.61"/>
    <m/>
    <n v="147.49000000000004"/>
    <n v="241.78688524590171"/>
  </r>
  <r>
    <n v="5877672"/>
    <x v="93"/>
    <x v="4"/>
    <s v="SC"/>
    <n v="30"/>
    <n v="2.13"/>
    <n v="55.379999999999995"/>
    <n v="115"/>
    <n v="16.02"/>
    <n v="2.13"/>
    <n v="131.02000000000001"/>
    <n v="188.53"/>
    <n v="88.511737089201887"/>
  </r>
  <r>
    <n v="5877672"/>
    <x v="94"/>
    <x v="2"/>
    <s v="OT"/>
    <n v="40"/>
    <n v="1.64"/>
    <n v="42.64"/>
    <n v="115"/>
    <n v="16.02"/>
    <n v="1.64"/>
    <m/>
    <n v="175.29999999999998"/>
    <n v="106.89024390243902"/>
  </r>
  <r>
    <n v="5877672"/>
    <x v="94"/>
    <x v="11"/>
    <s v="OT"/>
    <n v="40"/>
    <n v="1.06"/>
    <n v="27.560000000000002"/>
    <n v="115"/>
    <n v="16.02"/>
    <n v="1.06"/>
    <m/>
    <n v="159.64000000000001"/>
    <n v="150.60377358490567"/>
  </r>
  <r>
    <n v="5877672"/>
    <x v="95"/>
    <x v="1"/>
    <s v="SC"/>
    <n v="32"/>
    <n v="2.31"/>
    <n v="60.06"/>
    <n v="115"/>
    <n v="16.02"/>
    <n v="2.31"/>
    <n v="131.02000000000001"/>
    <n v="193.39000000000001"/>
    <n v="83.718614718614717"/>
  </r>
  <r>
    <n v="5877672"/>
    <x v="96"/>
    <x v="3"/>
    <s v="SC"/>
    <n v="35"/>
    <n v="6.4"/>
    <n v="166.4"/>
    <n v="115"/>
    <n v="16.16"/>
    <n v="6.4"/>
    <m/>
    <n v="303.95999999999998"/>
    <n v="47.493749999999991"/>
  </r>
  <r>
    <n v="5877672"/>
    <x v="97"/>
    <x v="4"/>
    <s v="SC"/>
    <n v="30"/>
    <n v="2.4700000000000002"/>
    <n v="64.22"/>
    <n v="115"/>
    <n v="16.16"/>
    <n v="2.4700000000000002"/>
    <n v="131.16"/>
    <n v="197.85"/>
    <n v="80.101214574898776"/>
  </r>
  <r>
    <n v="5877672"/>
    <x v="98"/>
    <x v="3"/>
    <s v="OT"/>
    <n v="20"/>
    <n v="1.77"/>
    <n v="46.02"/>
    <n v="115"/>
    <n v="16.16"/>
    <n v="1.77"/>
    <m/>
    <n v="178.95000000000002"/>
    <n v="101.10169491525424"/>
  </r>
  <r>
    <n v="5877672"/>
    <x v="99"/>
    <x v="1"/>
    <s v="SC"/>
    <n v="32"/>
    <n v="2.0299999999999998"/>
    <n v="52.779999999999994"/>
    <n v="115"/>
    <n v="16.16"/>
    <n v="2.0299999999999998"/>
    <n v="131.16"/>
    <n v="185.97"/>
    <n v="91.610837438423658"/>
  </r>
  <r>
    <n v="5877672"/>
    <x v="100"/>
    <x v="1"/>
    <s v="SC"/>
    <n v="32"/>
    <n v="4.6100000000000003"/>
    <n v="119.86000000000001"/>
    <n v="115"/>
    <n v="16.16"/>
    <n v="4.6100000000000003"/>
    <n v="131.16"/>
    <n v="255.63000000000002"/>
    <n v="55.451193058568329"/>
  </r>
  <r>
    <n v="5539622"/>
    <x v="101"/>
    <x v="5"/>
    <s v="FL"/>
    <n v="6"/>
    <n v="2.34"/>
    <m/>
    <n v="104"/>
    <n v="0"/>
    <m/>
    <m/>
    <n v="104"/>
    <n v="44.44444444444445"/>
  </r>
  <r>
    <n v="5539622"/>
    <x v="101"/>
    <x v="6"/>
    <s v="FL"/>
    <n v="2"/>
    <n v="0.78"/>
    <m/>
    <n v="65"/>
    <n v="0"/>
    <m/>
    <m/>
    <n v="65"/>
    <n v="83.333333333333329"/>
  </r>
  <r>
    <n v="5539622"/>
    <x v="101"/>
    <x v="6"/>
    <s v="FL"/>
    <n v="2"/>
    <n v="0.78"/>
    <m/>
    <n v="65"/>
    <n v="0"/>
    <m/>
    <m/>
    <n v="65"/>
    <n v="83.333333333333329"/>
  </r>
  <r>
    <n v="5540071"/>
    <x v="101"/>
    <x v="7"/>
    <s v="FL"/>
    <n v="8"/>
    <n v="4.68"/>
    <m/>
    <n v="189"/>
    <m/>
    <m/>
    <m/>
    <n v="189"/>
    <n v="40.384615384615387"/>
  </r>
  <r>
    <n v="5542884"/>
    <x v="101"/>
    <x v="8"/>
    <s v="SC"/>
    <n v="6"/>
    <n v="3.9"/>
    <m/>
    <n v="155.88"/>
    <n v="0"/>
    <m/>
    <m/>
    <n v="155.88"/>
    <n v="39.969230769230769"/>
  </r>
  <r>
    <n v="5543216"/>
    <x v="101"/>
    <x v="6"/>
    <s v="FL"/>
    <n v="2"/>
    <n v="0.78"/>
    <m/>
    <n v="65"/>
    <n v="0"/>
    <m/>
    <m/>
    <n v="65"/>
    <n v="83.333333333333329"/>
  </r>
  <r>
    <n v="5877672"/>
    <x v="101"/>
    <x v="0"/>
    <s v="OT"/>
    <n v="40"/>
    <n v="4.7300000000000004"/>
    <n v="122.98000000000002"/>
    <n v="115"/>
    <n v="16.16"/>
    <n v="4.7300000000000004"/>
    <m/>
    <n v="258.87"/>
    <n v="54.729386892177587"/>
  </r>
  <r>
    <n v="5896053"/>
    <x v="102"/>
    <x v="4"/>
    <s v="SC"/>
    <n v="30"/>
    <n v="1.21"/>
    <n v="31.46"/>
    <n v="115"/>
    <n v="16.190000000000001"/>
    <n v="1.21"/>
    <n v="131.19"/>
    <n v="163.86"/>
    <n v="135.42148760330579"/>
  </r>
  <r>
    <n v="5896053"/>
    <x v="102"/>
    <x v="3"/>
    <s v="OT"/>
    <n v="20"/>
    <n v="2.5"/>
    <n v="65"/>
    <n v="115"/>
    <n v="16.190000000000001"/>
    <n v="2.5"/>
    <m/>
    <n v="198.69"/>
    <n v="79.475999999999999"/>
  </r>
  <r>
    <n v="5896053"/>
    <x v="103"/>
    <x v="1"/>
    <s v="SC"/>
    <n v="32"/>
    <n v="1.47"/>
    <n v="38.22"/>
    <n v="115"/>
    <n v="16.190000000000001"/>
    <n v="1.47"/>
    <n v="131.19"/>
    <n v="170.88"/>
    <n v="116.24489795918367"/>
  </r>
  <r>
    <n v="5896053"/>
    <x v="104"/>
    <x v="2"/>
    <s v="OT"/>
    <n v="40"/>
    <n v="4.16"/>
    <n v="108.16"/>
    <n v="115"/>
    <n v="16.190000000000001"/>
    <n v="4.16"/>
    <m/>
    <n v="243.51"/>
    <n v="58.536057692307686"/>
  </r>
  <r>
    <n v="5896053"/>
    <x v="105"/>
    <x v="4"/>
    <s v="SC"/>
    <n v="30"/>
    <n v="5.62"/>
    <n v="146.12"/>
    <n v="115"/>
    <n v="16.190000000000001"/>
    <n v="5.62"/>
    <n v="131.19"/>
    <n v="282.93"/>
    <n v="50.343416370106759"/>
  </r>
  <r>
    <n v="5896053"/>
    <x v="105"/>
    <x v="3"/>
    <s v="OT"/>
    <n v="20"/>
    <n v="1.54"/>
    <n v="40.04"/>
    <n v="115"/>
    <n v="16.190000000000001"/>
    <n v="1.54"/>
    <m/>
    <n v="172.76999999999998"/>
    <n v="112.18831168831167"/>
  </r>
  <r>
    <n v="5896053"/>
    <x v="106"/>
    <x v="1"/>
    <s v="SC"/>
    <n v="32"/>
    <n v="2.37"/>
    <n v="61.620000000000005"/>
    <n v="115"/>
    <n v="16.190000000000001"/>
    <n v="2.37"/>
    <n v="131.19"/>
    <n v="195.18"/>
    <n v="82.35443037974683"/>
  </r>
  <r>
    <n v="5896053"/>
    <x v="107"/>
    <x v="1"/>
    <s v="SC"/>
    <n v="32"/>
    <n v="6.44"/>
    <n v="167.44"/>
    <n v="115"/>
    <n v="16.190000000000001"/>
    <n v="6.44"/>
    <n v="131.19"/>
    <n v="305.07"/>
    <n v="47.371118012422357"/>
  </r>
  <r>
    <n v="5896053"/>
    <x v="108"/>
    <x v="4"/>
    <s v="SC"/>
    <n v="30"/>
    <n v="2.2000000000000002"/>
    <n v="57.2"/>
    <n v="115"/>
    <n v="16.190000000000001"/>
    <n v="2.2000000000000002"/>
    <n v="131.19"/>
    <n v="190.58999999999997"/>
    <n v="86.631818181818161"/>
  </r>
  <r>
    <n v="5896053"/>
    <x v="108"/>
    <x v="2"/>
    <s v="OT"/>
    <n v="40"/>
    <n v="3.47"/>
    <n v="90.22"/>
    <n v="115"/>
    <n v="16.190000000000001"/>
    <n v="3.47"/>
    <m/>
    <n v="224.88"/>
    <n v="64.80691642651297"/>
  </r>
  <r>
    <n v="5896053"/>
    <x v="109"/>
    <x v="1"/>
    <s v="SC"/>
    <n v="32"/>
    <n v="6.61"/>
    <n v="171.86"/>
    <n v="115"/>
    <n v="16.23"/>
    <n v="6.61"/>
    <n v="131.22999999999999"/>
    <n v="309.70000000000005"/>
    <n v="46.853252647503787"/>
  </r>
  <r>
    <n v="5896053"/>
    <x v="110"/>
    <x v="0"/>
    <s v="OT"/>
    <n v="40"/>
    <n v="3.27"/>
    <n v="85.02"/>
    <n v="115"/>
    <n v="16.23"/>
    <n v="3.27"/>
    <m/>
    <n v="219.51999999999998"/>
    <n v="67.131498470948003"/>
  </r>
  <r>
    <n v="5896053"/>
    <x v="111"/>
    <x v="2"/>
    <s v="OT"/>
    <n v="40"/>
    <n v="2.93"/>
    <n v="76.180000000000007"/>
    <n v="115"/>
    <n v="16.23"/>
    <n v="2.93"/>
    <m/>
    <n v="210.34"/>
    <n v="71.788395904436854"/>
  </r>
  <r>
    <n v="5896053"/>
    <x v="112"/>
    <x v="4"/>
    <s v="SC"/>
    <n v="30"/>
    <n v="4.05"/>
    <n v="105.3"/>
    <n v="115"/>
    <n v="16.23"/>
    <n v="4.05"/>
    <n v="131.22999999999999"/>
    <n v="240.58"/>
    <n v="59.402469135802477"/>
  </r>
  <r>
    <n v="5896053"/>
    <x v="113"/>
    <x v="1"/>
    <s v="SC"/>
    <n v="32"/>
    <n v="5.77"/>
    <n v="150.01999999999998"/>
    <n v="115"/>
    <n v="16.23"/>
    <n v="5.77"/>
    <n v="131.22999999999999"/>
    <n v="287.02"/>
    <n v="49.74350086655113"/>
  </r>
  <r>
    <n v="5896053"/>
    <x v="114"/>
    <x v="1"/>
    <s v="SC"/>
    <n v="32"/>
    <n v="1.57"/>
    <n v="40.82"/>
    <n v="115"/>
    <n v="16.23"/>
    <n v="1.57"/>
    <n v="131.22999999999999"/>
    <n v="173.61999999999998"/>
    <n v="110.58598726114647"/>
  </r>
  <r>
    <n v="5896053"/>
    <x v="115"/>
    <x v="4"/>
    <s v="SC"/>
    <n v="30"/>
    <n v="1.39"/>
    <n v="36.14"/>
    <n v="115"/>
    <n v="16.23"/>
    <n v="1.39"/>
    <n v="131.22999999999999"/>
    <n v="168.75999999999996"/>
    <n v="121.41007194244602"/>
  </r>
  <r>
    <n v="5896053"/>
    <x v="115"/>
    <x v="0"/>
    <s v="OT"/>
    <n v="40"/>
    <n v="2.11"/>
    <n v="54.86"/>
    <n v="115"/>
    <n v="16.23"/>
    <n v="2.11"/>
    <m/>
    <n v="188.20000000000002"/>
    <n v="89.19431279620855"/>
  </r>
  <r>
    <n v="5896053"/>
    <x v="115"/>
    <x v="0"/>
    <s v="OT"/>
    <n v="20"/>
    <n v="0.97"/>
    <n v="25.22"/>
    <n v="115"/>
    <n v="16.23"/>
    <n v="0.97"/>
    <m/>
    <n v="157.41999999999999"/>
    <n v="162.28865979381442"/>
  </r>
  <r>
    <n v="5896053"/>
    <x v="115"/>
    <x v="0"/>
    <s v="OT"/>
    <n v="20"/>
    <n v="0.91"/>
    <n v="23.66"/>
    <n v="115"/>
    <n v="16.23"/>
    <n v="0.91"/>
    <m/>
    <n v="155.79999999999998"/>
    <n v="171.20879120879118"/>
  </r>
  <r>
    <n v="5547742"/>
    <x v="116"/>
    <x v="5"/>
    <s v="FL"/>
    <n v="6"/>
    <n v="2.34"/>
    <m/>
    <n v="104"/>
    <n v="0"/>
    <m/>
    <m/>
    <n v="104"/>
    <n v="44.44444444444445"/>
  </r>
  <r>
    <n v="5547742"/>
    <x v="116"/>
    <x v="6"/>
    <s v="FL"/>
    <n v="2"/>
    <n v="0.78"/>
    <m/>
    <n v="65"/>
    <n v="0"/>
    <m/>
    <m/>
    <n v="65"/>
    <n v="83.333333333333329"/>
  </r>
  <r>
    <n v="5547742"/>
    <x v="116"/>
    <x v="6"/>
    <s v="FL"/>
    <n v="2"/>
    <n v="0.78"/>
    <m/>
    <n v="65"/>
    <n v="0"/>
    <m/>
    <m/>
    <n v="65"/>
    <n v="83.333333333333329"/>
  </r>
  <r>
    <n v="5548187"/>
    <x v="116"/>
    <x v="7"/>
    <s v="FL"/>
    <n v="8"/>
    <n v="4.68"/>
    <m/>
    <n v="189"/>
    <n v="0"/>
    <m/>
    <m/>
    <n v="189"/>
    <n v="40.384615384615387"/>
  </r>
  <r>
    <n v="5551005"/>
    <x v="116"/>
    <x v="8"/>
    <s v="SC"/>
    <n v="6"/>
    <n v="3.9"/>
    <m/>
    <n v="155.88"/>
    <n v="0"/>
    <m/>
    <m/>
    <n v="155.88"/>
    <n v="39.969230769230769"/>
  </r>
  <r>
    <n v="5551334"/>
    <x v="116"/>
    <x v="9"/>
    <s v="FL"/>
    <n v="2"/>
    <n v="0.39"/>
    <m/>
    <n v="48"/>
    <n v="0"/>
    <m/>
    <m/>
    <n v="48"/>
    <n v="123.07692307692307"/>
  </r>
  <r>
    <n v="5896053"/>
    <x v="116"/>
    <x v="2"/>
    <s v="OT"/>
    <n v="40"/>
    <n v="4.68"/>
    <n v="121.67999999999999"/>
    <n v="115"/>
    <n v="16.23"/>
    <n v="4.68"/>
    <m/>
    <n v="257.58999999999997"/>
    <n v="55.04059829059829"/>
  </r>
  <r>
    <n v="5914230"/>
    <x v="117"/>
    <x v="1"/>
    <s v="SC"/>
    <n v="32"/>
    <n v="2.7"/>
    <n v="70.2"/>
    <n v="115"/>
    <n v="16.66"/>
    <n v="2.7"/>
    <n v="131.66"/>
    <n v="204.55999999999997"/>
    <n v="75.762962962962945"/>
  </r>
  <r>
    <n v="5914230"/>
    <x v="118"/>
    <x v="1"/>
    <s v="SC"/>
    <n v="32"/>
    <n v="4.32"/>
    <n v="112.32000000000001"/>
    <n v="115"/>
    <n v="16.66"/>
    <n v="4.32"/>
    <n v="131.66"/>
    <n v="248.29999999999998"/>
    <n v="57.476851851851848"/>
  </r>
  <r>
    <n v="5914230"/>
    <x v="119"/>
    <x v="11"/>
    <s v="OT"/>
    <n v="40"/>
    <n v="3.38"/>
    <n v="87.88"/>
    <n v="115"/>
    <n v="16.66"/>
    <n v="3.38"/>
    <m/>
    <n v="222.92"/>
    <n v="65.952662721893489"/>
  </r>
  <r>
    <n v="5914230"/>
    <x v="120"/>
    <x v="4"/>
    <s v="SC"/>
    <n v="30"/>
    <n v="6.43"/>
    <n v="167.18"/>
    <n v="115"/>
    <n v="16.66"/>
    <n v="6.43"/>
    <n v="131.66"/>
    <n v="305.27000000000004"/>
    <n v="47.475894245723183"/>
  </r>
  <r>
    <n v="5914230"/>
    <x v="121"/>
    <x v="2"/>
    <s v="OT"/>
    <n v="40"/>
    <n v="5.07"/>
    <n v="131.82"/>
    <n v="115"/>
    <n v="16.66"/>
    <n v="5.07"/>
    <m/>
    <n v="268.55"/>
    <n v="52.968441814595657"/>
  </r>
  <r>
    <n v="5914230"/>
    <x v="122"/>
    <x v="1"/>
    <s v="SC"/>
    <n v="32"/>
    <n v="3.34"/>
    <n v="86.84"/>
    <n v="115"/>
    <n v="16.66"/>
    <n v="3.34"/>
    <n v="131.66"/>
    <n v="221.84"/>
    <n v="66.419161676646709"/>
  </r>
  <r>
    <n v="5914230"/>
    <x v="123"/>
    <x v="4"/>
    <s v="SC"/>
    <n v="30"/>
    <n v="3.11"/>
    <n v="80.86"/>
    <n v="115"/>
    <n v="16.66"/>
    <n v="3.11"/>
    <n v="131.66"/>
    <n v="215.63000000000002"/>
    <n v="69.334405144694543"/>
  </r>
  <r>
    <n v="5914230"/>
    <x v="124"/>
    <x v="2"/>
    <s v="OT"/>
    <n v="40"/>
    <n v="2.67"/>
    <n v="69.42"/>
    <n v="115"/>
    <n v="16.66"/>
    <n v="2.67"/>
    <m/>
    <n v="203.75"/>
    <n v="76.31086142322097"/>
  </r>
  <r>
    <n v="5914230"/>
    <x v="125"/>
    <x v="1"/>
    <s v="SC"/>
    <n v="32"/>
    <n v="4.18"/>
    <n v="108.67999999999999"/>
    <n v="115"/>
    <n v="16.63"/>
    <n v="4.18"/>
    <n v="131.63"/>
    <n v="244.49"/>
    <n v="58.490430622009576"/>
  </r>
  <r>
    <n v="5914230"/>
    <x v="126"/>
    <x v="4"/>
    <s v="SC"/>
    <n v="30"/>
    <n v="2.1800000000000002"/>
    <n v="56.680000000000007"/>
    <n v="115"/>
    <n v="16.63"/>
    <n v="2.1800000000000002"/>
    <n v="131.63"/>
    <n v="190.49"/>
    <n v="87.38073394495413"/>
  </r>
  <r>
    <n v="5914230"/>
    <x v="126"/>
    <x v="2"/>
    <s v="OT"/>
    <n v="40"/>
    <n v="2.29"/>
    <n v="59.54"/>
    <n v="115"/>
    <n v="16.66"/>
    <n v="2.29"/>
    <m/>
    <n v="193.48999999999998"/>
    <n v="84.493449781659379"/>
  </r>
  <r>
    <n v="5914230"/>
    <x v="127"/>
    <x v="1"/>
    <s v="SC"/>
    <n v="32"/>
    <n v="2.2000000000000002"/>
    <n v="57.2"/>
    <n v="115"/>
    <n v="16.63"/>
    <n v="2.2000000000000002"/>
    <n v="131.63"/>
    <n v="191.02999999999997"/>
    <n v="86.831818181818164"/>
  </r>
  <r>
    <n v="5914230"/>
    <x v="128"/>
    <x v="1"/>
    <s v="SC"/>
    <n v="32"/>
    <n v="7.41"/>
    <n v="192.66"/>
    <n v="115"/>
    <n v="16.63"/>
    <n v="7.41"/>
    <n v="131.63"/>
    <n v="331.7"/>
    <n v="44.763832658569498"/>
  </r>
  <r>
    <n v="5914230"/>
    <x v="129"/>
    <x v="4"/>
    <s v="SC"/>
    <n v="30"/>
    <n v="3.07"/>
    <n v="79.819999999999993"/>
    <n v="115"/>
    <n v="16.63"/>
    <n v="3.07"/>
    <n v="131.63"/>
    <n v="214.51999999999998"/>
    <n v="69.876221498371336"/>
  </r>
  <r>
    <n v="5914230"/>
    <x v="129"/>
    <x v="3"/>
    <s v="OT"/>
    <n v="20"/>
    <n v="3.54"/>
    <n v="92.04"/>
    <n v="115"/>
    <n v="16.63"/>
    <n v="3.54"/>
    <m/>
    <n v="227.21"/>
    <n v="64.183615819209038"/>
  </r>
  <r>
    <n v="5914230"/>
    <x v="129"/>
    <x v="2"/>
    <s v="OT "/>
    <n v="40"/>
    <n v="3.54"/>
    <n v="92.04"/>
    <n v="115"/>
    <n v="16.63"/>
    <n v="3.54"/>
    <m/>
    <n v="227.21"/>
    <n v="64.183615819209038"/>
  </r>
  <r>
    <n v="5556781"/>
    <x v="130"/>
    <x v="5"/>
    <s v="FL"/>
    <n v="6"/>
    <n v="2.34"/>
    <m/>
    <n v="104"/>
    <n v="0"/>
    <m/>
    <m/>
    <n v="104"/>
    <n v="44.44444444444445"/>
  </r>
  <r>
    <n v="5556781"/>
    <x v="130"/>
    <x v="6"/>
    <s v="FL"/>
    <n v="6"/>
    <n v="0.78"/>
    <m/>
    <n v="65"/>
    <n v="0"/>
    <m/>
    <m/>
    <n v="65"/>
    <n v="83.333333333333329"/>
  </r>
  <r>
    <n v="5556781"/>
    <x v="130"/>
    <x v="6"/>
    <s v="FL"/>
    <n v="6"/>
    <n v="0.78"/>
    <m/>
    <n v="65"/>
    <n v="0"/>
    <m/>
    <m/>
    <n v="65"/>
    <n v="83.333333333333329"/>
  </r>
  <r>
    <n v="5557215"/>
    <x v="130"/>
    <x v="7"/>
    <s v="FL"/>
    <n v="8"/>
    <n v="4.68"/>
    <m/>
    <n v="189"/>
    <n v="0"/>
    <m/>
    <m/>
    <n v="189"/>
    <n v="40.384615384615387"/>
  </r>
  <r>
    <n v="5559970"/>
    <x v="130"/>
    <x v="8"/>
    <s v="SC"/>
    <n v="6"/>
    <n v="3.9"/>
    <m/>
    <n v="155.88"/>
    <n v="0"/>
    <m/>
    <m/>
    <n v="155.88"/>
    <n v="39.969230769230769"/>
  </r>
  <r>
    <n v="5560295"/>
    <x v="130"/>
    <x v="9"/>
    <s v="FL"/>
    <n v="2"/>
    <n v="0.39"/>
    <m/>
    <n v="48"/>
    <n v="0"/>
    <m/>
    <m/>
    <n v="48"/>
    <n v="123.07692307692307"/>
  </r>
  <r>
    <n v="5914230"/>
    <x v="130"/>
    <x v="1"/>
    <s v="SC"/>
    <n v="32"/>
    <n v="2.5099999999999998"/>
    <n v="65.259999999999991"/>
    <n v="115"/>
    <n v="16.63"/>
    <n v="2.5099999999999998"/>
    <n v="131.63"/>
    <n v="199.39999999999998"/>
    <n v="79.442231075697208"/>
  </r>
  <r>
    <n v="5932541"/>
    <x v="131"/>
    <x v="11"/>
    <s v="OT"/>
    <n v="40"/>
    <n v="1.29"/>
    <n v="33.54"/>
    <n v="115"/>
    <n v="16.63"/>
    <n v="1.29"/>
    <m/>
    <n v="166.45999999999998"/>
    <n v="129.03875968992247"/>
  </r>
  <r>
    <n v="5932541"/>
    <x v="131"/>
    <x v="2"/>
    <s v="OT"/>
    <n v="40"/>
    <n v="1.78"/>
    <n v="46.28"/>
    <n v="115"/>
    <n v="16.63"/>
    <n v="1.78"/>
    <m/>
    <n v="179.69"/>
    <n v="100.94943820224719"/>
  </r>
  <r>
    <n v="5932541"/>
    <x v="131"/>
    <x v="3"/>
    <s v="OT"/>
    <n v="20"/>
    <n v="1.04"/>
    <n v="27.04"/>
    <n v="115"/>
    <n v="16.63"/>
    <n v="1.04"/>
    <m/>
    <n v="159.70999999999998"/>
    <n v="153.56730769230768"/>
  </r>
  <r>
    <n v="5932541"/>
    <x v="132"/>
    <x v="4"/>
    <s v="SC"/>
    <n v="30"/>
    <n v="2.41"/>
    <n v="62.660000000000004"/>
    <n v="115"/>
    <n v="16.63"/>
    <n v="2.41"/>
    <n v="131.63"/>
    <n v="196.7"/>
    <n v="81.618257261410776"/>
  </r>
  <r>
    <n v="5932541"/>
    <x v="133"/>
    <x v="1"/>
    <s v="SC"/>
    <n v="32"/>
    <n v="3.11"/>
    <n v="80.86"/>
    <n v="115"/>
    <n v="16.63"/>
    <n v="3.11"/>
    <n v="131.63"/>
    <n v="215.60000000000002"/>
    <n v="69.324758842443742"/>
  </r>
  <r>
    <n v="5932541"/>
    <x v="134"/>
    <x v="4"/>
    <s v="SC"/>
    <n v="30"/>
    <n v="2.71"/>
    <n v="70.459999999999994"/>
    <n v="115"/>
    <n v="17.05"/>
    <n v="2.71"/>
    <n v="132.05000000000001"/>
    <n v="205.22"/>
    <n v="75.726937269372698"/>
  </r>
  <r>
    <n v="5932541"/>
    <x v="134"/>
    <x v="2"/>
    <s v="OT"/>
    <n v="40"/>
    <n v="4.9400000000000004"/>
    <n v="128.44"/>
    <n v="115"/>
    <n v="17.05"/>
    <n v="4.9400000000000004"/>
    <m/>
    <n v="265.43"/>
    <n v="53.730769230769226"/>
  </r>
  <r>
    <n v="5932541"/>
    <x v="134"/>
    <x v="3"/>
    <s v="OT"/>
    <n v="40"/>
    <n v="2.38"/>
    <n v="61.879999999999995"/>
    <n v="115"/>
    <n v="17.05"/>
    <n v="2.38"/>
    <m/>
    <n v="196.31"/>
    <n v="82.483193277310932"/>
  </r>
  <r>
    <n v="5932541"/>
    <x v="135"/>
    <x v="0"/>
    <s v="OT"/>
    <n v="40"/>
    <n v="0.56000000000000005"/>
    <n v="14.560000000000002"/>
    <n v="115"/>
    <n v="17.05"/>
    <n v="0.56000000000000005"/>
    <m/>
    <n v="147.17000000000002"/>
    <n v="262.80357142857144"/>
  </r>
  <r>
    <n v="5932541"/>
    <x v="135"/>
    <x v="0"/>
    <s v="OT"/>
    <n v="40"/>
    <n v="2.2599999999999998"/>
    <n v="58.759999999999991"/>
    <n v="115"/>
    <n v="17.05"/>
    <n v="2.2599999999999998"/>
    <m/>
    <n v="193.07"/>
    <n v="85.429203539823007"/>
  </r>
  <r>
    <n v="5932541"/>
    <x v="136"/>
    <x v="1"/>
    <s v="SC"/>
    <n v="32"/>
    <n v="3.8"/>
    <n v="98.8"/>
    <n v="115"/>
    <n v="17.05"/>
    <n v="3.8"/>
    <n v="132.05000000000001"/>
    <n v="234.65000000000003"/>
    <n v="61.750000000000014"/>
  </r>
  <r>
    <n v="5932541"/>
    <x v="137"/>
    <x v="3"/>
    <s v="OT"/>
    <n v="20"/>
    <n v="2.17"/>
    <n v="56.42"/>
    <n v="115"/>
    <n v="17.05"/>
    <n v="2.17"/>
    <m/>
    <n v="190.64000000000001"/>
    <n v="87.852534562211986"/>
  </r>
  <r>
    <n v="5932541"/>
    <x v="137"/>
    <x v="3"/>
    <s v="SC"/>
    <n v="35"/>
    <n v="7.09"/>
    <n v="184.34"/>
    <n v="115"/>
    <n v="17.05"/>
    <n v="7.09"/>
    <m/>
    <n v="323.48"/>
    <n v="45.624823695345562"/>
  </r>
  <r>
    <n v="5932541"/>
    <x v="138"/>
    <x v="13"/>
    <s v="SC"/>
    <n v="30"/>
    <n v="2.84"/>
    <n v="73.84"/>
    <n v="115"/>
    <n v="17.05"/>
    <n v="2.84"/>
    <n v="132.05000000000001"/>
    <n v="208.73000000000002"/>
    <n v="73.49647887323944"/>
  </r>
  <r>
    <n v="5932541"/>
    <x v="139"/>
    <x v="0"/>
    <s v="OT"/>
    <n v="40"/>
    <n v="4.05"/>
    <n v="105.3"/>
    <n v="115"/>
    <n v="17.05"/>
    <n v="4.05"/>
    <m/>
    <n v="241.40000000000003"/>
    <n v="59.604938271604951"/>
  </r>
  <r>
    <n v="5932541"/>
    <x v="139"/>
    <x v="0"/>
    <s v="OT"/>
    <n v="40"/>
    <n v="4.8099999999999996"/>
    <n v="125.05999999999999"/>
    <n v="115"/>
    <n v="17.05"/>
    <n v="4.8099999999999996"/>
    <m/>
    <n v="261.92"/>
    <n v="54.453222453222459"/>
  </r>
  <r>
    <n v="5932541"/>
    <x v="139"/>
    <x v="0"/>
    <s v="OT"/>
    <n v="20"/>
    <n v="2.25"/>
    <n v="58.5"/>
    <n v="115"/>
    <n v="17.05"/>
    <n v="2.25"/>
    <m/>
    <n v="192.8"/>
    <n v="85.688888888888897"/>
  </r>
  <r>
    <n v="5932541"/>
    <x v="140"/>
    <x v="1"/>
    <s v="SC"/>
    <n v="32"/>
    <n v="2.4"/>
    <n v="62.4"/>
    <n v="115"/>
    <n v="17.05"/>
    <n v="2.4"/>
    <n v="132.05000000000001"/>
    <n v="196.85000000000002"/>
    <n v="82.020833333333343"/>
  </r>
  <r>
    <n v="5932541"/>
    <x v="141"/>
    <x v="4"/>
    <s v="SC"/>
    <n v="30"/>
    <n v="2.31"/>
    <n v="60.06"/>
    <n v="115"/>
    <n v="16.95"/>
    <n v="2.31"/>
    <n v="131.94999999999999"/>
    <n v="194.32"/>
    <n v="84.12121212121211"/>
  </r>
  <r>
    <n v="5932541"/>
    <x v="142"/>
    <x v="1"/>
    <s v="SC"/>
    <n v="32"/>
    <n v="7.97"/>
    <n v="207.22"/>
    <n v="115"/>
    <n v="16.95"/>
    <n v="7.97"/>
    <n v="131.94999999999999"/>
    <n v="347.14000000000004"/>
    <n v="43.555834378920963"/>
  </r>
  <r>
    <n v="5565009"/>
    <x v="143"/>
    <x v="5"/>
    <s v="FL"/>
    <n v="6"/>
    <n v="2.34"/>
    <m/>
    <n v="104"/>
    <n v="0"/>
    <m/>
    <m/>
    <n v="104"/>
    <n v="44.44444444444445"/>
  </r>
  <r>
    <n v="5565009"/>
    <x v="143"/>
    <x v="6"/>
    <s v="FL"/>
    <n v="6"/>
    <n v="0.78"/>
    <m/>
    <n v="65"/>
    <n v="0"/>
    <m/>
    <m/>
    <n v="65"/>
    <n v="83.333333333333329"/>
  </r>
  <r>
    <n v="5565009"/>
    <x v="143"/>
    <x v="6"/>
    <s v="FL"/>
    <n v="6"/>
    <n v="0.78"/>
    <m/>
    <n v="65"/>
    <n v="0"/>
    <m/>
    <m/>
    <n v="65"/>
    <n v="83.333333333333329"/>
  </r>
  <r>
    <n v="5565442"/>
    <x v="143"/>
    <x v="7"/>
    <s v="FL"/>
    <n v="8"/>
    <n v="4.68"/>
    <m/>
    <n v="189"/>
    <n v="0"/>
    <m/>
    <m/>
    <n v="189"/>
    <n v="40.384615384615387"/>
  </r>
  <r>
    <n v="5568192"/>
    <x v="143"/>
    <x v="8"/>
    <s v="SC"/>
    <n v="6"/>
    <n v="3.9"/>
    <m/>
    <n v="155.88"/>
    <n v="0"/>
    <m/>
    <m/>
    <n v="155.88"/>
    <n v="39.969230769230769"/>
  </r>
  <r>
    <n v="5568516"/>
    <x v="143"/>
    <x v="9"/>
    <s v="FL"/>
    <n v="2"/>
    <n v="0.39"/>
    <m/>
    <n v="48"/>
    <n v="0"/>
    <m/>
    <m/>
    <n v="48"/>
    <n v="123.07692307692307"/>
  </r>
  <r>
    <n v="5932541"/>
    <x v="143"/>
    <x v="1"/>
    <s v="SC"/>
    <n v="32"/>
    <n v="6.04"/>
    <n v="157.04"/>
    <n v="115"/>
    <n v="16.95"/>
    <n v="6.04"/>
    <n v="131.94999999999999"/>
    <n v="295.02999999999997"/>
    <n v="48.846026490066222"/>
  </r>
  <r>
    <n v="5948827"/>
    <x v="144"/>
    <x v="4"/>
    <s v="SC"/>
    <n v="30"/>
    <n v="3.1"/>
    <n v="80.600000000000009"/>
    <n v="115"/>
    <n v="17.09"/>
    <n v="3.1"/>
    <n v="132.09"/>
    <n v="215.79000000000002"/>
    <n v="69.609677419354838"/>
  </r>
  <r>
    <n v="5948827"/>
    <x v="144"/>
    <x v="3"/>
    <s v="OT"/>
    <n v="20"/>
    <n v="1.2"/>
    <n v="31.2"/>
    <n v="115"/>
    <n v="17.09"/>
    <n v="1.2"/>
    <m/>
    <n v="164.48999999999998"/>
    <n v="137.07499999999999"/>
  </r>
  <r>
    <n v="5948827"/>
    <x v="145"/>
    <x v="1"/>
    <s v="SC"/>
    <n v="32"/>
    <n v="2.02"/>
    <n v="52.52"/>
    <n v="115"/>
    <n v="17.09"/>
    <n v="2.02"/>
    <n v="132.09"/>
    <n v="186.63000000000002"/>
    <n v="92.391089108910904"/>
  </r>
  <r>
    <n v="5948827"/>
    <x v="146"/>
    <x v="4"/>
    <s v="SC"/>
    <n v="30"/>
    <n v="4.7"/>
    <n v="122.2"/>
    <n v="115"/>
    <n v="17.2"/>
    <n v="4.7"/>
    <n v="132.19999999999999"/>
    <n v="259.09999999999997"/>
    <n v="55.127659574468076"/>
  </r>
  <r>
    <n v="5948827"/>
    <x v="147"/>
    <x v="3"/>
    <s v="OT"/>
    <n v="20"/>
    <n v="4.05"/>
    <n v="105.3"/>
    <n v="115"/>
    <n v="17.2"/>
    <n v="4.05"/>
    <m/>
    <n v="241.55"/>
    <n v="59.641975308641982"/>
  </r>
  <r>
    <n v="5948827"/>
    <x v="148"/>
    <x v="3"/>
    <s v="SC"/>
    <n v="35"/>
    <n v="4.9400000000000004"/>
    <n v="128.44"/>
    <n v="115"/>
    <n v="17.2"/>
    <n v="4.9400000000000004"/>
    <m/>
    <n v="265.58"/>
    <n v="53.761133603238861"/>
  </r>
  <r>
    <n v="5948827"/>
    <x v="149"/>
    <x v="1"/>
    <s v="SC"/>
    <n v="32"/>
    <n v="0.87"/>
    <n v="22.62"/>
    <n v="115"/>
    <n v="17.2"/>
    <n v="0.87"/>
    <n v="132.19999999999999"/>
    <n v="155.69"/>
    <n v="178.95402298850576"/>
  </r>
  <r>
    <n v="5948827"/>
    <x v="150"/>
    <x v="4"/>
    <s v="SC"/>
    <n v="30"/>
    <n v="2.33"/>
    <n v="60.58"/>
    <n v="115"/>
    <n v="17.2"/>
    <n v="2.33"/>
    <n v="132.19999999999999"/>
    <n v="195.10999999999999"/>
    <n v="83.738197424892689"/>
  </r>
  <r>
    <n v="5948827"/>
    <x v="150"/>
    <x v="0"/>
    <s v="OT"/>
    <n v="40"/>
    <n v="4.4400000000000004"/>
    <n v="115.44000000000001"/>
    <n v="115"/>
    <n v="17.2"/>
    <n v="4.4400000000000004"/>
    <m/>
    <n v="252.07999999999998"/>
    <n v="56.77477477477477"/>
  </r>
  <r>
    <n v="5948827"/>
    <x v="151"/>
    <x v="1"/>
    <s v="SC"/>
    <n v="32"/>
    <n v="1.97"/>
    <n v="51.22"/>
    <n v="115"/>
    <n v="17.27"/>
    <n v="1.97"/>
    <n v="132.27000000000001"/>
    <n v="185.46"/>
    <n v="94.142131979695435"/>
  </r>
  <r>
    <n v="5948827"/>
    <x v="152"/>
    <x v="1"/>
    <s v="SC"/>
    <n v="32"/>
    <n v="5.91"/>
    <n v="153.66"/>
    <n v="115"/>
    <n v="17.27"/>
    <n v="5.91"/>
    <n v="132.27000000000001"/>
    <n v="291.83999999999997"/>
    <n v="49.380710659898469"/>
  </r>
  <r>
    <n v="5948827"/>
    <x v="153"/>
    <x v="4"/>
    <s v="SC"/>
    <n v="30"/>
    <n v="2.12"/>
    <n v="55.120000000000005"/>
    <n v="115"/>
    <n v="17.27"/>
    <n v="2.12"/>
    <n v="132.27000000000001"/>
    <n v="189.51000000000002"/>
    <n v="89.39150943396227"/>
  </r>
  <r>
    <n v="5948827"/>
    <x v="153"/>
    <x v="2"/>
    <s v="OT"/>
    <n v="40"/>
    <n v="4.2"/>
    <n v="109.2"/>
    <n v="115"/>
    <n v="17.27"/>
    <n v="4.2"/>
    <m/>
    <n v="245.67"/>
    <n v="58.49285714285714"/>
  </r>
  <r>
    <n v="5948827"/>
    <x v="154"/>
    <x v="1"/>
    <s v="SC"/>
    <n v="32"/>
    <n v="1.46"/>
    <n v="37.96"/>
    <n v="115"/>
    <n v="17.46"/>
    <n v="1.46"/>
    <n v="132.46"/>
    <n v="171.88000000000002"/>
    <n v="117.7260273972603"/>
  </r>
  <r>
    <n v="5572962"/>
    <x v="155"/>
    <x v="5"/>
    <s v="FL"/>
    <n v="6"/>
    <n v="2.34"/>
    <m/>
    <n v="104"/>
    <n v="0"/>
    <m/>
    <m/>
    <n v="104"/>
    <n v="44.44444444444445"/>
  </r>
  <r>
    <n v="5572962"/>
    <x v="155"/>
    <x v="6"/>
    <s v="FL"/>
    <n v="6"/>
    <n v="0.78"/>
    <m/>
    <n v="65"/>
    <n v="0"/>
    <m/>
    <m/>
    <n v="65"/>
    <n v="83.333333333333329"/>
  </r>
  <r>
    <n v="5572962"/>
    <x v="155"/>
    <x v="6"/>
    <s v="FL"/>
    <n v="6"/>
    <n v="0.78"/>
    <m/>
    <n v="65"/>
    <n v="0"/>
    <m/>
    <m/>
    <n v="65"/>
    <n v="83.333333333333329"/>
  </r>
  <r>
    <n v="5573387"/>
    <x v="155"/>
    <x v="7"/>
    <s v="FL"/>
    <n v="8"/>
    <n v="4.68"/>
    <m/>
    <n v="189"/>
    <n v="0"/>
    <m/>
    <m/>
    <n v="189"/>
    <n v="40.384615384615387"/>
  </r>
  <r>
    <n v="5576102"/>
    <x v="155"/>
    <x v="8"/>
    <s v="SC"/>
    <n v="6"/>
    <n v="3.9"/>
    <m/>
    <n v="155.88"/>
    <n v="0"/>
    <m/>
    <m/>
    <n v="155.88"/>
    <n v="39.969230769230769"/>
  </r>
  <r>
    <n v="5964460"/>
    <x v="156"/>
    <x v="4"/>
    <s v="SC"/>
    <n v="30"/>
    <n v="1.1399999999999999"/>
    <n v="29.639999999999997"/>
    <n v="115"/>
    <n v="17.559999999999999"/>
    <n v="1.1399999999999999"/>
    <n v="132.56"/>
    <n v="163.33999999999997"/>
    <n v="143.28070175438594"/>
  </r>
  <r>
    <n v="5964460"/>
    <x v="157"/>
    <x v="2"/>
    <s v="OT"/>
    <n v="40"/>
    <n v="3.15"/>
    <n v="81.899999999999991"/>
    <n v="115"/>
    <n v="17.559999999999999"/>
    <n v="3.15"/>
    <m/>
    <n v="217.60999999999999"/>
    <n v="69.082539682539675"/>
  </r>
  <r>
    <n v="5964460"/>
    <x v="158"/>
    <x v="1"/>
    <s v="SC"/>
    <n v="32"/>
    <n v="1.88"/>
    <n v="48.879999999999995"/>
    <n v="115"/>
    <n v="17.54"/>
    <n v="1.88"/>
    <n v="132.54"/>
    <n v="183.29999999999998"/>
    <n v="97.5"/>
  </r>
  <r>
    <n v="5964460"/>
    <x v="159"/>
    <x v="3"/>
    <s v="SC"/>
    <n v="35"/>
    <n v="3.22"/>
    <n v="83.72"/>
    <n v="115"/>
    <n v="17.54"/>
    <n v="3.22"/>
    <m/>
    <n v="219.48"/>
    <n v="68.1614906832298"/>
  </r>
  <r>
    <n v="5964460"/>
    <x v="160"/>
    <x v="0"/>
    <s v="OT"/>
    <n v="40"/>
    <n v="4.78"/>
    <n v="124.28"/>
    <n v="115"/>
    <n v="17.54"/>
    <n v="4.78"/>
    <m/>
    <n v="261.59999999999997"/>
    <n v="54.72803347280334"/>
  </r>
  <r>
    <n v="5964460"/>
    <x v="161"/>
    <x v="1"/>
    <s v="SC "/>
    <n v="32"/>
    <n v="1.92"/>
    <n v="49.92"/>
    <n v="115"/>
    <n v="17.87"/>
    <n v="1.92"/>
    <n v="132.87"/>
    <n v="184.71"/>
    <n v="96.203125000000014"/>
  </r>
  <r>
    <n v="5964460"/>
    <x v="162"/>
    <x v="4"/>
    <s v="SC"/>
    <n v="30"/>
    <n v="2.27"/>
    <n v="59.02"/>
    <n v="115"/>
    <n v="17.87"/>
    <n v="2.27"/>
    <n v="132.87"/>
    <n v="194.16000000000003"/>
    <n v="85.533039647577098"/>
  </r>
  <r>
    <n v="5964460"/>
    <x v="163"/>
    <x v="1"/>
    <s v="SC"/>
    <n v="32"/>
    <n v="2.29"/>
    <n v="59.54"/>
    <n v="115"/>
    <n v="17.84"/>
    <n v="2.29"/>
    <n v="132.84"/>
    <n v="194.67"/>
    <n v="85.008733624454138"/>
  </r>
  <r>
    <n v="5964460"/>
    <x v="163"/>
    <x v="2"/>
    <s v="OT"/>
    <n v="40"/>
    <n v="5.37"/>
    <n v="139.62"/>
    <n v="115"/>
    <n v="17.84"/>
    <n v="5.37"/>
    <m/>
    <n v="277.83"/>
    <n v="51.737430167597765"/>
  </r>
  <r>
    <n v="5964460"/>
    <x v="164"/>
    <x v="0"/>
    <s v="OT"/>
    <n v="30"/>
    <n v="2.39"/>
    <n v="62.14"/>
    <n v="115"/>
    <n v="17.84"/>
    <n v="2.39"/>
    <m/>
    <n v="197.36999999999998"/>
    <n v="82.581589958158986"/>
  </r>
  <r>
    <n v="5964460"/>
    <x v="165"/>
    <x v="4"/>
    <s v="SC"/>
    <n v="30"/>
    <n v="2.27"/>
    <n v="59.02"/>
    <n v="115"/>
    <n v="17.84"/>
    <n v="2.27"/>
    <n v="132.84"/>
    <n v="194.13000000000002"/>
    <n v="85.519823788546262"/>
  </r>
  <r>
    <n v="5580937"/>
    <x v="166"/>
    <x v="5"/>
    <s v="FL"/>
    <n v="6"/>
    <n v="2.34"/>
    <m/>
    <n v="155.88"/>
    <n v="0"/>
    <m/>
    <m/>
    <n v="155.88"/>
    <n v="66.615384615384613"/>
  </r>
  <r>
    <n v="5580937"/>
    <x v="166"/>
    <x v="6"/>
    <s v="FL"/>
    <n v="2"/>
    <n v="0.78"/>
    <m/>
    <n v="65"/>
    <n v="0"/>
    <m/>
    <m/>
    <n v="65"/>
    <n v="83.333333333333329"/>
  </r>
  <r>
    <n v="5581361"/>
    <x v="166"/>
    <x v="7"/>
    <s v="FL"/>
    <n v="8"/>
    <n v="3.12"/>
    <m/>
    <n v="189"/>
    <n v="0"/>
    <m/>
    <m/>
    <n v="189"/>
    <n v="60.576923076923073"/>
  </r>
  <r>
    <n v="5584026"/>
    <x v="166"/>
    <x v="8"/>
    <s v="SC"/>
    <n v="8"/>
    <n v="3.9"/>
    <m/>
    <n v="155.88"/>
    <n v="0"/>
    <m/>
    <m/>
    <n v="155.88"/>
    <n v="39.969230769230769"/>
  </r>
  <r>
    <n v="5589055"/>
    <x v="166"/>
    <x v="6"/>
    <s v="FL"/>
    <n v="2"/>
    <n v="0.78"/>
    <m/>
    <n v="65"/>
    <n v="0"/>
    <m/>
    <m/>
    <n v="65"/>
    <n v="83.333333333333329"/>
  </r>
  <r>
    <n v="5964460"/>
    <x v="166"/>
    <x v="1"/>
    <s v="SC"/>
    <n v="32"/>
    <n v="3.56"/>
    <n v="92.56"/>
    <n v="115"/>
    <n v="17.920000000000002"/>
    <n v="3.56"/>
    <n v="132.92000000000002"/>
    <n v="229.04000000000002"/>
    <n v="64.337078651685403"/>
  </r>
  <r>
    <n v="5979068"/>
    <x v="167"/>
    <x v="4"/>
    <s v="SC"/>
    <n v="30"/>
    <n v="2.5"/>
    <n v="65"/>
    <n v="115"/>
    <n v="18.23"/>
    <n v="2.5"/>
    <n v="133.22999999999999"/>
    <n v="200.73"/>
    <n v="80.292000000000002"/>
  </r>
  <r>
    <n v="5979068"/>
    <x v="167"/>
    <x v="2"/>
    <s v="OT"/>
    <n v="40"/>
    <n v="3.15"/>
    <n v="81.899999999999991"/>
    <n v="115"/>
    <n v="18.23"/>
    <n v="3.15"/>
    <m/>
    <n v="218.27999999999997"/>
    <n v="69.295238095238091"/>
  </r>
  <r>
    <n v="5979068"/>
    <x v="168"/>
    <x v="1"/>
    <s v="SC"/>
    <n v="32"/>
    <n v="2.2599999999999998"/>
    <n v="58.759999999999991"/>
    <n v="115"/>
    <n v="18.23"/>
    <n v="2.2599999999999998"/>
    <n v="133.22999999999999"/>
    <n v="194.24999999999997"/>
    <n v="85.951327433628308"/>
  </r>
  <r>
    <n v="5979068"/>
    <x v="169"/>
    <x v="3"/>
    <s v="SC"/>
    <n v="35"/>
    <n v="6.15"/>
    <n v="159.9"/>
    <n v="115"/>
    <n v="18.23"/>
    <n v="6.15"/>
    <m/>
    <n v="299.27999999999997"/>
    <n v="48.663414634146335"/>
  </r>
  <r>
    <n v="5979068"/>
    <x v="169"/>
    <x v="0"/>
    <s v="OT"/>
    <n v="40"/>
    <n v="3.13"/>
    <n v="81.38"/>
    <n v="115"/>
    <n v="18.23"/>
    <n v="3.13"/>
    <m/>
    <n v="217.73999999999998"/>
    <n v="69.565495207667723"/>
  </r>
  <r>
    <n v="5979068"/>
    <x v="170"/>
    <x v="4"/>
    <s v="SC"/>
    <n v="30"/>
    <n v="2.4500000000000002"/>
    <n v="63.7"/>
    <n v="115"/>
    <n v="18.23"/>
    <n v="2.4500000000000002"/>
    <n v="133.22999999999999"/>
    <n v="199.37999999999997"/>
    <n v="81.379591836734676"/>
  </r>
  <r>
    <n v="5979068"/>
    <x v="171"/>
    <x v="2"/>
    <s v="OT"/>
    <n v="40"/>
    <n v="2.67"/>
    <n v="69.42"/>
    <n v="115"/>
    <n v="18.23"/>
    <n v="2.67"/>
    <m/>
    <n v="205.32"/>
    <n v="76.898876404494388"/>
  </r>
  <r>
    <n v="5979068"/>
    <x v="171"/>
    <x v="12"/>
    <s v="SC"/>
    <n v="30"/>
    <n v="5.71"/>
    <n v="148.46"/>
    <n v="115"/>
    <n v="18.23"/>
    <n v="5.71"/>
    <m/>
    <n v="287.40000000000003"/>
    <n v="50.332749562171635"/>
  </r>
  <r>
    <n v="5979068"/>
    <x v="172"/>
    <x v="1"/>
    <s v="SC"/>
    <n v="32"/>
    <n v="3.51"/>
    <n v="91.259999999999991"/>
    <n v="115"/>
    <n v="18.23"/>
    <n v="3.51"/>
    <n v="133.22999999999999"/>
    <n v="227.99999999999997"/>
    <n v="64.957264957264954"/>
  </r>
  <r>
    <n v="5979068"/>
    <x v="173"/>
    <x v="4"/>
    <s v="SC"/>
    <n v="30"/>
    <n v="3.61"/>
    <n v="93.86"/>
    <n v="115"/>
    <n v="18.23"/>
    <n v="3.61"/>
    <n v="133.22999999999999"/>
    <n v="230.70000000000002"/>
    <n v="63.905817174515242"/>
  </r>
  <r>
    <n v="5979068"/>
    <x v="174"/>
    <x v="2"/>
    <s v="OT"/>
    <n v="40"/>
    <n v="2.82"/>
    <n v="73.319999999999993"/>
    <n v="115"/>
    <n v="18.23"/>
    <n v="2.82"/>
    <m/>
    <n v="209.36999999999998"/>
    <n v="74.244680851063819"/>
  </r>
  <r>
    <n v="5979068"/>
    <x v="175"/>
    <x v="1"/>
    <s v="SC"/>
    <n v="32"/>
    <n v="3.33"/>
    <n v="86.58"/>
    <n v="115"/>
    <n v="18.23"/>
    <n v="3.33"/>
    <n v="133.22999999999999"/>
    <n v="223.14"/>
    <n v="67.009009009009006"/>
  </r>
  <r>
    <n v="5979068"/>
    <x v="176"/>
    <x v="4"/>
    <s v="SC"/>
    <n v="30"/>
    <n v="2.95"/>
    <n v="76.7"/>
    <n v="115"/>
    <n v="24.55"/>
    <n v="2.95"/>
    <n v="139.55000000000001"/>
    <n v="219.2"/>
    <n v="74.305084745762699"/>
  </r>
  <r>
    <n v="5589055"/>
    <x v="177"/>
    <x v="6"/>
    <s v="FL"/>
    <n v="2"/>
    <n v="0.78"/>
    <m/>
    <n v="65"/>
    <n v="0"/>
    <m/>
    <m/>
    <n v="65"/>
    <n v="83.333333333333329"/>
  </r>
  <r>
    <n v="5589055"/>
    <x v="177"/>
    <x v="6"/>
    <s v="FL"/>
    <n v="2"/>
    <n v="0.78"/>
    <m/>
    <n v="65"/>
    <n v="0"/>
    <m/>
    <m/>
    <n v="65"/>
    <n v="83.333333333333329"/>
  </r>
  <r>
    <n v="5589055"/>
    <x v="177"/>
    <x v="5"/>
    <s v="FL"/>
    <n v="6"/>
    <n v="2.34"/>
    <m/>
    <n v="104"/>
    <n v="0"/>
    <m/>
    <m/>
    <n v="104"/>
    <n v="44.44444444444445"/>
  </r>
  <r>
    <n v="5589476"/>
    <x v="177"/>
    <x v="7"/>
    <s v="FL"/>
    <n v="8"/>
    <n v="3.12"/>
    <m/>
    <n v="189"/>
    <n v="0"/>
    <m/>
    <m/>
    <n v="189"/>
    <n v="60.576923076923073"/>
  </r>
  <r>
    <n v="5592158"/>
    <x v="177"/>
    <x v="8"/>
    <s v="SC"/>
    <n v="6"/>
    <n v="3.9"/>
    <m/>
    <n v="155.88"/>
    <n v="0"/>
    <m/>
    <m/>
    <n v="155.88"/>
    <n v="39.969230769230769"/>
  </r>
  <r>
    <n v="5979068"/>
    <x v="177"/>
    <x v="1"/>
    <s v="SC"/>
    <n v="32"/>
    <n v="3.42"/>
    <n v="88.92"/>
    <n v="115"/>
    <n v="24.55"/>
    <n v="3.42"/>
    <n v="139.55000000000001"/>
    <n v="231.89000000000001"/>
    <n v="67.804093567251471"/>
  </r>
  <r>
    <n v="5997852"/>
    <x v="178"/>
    <x v="2"/>
    <s v="OT"/>
    <n v="40"/>
    <n v="5.24"/>
    <n v="136.24"/>
    <n v="115"/>
    <n v="24.55"/>
    <n v="5.24"/>
    <m/>
    <n v="281.03000000000003"/>
    <n v="53.631679389312978"/>
  </r>
  <r>
    <n v="5997852"/>
    <x v="179"/>
    <x v="4"/>
    <s v="SC"/>
    <n v="30"/>
    <n v="3.07"/>
    <n v="79.819999999999993"/>
    <n v="115"/>
    <n v="24.55"/>
    <n v="3.07"/>
    <n v="139.55000000000001"/>
    <n v="222.44"/>
    <n v="72.45602605863192"/>
  </r>
  <r>
    <n v="5997852"/>
    <x v="179"/>
    <x v="3"/>
    <s v="SC"/>
    <n v="35"/>
    <n v="5.82"/>
    <n v="151.32"/>
    <n v="115"/>
    <n v="24.55"/>
    <n v="5.82"/>
    <m/>
    <n v="296.69"/>
    <n v="50.977663230240545"/>
  </r>
  <r>
    <n v="5997852"/>
    <x v="180"/>
    <x v="1"/>
    <s v="SC"/>
    <n v="32"/>
    <n v="3.2"/>
    <n v="83.2"/>
    <n v="115"/>
    <n v="25.47"/>
    <n v="3.2"/>
    <n v="140.47"/>
    <n v="226.86999999999998"/>
    <n v="70.896874999999994"/>
  </r>
  <r>
    <n v="5997852"/>
    <x v="181"/>
    <x v="4"/>
    <s v="SC"/>
    <n v="30"/>
    <n v="2.2200000000000002"/>
    <n v="57.720000000000006"/>
    <n v="115"/>
    <n v="25.7"/>
    <n v="2.2200000000000002"/>
    <n v="140.69999999999999"/>
    <n v="200.64"/>
    <n v="90.378378378378358"/>
  </r>
  <r>
    <n v="5997852"/>
    <x v="181"/>
    <x v="2"/>
    <s v="OT"/>
    <n v="40"/>
    <n v="2.1"/>
    <n v="54.6"/>
    <n v="115"/>
    <n v="25.7"/>
    <n v="2.1"/>
    <m/>
    <n v="197.39999999999998"/>
    <n v="93.999999999999986"/>
  </r>
  <r>
    <n v="5997852"/>
    <x v="181"/>
    <x v="3"/>
    <s v="OT"/>
    <n v="20"/>
    <n v="3.23"/>
    <n v="83.98"/>
    <n v="115"/>
    <n v="25.7"/>
    <n v="3.23"/>
    <m/>
    <n v="227.91"/>
    <n v="70.56037151702786"/>
  </r>
  <r>
    <n v="5997852"/>
    <x v="181"/>
    <x v="3"/>
    <s v="OT"/>
    <n v="20"/>
    <n v="2.0099999999999998"/>
    <n v="52.259999999999991"/>
    <n v="115"/>
    <n v="25.7"/>
    <n v="2.0099999999999998"/>
    <m/>
    <n v="194.96999999999997"/>
    <n v="97"/>
  </r>
  <r>
    <n v="5997852"/>
    <x v="182"/>
    <x v="1"/>
    <s v="SC"/>
    <n v="32"/>
    <n v="3.56"/>
    <n v="92.56"/>
    <n v="115"/>
    <n v="25.7"/>
    <n v="3.56"/>
    <n v="140.69999999999999"/>
    <n v="236.82"/>
    <n v="66.522471910112358"/>
  </r>
  <r>
    <n v="5997852"/>
    <x v="183"/>
    <x v="4"/>
    <s v="SC"/>
    <n v="30"/>
    <n v="2.2200000000000002"/>
    <n v="57.720000000000006"/>
    <n v="115"/>
    <n v="25.7"/>
    <n v="2.2200000000000002"/>
    <n v="140.69999999999999"/>
    <n v="200.64"/>
    <n v="90.378378378378358"/>
  </r>
  <r>
    <n v="5997852"/>
    <x v="184"/>
    <x v="2"/>
    <s v="OT"/>
    <n v="40"/>
    <n v="5.27"/>
    <n v="137.01999999999998"/>
    <n v="115"/>
    <n v="25.7"/>
    <n v="5.27"/>
    <m/>
    <n v="282.98999999999995"/>
    <n v="53.698292220113849"/>
  </r>
  <r>
    <n v="5997852"/>
    <x v="185"/>
    <x v="1"/>
    <s v="SC"/>
    <n v="32"/>
    <n v="1.98"/>
    <n v="51.48"/>
    <n v="115"/>
    <n v="25.7"/>
    <n v="1.98"/>
    <n v="140.69999999999999"/>
    <n v="194.15999999999997"/>
    <n v="98.060606060606048"/>
  </r>
  <r>
    <n v="5997852"/>
    <x v="186"/>
    <x v="4"/>
    <s v="SC"/>
    <n v="30"/>
    <n v="0.93"/>
    <n v="24.18"/>
    <n v="115"/>
    <n v="25.82"/>
    <n v="0.93"/>
    <n v="140.82"/>
    <n v="165.93"/>
    <n v="178.41935483870967"/>
  </r>
  <r>
    <n v="5997852"/>
    <x v="187"/>
    <x v="2"/>
    <s v="OT"/>
    <n v="40"/>
    <n v="2.7"/>
    <n v="70.2"/>
    <n v="115"/>
    <n v="25.7"/>
    <n v="2.7"/>
    <m/>
    <n v="213.59999999999997"/>
    <n v="79.1111111111111"/>
  </r>
  <r>
    <n v="5997852"/>
    <x v="187"/>
    <x v="11"/>
    <s v="OT"/>
    <n v="40"/>
    <n v="3.4"/>
    <n v="88.399999999999991"/>
    <n v="115"/>
    <n v="25.82"/>
    <n v="3.4"/>
    <m/>
    <n v="232.61999999999998"/>
    <n v="68.417647058823519"/>
  </r>
  <r>
    <n v="5997852"/>
    <x v="188"/>
    <x v="1"/>
    <s v="SC"/>
    <n v="32"/>
    <n v="3.38"/>
    <n v="87.88"/>
    <n v="115"/>
    <n v="25.82"/>
    <n v="3.38"/>
    <n v="140.82"/>
    <n v="232.07999999999998"/>
    <n v="68.662721893491124"/>
  </r>
  <r>
    <n v="5997852"/>
    <x v="189"/>
    <x v="4"/>
    <s v="SC"/>
    <n v="30"/>
    <n v="3.19"/>
    <n v="82.94"/>
    <n v="115"/>
    <n v="25.82"/>
    <n v="3.19"/>
    <n v="140.82"/>
    <n v="226.95"/>
    <n v="71.144200626959247"/>
  </r>
  <r>
    <n v="5597154"/>
    <x v="190"/>
    <x v="5"/>
    <s v="FL"/>
    <n v="6"/>
    <n v="2.34"/>
    <m/>
    <n v="104"/>
    <n v="0"/>
    <m/>
    <m/>
    <n v="104"/>
    <n v="44.44444444444445"/>
  </r>
  <r>
    <n v="5597154"/>
    <x v="190"/>
    <x v="6"/>
    <s v="FL"/>
    <n v="2"/>
    <n v="0.78"/>
    <m/>
    <n v="65"/>
    <n v="0"/>
    <m/>
    <m/>
    <n v="65"/>
    <n v="83.333333333333329"/>
  </r>
  <r>
    <n v="5597154"/>
    <x v="190"/>
    <x v="6"/>
    <s v="FL"/>
    <n v="2"/>
    <n v="0.78"/>
    <m/>
    <n v="65"/>
    <n v="0"/>
    <m/>
    <m/>
    <n v="65"/>
    <n v="83.333333333333329"/>
  </r>
  <r>
    <n v="5597573"/>
    <x v="190"/>
    <x v="7"/>
    <s v="FL"/>
    <n v="8"/>
    <n v="3.12"/>
    <m/>
    <n v="189"/>
    <n v="0"/>
    <m/>
    <m/>
    <n v="189"/>
    <n v="60.576923076923073"/>
  </r>
  <r>
    <n v="5600231"/>
    <x v="190"/>
    <x v="8"/>
    <s v="SC"/>
    <n v="6"/>
    <n v="3.9"/>
    <m/>
    <n v="155.88"/>
    <n v="0"/>
    <m/>
    <m/>
    <n v="155.88"/>
    <n v="39.969230769230769"/>
  </r>
  <r>
    <n v="5600537"/>
    <x v="190"/>
    <x v="9"/>
    <s v="FL"/>
    <n v="2"/>
    <n v="0.39"/>
    <m/>
    <n v="48"/>
    <n v="0"/>
    <m/>
    <m/>
    <n v="48"/>
    <n v="123.07692307692307"/>
  </r>
  <r>
    <n v="5997852"/>
    <x v="190"/>
    <x v="3"/>
    <s v="SC"/>
    <n v="35"/>
    <n v="7.73"/>
    <n v="200.98000000000002"/>
    <n v="115"/>
    <n v="25.82"/>
    <n v="7.73"/>
    <m/>
    <n v="349.53000000000003"/>
    <n v="45.217335058214751"/>
  </r>
  <r>
    <n v="6016026"/>
    <x v="191"/>
    <x v="1"/>
    <s v="SC"/>
    <n v="32"/>
    <n v="3.29"/>
    <n v="85.54"/>
    <n v="115"/>
    <n v="26.05"/>
    <n v="3.29"/>
    <n v="141.05000000000001"/>
    <n v="229.88000000000002"/>
    <n v="69.872340425531917"/>
  </r>
  <r>
    <n v="6016026"/>
    <x v="191"/>
    <x v="0"/>
    <s v="OT"/>
    <n v="40"/>
    <n v="2.52"/>
    <n v="65.52"/>
    <n v="115"/>
    <n v="26.05"/>
    <n v="2.52"/>
    <m/>
    <n v="209.09"/>
    <n v="82.972222222222229"/>
  </r>
  <r>
    <n v="6016026"/>
    <x v="192"/>
    <x v="4"/>
    <s v="SC"/>
    <n v="30"/>
    <n v="1.69"/>
    <n v="43.94"/>
    <n v="115"/>
    <n v="26.05"/>
    <n v="1.69"/>
    <n v="141.05000000000001"/>
    <n v="186.68"/>
    <n v="110.46153846153847"/>
  </r>
  <r>
    <n v="6016026"/>
    <x v="192"/>
    <x v="0"/>
    <s v="OT"/>
    <n v="40"/>
    <n v="1.33"/>
    <n v="34.58"/>
    <n v="115"/>
    <n v="26.05"/>
    <n v="1.33"/>
    <m/>
    <n v="176.96"/>
    <n v="133.05263157894737"/>
  </r>
  <r>
    <n v="6016026"/>
    <x v="193"/>
    <x v="11"/>
    <s v="OT"/>
    <n v="40"/>
    <n v="3.18"/>
    <n v="82.68"/>
    <n v="115"/>
    <n v="26.05"/>
    <n v="3.18"/>
    <m/>
    <n v="226.91000000000003"/>
    <n v="71.355345911949684"/>
  </r>
  <r>
    <n v="6016026"/>
    <x v="194"/>
    <x v="1"/>
    <s v="SC"/>
    <n v="32"/>
    <n v="3.11"/>
    <n v="80.86"/>
    <n v="115"/>
    <n v="26.74"/>
    <n v="3.11"/>
    <n v="141.74"/>
    <n v="225.71000000000004"/>
    <n v="72.575562700964639"/>
  </r>
  <r>
    <n v="6016026"/>
    <x v="194"/>
    <x v="12"/>
    <s v="SC"/>
    <n v="30"/>
    <n v="6.87"/>
    <n v="178.62"/>
    <n v="115"/>
    <n v="26.74"/>
    <n v="6.87"/>
    <m/>
    <n v="327.23"/>
    <n v="47.631732168850071"/>
  </r>
  <r>
    <n v="6016026"/>
    <x v="195"/>
    <x v="4"/>
    <s v="SC"/>
    <n v="30"/>
    <n v="2.88"/>
    <n v="74.88"/>
    <n v="115"/>
    <n v="26.74"/>
    <n v="2.88"/>
    <n v="141.74"/>
    <n v="219.5"/>
    <n v="76.215277777777786"/>
  </r>
  <r>
    <n v="6016026"/>
    <x v="196"/>
    <x v="0"/>
    <s v="OT"/>
    <n v="40"/>
    <n v="2.4300000000000002"/>
    <n v="63.180000000000007"/>
    <n v="115"/>
    <n v="26.74"/>
    <n v="2.4300000000000002"/>
    <m/>
    <n v="207.35000000000002"/>
    <n v="85.329218106995881"/>
  </r>
  <r>
    <n v="6016026"/>
    <x v="197"/>
    <x v="1"/>
    <s v="SC"/>
    <n v="32"/>
    <n v="3.1"/>
    <n v="80.600000000000009"/>
    <n v="115"/>
    <n v="26.91"/>
    <n v="3.1"/>
    <n v="141.91"/>
    <n v="225.61"/>
    <n v="72.777419354838713"/>
  </r>
  <r>
    <n v="6016026"/>
    <x v="198"/>
    <x v="0"/>
    <s v="OT"/>
    <n v="40"/>
    <n v="3.38"/>
    <n v="87.88"/>
    <n v="115"/>
    <n v="26.91"/>
    <n v="3.38"/>
    <m/>
    <n v="233.17"/>
    <n v="68.985207100591708"/>
  </r>
  <r>
    <n v="6016026"/>
    <x v="198"/>
    <x v="3"/>
    <s v="OT"/>
    <n v="20"/>
    <n v="1.1000000000000001"/>
    <n v="28.6"/>
    <n v="115"/>
    <n v="26.91"/>
    <n v="1.1000000000000001"/>
    <m/>
    <n v="171.60999999999999"/>
    <n v="156.00909090909087"/>
  </r>
  <r>
    <n v="6016026"/>
    <x v="198"/>
    <x v="3"/>
    <s v="OT"/>
    <n v="20"/>
    <n v="2.95"/>
    <n v="76.7"/>
    <n v="115"/>
    <n v="26.91"/>
    <n v="2.95"/>
    <m/>
    <n v="221.55999999999997"/>
    <n v="75.105084745762696"/>
  </r>
  <r>
    <n v="6016026"/>
    <x v="199"/>
    <x v="4"/>
    <s v="SC"/>
    <n v="30"/>
    <n v="2.93"/>
    <n v="76.180000000000007"/>
    <n v="115"/>
    <n v="26.91"/>
    <n v="2.93"/>
    <n v="141.91"/>
    <n v="221.02"/>
    <n v="75.433447098976103"/>
  </r>
  <r>
    <n v="6016026"/>
    <x v="200"/>
    <x v="1"/>
    <s v="SC"/>
    <n v="32"/>
    <n v="3.23"/>
    <n v="83.98"/>
    <n v="115"/>
    <n v="26.85"/>
    <n v="3.23"/>
    <n v="141.85"/>
    <n v="229.06"/>
    <n v="70.916408668730654"/>
  </r>
  <r>
    <n v="6016026"/>
    <x v="201"/>
    <x v="4"/>
    <s v="SC"/>
    <n v="30"/>
    <n v="2.4500000000000002"/>
    <n v="63.7"/>
    <n v="115"/>
    <n v="26.85"/>
    <n v="2.4500000000000002"/>
    <n v="141.85"/>
    <n v="207.99999999999997"/>
    <n v="84.89795918367345"/>
  </r>
  <r>
    <n v="6016026"/>
    <x v="202"/>
    <x v="0"/>
    <s v="OT"/>
    <n v="40"/>
    <n v="3.27"/>
    <n v="85.02"/>
    <n v="115"/>
    <n v="26.85"/>
    <n v="3.27"/>
    <m/>
    <n v="230.14"/>
    <n v="70.379204892966357"/>
  </r>
  <r>
    <n v="5605072"/>
    <x v="203"/>
    <x v="6"/>
    <s v="FL"/>
    <n v="2"/>
    <n v="0.78"/>
    <m/>
    <n v="65"/>
    <m/>
    <m/>
    <m/>
    <n v="65"/>
    <n v="83.333333333333329"/>
  </r>
  <r>
    <n v="5605072"/>
    <x v="203"/>
    <x v="6"/>
    <s v="FL"/>
    <n v="2"/>
    <n v="0.78"/>
    <m/>
    <n v="65"/>
    <m/>
    <m/>
    <m/>
    <n v="65"/>
    <n v="83.333333333333329"/>
  </r>
  <r>
    <n v="5605072"/>
    <x v="203"/>
    <x v="5"/>
    <s v="FL"/>
    <n v="6"/>
    <n v="1.17"/>
    <m/>
    <n v="104"/>
    <m/>
    <m/>
    <m/>
    <n v="104"/>
    <n v="88.8888888888889"/>
  </r>
  <r>
    <n v="5605490"/>
    <x v="203"/>
    <x v="7"/>
    <s v="FL"/>
    <n v="8"/>
    <n v="3.12"/>
    <m/>
    <n v="189"/>
    <m/>
    <m/>
    <m/>
    <n v="189"/>
    <n v="60.576923076923073"/>
  </r>
  <r>
    <n v="5608098"/>
    <x v="203"/>
    <x v="8"/>
    <s v="SC"/>
    <n v="6"/>
    <n v="3.9"/>
    <m/>
    <n v="155.88"/>
    <m/>
    <m/>
    <m/>
    <n v="155.88"/>
    <n v="39.969230769230769"/>
  </r>
  <r>
    <n v="5608402"/>
    <x v="203"/>
    <x v="9"/>
    <s v="FL"/>
    <n v="2"/>
    <n v="0.39"/>
    <m/>
    <n v="48"/>
    <m/>
    <m/>
    <m/>
    <n v="48"/>
    <n v="123.07692307692307"/>
  </r>
  <r>
    <n v="6034641"/>
    <x v="204"/>
    <x v="1"/>
    <s v="SC"/>
    <n v="32"/>
    <n v="3.35"/>
    <n v="87.100000000000009"/>
    <n v="115"/>
    <n v="27.03"/>
    <n v="3.35"/>
    <n v="142.03"/>
    <n v="232.48000000000002"/>
    <n v="69.397014925373142"/>
  </r>
  <r>
    <n v="6034641"/>
    <x v="205"/>
    <x v="3"/>
    <s v="SC"/>
    <n v="35"/>
    <n v="9.11"/>
    <n v="236.85999999999999"/>
    <n v="115"/>
    <n v="26.91"/>
    <n v="9.11"/>
    <m/>
    <n v="387.88000000000005"/>
    <n v="42.577387486278823"/>
  </r>
  <r>
    <n v="6034641"/>
    <x v="206"/>
    <x v="4"/>
    <s v="SC"/>
    <n v="30"/>
    <n v="3.72"/>
    <n v="96.72"/>
    <n v="115"/>
    <n v="27.03"/>
    <n v="3.72"/>
    <n v="142.03"/>
    <n v="242.47"/>
    <n v="65.180107526881713"/>
  </r>
  <r>
    <n v="6034641"/>
    <x v="207"/>
    <x v="0"/>
    <s v="OT"/>
    <n v="40"/>
    <n v="4.8899999999999997"/>
    <n v="127.13999999999999"/>
    <n v="115"/>
    <n v="26.91"/>
    <n v="4.8899999999999997"/>
    <m/>
    <n v="273.94"/>
    <n v="56.020449897750517"/>
  </r>
  <r>
    <n v="6034641"/>
    <x v="207"/>
    <x v="0"/>
    <s v="OT"/>
    <n v="40"/>
    <n v="3.13"/>
    <n v="81.38"/>
    <n v="115"/>
    <n v="26.91"/>
    <n v="3.13"/>
    <m/>
    <n v="226.42"/>
    <n v="72.33865814696486"/>
  </r>
  <r>
    <n v="6034641"/>
    <x v="208"/>
    <x v="0"/>
    <s v="OT"/>
    <n v="40"/>
    <n v="3.26"/>
    <n v="84.759999999999991"/>
    <n v="115"/>
    <n v="26.91"/>
    <n v="3.26"/>
    <m/>
    <n v="229.92999999999998"/>
    <n v="70.530674846625772"/>
  </r>
  <r>
    <n v="6034641"/>
    <x v="208"/>
    <x v="1"/>
    <s v="SC"/>
    <n v="32"/>
    <n v="3.17"/>
    <n v="82.42"/>
    <n v="115"/>
    <n v="26.91"/>
    <n v="3.17"/>
    <n v="141.91"/>
    <n v="227.5"/>
    <n v="71.766561514195587"/>
  </r>
  <r>
    <n v="6034641"/>
    <x v="209"/>
    <x v="4"/>
    <s v="SC"/>
    <n v="30"/>
    <n v="2.2200000000000002"/>
    <n v="57.720000000000006"/>
    <n v="115"/>
    <n v="26.62"/>
    <n v="2.2200000000000002"/>
    <n v="141.62"/>
    <n v="201.56"/>
    <n v="90.792792792792781"/>
  </r>
  <r>
    <n v="6034641"/>
    <x v="210"/>
    <x v="1"/>
    <s v="SC"/>
    <n v="32"/>
    <n v="2.65"/>
    <n v="68.899999999999991"/>
    <n v="115"/>
    <n v="26.91"/>
    <n v="2.65"/>
    <n v="141.91"/>
    <n v="213.45999999999998"/>
    <n v="80.550943396226415"/>
  </r>
  <r>
    <n v="6034641"/>
    <x v="210"/>
    <x v="2"/>
    <s v="OT"/>
    <n v="40"/>
    <n v="5.35"/>
    <n v="139.1"/>
    <n v="115"/>
    <n v="26.62"/>
    <n v="5.35"/>
    <m/>
    <n v="286.07"/>
    <n v="53.471028037383178"/>
  </r>
  <r>
    <n v="6034641"/>
    <x v="211"/>
    <x v="4"/>
    <s v="SC"/>
    <n v="30"/>
    <n v="3.46"/>
    <n v="89.96"/>
    <n v="115"/>
    <n v="26.16"/>
    <n v="3.46"/>
    <n v="141.16"/>
    <n v="234.57999999999998"/>
    <n v="67.797687861271669"/>
  </r>
  <r>
    <n v="6034641"/>
    <x v="212"/>
    <x v="1"/>
    <s v="SC"/>
    <n v="32"/>
    <n v="2.64"/>
    <n v="68.64"/>
    <n v="115"/>
    <n v="26.16"/>
    <n v="2.64"/>
    <n v="141.16"/>
    <n v="212.43999999999997"/>
    <n v="80.469696969696955"/>
  </r>
  <r>
    <n v="6034641"/>
    <x v="213"/>
    <x v="4"/>
    <s v="SC"/>
    <n v="30"/>
    <n v="2.0499999999999998"/>
    <n v="53.3"/>
    <n v="115"/>
    <n v="26.16"/>
    <n v="2.0499999999999998"/>
    <n v="141.16"/>
    <n v="196.51000000000002"/>
    <n v="95.858536585365869"/>
  </r>
  <r>
    <n v="5613603"/>
    <x v="214"/>
    <x v="7"/>
    <s v="FL"/>
    <n v="8"/>
    <n v="3.12"/>
    <m/>
    <n v="189"/>
    <m/>
    <m/>
    <m/>
    <n v="189"/>
    <n v="60.576923076923073"/>
  </r>
  <r>
    <n v="5616170"/>
    <x v="214"/>
    <x v="8"/>
    <s v="SC"/>
    <n v="6"/>
    <n v="3.9"/>
    <m/>
    <n v="155.88"/>
    <m/>
    <m/>
    <m/>
    <n v="155.88"/>
    <n v="39.969230769230769"/>
  </r>
  <r>
    <n v="5616471"/>
    <x v="214"/>
    <x v="9"/>
    <s v="FL"/>
    <n v="2"/>
    <n v="0.39"/>
    <m/>
    <n v="48"/>
    <m/>
    <m/>
    <m/>
    <n v="48"/>
    <n v="123.07692307692307"/>
  </r>
  <r>
    <n v="6034641"/>
    <x v="214"/>
    <x v="1"/>
    <s v="SC"/>
    <n v="32"/>
    <n v="1.99"/>
    <n v="51.74"/>
    <n v="115"/>
    <n v="25.93"/>
    <n v="1.99"/>
    <n v="140.93"/>
    <n v="194.66000000000003"/>
    <n v="97.819095477386952"/>
  </r>
  <r>
    <n v="5613184"/>
    <x v="214"/>
    <x v="5"/>
    <s v="FL"/>
    <n v="6"/>
    <n v="1.17"/>
    <m/>
    <n v="104"/>
    <m/>
    <m/>
    <m/>
    <n v="104"/>
    <n v="88.8888888888889"/>
  </r>
  <r>
    <n v="5613184"/>
    <x v="214"/>
    <x v="6"/>
    <s v="FL"/>
    <n v="2"/>
    <n v="0.39"/>
    <m/>
    <n v="65"/>
    <m/>
    <m/>
    <m/>
    <n v="65"/>
    <n v="166.66666666666666"/>
  </r>
  <r>
    <n v="5613184"/>
    <x v="214"/>
    <x v="6"/>
    <s v="FL"/>
    <n v="2"/>
    <n v="0.39"/>
    <m/>
    <n v="65"/>
    <m/>
    <m/>
    <m/>
    <n v="65"/>
    <n v="166.66666666666666"/>
  </r>
  <r>
    <n v="6055865"/>
    <x v="215"/>
    <x v="4"/>
    <s v="SC"/>
    <n v="30"/>
    <n v="1.25"/>
    <n v="32.5"/>
    <n v="115"/>
    <n v="25.93"/>
    <n v="1.25"/>
    <n v="140.93"/>
    <n v="174.68"/>
    <n v="139.744"/>
  </r>
  <r>
    <n v="6055865"/>
    <x v="216"/>
    <x v="3"/>
    <s v="OT"/>
    <n v="20"/>
    <n v="7.52"/>
    <n v="195.51999999999998"/>
    <n v="115"/>
    <n v="25.93"/>
    <n v="7.52"/>
    <m/>
    <n v="343.96999999999997"/>
    <n v="45.740691489361701"/>
  </r>
  <r>
    <n v="6055865"/>
    <x v="216"/>
    <x v="3"/>
    <s v="SC"/>
    <n v="35"/>
    <n v="7.48"/>
    <n v="194.48000000000002"/>
    <n v="115"/>
    <n v="25.93"/>
    <n v="7.48"/>
    <m/>
    <n v="342.89000000000004"/>
    <n v="45.840909090909093"/>
  </r>
  <r>
    <n v="6055865"/>
    <x v="217"/>
    <x v="3"/>
    <s v="OT"/>
    <n v="20"/>
    <n v="3.51"/>
    <n v="91.259999999999991"/>
    <n v="115"/>
    <n v="25.93"/>
    <n v="3.51"/>
    <m/>
    <n v="235.7"/>
    <n v="67.150997150997156"/>
  </r>
  <r>
    <n v="6055865"/>
    <x v="217"/>
    <x v="2"/>
    <s v="OT"/>
    <n v="40"/>
    <n v="6.89"/>
    <n v="179.14"/>
    <n v="115"/>
    <n v="25.93"/>
    <n v="6.89"/>
    <m/>
    <n v="326.95999999999998"/>
    <n v="47.454281567489112"/>
  </r>
  <r>
    <n v="6055865"/>
    <x v="218"/>
    <x v="1"/>
    <s v="SC"/>
    <n v="32"/>
    <n v="1.53"/>
    <n v="39.78"/>
    <n v="115"/>
    <n v="25.93"/>
    <n v="1.53"/>
    <n v="140.93"/>
    <n v="182.24"/>
    <n v="119.11111111111111"/>
  </r>
  <r>
    <n v="6055865"/>
    <x v="219"/>
    <x v="4"/>
    <s v="SC"/>
    <n v="30"/>
    <n v="1.18"/>
    <n v="30.68"/>
    <n v="115"/>
    <n v="25.88"/>
    <n v="1.18"/>
    <n v="140.88"/>
    <n v="172.74"/>
    <n v="146.3898305084746"/>
  </r>
  <r>
    <n v="6055865"/>
    <x v="220"/>
    <x v="1"/>
    <s v="SC"/>
    <n v="32"/>
    <n v="1.95"/>
    <n v="50.699999999999996"/>
    <n v="115"/>
    <n v="25.99"/>
    <n v="1.95"/>
    <n v="140.99"/>
    <n v="193.64"/>
    <n v="99.302564102564091"/>
  </r>
  <r>
    <n v="6055865"/>
    <x v="221"/>
    <x v="4"/>
    <s v="SC"/>
    <n v="30"/>
    <n v="1.33"/>
    <n v="34.58"/>
    <n v="115"/>
    <n v="25.99"/>
    <n v="1.33"/>
    <n v="140.99"/>
    <n v="176.9"/>
    <n v="133.00751879699249"/>
  </r>
  <r>
    <n v="6055865"/>
    <x v="222"/>
    <x v="2"/>
    <s v="OT"/>
    <n v="40"/>
    <n v="3.15"/>
    <n v="81.899999999999991"/>
    <n v="115"/>
    <n v="25.93"/>
    <n v="3.15"/>
    <m/>
    <n v="225.98"/>
    <n v="71.739682539682534"/>
  </r>
  <r>
    <n v="6055865"/>
    <x v="223"/>
    <x v="11"/>
    <s v="OT"/>
    <n v="40"/>
    <n v="3.1"/>
    <n v="80.600000000000009"/>
    <n v="115"/>
    <n v="25.93"/>
    <n v="3.1"/>
    <m/>
    <n v="224.63000000000002"/>
    <n v="72.461290322580652"/>
  </r>
  <r>
    <n v="6055865"/>
    <x v="224"/>
    <x v="1"/>
    <s v="SC"/>
    <n v="32"/>
    <n v="2.48"/>
    <n v="64.48"/>
    <n v="115"/>
    <n v="25.93"/>
    <n v="2.48"/>
    <n v="140.93"/>
    <n v="207.89000000000001"/>
    <n v="83.826612903225808"/>
  </r>
  <r>
    <n v="6055865"/>
    <x v="225"/>
    <x v="4"/>
    <s v="SC"/>
    <n v="30"/>
    <n v="1.31"/>
    <n v="34.06"/>
    <n v="115"/>
    <n v="25.93"/>
    <n v="1.31"/>
    <n v="140.93"/>
    <n v="176.3"/>
    <n v="134.58015267175574"/>
  </r>
  <r>
    <n v="6055865"/>
    <x v="226"/>
    <x v="1"/>
    <s v="SC"/>
    <n v="32"/>
    <n v="1.95"/>
    <n v="50.699999999999996"/>
    <n v="115"/>
    <n v="25.59"/>
    <n v="1.95"/>
    <n v="140.59"/>
    <n v="193.23999999999998"/>
    <n v="99.097435897435886"/>
  </r>
  <r>
    <n v="6055865"/>
    <x v="227"/>
    <x v="4"/>
    <s v="SC"/>
    <n v="30"/>
    <n v="1.41"/>
    <n v="36.659999999999997"/>
    <n v="115"/>
    <n v="25.59"/>
    <n v="1.41"/>
    <n v="140.59"/>
    <n v="178.66"/>
    <n v="126.70921985815603"/>
  </r>
  <r>
    <n v="5621698"/>
    <x v="228"/>
    <x v="5"/>
    <s v="FL"/>
    <n v="6"/>
    <n v="1.17"/>
    <m/>
    <n v="104"/>
    <m/>
    <m/>
    <m/>
    <n v="104"/>
    <n v="88.8888888888889"/>
  </r>
  <r>
    <n v="5621698"/>
    <x v="228"/>
    <x v="6"/>
    <s v="FL"/>
    <n v="2"/>
    <n v="0.39"/>
    <m/>
    <n v="65"/>
    <m/>
    <m/>
    <m/>
    <n v="65"/>
    <n v="166.66666666666666"/>
  </r>
  <r>
    <n v="5621698"/>
    <x v="228"/>
    <x v="6"/>
    <s v="FL"/>
    <n v="2"/>
    <n v="0.39"/>
    <m/>
    <n v="65"/>
    <m/>
    <m/>
    <m/>
    <n v="65"/>
    <n v="166.66666666666666"/>
  </r>
  <r>
    <n v="5622116"/>
    <x v="228"/>
    <x v="7"/>
    <s v="FL"/>
    <n v="8"/>
    <n v="3.12"/>
    <m/>
    <n v="189"/>
    <m/>
    <m/>
    <m/>
    <n v="189"/>
    <n v="60.576923076923073"/>
  </r>
  <r>
    <n v="5624654"/>
    <x v="228"/>
    <x v="8"/>
    <s v="SC"/>
    <n v="6"/>
    <n v="3.9"/>
    <m/>
    <n v="155.88"/>
    <m/>
    <m/>
    <m/>
    <n v="155.88"/>
    <n v="39.969230769230769"/>
  </r>
  <r>
    <n v="6074315"/>
    <x v="229"/>
    <x v="3"/>
    <s v="SC"/>
    <n v="35"/>
    <n v="1.81"/>
    <n v="47.06"/>
    <n v="115"/>
    <n v="25.59"/>
    <n v="1.81"/>
    <m/>
    <n v="189.46"/>
    <n v="104.67403314917127"/>
  </r>
  <r>
    <n v="6074315"/>
    <x v="230"/>
    <x v="2"/>
    <s v="OT"/>
    <n v="40"/>
    <n v="5.61"/>
    <n v="145.86000000000001"/>
    <n v="115"/>
    <n v="25.59"/>
    <n v="5.61"/>
    <m/>
    <n v="292.06"/>
    <n v="52.060606060606055"/>
  </r>
  <r>
    <n v="6074315"/>
    <x v="231"/>
    <x v="4"/>
    <s v="SC"/>
    <n v="30"/>
    <n v="1.64"/>
    <n v="42.64"/>
    <n v="115"/>
    <n v="25.59"/>
    <n v="1.64"/>
    <n v="140.59"/>
    <n v="184.86999999999998"/>
    <n v="112.72560975609755"/>
  </r>
  <r>
    <n v="6074315"/>
    <x v="232"/>
    <x v="12"/>
    <s v="SC"/>
    <n v="30"/>
    <n v="7.91"/>
    <n v="205.66"/>
    <n v="115"/>
    <n v="25.59"/>
    <n v="7.91"/>
    <m/>
    <n v="354.15999999999997"/>
    <n v="44.773704171934256"/>
  </r>
  <r>
    <n v="6074315"/>
    <x v="233"/>
    <x v="1"/>
    <s v="SC"/>
    <n v="32"/>
    <n v="1.32"/>
    <n v="34.32"/>
    <n v="115"/>
    <n v="25.59"/>
    <n v="1.32"/>
    <n v="140.59"/>
    <n v="176.23"/>
    <n v="133.50757575757575"/>
  </r>
  <r>
    <n v="6074315"/>
    <x v="233"/>
    <x v="0"/>
    <s v="OT"/>
    <n v="40"/>
    <n v="6.9"/>
    <n v="179.4"/>
    <n v="115"/>
    <n v="25.59"/>
    <n v="6.9"/>
    <m/>
    <n v="326.88999999999993"/>
    <n v="47.375362318840565"/>
  </r>
  <r>
    <n v="6074315"/>
    <x v="234"/>
    <x v="3"/>
    <s v="SC"/>
    <n v="35"/>
    <n v="9.1999999999999993"/>
    <n v="239.2"/>
    <n v="115"/>
    <n v="25.59"/>
    <n v="9.1999999999999993"/>
    <m/>
    <n v="388.98999999999995"/>
    <n v="42.281521739130433"/>
  </r>
  <r>
    <n v="6074315"/>
    <x v="235"/>
    <x v="4"/>
    <s v="SC"/>
    <n v="30"/>
    <n v="2.0499999999999998"/>
    <n v="53.3"/>
    <n v="115"/>
    <n v="25.59"/>
    <n v="2.0499999999999998"/>
    <n v="140.59"/>
    <n v="195.94000000000003"/>
    <n v="95.580487804878075"/>
  </r>
  <r>
    <n v="6074315"/>
    <x v="236"/>
    <x v="1"/>
    <s v="SC"/>
    <n v="32"/>
    <n v="1.63"/>
    <n v="42.379999999999995"/>
    <n v="115"/>
    <n v="25.93"/>
    <n v="1.63"/>
    <n v="140.93"/>
    <n v="184.94"/>
    <n v="113.4601226993865"/>
  </r>
  <r>
    <n v="6074315"/>
    <x v="237"/>
    <x v="4"/>
    <s v="SC"/>
    <n v="30"/>
    <n v="1.69"/>
    <n v="43.94"/>
    <n v="115"/>
    <n v="25.93"/>
    <n v="1.69"/>
    <n v="140.93"/>
    <n v="186.56"/>
    <n v="110.3905325443787"/>
  </r>
  <r>
    <n v="6074315"/>
    <x v="237"/>
    <x v="2"/>
    <s v="OT"/>
    <n v="40"/>
    <n v="2.73"/>
    <n v="70.98"/>
    <n v="115"/>
    <n v="25.93"/>
    <n v="2.73"/>
    <m/>
    <n v="214.64000000000001"/>
    <n v="78.622710622710628"/>
  </r>
  <r>
    <n v="6074315"/>
    <x v="238"/>
    <x v="1"/>
    <s v="SC"/>
    <n v="32"/>
    <n v="1.56"/>
    <n v="40.56"/>
    <n v="115"/>
    <n v="26.11"/>
    <n v="1.56"/>
    <n v="141.11000000000001"/>
    <n v="183.23000000000002"/>
    <n v="117.45512820512822"/>
  </r>
  <r>
    <n v="6074315"/>
    <x v="239"/>
    <x v="4"/>
    <s v="SC"/>
    <n v="30"/>
    <n v="0.61"/>
    <n v="15.86"/>
    <n v="115"/>
    <n v="26.11"/>
    <n v="0.61"/>
    <n v="141.11000000000001"/>
    <n v="157.58000000000004"/>
    <n v="258.32786885245906"/>
  </r>
  <r>
    <n v="5629923"/>
    <x v="240"/>
    <x v="5"/>
    <s v="FL"/>
    <n v="6"/>
    <n v="1.17"/>
    <m/>
    <n v="104"/>
    <m/>
    <m/>
    <m/>
    <n v="104"/>
    <n v="88.8888888888889"/>
  </r>
  <r>
    <n v="5629923"/>
    <x v="240"/>
    <x v="6"/>
    <s v="FL"/>
    <n v="2"/>
    <n v="0.39"/>
    <m/>
    <n v="65"/>
    <m/>
    <m/>
    <m/>
    <n v="65"/>
    <n v="166.66666666666666"/>
  </r>
  <r>
    <n v="5629923"/>
    <x v="240"/>
    <x v="6"/>
    <s v="FL"/>
    <n v="2"/>
    <n v="0.39"/>
    <m/>
    <n v="65"/>
    <m/>
    <m/>
    <m/>
    <n v="65"/>
    <n v="166.66666666666666"/>
  </r>
  <r>
    <n v="5630341"/>
    <x v="240"/>
    <x v="7"/>
    <s v="FL"/>
    <n v="8"/>
    <n v="3.12"/>
    <m/>
    <n v="189"/>
    <m/>
    <m/>
    <m/>
    <n v="189"/>
    <n v="60.576923076923073"/>
  </r>
  <r>
    <n v="5632866"/>
    <x v="240"/>
    <x v="8"/>
    <s v="SC"/>
    <n v="6"/>
    <n v="3.9"/>
    <m/>
    <n v="155.88"/>
    <m/>
    <m/>
    <m/>
    <n v="155.88"/>
    <n v="39.969230769230769"/>
  </r>
  <r>
    <n v="5633169"/>
    <x v="240"/>
    <x v="9"/>
    <s v="FL"/>
    <n v="2"/>
    <n v="0.39"/>
    <m/>
    <n v="48"/>
    <m/>
    <m/>
    <m/>
    <n v="48"/>
    <n v="123.07692307692307"/>
  </r>
  <r>
    <n v="6096126"/>
    <x v="241"/>
    <x v="1"/>
    <s v="SC"/>
    <n v="32"/>
    <n v="2.1"/>
    <n v="54.6"/>
    <n v="115"/>
    <n v="26.05"/>
    <n v="2.1"/>
    <n v="141.05000000000001"/>
    <n v="197.75"/>
    <n v="94.166666666666657"/>
  </r>
  <r>
    <n v="6096126"/>
    <x v="242"/>
    <x v="3"/>
    <s v="OT"/>
    <n v="20"/>
    <n v="1.32"/>
    <n v="34.32"/>
    <n v="115"/>
    <n v="26.05"/>
    <n v="1.32"/>
    <m/>
    <n v="176.69"/>
    <n v="133.85606060606059"/>
  </r>
  <r>
    <n v="6096126"/>
    <x v="242"/>
    <x v="3"/>
    <s v="OT"/>
    <n v="20"/>
    <n v="2.27"/>
    <n v="59.02"/>
    <n v="115"/>
    <n v="26.05"/>
    <n v="2.27"/>
    <m/>
    <n v="202.34000000000003"/>
    <n v="89.136563876651991"/>
  </r>
  <r>
    <m/>
    <x v="242"/>
    <x v="3"/>
    <s v="OT"/>
    <n v="20"/>
    <n v="1.32"/>
    <n v="34.32"/>
    <n v="115"/>
    <n v="25.59"/>
    <n v="1.32"/>
    <m/>
    <n v="176.23"/>
    <n v="133.50757575757575"/>
  </r>
  <r>
    <n v="6096126"/>
    <x v="243"/>
    <x v="4"/>
    <s v="SC"/>
    <n v="30"/>
    <n v="1.24"/>
    <n v="32.24"/>
    <n v="115"/>
    <n v="26.05"/>
    <n v="1.24"/>
    <n v="141.05000000000001"/>
    <n v="174.53000000000003"/>
    <n v="140.75000000000003"/>
  </r>
  <r>
    <n v="6096126"/>
    <x v="244"/>
    <x v="0"/>
    <s v="OT"/>
    <n v="40"/>
    <n v="5.33"/>
    <n v="138.58000000000001"/>
    <n v="115"/>
    <n v="26.05"/>
    <n v="5.33"/>
    <m/>
    <n v="284.95999999999998"/>
    <n v="53.463414634146339"/>
  </r>
  <r>
    <n v="6096126"/>
    <x v="245"/>
    <x v="1"/>
    <s v="SC"/>
    <n v="32"/>
    <n v="1.34"/>
    <n v="34.840000000000003"/>
    <n v="115"/>
    <n v="25.82"/>
    <n v="1.34"/>
    <n v="140.82"/>
    <n v="177"/>
    <n v="132.08955223880596"/>
  </r>
  <r>
    <n v="6096126"/>
    <x v="246"/>
    <x v="4"/>
    <s v="SC"/>
    <n v="30"/>
    <n v="0.73"/>
    <n v="18.98"/>
    <n v="115"/>
    <n v="25.82"/>
    <n v="0.73"/>
    <n v="140.82"/>
    <n v="160.52999999999997"/>
    <n v="219.90410958904107"/>
  </r>
  <r>
    <n v="6096126"/>
    <x v="247"/>
    <x v="0"/>
    <s v="OT"/>
    <n v="40"/>
    <n v="7.32"/>
    <n v="190.32"/>
    <n v="115"/>
    <n v="25.82"/>
    <n v="7.32"/>
    <m/>
    <n v="338.46"/>
    <n v="46.237704918032783"/>
  </r>
  <r>
    <n v="6096126"/>
    <x v="248"/>
    <x v="1"/>
    <s v="SC"/>
    <n v="32"/>
    <n v="2.23"/>
    <n v="57.98"/>
    <n v="115"/>
    <n v="25.47"/>
    <n v="2.23"/>
    <n v="140.47"/>
    <n v="200.67999999999998"/>
    <n v="89.991031390134523"/>
  </r>
  <r>
    <n v="6096126"/>
    <x v="249"/>
    <x v="0"/>
    <s v="OT"/>
    <n v="40"/>
    <n v="5.47"/>
    <n v="142.22"/>
    <n v="115"/>
    <n v="25.59"/>
    <n v="5.47"/>
    <m/>
    <n v="288.28000000000003"/>
    <n v="52.7020109689214"/>
  </r>
  <r>
    <n v="6096126"/>
    <x v="250"/>
    <x v="3"/>
    <s v="SC"/>
    <n v="35"/>
    <n v="7.98"/>
    <n v="207.48000000000002"/>
    <n v="115"/>
    <n v="25.47"/>
    <n v="7.98"/>
    <m/>
    <n v="355.93000000000006"/>
    <n v="44.60275689223058"/>
  </r>
  <r>
    <n v="6096126"/>
    <x v="250"/>
    <x v="4"/>
    <s v="SC"/>
    <n v="30"/>
    <n v="0.9"/>
    <n v="23.400000000000002"/>
    <n v="115"/>
    <n v="25.47"/>
    <n v="0.9"/>
    <n v="140.47"/>
    <n v="164.77"/>
    <n v="183.07777777777778"/>
  </r>
  <r>
    <n v="6096126"/>
    <x v="251"/>
    <x v="0"/>
    <s v="OT"/>
    <n v="40"/>
    <n v="3.61"/>
    <n v="93.86"/>
    <n v="115"/>
    <n v="25.59"/>
    <n v="3.61"/>
    <m/>
    <n v="238.06000000000003"/>
    <n v="65.944598337950154"/>
  </r>
  <r>
    <n v="6096126"/>
    <x v="252"/>
    <x v="1"/>
    <s v="SC"/>
    <n v="32"/>
    <n v="2.2000000000000002"/>
    <n v="57.2"/>
    <n v="115"/>
    <n v="25.3"/>
    <n v="2.2000000000000002"/>
    <n v="140.30000000000001"/>
    <n v="199.7"/>
    <n v="90.772727272727266"/>
  </r>
  <r>
    <n v="6096126"/>
    <x v="253"/>
    <x v="0"/>
    <s v="OT"/>
    <n v="40"/>
    <n v="3.52"/>
    <n v="91.52"/>
    <n v="115"/>
    <n v="25.59"/>
    <n v="3.52"/>
    <m/>
    <n v="235.63"/>
    <n v="66.940340909090907"/>
  </r>
  <r>
    <n v="6096126"/>
    <x v="254"/>
    <x v="2"/>
    <s v="OT"/>
    <n v="40"/>
    <n v="5.26"/>
    <n v="136.76"/>
    <n v="115"/>
    <n v="25.59"/>
    <n v="5.26"/>
    <m/>
    <n v="282.60999999999996"/>
    <n v="53.72813688212927"/>
  </r>
  <r>
    <n v="6096126"/>
    <x v="254"/>
    <x v="4"/>
    <s v="SC"/>
    <n v="30"/>
    <n v="2.08"/>
    <n v="54.08"/>
    <n v="115"/>
    <n v="25.59"/>
    <n v="2.08"/>
    <n v="140.59"/>
    <n v="196.75"/>
    <n v="94.591346153846146"/>
  </r>
  <r>
    <n v="6096126"/>
    <x v="255"/>
    <x v="1"/>
    <s v="SC"/>
    <n v="32"/>
    <n v="2.88"/>
    <n v="74.88"/>
    <n v="115"/>
    <n v="25.93"/>
    <n v="2.88"/>
    <n v="140.93"/>
    <n v="218.69"/>
    <n v="75.934027777777786"/>
  </r>
  <r>
    <n v="5638408"/>
    <x v="256"/>
    <x v="5"/>
    <s v="FL"/>
    <n v="6"/>
    <n v="1.17"/>
    <m/>
    <n v="55"/>
    <m/>
    <m/>
    <m/>
    <n v="55"/>
    <n v="47.008547008547012"/>
  </r>
  <r>
    <n v="5638408"/>
    <x v="256"/>
    <x v="6"/>
    <s v="FL"/>
    <n v="2"/>
    <n v="0.39"/>
    <m/>
    <n v="65"/>
    <m/>
    <m/>
    <m/>
    <n v="65"/>
    <n v="166.66666666666666"/>
  </r>
  <r>
    <n v="5638408"/>
    <x v="256"/>
    <x v="6"/>
    <s v="FL"/>
    <n v="2"/>
    <n v="0.39"/>
    <m/>
    <n v="65"/>
    <m/>
    <m/>
    <m/>
    <n v="65"/>
    <n v="166.66666666666666"/>
  </r>
  <r>
    <n v="5638824"/>
    <x v="256"/>
    <x v="7"/>
    <s v="FL"/>
    <n v="8"/>
    <n v="3.12"/>
    <m/>
    <n v="129"/>
    <m/>
    <m/>
    <m/>
    <n v="129"/>
    <n v="41.346153846153847"/>
  </r>
  <r>
    <n v="5641333"/>
    <x v="256"/>
    <x v="8"/>
    <s v="SC"/>
    <n v="6"/>
    <n v="3.9"/>
    <m/>
    <n v="155.88"/>
    <m/>
    <m/>
    <m/>
    <n v="155.88"/>
    <n v="39.969230769230769"/>
  </r>
  <r>
    <m/>
    <x v="256"/>
    <x v="9"/>
    <s v="FL"/>
    <n v="2"/>
    <n v="0.39"/>
    <m/>
    <n v="48"/>
    <m/>
    <m/>
    <m/>
    <n v="48"/>
    <n v="123.07692307692307"/>
  </r>
  <r>
    <n v="6096126"/>
    <x v="256"/>
    <x v="4"/>
    <s v="SC"/>
    <n v="30"/>
    <n v="2.91"/>
    <n v="75.66"/>
    <n v="115"/>
    <n v="26.11"/>
    <n v="2.91"/>
    <n v="141.11000000000001"/>
    <n v="219.67999999999998"/>
    <n v="75.491408934707891"/>
  </r>
  <r>
    <n v="5643865"/>
    <x v="256"/>
    <x v="14"/>
    <s v="FL"/>
    <n v="8"/>
    <n v="1.56"/>
    <m/>
    <n v="64.72"/>
    <m/>
    <m/>
    <m/>
    <n v="64.72"/>
    <n v="41.487179487179482"/>
  </r>
  <r>
    <n v="6117681"/>
    <x v="257"/>
    <x v="2"/>
    <s v="OT"/>
    <n v="40"/>
    <n v="3.13"/>
    <n v="81.38"/>
    <n v="115"/>
    <n v="0"/>
    <n v="3.13"/>
    <m/>
    <n v="199.51"/>
    <n v="63.741214057507989"/>
  </r>
  <r>
    <n v="6117681"/>
    <x v="258"/>
    <x v="1"/>
    <s v="SC"/>
    <n v="32"/>
    <n v="2.71"/>
    <n v="70.459999999999994"/>
    <n v="115"/>
    <n v="0"/>
    <n v="2.71"/>
    <n v="115"/>
    <n v="188.17"/>
    <n v="69.435424354243537"/>
  </r>
  <r>
    <n v="6117681"/>
    <x v="259"/>
    <x v="4"/>
    <s v="SC"/>
    <n v="30"/>
    <n v="2.31"/>
    <n v="60.06"/>
    <n v="115"/>
    <n v="0"/>
    <n v="2.31"/>
    <n v="115"/>
    <n v="177.37"/>
    <n v="76.783549783549788"/>
  </r>
  <r>
    <n v="6117681"/>
    <x v="260"/>
    <x v="3"/>
    <s v="OT"/>
    <n v="20"/>
    <n v="2.44"/>
    <n v="63.44"/>
    <n v="115"/>
    <n v="0"/>
    <n v="2.44"/>
    <m/>
    <n v="180.88"/>
    <n v="74.131147540983605"/>
  </r>
  <r>
    <n v="6117681"/>
    <x v="261"/>
    <x v="1"/>
    <s v="SC"/>
    <n v="32"/>
    <n v="2.25"/>
    <n v="58.5"/>
    <n v="115"/>
    <n v="0"/>
    <n v="2.25"/>
    <n v="115"/>
    <n v="175.75"/>
    <n v="78.111111111111114"/>
  </r>
  <r>
    <n v="6117681"/>
    <x v="261"/>
    <x v="3"/>
    <s v="SC"/>
    <n v="35"/>
    <n v="7.39"/>
    <n v="192.14"/>
    <n v="115"/>
    <n v="0"/>
    <n v="7.39"/>
    <m/>
    <n v="314.52999999999997"/>
    <n v="42.561569688768607"/>
  </r>
  <r>
    <n v="6117681"/>
    <x v="261"/>
    <x v="3"/>
    <s v="SC"/>
    <n v="35"/>
    <n v="4.25"/>
    <n v="110.5"/>
    <n v="115"/>
    <n v="0"/>
    <n v="4.25"/>
    <m/>
    <n v="229.75"/>
    <n v="54.058823529411768"/>
  </r>
  <r>
    <n v="6117681"/>
    <x v="262"/>
    <x v="4"/>
    <s v="SC"/>
    <n v="30"/>
    <n v="3.16"/>
    <n v="82.16"/>
    <n v="115"/>
    <n v="0"/>
    <n v="3.16"/>
    <n v="115"/>
    <n v="200.32"/>
    <n v="63.392405063291136"/>
  </r>
  <r>
    <n v="6117681"/>
    <x v="262"/>
    <x v="0"/>
    <s v="OT"/>
    <n v="40"/>
    <n v="2.0099999999999998"/>
    <n v="52.259999999999991"/>
    <n v="115"/>
    <n v="0"/>
    <n v="2.0099999999999998"/>
    <m/>
    <n v="169.26999999999998"/>
    <n v="84.2139303482587"/>
  </r>
  <r>
    <n v="6117681"/>
    <x v="263"/>
    <x v="1"/>
    <s v="SC"/>
    <n v="32"/>
    <n v="2.41"/>
    <n v="62.660000000000004"/>
    <n v="115"/>
    <n v="0"/>
    <n v="2.41"/>
    <n v="115"/>
    <n v="180.07"/>
    <n v="74.717842323651439"/>
  </r>
  <r>
    <n v="6117681"/>
    <x v="264"/>
    <x v="4"/>
    <s v="SC"/>
    <n v="30"/>
    <n v="2.99"/>
    <n v="77.740000000000009"/>
    <n v="115"/>
    <n v="0"/>
    <n v="2.99"/>
    <n v="115"/>
    <n v="195.73000000000002"/>
    <n v="65.461538461538467"/>
  </r>
  <r>
    <n v="6117681"/>
    <x v="265"/>
    <x v="0"/>
    <s v="OT"/>
    <n v="40"/>
    <n v="2.56"/>
    <n v="66.56"/>
    <n v="115"/>
    <n v="0"/>
    <n v="2.56"/>
    <m/>
    <n v="184.12"/>
    <n v="71.921875"/>
  </r>
  <r>
    <n v="6117681"/>
    <x v="266"/>
    <x v="1"/>
    <s v="SC"/>
    <n v="32"/>
    <n v="2.73"/>
    <n v="70.98"/>
    <n v="115"/>
    <n v="0"/>
    <n v="2.73"/>
    <n v="115"/>
    <n v="188.71"/>
    <n v="69.124542124542131"/>
  </r>
  <r>
    <n v="6117681"/>
    <x v="267"/>
    <x v="4"/>
    <s v="SC"/>
    <n v="30"/>
    <n v="3.28"/>
    <n v="85.28"/>
    <n v="115"/>
    <n v="0"/>
    <n v="3.28"/>
    <n v="115"/>
    <n v="203.56"/>
    <n v="62.060975609756099"/>
  </r>
  <r>
    <n v="6117681"/>
    <x v="267"/>
    <x v="0"/>
    <s v="OT"/>
    <n v="40"/>
    <n v="2.58"/>
    <n v="67.08"/>
    <n v="115"/>
    <n v="0"/>
    <n v="2.58"/>
    <m/>
    <n v="184.66"/>
    <n v="71.573643410852711"/>
  </r>
  <r>
    <n v="6117681"/>
    <x v="267"/>
    <x v="3"/>
    <s v="OT"/>
    <n v="20"/>
    <n v="3.95"/>
    <n v="102.7"/>
    <n v="115"/>
    <n v="0"/>
    <n v="3.95"/>
    <m/>
    <n v="221.64999999999998"/>
    <n v="56.113924050632903"/>
  </r>
  <r>
    <n v="5646938"/>
    <x v="268"/>
    <x v="5"/>
    <s v="FL"/>
    <n v="6"/>
    <n v="1.17"/>
    <m/>
    <n v="55"/>
    <m/>
    <m/>
    <m/>
    <n v="55"/>
    <n v="47.008547008547012"/>
  </r>
  <r>
    <n v="5646938"/>
    <x v="268"/>
    <x v="6"/>
    <s v="FL"/>
    <n v="6"/>
    <n v="1.17"/>
    <m/>
    <n v="65"/>
    <m/>
    <m/>
    <m/>
    <n v="65"/>
    <n v="55.555555555555557"/>
  </r>
  <r>
    <n v="5647347"/>
    <x v="268"/>
    <x v="7"/>
    <s v="FL"/>
    <n v="8"/>
    <n v="3.12"/>
    <m/>
    <n v="129"/>
    <m/>
    <m/>
    <m/>
    <n v="129"/>
    <n v="41.346153846153847"/>
  </r>
  <r>
    <s v="?"/>
    <x v="268"/>
    <x v="8"/>
    <s v="SC"/>
    <n v="6"/>
    <n v="3.9"/>
    <m/>
    <n v="155.88"/>
    <m/>
    <m/>
    <m/>
    <n v="155.88"/>
    <n v="39.969230769230769"/>
  </r>
  <r>
    <n v="5650126"/>
    <x v="268"/>
    <x v="9"/>
    <s v="FL"/>
    <n v="2"/>
    <n v="0.39"/>
    <m/>
    <n v="48"/>
    <m/>
    <m/>
    <m/>
    <n v="48"/>
    <n v="123.07692307692307"/>
  </r>
  <r>
    <n v="5652319"/>
    <x v="268"/>
    <x v="14"/>
    <s v="FL"/>
    <n v="8"/>
    <n v="1.56"/>
    <m/>
    <n v="69.28"/>
    <m/>
    <m/>
    <m/>
    <n v="69.28"/>
    <m/>
  </r>
  <r>
    <n v="6136627"/>
    <x v="269"/>
    <x v="1"/>
    <s v="SC"/>
    <n v="32"/>
    <n v="2.59"/>
    <n v="67.34"/>
    <n v="115"/>
    <n v="0"/>
    <n v="2.59"/>
    <n v="115"/>
    <n v="184.93"/>
    <n v="71.401544401544413"/>
  </r>
  <r>
    <n v="6136627"/>
    <x v="270"/>
    <x v="4"/>
    <s v="SC"/>
    <n v="30"/>
    <n v="2.68"/>
    <n v="69.680000000000007"/>
    <n v="115"/>
    <n v="0"/>
    <n v="2.68"/>
    <n v="115"/>
    <n v="187.36"/>
    <n v="69.910447761194035"/>
  </r>
  <r>
    <n v="6136627"/>
    <x v="271"/>
    <x v="0"/>
    <s v="OT"/>
    <n v="40"/>
    <n v="2.14"/>
    <n v="55.64"/>
    <n v="115"/>
    <n v="0"/>
    <n v="2.14"/>
    <m/>
    <n v="172.77999999999997"/>
    <n v="80.738317757009327"/>
  </r>
  <r>
    <n v="6136627"/>
    <x v="272"/>
    <x v="1"/>
    <s v="SC"/>
    <n v="32"/>
    <n v="2.57"/>
    <n v="66.819999999999993"/>
    <n v="115"/>
    <n v="0"/>
    <n v="2.57"/>
    <n v="115"/>
    <n v="184.39"/>
    <n v="71.747081712062254"/>
  </r>
  <r>
    <n v="6136627"/>
    <x v="273"/>
    <x v="3"/>
    <s v="SC"/>
    <n v="35"/>
    <n v="7.99"/>
    <n v="207.74"/>
    <n v="115"/>
    <n v="0"/>
    <n v="7.99"/>
    <m/>
    <n v="330.73"/>
    <n v="41.392991239048811"/>
  </r>
  <r>
    <n v="6136627"/>
    <x v="273"/>
    <x v="3"/>
    <s v="OT"/>
    <n v="20"/>
    <n v="5.04"/>
    <n v="131.04"/>
    <n v="115"/>
    <n v="0"/>
    <n v="5.04"/>
    <n v="115"/>
    <n v="251.07999999999998"/>
    <n v="49.817460317460316"/>
  </r>
  <r>
    <n v="6136627"/>
    <x v="274"/>
    <x v="4"/>
    <s v="SC"/>
    <n v="30"/>
    <n v="2.85"/>
    <n v="74.100000000000009"/>
    <n v="115"/>
    <n v="0"/>
    <n v="2.85"/>
    <n v="115"/>
    <n v="191.95000000000002"/>
    <n v="67.350877192982466"/>
  </r>
  <r>
    <n v="6136627"/>
    <x v="275"/>
    <x v="2"/>
    <s v="OT"/>
    <n v="40"/>
    <n v="1.69"/>
    <n v="43.94"/>
    <n v="115"/>
    <n v="0"/>
    <n v="1.69"/>
    <n v="115"/>
    <n v="160.63"/>
    <n v="95.047337278106511"/>
  </r>
  <r>
    <n v="6136627"/>
    <x v="275"/>
    <x v="11"/>
    <s v="OT"/>
    <n v="40"/>
    <n v="4.18"/>
    <n v="108.67999999999999"/>
    <n v="115"/>
    <m/>
    <n v="4.18"/>
    <n v="115"/>
    <n v="227.86"/>
    <n v="54.511961722488046"/>
  </r>
  <r>
    <n v="6136627"/>
    <x v="276"/>
    <x v="1"/>
    <s v="SC"/>
    <n v="32"/>
    <n v="2.16"/>
    <n v="56.160000000000004"/>
    <n v="115"/>
    <n v="0"/>
    <n v="2.16"/>
    <n v="115"/>
    <n v="173.32"/>
    <n v="80.240740740740733"/>
  </r>
  <r>
    <n v="6136627"/>
    <x v="277"/>
    <x v="4"/>
    <s v="SC"/>
    <n v="30"/>
    <n v="2.96"/>
    <n v="76.959999999999994"/>
    <n v="115"/>
    <n v="0"/>
    <n v="2.96"/>
    <n v="115"/>
    <n v="194.92"/>
    <n v="65.851351351351354"/>
  </r>
  <r>
    <n v="6136627"/>
    <x v="277"/>
    <x v="0"/>
    <s v="OT"/>
    <n v="40"/>
    <n v="1.52"/>
    <n v="39.520000000000003"/>
    <n v="115"/>
    <n v="0"/>
    <n v="1.52"/>
    <n v="115"/>
    <n v="156.04000000000002"/>
    <n v="102.65789473684212"/>
  </r>
  <r>
    <n v="6136627"/>
    <x v="277"/>
    <x v="0"/>
    <s v="OT"/>
    <n v="40"/>
    <n v="0.83"/>
    <n v="21.58"/>
    <n v="115"/>
    <n v="0"/>
    <n v="0.83"/>
    <n v="115"/>
    <n v="137.41"/>
    <n v="165.55421686746988"/>
  </r>
  <r>
    <n v="6136627"/>
    <x v="278"/>
    <x v="0"/>
    <s v="OT"/>
    <n v="40"/>
    <n v="1.89"/>
    <n v="49.14"/>
    <n v="115"/>
    <n v="0"/>
    <n v="1.89"/>
    <n v="115"/>
    <n v="166.02999999999997"/>
    <n v="87.846560846560834"/>
  </r>
  <r>
    <n v="6136627"/>
    <x v="279"/>
    <x v="1"/>
    <s v="SC"/>
    <n v="32"/>
    <n v="2.4700000000000002"/>
    <n v="64.22"/>
    <n v="115"/>
    <n v="0"/>
    <n v="2.4700000000000002"/>
    <n v="115"/>
    <n v="181.69"/>
    <n v="73.558704453441294"/>
  </r>
  <r>
    <n v="6136627"/>
    <x v="280"/>
    <x v="4"/>
    <s v="SC"/>
    <n v="30"/>
    <n v="2.94"/>
    <n v="76.44"/>
    <n v="115"/>
    <n v="0"/>
    <n v="2.94"/>
    <n v="115"/>
    <n v="194.38"/>
    <n v="66.115646258503403"/>
  </r>
  <r>
    <n v="6136627"/>
    <x v="281"/>
    <x v="1"/>
    <s v="SC"/>
    <n v="32"/>
    <n v="2.35"/>
    <n v="61.1"/>
    <n v="115"/>
    <n v="0"/>
    <n v="2.35"/>
    <n v="115"/>
    <n v="178.45"/>
    <n v="75.936170212765944"/>
  </r>
  <r>
    <n v="5655155"/>
    <x v="281"/>
    <x v="5"/>
    <s v="FL"/>
    <n v="6"/>
    <n v="1.17"/>
    <m/>
    <n v="70.680000000000007"/>
    <m/>
    <m/>
    <m/>
    <n v="70.680000000000007"/>
    <n v="60.410256410256423"/>
  </r>
  <r>
    <n v="5655155"/>
    <x v="281"/>
    <x v="6"/>
    <s v="FL"/>
    <n v="6"/>
    <n v="2.34"/>
    <m/>
    <n v="94.32"/>
    <m/>
    <m/>
    <m/>
    <n v="94.32"/>
    <n v="40.307692307692307"/>
  </r>
  <r>
    <n v="5655562"/>
    <x v="281"/>
    <x v="7"/>
    <s v="FL"/>
    <n v="8"/>
    <n v="3.12"/>
    <m/>
    <n v="129"/>
    <m/>
    <m/>
    <m/>
    <n v="129"/>
    <n v="41.346153846153847"/>
  </r>
  <r>
    <n v="5658030"/>
    <x v="281"/>
    <x v="8"/>
    <s v="SC"/>
    <n v="6"/>
    <n v="3.9"/>
    <m/>
    <n v="155.88"/>
    <m/>
    <m/>
    <m/>
    <n v="155.88"/>
    <n v="39.969230769230769"/>
  </r>
  <r>
    <n v="5658310"/>
    <x v="281"/>
    <x v="9"/>
    <s v="FL"/>
    <n v="2"/>
    <n v="0.39"/>
    <m/>
    <n v="48"/>
    <m/>
    <m/>
    <m/>
    <n v="48"/>
    <n v="123.07692307692307"/>
  </r>
  <r>
    <n v="5660472"/>
    <x v="281"/>
    <x v="14"/>
    <s v="FL"/>
    <n v="8"/>
    <n v="1.56"/>
    <m/>
    <n v="69.28"/>
    <m/>
    <m/>
    <m/>
    <n v="69.28"/>
    <m/>
  </r>
  <r>
    <n v="6155784"/>
    <x v="282"/>
    <x v="2"/>
    <s v="OT"/>
    <n v="40"/>
    <n v="4.18"/>
    <n v="108.67999999999999"/>
    <n v="115"/>
    <n v="0"/>
    <n v="4.18"/>
    <n v="115"/>
    <n v="227.86"/>
    <n v="54.511961722488046"/>
  </r>
  <r>
    <n v="6155784"/>
    <x v="283"/>
    <x v="4"/>
    <s v="SC"/>
    <n v="30"/>
    <n v="2.72"/>
    <n v="70.72"/>
    <n v="115"/>
    <n v="0"/>
    <n v="2.72"/>
    <n v="115"/>
    <n v="188.44"/>
    <n v="69.27941176470587"/>
  </r>
  <r>
    <n v="6155784"/>
    <x v="284"/>
    <x v="1"/>
    <s v="SC"/>
    <n v="32"/>
    <n v="2.48"/>
    <n v="64.48"/>
    <n v="115"/>
    <n v="0"/>
    <n v="2.48"/>
    <n v="115"/>
    <n v="181.96"/>
    <n v="73.370967741935488"/>
  </r>
  <r>
    <n v="6155784"/>
    <x v="285"/>
    <x v="4"/>
    <s v="SC"/>
    <n v="30"/>
    <n v="3.42"/>
    <n v="88.92"/>
    <n v="115"/>
    <n v="0"/>
    <n v="3.42"/>
    <n v="115"/>
    <n v="207.34"/>
    <n v="60.62573099415205"/>
  </r>
  <r>
    <n v="6155784"/>
    <x v="285"/>
    <x v="2"/>
    <s v="OT"/>
    <n v="40"/>
    <n v="6.04"/>
    <n v="157.04"/>
    <n v="115"/>
    <n v="0"/>
    <n v="6.04"/>
    <n v="115"/>
    <n v="278.08"/>
    <n v="46.039735099337747"/>
  </r>
  <r>
    <n v="6174014"/>
    <x v="286"/>
    <x v="3"/>
    <s v="OT"/>
    <n v="20"/>
    <n v="6.49"/>
    <n v="168.74"/>
    <n v="115"/>
    <n v="0"/>
    <n v="6.49"/>
    <n v="115"/>
    <n v="290.23"/>
    <n v="44.719568567026194"/>
  </r>
  <r>
    <n v="6174014"/>
    <x v="286"/>
    <x v="3"/>
    <s v="OT"/>
    <n v="20"/>
    <n v="8.94"/>
    <n v="232.44"/>
    <n v="115"/>
    <n v="0"/>
    <n v="8.94"/>
    <n v="115"/>
    <n v="356.38"/>
    <n v="39.863534675615213"/>
  </r>
  <r>
    <n v="6155784"/>
    <x v="287"/>
    <x v="1"/>
    <s v="SC"/>
    <n v="32"/>
    <n v="7.99"/>
    <n v="207.74"/>
    <n v="115"/>
    <n v="0"/>
    <n v="7.99"/>
    <n v="115"/>
    <n v="330.73"/>
    <n v="41.392991239048811"/>
  </r>
  <r>
    <n v="6155784"/>
    <x v="288"/>
    <x v="3"/>
    <s v="OT"/>
    <n v="20"/>
    <n v="3.06"/>
    <n v="79.56"/>
    <n v="115"/>
    <n v="0"/>
    <n v="3.06"/>
    <n v="115"/>
    <n v="197.62"/>
    <n v="64.58169934640523"/>
  </r>
  <r>
    <n v="6155784"/>
    <x v="288"/>
    <x v="3"/>
    <s v="SC"/>
    <n v="35"/>
    <n v="1.78"/>
    <n v="46.28"/>
    <n v="115"/>
    <n v="0"/>
    <n v="1.78"/>
    <n v="115"/>
    <n v="163.06"/>
    <n v="91.606741573033702"/>
  </r>
  <r>
    <n v="6155784"/>
    <x v="289"/>
    <x v="4"/>
    <s v="SC"/>
    <n v="30"/>
    <n v="3.51"/>
    <n v="91.259999999999991"/>
    <n v="115"/>
    <n v="0"/>
    <n v="3.51"/>
    <n v="115"/>
    <n v="209.76999999999998"/>
    <n v="59.763532763532758"/>
  </r>
  <r>
    <n v="6155784"/>
    <x v="290"/>
    <x v="2"/>
    <s v="OT"/>
    <n v="40"/>
    <n v="3.49"/>
    <n v="90.740000000000009"/>
    <n v="115"/>
    <n v="0"/>
    <n v="3.49"/>
    <n v="115"/>
    <n v="209.23000000000002"/>
    <n v="59.951289398280807"/>
  </r>
  <r>
    <n v="6155784"/>
    <x v="291"/>
    <x v="1"/>
    <s v="SC"/>
    <n v="32"/>
    <n v="1.91"/>
    <n v="49.66"/>
    <n v="115"/>
    <n v="0"/>
    <n v="1.91"/>
    <n v="115"/>
    <n v="166.57"/>
    <n v="87.209424083769633"/>
  </r>
  <r>
    <n v="6155784"/>
    <x v="292"/>
    <x v="4"/>
    <s v="SC"/>
    <n v="30"/>
    <n v="1.92"/>
    <n v="49.92"/>
    <n v="115"/>
    <n v="0"/>
    <n v="1.92"/>
    <n v="115"/>
    <n v="166.84"/>
    <n v="86.895833333333343"/>
  </r>
  <r>
    <n v="6155784"/>
    <x v="293"/>
    <x v="1"/>
    <s v="SC"/>
    <n v="32"/>
    <n v="0.93"/>
    <n v="24.18"/>
    <n v="115"/>
    <n v="0"/>
    <n v="0.93"/>
    <n v="115"/>
    <n v="140.11000000000001"/>
    <n v="150.65591397849462"/>
  </r>
  <r>
    <n v="6155784"/>
    <x v="294"/>
    <x v="2"/>
    <s v="OT"/>
    <n v="40"/>
    <n v="4.03"/>
    <n v="104.78"/>
    <n v="115"/>
    <n v="0"/>
    <n v="4.03"/>
    <n v="115"/>
    <n v="223.81"/>
    <n v="55.535980148883375"/>
  </r>
  <r>
    <n v="5663264"/>
    <x v="295"/>
    <x v="5"/>
    <s v="FL"/>
    <n v="6"/>
    <n v="1.17"/>
    <m/>
    <n v="70.680000000000007"/>
    <m/>
    <m/>
    <m/>
    <n v="70.680000000000007"/>
    <n v="60.410256410256423"/>
  </r>
  <r>
    <n v="5663264"/>
    <x v="295"/>
    <x v="6"/>
    <s v="FL"/>
    <n v="6"/>
    <n v="2.34"/>
    <m/>
    <n v="94.32"/>
    <m/>
    <m/>
    <m/>
    <n v="94.32"/>
    <n v="40.307692307692307"/>
  </r>
  <r>
    <n v="5663668"/>
    <x v="295"/>
    <x v="7"/>
    <s v="FL"/>
    <n v="8"/>
    <n v="3.12"/>
    <m/>
    <n v="129"/>
    <m/>
    <m/>
    <m/>
    <n v="129"/>
    <n v="41.346153846153847"/>
  </r>
  <r>
    <n v="5666127"/>
    <x v="295"/>
    <x v="8"/>
    <s v="SC"/>
    <n v="6"/>
    <n v="3.9"/>
    <m/>
    <n v="155.88"/>
    <m/>
    <m/>
    <m/>
    <n v="155.88"/>
    <n v="39.969230769230769"/>
  </r>
  <r>
    <n v="5666404"/>
    <x v="295"/>
    <x v="9"/>
    <s v="FL"/>
    <n v="2"/>
    <n v="0.39"/>
    <m/>
    <n v="48"/>
    <m/>
    <m/>
    <m/>
    <n v="48"/>
    <n v="123.07692307692307"/>
  </r>
  <r>
    <n v="5668511"/>
    <x v="295"/>
    <x v="14"/>
    <s v="FL"/>
    <n v="8"/>
    <n v="1.56"/>
    <m/>
    <n v="69.28"/>
    <m/>
    <m/>
    <m/>
    <n v="69.28"/>
    <m/>
  </r>
  <r>
    <n v="6155784"/>
    <x v="295"/>
    <x v="4"/>
    <s v="SC"/>
    <n v="30"/>
    <n v="1.52"/>
    <n v="39.520000000000003"/>
    <n v="115"/>
    <n v="0"/>
    <n v="1.52"/>
    <n v="115"/>
    <n v="156.04000000000002"/>
    <n v="102.65789473684212"/>
  </r>
  <r>
    <n v="6174014"/>
    <x v="296"/>
    <x v="1"/>
    <s v="SC"/>
    <n v="32"/>
    <n v="2.23"/>
    <n v="57.98"/>
    <n v="115"/>
    <n v="0"/>
    <n v="2.23"/>
    <n v="115"/>
    <n v="175.20999999999998"/>
    <n v="78.569506726457391"/>
  </r>
  <r>
    <n v="6174014"/>
    <x v="297"/>
    <x v="4"/>
    <s v="SC"/>
    <n v="30"/>
    <n v="3.3"/>
    <n v="85.8"/>
    <n v="115"/>
    <n v="0"/>
    <n v="3.3"/>
    <n v="115"/>
    <n v="204.10000000000002"/>
    <n v="61.848484848484858"/>
  </r>
  <r>
    <n v="6174014"/>
    <x v="298"/>
    <x v="3"/>
    <s v="SC"/>
    <n v="35"/>
    <n v="6.31"/>
    <n v="164.06"/>
    <n v="115"/>
    <n v="0"/>
    <n v="6.31"/>
    <n v="115"/>
    <n v="285.37"/>
    <n v="45.225039619651348"/>
  </r>
  <r>
    <n v="6174014"/>
    <x v="298"/>
    <x v="1"/>
    <s v="SC"/>
    <n v="32"/>
    <n v="2.5299999999999998"/>
    <n v="65.78"/>
    <n v="115"/>
    <n v="0"/>
    <n v="2.5299999999999998"/>
    <n v="115"/>
    <n v="183.31"/>
    <n v="72.454545454545467"/>
  </r>
  <r>
    <n v="6174014"/>
    <x v="298"/>
    <x v="0"/>
    <s v="OT"/>
    <n v="40"/>
    <n v="2.74"/>
    <n v="71.240000000000009"/>
    <n v="115"/>
    <n v="0"/>
    <n v="2.74"/>
    <n v="115"/>
    <n v="188.98000000000002"/>
    <n v="68.970802919708035"/>
  </r>
  <r>
    <n v="6174014"/>
    <x v="298"/>
    <x v="0"/>
    <s v="OT"/>
    <n v="40"/>
    <n v="3.1"/>
    <n v="80.600000000000009"/>
    <n v="115"/>
    <n v="0"/>
    <n v="3.1"/>
    <n v="115"/>
    <n v="198.70000000000002"/>
    <n v="64.096774193548384"/>
  </r>
  <r>
    <n v="6174014"/>
    <x v="299"/>
    <x v="4"/>
    <s v="SC"/>
    <n v="30"/>
    <n v="2.59"/>
    <n v="67.34"/>
    <n v="115"/>
    <n v="0"/>
    <n v="2.59"/>
    <n v="115"/>
    <n v="184.93"/>
    <n v="71.401544401544413"/>
  </r>
  <r>
    <n v="6174014"/>
    <x v="300"/>
    <x v="1"/>
    <s v="SC"/>
    <n v="32"/>
    <n v="2.2999999999999998"/>
    <n v="59.8"/>
    <n v="115"/>
    <n v="0"/>
    <n v="2.2999999999999998"/>
    <n v="115"/>
    <n v="177.10000000000002"/>
    <n v="77.000000000000014"/>
  </r>
  <r>
    <n v="6174014"/>
    <x v="301"/>
    <x v="2"/>
    <s v="OT"/>
    <n v="40"/>
    <n v="4"/>
    <n v="104"/>
    <n v="115"/>
    <n v="0"/>
    <n v="4"/>
    <n v="115"/>
    <n v="223"/>
    <n v="55.75"/>
  </r>
  <r>
    <n v="6174014"/>
    <x v="301"/>
    <x v="4"/>
    <s v="SC"/>
    <n v="30"/>
    <n v="2.56"/>
    <n v="66.56"/>
    <n v="115"/>
    <n v="0"/>
    <n v="2.56"/>
    <n v="115"/>
    <n v="184.12"/>
    <n v="71.921875"/>
  </r>
  <r>
    <n v="6174014"/>
    <x v="302"/>
    <x v="1"/>
    <s v="SC"/>
    <n v="32"/>
    <n v="1.84"/>
    <n v="47.84"/>
    <n v="115"/>
    <n v="0"/>
    <n v="1.84"/>
    <n v="115"/>
    <n v="164.68"/>
    <n v="89.5"/>
  </r>
  <r>
    <n v="6174014"/>
    <x v="303"/>
    <x v="4"/>
    <s v="SC"/>
    <n v="30"/>
    <n v="1.1000000000000001"/>
    <n v="28.6"/>
    <n v="115"/>
    <n v="0"/>
    <n v="1.1000000000000001"/>
    <n v="115"/>
    <n v="144.69999999999999"/>
    <n v="131.54545454545453"/>
  </r>
  <r>
    <n v="6174014"/>
    <x v="304"/>
    <x v="15"/>
    <s v="OT"/>
    <n v="20"/>
    <n v="0.86"/>
    <n v="22.36"/>
    <n v="115"/>
    <n v="0"/>
    <n v="0.86"/>
    <n v="115"/>
    <n v="138.22000000000003"/>
    <n v="160.72093023255817"/>
  </r>
  <r>
    <n v="5671317"/>
    <x v="305"/>
    <x v="5"/>
    <s v="FL"/>
    <n v="6"/>
    <n v="1.17"/>
    <m/>
    <n v="70.680000000000007"/>
    <m/>
    <m/>
    <m/>
    <n v="70.680000000000007"/>
    <n v="60.410256410256423"/>
  </r>
  <r>
    <n v="5671317"/>
    <x v="305"/>
    <x v="6"/>
    <s v="FL"/>
    <n v="6"/>
    <n v="2.34"/>
    <m/>
    <n v="94.32"/>
    <m/>
    <m/>
    <m/>
    <n v="94.32"/>
    <n v="40.307692307692307"/>
  </r>
  <r>
    <n v="5671718"/>
    <x v="305"/>
    <x v="7"/>
    <s v="FL"/>
    <n v="8"/>
    <n v="3.12"/>
    <m/>
    <n v="129"/>
    <m/>
    <m/>
    <m/>
    <n v="129"/>
    <n v="41.346153846153847"/>
  </r>
  <r>
    <n v="5674164"/>
    <x v="305"/>
    <x v="8"/>
    <s v="SC"/>
    <n v="6"/>
    <n v="3.9"/>
    <m/>
    <n v="155.88"/>
    <m/>
    <m/>
    <m/>
    <n v="155.88"/>
    <n v="39.969230769230769"/>
  </r>
  <r>
    <s v="?"/>
    <x v="305"/>
    <x v="9"/>
    <s v="FL"/>
    <n v="2"/>
    <n v="0.39"/>
    <m/>
    <n v="48"/>
    <m/>
    <m/>
    <m/>
    <n v="48"/>
    <n v="123.07692307692307"/>
  </r>
  <r>
    <s v="?"/>
    <x v="305"/>
    <x v="14"/>
    <s v="FL"/>
    <n v="8"/>
    <n v="1.56"/>
    <m/>
    <n v="69.28"/>
    <m/>
    <m/>
    <m/>
    <n v="69.28"/>
    <m/>
  </r>
  <r>
    <n v="6190831"/>
    <x v="306"/>
    <x v="1"/>
    <s v="SC"/>
    <n v="32"/>
    <n v="0.03"/>
    <n v="0.78"/>
    <n v="115"/>
    <n v="0"/>
    <n v="0.03"/>
    <n v="115"/>
    <n v="115.81"/>
    <n v="3860.3333333333335"/>
  </r>
  <r>
    <n v="6190831"/>
    <x v="307"/>
    <x v="3"/>
    <s v="OT"/>
    <n v="20"/>
    <n v="1.1499999999999999"/>
    <n v="29.9"/>
    <n v="115"/>
    <n v="0"/>
    <n v="1.1499999999999999"/>
    <n v="115"/>
    <n v="146.05000000000001"/>
    <n v="127.00000000000001"/>
  </r>
  <r>
    <n v="6190831"/>
    <x v="308"/>
    <x v="3"/>
    <s v="SC"/>
    <n v="35"/>
    <n v="2.41"/>
    <n v="62.660000000000004"/>
    <n v="115"/>
    <n v="0"/>
    <n v="2.41"/>
    <n v="115"/>
    <n v="180.07"/>
    <n v="74.717842323651439"/>
  </r>
  <r>
    <n v="6190831"/>
    <x v="308"/>
    <x v="4"/>
    <s v="SC"/>
    <n v="30"/>
    <n v="0.31"/>
    <n v="8.06"/>
    <n v="115"/>
    <n v="0"/>
    <n v="0.31"/>
    <n v="115"/>
    <n v="123.37"/>
    <n v="397.9677419354839"/>
  </r>
  <r>
    <n v="6190831"/>
    <x v="309"/>
    <x v="2"/>
    <s v="OT"/>
    <n v="40"/>
    <n v="2.8"/>
    <n v="72.8"/>
    <n v="115"/>
    <n v="0"/>
    <n v="2.8"/>
    <n v="115"/>
    <n v="190.60000000000002"/>
    <n v="68.071428571428584"/>
  </r>
  <r>
    <n v="6190831"/>
    <x v="310"/>
    <x v="4"/>
    <s v="SC"/>
    <n v="30"/>
    <n v="1.49"/>
    <n v="38.74"/>
    <n v="115"/>
    <n v="0"/>
    <n v="1.49"/>
    <n v="115"/>
    <n v="155.23000000000002"/>
    <n v="104.18120805369129"/>
  </r>
  <r>
    <n v="6190831"/>
    <x v="311"/>
    <x v="15"/>
    <s v="OT"/>
    <n v="20"/>
    <n v="1.05"/>
    <n v="27.3"/>
    <n v="115"/>
    <n v="0"/>
    <n v="1.05"/>
    <n v="115"/>
    <n v="143.35000000000002"/>
    <n v="136.52380952380955"/>
  </r>
  <r>
    <n v="6190831"/>
    <x v="312"/>
    <x v="1"/>
    <s v="SC"/>
    <n v="32"/>
    <n v="3.54"/>
    <n v="92.04"/>
    <n v="115"/>
    <n v="0"/>
    <n v="3.54"/>
    <n v="115"/>
    <n v="210.58"/>
    <n v="59.485875706214692"/>
  </r>
  <r>
    <n v="6190831"/>
    <x v="312"/>
    <x v="2"/>
    <s v="OT"/>
    <n v="40"/>
    <n v="3.16"/>
    <n v="82.16"/>
    <n v="115"/>
    <n v="0"/>
    <n v="3.16"/>
    <n v="115"/>
    <n v="200.32"/>
    <n v="63.392405063291136"/>
  </r>
  <r>
    <n v="6190831"/>
    <x v="313"/>
    <x v="4"/>
    <s v="SC"/>
    <n v="30"/>
    <n v="0.85"/>
    <n v="22.099999999999998"/>
    <n v="115"/>
    <n v="0"/>
    <n v="0.85"/>
    <n v="115"/>
    <n v="137.94999999999999"/>
    <n v="162.29411764705881"/>
  </r>
  <r>
    <n v="6190831"/>
    <x v="313"/>
    <x v="3"/>
    <s v="SC"/>
    <n v="35"/>
    <n v="2.2000000000000002"/>
    <n v="57.2"/>
    <n v="115"/>
    <n v="0"/>
    <n v="2.2000000000000002"/>
    <n v="115"/>
    <n v="174.39999999999998"/>
    <n v="79.272727272727252"/>
  </r>
  <r>
    <n v="6190831"/>
    <x v="314"/>
    <x v="1"/>
    <s v="SC"/>
    <n v="32"/>
    <n v="2.12"/>
    <n v="55.120000000000005"/>
    <n v="115"/>
    <n v="0"/>
    <n v="2.12"/>
    <n v="115"/>
    <n v="172.24"/>
    <n v="81.245283018867923"/>
  </r>
  <r>
    <n v="6190831"/>
    <x v="315"/>
    <x v="4"/>
    <s v="SC"/>
    <n v="30"/>
    <n v="2.99"/>
    <n v="77.740000000000009"/>
    <n v="115"/>
    <n v="0"/>
    <n v="2.99"/>
    <n v="115"/>
    <n v="195.73000000000002"/>
    <n v="65.461538461538467"/>
  </r>
  <r>
    <n v="6190831"/>
    <x v="315"/>
    <x v="2"/>
    <s v="OT"/>
    <n v="40"/>
    <n v="3.06"/>
    <n v="79.56"/>
    <n v="115"/>
    <n v="0"/>
    <n v="3.06"/>
    <n v="115"/>
    <n v="197.62"/>
    <n v="64.58169934640523"/>
  </r>
  <r>
    <n v="6190831"/>
    <x v="315"/>
    <x v="3"/>
    <s v="OT"/>
    <n v="20"/>
    <n v="5.31"/>
    <n v="138.06"/>
    <n v="115"/>
    <n v="0"/>
    <n v="5.31"/>
    <n v="115"/>
    <n v="258.37"/>
    <n v="48.657250470809799"/>
  </r>
  <r>
    <n v="6190831"/>
    <x v="315"/>
    <x v="3"/>
    <s v="OT"/>
    <n v="20"/>
    <n v="0.8"/>
    <n v="20.8"/>
    <n v="115"/>
    <n v="0"/>
    <n v="0.8"/>
    <n v="115"/>
    <n v="136.60000000000002"/>
    <n v="170.75000000000003"/>
  </r>
  <r>
    <n v="6190831"/>
    <x v="316"/>
    <x v="1"/>
    <s v="SC"/>
    <n v="32"/>
    <n v="2.2799999999999998"/>
    <n v="59.279999999999994"/>
    <n v="115"/>
    <n v="0"/>
    <n v="2.2799999999999998"/>
    <n v="115"/>
    <n v="176.56"/>
    <n v="77.438596491228083"/>
  </r>
  <r>
    <n v="5679114"/>
    <x v="317"/>
    <x v="5"/>
    <s v="FL"/>
    <n v="6"/>
    <n v="1.17"/>
    <m/>
    <n v="70.680000000000007"/>
    <m/>
    <m/>
    <m/>
    <n v="70.680000000000007"/>
    <n v="60.410256410256423"/>
  </r>
  <r>
    <n v="5679114"/>
    <x v="317"/>
    <x v="6"/>
    <s v="FL"/>
    <n v="6"/>
    <n v="2.34"/>
    <m/>
    <n v="94.32"/>
    <m/>
    <m/>
    <m/>
    <n v="94.32"/>
    <n v="40.307692307692307"/>
  </r>
  <r>
    <n v="5679509"/>
    <x v="317"/>
    <x v="7"/>
    <s v="FL"/>
    <n v="8"/>
    <n v="3.12"/>
    <m/>
    <n v="129"/>
    <m/>
    <m/>
    <m/>
    <n v="129"/>
    <n v="41.346153846153847"/>
  </r>
  <r>
    <n v="5681928"/>
    <x v="317"/>
    <x v="8"/>
    <s v="SC"/>
    <n v="6"/>
    <n v="3.9"/>
    <m/>
    <n v="155.88"/>
    <m/>
    <m/>
    <m/>
    <n v="155.88"/>
    <n v="39.969230769230769"/>
  </r>
  <r>
    <n v="5682203"/>
    <x v="317"/>
    <x v="9"/>
    <s v="FL"/>
    <n v="2"/>
    <n v="0.39"/>
    <m/>
    <n v="48"/>
    <m/>
    <m/>
    <m/>
    <n v="48"/>
    <n v="123.07692307692307"/>
  </r>
  <r>
    <n v="5684231"/>
    <x v="317"/>
    <x v="14"/>
    <s v="FL"/>
    <n v="8"/>
    <n v="1.56"/>
    <m/>
    <n v="69.28"/>
    <m/>
    <m/>
    <m/>
    <n v="69.28"/>
    <m/>
  </r>
  <r>
    <n v="6209110"/>
    <x v="318"/>
    <x v="4"/>
    <s v="SC"/>
    <n v="30"/>
    <n v="2.71"/>
    <n v="70.459999999999994"/>
    <n v="115"/>
    <n v="0"/>
    <n v="2.71"/>
    <n v="115"/>
    <n v="188.17"/>
    <n v="69.435424354243537"/>
  </r>
  <r>
    <n v="6209110"/>
    <x v="319"/>
    <x v="3"/>
    <s v="SC"/>
    <n v="35"/>
    <n v="4.4800000000000004"/>
    <n v="116.48000000000002"/>
    <n v="115"/>
    <n v="0"/>
    <n v="4.4800000000000004"/>
    <n v="115"/>
    <n v="235.96"/>
    <n v="52.669642857142854"/>
  </r>
  <r>
    <n v="6209110"/>
    <x v="319"/>
    <x v="2"/>
    <s v="OT"/>
    <n v="40"/>
    <n v="5.38"/>
    <n v="139.88"/>
    <n v="115"/>
    <n v="0"/>
    <n v="5.38"/>
    <n v="115"/>
    <n v="260.26"/>
    <n v="48.375464684014872"/>
  </r>
  <r>
    <n v="6209110"/>
    <x v="320"/>
    <x v="1"/>
    <s v="SC"/>
    <n v="32"/>
    <n v="2.44"/>
    <n v="63.44"/>
    <n v="115"/>
    <n v="0"/>
    <n v="2.44"/>
    <n v="115"/>
    <n v="180.88"/>
    <n v="74.131147540983605"/>
  </r>
  <r>
    <n v="6209110"/>
    <x v="321"/>
    <x v="4"/>
    <s v="SC"/>
    <n v="30"/>
    <n v="3.49"/>
    <n v="90.740000000000009"/>
    <n v="115"/>
    <n v="0"/>
    <n v="3.49"/>
    <n v="115"/>
    <n v="209.23000000000002"/>
    <n v="59.951289398280807"/>
  </r>
  <r>
    <n v="6209110"/>
    <x v="322"/>
    <x v="16"/>
    <s v="OT"/>
    <n v="40"/>
    <n v="2.36"/>
    <n v="61.36"/>
    <n v="115"/>
    <m/>
    <n v="2.36"/>
    <n v="115"/>
    <n v="178.72000000000003"/>
    <n v="75.728813559322049"/>
  </r>
  <r>
    <n v="6209110"/>
    <x v="323"/>
    <x v="1"/>
    <s v="SC"/>
    <n v="32"/>
    <n v="2.12"/>
    <n v="55.120000000000005"/>
    <n v="115"/>
    <n v="0"/>
    <n v="2.12"/>
    <n v="115"/>
    <n v="172.24"/>
    <n v="81.245283018867923"/>
  </r>
  <r>
    <n v="6209110"/>
    <x v="324"/>
    <x v="4"/>
    <s v="SC"/>
    <n v="30"/>
    <n v="2.7"/>
    <n v="70.2"/>
    <n v="115"/>
    <n v="0"/>
    <n v="2.7"/>
    <n v="115"/>
    <n v="187.89999999999998"/>
    <n v="69.592592592592581"/>
  </r>
  <r>
    <n v="6209110"/>
    <x v="325"/>
    <x v="3"/>
    <s v="OT"/>
    <n v="20"/>
    <n v="2.6"/>
    <n v="67.600000000000009"/>
    <n v="115"/>
    <n v="0"/>
    <n v="2.6"/>
    <n v="115"/>
    <n v="185.20000000000002"/>
    <n v="71.230769230769241"/>
  </r>
  <r>
    <n v="6209110"/>
    <x v="326"/>
    <x v="1"/>
    <s v="SC"/>
    <n v="32"/>
    <n v="2.2999999999999998"/>
    <n v="59.8"/>
    <n v="115"/>
    <n v="0"/>
    <n v="2.2999999999999998"/>
    <n v="115"/>
    <n v="177.10000000000002"/>
    <n v="77.000000000000014"/>
  </r>
  <r>
    <n v="6209110"/>
    <x v="327"/>
    <x v="16"/>
    <s v="OT"/>
    <n v="40"/>
    <n v="4.42"/>
    <n v="114.92"/>
    <n v="115"/>
    <m/>
    <n v="4.42"/>
    <n v="115"/>
    <n v="234.34"/>
    <n v="53.018099547511312"/>
  </r>
  <r>
    <n v="6209110"/>
    <x v="328"/>
    <x v="4"/>
    <s v="SC"/>
    <n v="30"/>
    <n v="3.01"/>
    <n v="78.259999999999991"/>
    <n v="115"/>
    <n v="0"/>
    <n v="3.01"/>
    <n v="115"/>
    <n v="196.26999999999998"/>
    <n v="65.205980066445179"/>
  </r>
  <r>
    <n v="6209110"/>
    <x v="329"/>
    <x v="16"/>
    <s v="OT"/>
    <n v="40"/>
    <n v="3.07"/>
    <n v="79.819999999999993"/>
    <n v="115"/>
    <m/>
    <n v="3.07"/>
    <n v="115"/>
    <n v="197.89"/>
    <n v="64.45928338762215"/>
  </r>
  <r>
    <n v="6209110"/>
    <x v="330"/>
    <x v="1"/>
    <s v="SC"/>
    <n v="32"/>
    <n v="2.33"/>
    <n v="60.58"/>
    <n v="115"/>
    <n v="0"/>
    <n v="2.33"/>
    <n v="115"/>
    <n v="177.91"/>
    <n v="76.356223175965667"/>
  </r>
  <r>
    <n v="5687702"/>
    <x v="331"/>
    <x v="5"/>
    <s v="FL"/>
    <n v="6"/>
    <n v="1.17"/>
    <m/>
    <n v="70.680000000000007"/>
    <m/>
    <m/>
    <m/>
    <n v="70.680000000000007"/>
    <n v="60.410256410256423"/>
  </r>
  <r>
    <n v="5687702"/>
    <x v="331"/>
    <x v="6"/>
    <s v="FL"/>
    <n v="6"/>
    <n v="2.34"/>
    <m/>
    <n v="94.32"/>
    <m/>
    <m/>
    <m/>
    <n v="94.32"/>
    <n v="40.307692307692307"/>
  </r>
  <r>
    <n v="5688096"/>
    <x v="331"/>
    <x v="7"/>
    <s v="FL"/>
    <n v="8"/>
    <n v="3.12"/>
    <m/>
    <n v="129"/>
    <m/>
    <m/>
    <m/>
    <n v="129"/>
    <n v="41.346153846153847"/>
  </r>
  <r>
    <n v="5690501"/>
    <x v="331"/>
    <x v="8"/>
    <s v="SC"/>
    <n v="6"/>
    <n v="3.9"/>
    <m/>
    <n v="155.88"/>
    <m/>
    <m/>
    <m/>
    <n v="155.88"/>
    <n v="39.969230769230769"/>
  </r>
  <r>
    <n v="5690775"/>
    <x v="331"/>
    <x v="9"/>
    <s v="FL"/>
    <n v="2"/>
    <n v="0.39"/>
    <m/>
    <n v="48"/>
    <m/>
    <m/>
    <m/>
    <n v="48"/>
    <n v="123.07692307692307"/>
  </r>
  <r>
    <n v="5692760"/>
    <x v="331"/>
    <x v="14"/>
    <s v="FL"/>
    <n v="8"/>
    <n v="1.56"/>
    <m/>
    <n v="69.28"/>
    <m/>
    <m/>
    <m/>
    <n v="69.28"/>
    <m/>
  </r>
  <r>
    <n v="6209110"/>
    <x v="331"/>
    <x v="4"/>
    <s v="SC"/>
    <n v="30"/>
    <n v="3.12"/>
    <n v="81.12"/>
    <n v="115"/>
    <n v="0"/>
    <n v="3.12"/>
    <n v="115"/>
    <n v="199.24"/>
    <n v="63.858974358974358"/>
  </r>
  <r>
    <n v="6227350"/>
    <x v="332"/>
    <x v="2"/>
    <s v="OT"/>
    <n v="40"/>
    <n v="1.96"/>
    <n v="50.96"/>
    <n v="115"/>
    <n v="0"/>
    <n v="1.96"/>
    <n v="115"/>
    <n v="167.92000000000002"/>
    <n v="85.673469387755105"/>
  </r>
  <r>
    <n v="6227350"/>
    <x v="333"/>
    <x v="1"/>
    <s v="SC"/>
    <n v="32"/>
    <n v="2.42"/>
    <n v="62.92"/>
    <n v="115"/>
    <n v="0"/>
    <n v="2.42"/>
    <n v="115"/>
    <n v="180.34"/>
    <n v="74.52066115702479"/>
  </r>
  <r>
    <n v="6227350"/>
    <x v="334"/>
    <x v="4"/>
    <s v="SC"/>
    <n v="30"/>
    <n v="2.73"/>
    <n v="70.98"/>
    <n v="115"/>
    <n v="0"/>
    <n v="2.73"/>
    <n v="115"/>
    <n v="188.71"/>
    <n v="69.124542124542131"/>
  </r>
  <r>
    <n v="6227350"/>
    <x v="335"/>
    <x v="3"/>
    <s v="SC"/>
    <n v="35"/>
    <n v="8.2799999999999994"/>
    <n v="215.27999999999997"/>
    <n v="115"/>
    <n v="0"/>
    <n v="8.2799999999999994"/>
    <n v="115"/>
    <n v="338.55999999999995"/>
    <n v="40.888888888888886"/>
  </r>
  <r>
    <n v="6227350"/>
    <x v="335"/>
    <x v="1"/>
    <s v="SC"/>
    <n v="32"/>
    <n v="2.08"/>
    <n v="54.08"/>
    <n v="115"/>
    <n v="0"/>
    <n v="2.08"/>
    <n v="115"/>
    <n v="171.16"/>
    <n v="82.288461538461533"/>
  </r>
  <r>
    <n v="6227350"/>
    <x v="336"/>
    <x v="16"/>
    <s v="OT"/>
    <n v="40"/>
    <n v="4.8600000000000003"/>
    <n v="126.36000000000001"/>
    <n v="115"/>
    <m/>
    <n v="4.8600000000000003"/>
    <n v="115"/>
    <n v="246.22000000000003"/>
    <n v="50.662551440329217"/>
  </r>
  <r>
    <n v="6227350"/>
    <x v="337"/>
    <x v="4"/>
    <s v="SC"/>
    <n v="30"/>
    <n v="2.08"/>
    <n v="54.08"/>
    <n v="115"/>
    <n v="0"/>
    <n v="2.08"/>
    <n v="115"/>
    <n v="171.16"/>
    <n v="82.288461538461533"/>
  </r>
  <r>
    <n v="6227350"/>
    <x v="338"/>
    <x v="1"/>
    <s v="SC"/>
    <n v="32"/>
    <n v="2.16"/>
    <n v="56.160000000000004"/>
    <n v="115"/>
    <n v="0"/>
    <n v="2.16"/>
    <n v="115"/>
    <n v="173.32"/>
    <n v="80.240740740740733"/>
  </r>
  <r>
    <n v="6227350"/>
    <x v="339"/>
    <x v="4"/>
    <s v="SC"/>
    <n v="30"/>
    <n v="1.82"/>
    <n v="47.32"/>
    <n v="115"/>
    <n v="0"/>
    <n v="1.82"/>
    <n v="115"/>
    <n v="164.14"/>
    <n v="90.186813186813183"/>
  </r>
  <r>
    <n v="6227350"/>
    <x v="340"/>
    <x v="1"/>
    <s v="SC"/>
    <n v="32"/>
    <n v="2.66"/>
    <n v="69.16"/>
    <n v="115"/>
    <n v="0"/>
    <n v="2.66"/>
    <n v="115"/>
    <n v="186.82"/>
    <n v="70.233082706766908"/>
  </r>
  <r>
    <n v="6227350"/>
    <x v="341"/>
    <x v="4"/>
    <s v="SC"/>
    <n v="30"/>
    <n v="3.02"/>
    <n v="78.52"/>
    <n v="115"/>
    <n v="0"/>
    <n v="3.02"/>
    <n v="115"/>
    <n v="196.54"/>
    <n v="65.079470198675494"/>
  </r>
  <r>
    <n v="6227350"/>
    <x v="341"/>
    <x v="2"/>
    <s v="OT"/>
    <n v="40"/>
    <n v="3.02"/>
    <n v="78.52"/>
    <n v="115"/>
    <n v="0"/>
    <n v="3.02"/>
    <n v="115"/>
    <n v="196.54"/>
    <n v="65.079470198675494"/>
  </r>
  <r>
    <n v="5697372"/>
    <x v="342"/>
    <x v="5"/>
    <s v="FL"/>
    <n v="6"/>
    <n v="1.17"/>
    <m/>
    <n v="70.680000000000007"/>
    <m/>
    <m/>
    <m/>
    <n v="70.680000000000007"/>
    <n v="60.410256410256423"/>
  </r>
  <r>
    <n v="5697372"/>
    <x v="342"/>
    <x v="6"/>
    <s v="FL"/>
    <n v="6"/>
    <n v="2.34"/>
    <m/>
    <n v="94.32"/>
    <m/>
    <m/>
    <m/>
    <n v="94.32"/>
    <n v="40.307692307692307"/>
  </r>
  <r>
    <n v="5697764"/>
    <x v="342"/>
    <x v="7"/>
    <s v="FL"/>
    <n v="8"/>
    <n v="3.12"/>
    <m/>
    <n v="129"/>
    <m/>
    <m/>
    <m/>
    <n v="129"/>
    <n v="41.346153846153847"/>
  </r>
  <r>
    <n v="5699819"/>
    <x v="342"/>
    <x v="8"/>
    <s v="SC"/>
    <n v="6"/>
    <n v="3.9"/>
    <m/>
    <n v="155.88"/>
    <m/>
    <m/>
    <m/>
    <n v="155.88"/>
    <n v="39.969230769230769"/>
  </r>
  <r>
    <n v="5700087"/>
    <x v="342"/>
    <x v="9"/>
    <s v="FL"/>
    <n v="2"/>
    <n v="0.39"/>
    <m/>
    <n v="48"/>
    <m/>
    <m/>
    <m/>
    <n v="48"/>
    <n v="123.07692307692307"/>
  </r>
  <r>
    <n v="5701991"/>
    <x v="342"/>
    <x v="14"/>
    <s v="FL"/>
    <n v="8"/>
    <n v="1.56"/>
    <m/>
    <n v="69.28"/>
    <m/>
    <m/>
    <m/>
    <n v="69.28"/>
    <m/>
  </r>
  <r>
    <n v="6245156"/>
    <x v="343"/>
    <x v="1"/>
    <s v="SC"/>
    <n v="32"/>
    <n v="2.46"/>
    <n v="63.96"/>
    <n v="115"/>
    <n v="0"/>
    <n v="2.46"/>
    <n v="115"/>
    <n v="181.42000000000002"/>
    <n v="73.747967479674799"/>
  </r>
  <r>
    <n v="6245156"/>
    <x v="344"/>
    <x v="4"/>
    <s v="SC"/>
    <n v="30"/>
    <n v="2.57"/>
    <n v="66.819999999999993"/>
    <n v="115"/>
    <n v="0"/>
    <n v="2.57"/>
    <n v="115"/>
    <n v="184.39"/>
    <n v="71.747081712062254"/>
  </r>
  <r>
    <n v="6245156"/>
    <x v="345"/>
    <x v="2"/>
    <s v="OT"/>
    <n v="40"/>
    <n v="2.88"/>
    <n v="74.88"/>
    <n v="115"/>
    <n v="0"/>
    <n v="2.88"/>
    <n v="115"/>
    <n v="192.76"/>
    <n v="66.930555555555557"/>
  </r>
  <r>
    <n v="6245156"/>
    <x v="346"/>
    <x v="3"/>
    <s v="OT"/>
    <n v="20"/>
    <n v="1.78"/>
    <n v="46.28"/>
    <n v="115"/>
    <n v="0"/>
    <n v="1.78"/>
    <n v="115"/>
    <n v="163.06"/>
    <n v="91.606741573033702"/>
  </r>
  <r>
    <n v="6245156"/>
    <x v="346"/>
    <x v="3"/>
    <s v="OT"/>
    <n v="20"/>
    <n v="3.47"/>
    <n v="90.22"/>
    <n v="115"/>
    <n v="0"/>
    <n v="3.47"/>
    <n v="115"/>
    <n v="208.69"/>
    <n v="60.141210374639762"/>
  </r>
  <r>
    <n v="6245156"/>
    <x v="347"/>
    <x v="4"/>
    <s v="SC"/>
    <n v="30"/>
    <n v="2.21"/>
    <n v="57.46"/>
    <n v="115"/>
    <n v="0"/>
    <n v="2.21"/>
    <n v="115"/>
    <n v="174.67000000000002"/>
    <n v="79.036199095022639"/>
  </r>
  <r>
    <n v="6245156"/>
    <x v="348"/>
    <x v="1"/>
    <s v="SC"/>
    <n v="32"/>
    <n v="5"/>
    <n v="130"/>
    <n v="115"/>
    <n v="0"/>
    <n v="5"/>
    <n v="115"/>
    <n v="250"/>
    <n v="50"/>
  </r>
  <r>
    <n v="6245156"/>
    <x v="349"/>
    <x v="2"/>
    <s v="OT"/>
    <n v="40"/>
    <n v="4.58"/>
    <n v="119.08"/>
    <n v="115"/>
    <n v="0"/>
    <n v="4.58"/>
    <n v="115"/>
    <n v="238.66"/>
    <n v="52.109170305676855"/>
  </r>
  <r>
    <n v="6245156"/>
    <x v="349"/>
    <x v="3"/>
    <s v="SC"/>
    <n v="35"/>
    <n v="8.5500000000000007"/>
    <n v="222.3"/>
    <n v="115"/>
    <n v="0"/>
    <n v="8.5500000000000007"/>
    <n v="115"/>
    <n v="345.85"/>
    <n v="40.450292397660817"/>
  </r>
  <r>
    <n v="6245156"/>
    <x v="350"/>
    <x v="11"/>
    <s v="OT"/>
    <n v="40"/>
    <n v="2.2799999999999998"/>
    <n v="59.279999999999994"/>
    <n v="115"/>
    <n v="0"/>
    <n v="2.2799999999999998"/>
    <n v="115"/>
    <n v="176.56"/>
    <n v="77.438596491228083"/>
  </r>
  <r>
    <n v="6245156"/>
    <x v="351"/>
    <x v="2"/>
    <s v="OT"/>
    <n v="40"/>
    <n v="4.83"/>
    <n v="125.58"/>
    <n v="115"/>
    <n v="0"/>
    <n v="4.83"/>
    <n v="115"/>
    <n v="245.41"/>
    <n v="50.80952380952381"/>
  </r>
  <r>
    <n v="5707009"/>
    <x v="352"/>
    <x v="5"/>
    <s v="FL"/>
    <n v="6"/>
    <n v="1.17"/>
    <m/>
    <n v="70.680000000000007"/>
    <m/>
    <m/>
    <m/>
    <n v="70.680000000000007"/>
    <n v="60.410256410256423"/>
  </r>
  <r>
    <n v="5707009"/>
    <x v="352"/>
    <x v="6"/>
    <s v="FL"/>
    <n v="6"/>
    <n v="2.34"/>
    <m/>
    <n v="94.32"/>
    <m/>
    <m/>
    <m/>
    <n v="94.32"/>
    <n v="40.307692307692307"/>
  </r>
  <r>
    <n v="5707396"/>
    <x v="352"/>
    <x v="7"/>
    <s v="FL"/>
    <n v="8"/>
    <n v="3.12"/>
    <m/>
    <n v="129"/>
    <m/>
    <m/>
    <m/>
    <n v="129"/>
    <n v="41.346153846153847"/>
  </r>
  <r>
    <n v="5709446"/>
    <x v="352"/>
    <x v="8"/>
    <s v="SC"/>
    <n v="6"/>
    <n v="3.9"/>
    <m/>
    <n v="155.88"/>
    <m/>
    <m/>
    <m/>
    <n v="155.88"/>
    <n v="39.969230769230769"/>
  </r>
  <r>
    <n v="5709714"/>
    <x v="352"/>
    <x v="9"/>
    <s v="FL"/>
    <n v="2"/>
    <n v="0.39"/>
    <m/>
    <n v="48"/>
    <m/>
    <m/>
    <m/>
    <n v="48"/>
    <n v="123.07692307692307"/>
  </r>
  <r>
    <n v="5711606"/>
    <x v="352"/>
    <x v="14"/>
    <s v="FL"/>
    <n v="8"/>
    <n v="1.56"/>
    <m/>
    <n v="69.28"/>
    <m/>
    <m/>
    <m/>
    <n v="69.28"/>
    <m/>
  </r>
  <r>
    <n v="6266457"/>
    <x v="353"/>
    <x v="4"/>
    <s v="SC"/>
    <n v="30"/>
    <n v="10.16"/>
    <n v="264.16000000000003"/>
    <n v="115"/>
    <n v="0"/>
    <n v="10.16"/>
    <n v="115"/>
    <n v="389.32000000000005"/>
    <n v="38.318897637795281"/>
  </r>
  <r>
    <n v="6266457"/>
    <x v="353"/>
    <x v="1"/>
    <s v="SC"/>
    <n v="32"/>
    <n v="8.1300000000000008"/>
    <n v="211.38000000000002"/>
    <n v="115"/>
    <n v="0"/>
    <n v="8.1300000000000008"/>
    <n v="115"/>
    <n v="334.51"/>
    <n v="41.14514145141451"/>
  </r>
  <r>
    <n v="6266457"/>
    <x v="354"/>
    <x v="3"/>
    <s v="SC"/>
    <n v="35"/>
    <n v="4.7699999999999996"/>
    <n v="124.01999999999998"/>
    <n v="115"/>
    <n v="0"/>
    <n v="4.7699999999999996"/>
    <n v="115"/>
    <n v="243.79"/>
    <n v="51.109014675052414"/>
  </r>
  <r>
    <n v="6266457"/>
    <x v="355"/>
    <x v="0"/>
    <s v="OT"/>
    <n v="40"/>
    <n v="4.42"/>
    <n v="114.92"/>
    <n v="115"/>
    <n v="0"/>
    <n v="4.42"/>
    <n v="115"/>
    <n v="234.34"/>
    <n v="53.018099547511312"/>
  </r>
  <r>
    <n v="6266457"/>
    <x v="356"/>
    <x v="2"/>
    <s v="OT"/>
    <n v="40"/>
    <n v="3.69"/>
    <n v="95.94"/>
    <n v="115"/>
    <n v="0"/>
    <n v="3.69"/>
    <n v="115"/>
    <n v="214.63"/>
    <n v="58.165311653116532"/>
  </r>
  <r>
    <n v="6266457"/>
    <x v="357"/>
    <x v="0"/>
    <s v="OT"/>
    <n v="40"/>
    <n v="3.69"/>
    <n v="95.94"/>
    <n v="115"/>
    <n v="0"/>
    <n v="3.69"/>
    <n v="115"/>
    <n v="214.63"/>
    <n v="58.165311653116532"/>
  </r>
  <r>
    <n v="6266457"/>
    <x v="357"/>
    <x v="1"/>
    <s v="SC"/>
    <n v="32"/>
    <n v="4.83"/>
    <n v="125.58"/>
    <n v="115"/>
    <n v="0"/>
    <n v="4.83"/>
    <n v="115"/>
    <n v="245.41"/>
    <n v="50.80952380952381"/>
  </r>
  <r>
    <m/>
    <x v="358"/>
    <x v="5"/>
    <s v="FL"/>
    <n v="6"/>
    <n v="1.17"/>
    <m/>
    <n v="70.680000000000007"/>
    <m/>
    <m/>
    <m/>
    <n v="70.680000000000007"/>
    <n v="60.410256410256423"/>
  </r>
  <r>
    <m/>
    <x v="358"/>
    <x v="6"/>
    <s v="FL"/>
    <n v="6"/>
    <n v="2.34"/>
    <m/>
    <n v="94.32"/>
    <m/>
    <m/>
    <m/>
    <n v="94.32"/>
    <n v="40.307692307692307"/>
  </r>
  <r>
    <m/>
    <x v="358"/>
    <x v="7"/>
    <s v="FL"/>
    <n v="8"/>
    <n v="3.12"/>
    <m/>
    <n v="129"/>
    <m/>
    <m/>
    <m/>
    <n v="129"/>
    <n v="41.346153846153847"/>
  </r>
  <r>
    <m/>
    <x v="358"/>
    <x v="8"/>
    <s v="SC"/>
    <n v="6"/>
    <n v="1"/>
    <m/>
    <n v="155.88"/>
    <m/>
    <m/>
    <m/>
    <n v="155.88"/>
    <n v="155.88"/>
  </r>
  <r>
    <m/>
    <x v="358"/>
    <x v="9"/>
    <s v="FL"/>
    <n v="2"/>
    <n v="0.39"/>
    <m/>
    <n v="48"/>
    <m/>
    <m/>
    <m/>
    <n v="48"/>
    <n v="123.07692307692307"/>
  </r>
  <r>
    <m/>
    <x v="358"/>
    <x v="14"/>
    <s v="FL"/>
    <n v="8"/>
    <n v="1.56"/>
    <m/>
    <n v="69.28"/>
    <m/>
    <m/>
    <m/>
    <n v="69.28"/>
    <m/>
  </r>
  <r>
    <n v="6284993"/>
    <x v="359"/>
    <x v="2"/>
    <s v="OT"/>
    <n v="40"/>
    <n v="3.86"/>
    <n v="100.36"/>
    <n v="115"/>
    <n v="0"/>
    <n v="3.86"/>
    <n v="115"/>
    <n v="219.22000000000003"/>
    <n v="56.792746113989644"/>
  </r>
  <r>
    <n v="6284993"/>
    <x v="360"/>
    <x v="3"/>
    <s v="OT"/>
    <n v="20"/>
    <n v="2.2200000000000002"/>
    <n v="57.720000000000006"/>
    <n v="115"/>
    <n v="0"/>
    <n v="2.2200000000000002"/>
    <n v="115"/>
    <n v="174.94"/>
    <n v="78.801801801801787"/>
  </r>
  <r>
    <n v="6284993"/>
    <x v="360"/>
    <x v="3"/>
    <s v="OT"/>
    <n v="20"/>
    <n v="2.37"/>
    <n v="61.620000000000005"/>
    <n v="115"/>
    <n v="0"/>
    <n v="2.37"/>
    <n v="115"/>
    <n v="178.99"/>
    <n v="75.523206751054857"/>
  </r>
  <r>
    <n v="6284993"/>
    <x v="360"/>
    <x v="0"/>
    <s v="OT"/>
    <n v="20"/>
    <n v="2.2200000000000002"/>
    <n v="57.720000000000006"/>
    <n v="115"/>
    <n v="0"/>
    <n v="2.2200000000000002"/>
    <n v="115"/>
    <n v="174.94"/>
    <n v="78.801801801801787"/>
  </r>
  <r>
    <n v="6284993"/>
    <x v="361"/>
    <x v="0"/>
    <s v="OT"/>
    <n v="40"/>
    <n v="3.09"/>
    <n v="80.34"/>
    <n v="115"/>
    <n v="0"/>
    <n v="3.09"/>
    <n v="115"/>
    <n v="198.43"/>
    <n v="64.216828478964402"/>
  </r>
  <r>
    <n v="6284993"/>
    <x v="362"/>
    <x v="1"/>
    <s v="SC"/>
    <n v="32"/>
    <n v="3.86"/>
    <n v="100.36"/>
    <n v="115"/>
    <n v="0"/>
    <n v="3.86"/>
    <n v="115"/>
    <n v="219.22000000000003"/>
    <n v="56.792746113989644"/>
  </r>
  <r>
    <n v="6284993"/>
    <x v="362"/>
    <x v="17"/>
    <s v="OT"/>
    <n v="40"/>
    <n v="2.2000000000000002"/>
    <n v="57.2"/>
    <n v="115"/>
    <n v="0"/>
    <n v="2.2000000000000002"/>
    <n v="115"/>
    <n v="174.39999999999998"/>
    <n v="79.272727272727252"/>
  </r>
  <r>
    <n v="6284993"/>
    <x v="363"/>
    <x v="0"/>
    <s v="OT"/>
    <n v="40"/>
    <n v="4.46"/>
    <n v="115.96"/>
    <n v="115"/>
    <n v="0"/>
    <n v="4.46"/>
    <n v="115"/>
    <n v="235.42"/>
    <n v="52.784753363228695"/>
  </r>
  <r>
    <n v="6284993"/>
    <x v="364"/>
    <x v="4"/>
    <s v="SC"/>
    <n v="30"/>
    <n v="10.62"/>
    <n v="276.12"/>
    <n v="115"/>
    <n v="0"/>
    <n v="10.62"/>
    <n v="115"/>
    <n v="401.74"/>
    <n v="37.8286252354049"/>
  </r>
  <r>
    <n v="6284993"/>
    <x v="365"/>
    <x v="1"/>
    <s v="SC"/>
    <n v="32"/>
    <n v="3.7"/>
    <n v="96.2"/>
    <n v="115"/>
    <n v="0"/>
    <n v="3.7"/>
    <n v="115"/>
    <n v="214.89999999999998"/>
    <n v="58.081081081081074"/>
  </r>
  <r>
    <m/>
    <x v="366"/>
    <x v="5"/>
    <s v="FL"/>
    <n v="6"/>
    <n v="1.17"/>
    <m/>
    <n v="70.680000000000007"/>
    <m/>
    <m/>
    <m/>
    <n v="70.680000000000007"/>
    <n v="60.410256410256423"/>
  </r>
  <r>
    <m/>
    <x v="366"/>
    <x v="6"/>
    <s v="FL"/>
    <n v="6"/>
    <n v="2.34"/>
    <m/>
    <n v="94.32"/>
    <m/>
    <m/>
    <m/>
    <n v="94.32"/>
    <n v="40.307692307692307"/>
  </r>
  <r>
    <m/>
    <x v="366"/>
    <x v="7"/>
    <s v="FL"/>
    <n v="8"/>
    <n v="3.12"/>
    <m/>
    <n v="129"/>
    <m/>
    <m/>
    <m/>
    <n v="129"/>
    <n v="41.346153846153847"/>
  </r>
  <r>
    <m/>
    <x v="366"/>
    <x v="8"/>
    <s v="SC"/>
    <n v="6"/>
    <n v="1"/>
    <m/>
    <n v="155.88"/>
    <m/>
    <m/>
    <m/>
    <n v="155.88"/>
    <n v="155.88"/>
  </r>
  <r>
    <m/>
    <x v="366"/>
    <x v="9"/>
    <s v="FL"/>
    <n v="2"/>
    <n v="0.39"/>
    <m/>
    <n v="48"/>
    <m/>
    <m/>
    <m/>
    <n v="48"/>
    <n v="123.07692307692307"/>
  </r>
  <r>
    <m/>
    <x v="366"/>
    <x v="14"/>
    <s v="FL"/>
    <n v="8"/>
    <n v="1.56"/>
    <m/>
    <n v="69.28"/>
    <m/>
    <m/>
    <m/>
    <n v="69.28"/>
    <m/>
  </r>
  <r>
    <n v="6305099"/>
    <x v="367"/>
    <x v="2"/>
    <s v="OT"/>
    <n v="40"/>
    <n v="5.04"/>
    <n v="131.04"/>
    <n v="115"/>
    <n v="0"/>
    <n v="5.04"/>
    <n v="115"/>
    <n v="251.07999999999998"/>
    <n v="49.817460317460316"/>
  </r>
  <r>
    <n v="6305099"/>
    <x v="367"/>
    <x v="0"/>
    <s v="OT"/>
    <n v="40"/>
    <n v="1.96"/>
    <n v="50.96"/>
    <n v="115"/>
    <n v="0"/>
    <n v="1.96"/>
    <n v="115"/>
    <n v="167.92000000000002"/>
    <n v="85.673469387755105"/>
  </r>
  <r>
    <n v="6305099"/>
    <x v="367"/>
    <x v="0"/>
    <s v="OT"/>
    <n v="40"/>
    <n v="1.1399999999999999"/>
    <n v="29.639999999999997"/>
    <n v="115"/>
    <n v="0"/>
    <n v="1.1399999999999999"/>
    <n v="115"/>
    <n v="145.77999999999997"/>
    <n v="127.87719298245612"/>
  </r>
  <r>
    <n v="6305099"/>
    <x v="368"/>
    <x v="1"/>
    <s v="SC"/>
    <n v="32"/>
    <n v="4.22"/>
    <n v="109.72"/>
    <n v="115"/>
    <n v="0"/>
    <n v="4.22"/>
    <n v="115"/>
    <n v="228.94"/>
    <n v="54.251184834123222"/>
  </r>
  <r>
    <n v="6305099"/>
    <x v="369"/>
    <x v="0"/>
    <s v="OT"/>
    <n v="40"/>
    <n v="2.93"/>
    <n v="76.180000000000007"/>
    <n v="115"/>
    <n v="0"/>
    <n v="2.93"/>
    <n v="115"/>
    <n v="194.11"/>
    <n v="66.249146757679185"/>
  </r>
  <r>
    <n v="6305099"/>
    <x v="370"/>
    <x v="3"/>
    <s v="SC"/>
    <n v="35"/>
    <n v="8.4700000000000006"/>
    <n v="220.22000000000003"/>
    <n v="115"/>
    <n v="0"/>
    <n v="8.4700000000000006"/>
    <n v="115"/>
    <n v="343.69000000000005"/>
    <n v="40.577331759149942"/>
  </r>
  <r>
    <n v="6305099"/>
    <x v="370"/>
    <x v="2"/>
    <s v="OT"/>
    <n v="40"/>
    <n v="2.2999999999999998"/>
    <n v="59.8"/>
    <n v="115"/>
    <n v="0"/>
    <n v="2.2999999999999998"/>
    <n v="115"/>
    <n v="177.10000000000002"/>
    <n v="77.000000000000014"/>
  </r>
  <r>
    <m/>
    <x v="371"/>
    <x v="5"/>
    <s v="FL"/>
    <n v="6"/>
    <n v="1.17"/>
    <m/>
    <n v="70.680000000000007"/>
    <m/>
    <m/>
    <m/>
    <n v="70.680000000000007"/>
    <n v="60.410256410256423"/>
  </r>
  <r>
    <m/>
    <x v="371"/>
    <x v="6"/>
    <s v="FL"/>
    <n v="6"/>
    <n v="2.34"/>
    <m/>
    <n v="94.32"/>
    <m/>
    <m/>
    <m/>
    <n v="94.32"/>
    <n v="40.307692307692307"/>
  </r>
  <r>
    <m/>
    <x v="371"/>
    <x v="7"/>
    <s v="FL"/>
    <n v="8"/>
    <n v="3.12"/>
    <m/>
    <n v="129"/>
    <m/>
    <m/>
    <m/>
    <n v="129"/>
    <n v="41.346153846153847"/>
  </r>
  <r>
    <m/>
    <x v="371"/>
    <x v="8"/>
    <s v="SC"/>
    <n v="6"/>
    <n v="1"/>
    <m/>
    <n v="155.88"/>
    <m/>
    <m/>
    <m/>
    <n v="155.88"/>
    <n v="155.88"/>
  </r>
  <r>
    <m/>
    <x v="371"/>
    <x v="9"/>
    <s v="FL"/>
    <n v="2"/>
    <n v="0.39"/>
    <m/>
    <n v="48"/>
    <m/>
    <m/>
    <m/>
    <n v="48"/>
    <n v="123.07692307692307"/>
  </r>
  <r>
    <m/>
    <x v="371"/>
    <x v="14"/>
    <s v="FL"/>
    <n v="8"/>
    <n v="1.56"/>
    <m/>
    <n v="69.28"/>
    <m/>
    <m/>
    <m/>
    <n v="69.28"/>
    <m/>
  </r>
  <r>
    <n v="6326783"/>
    <x v="372"/>
    <x v="11"/>
    <s v="OT"/>
    <n v="40"/>
    <n v="2.54"/>
    <n v="66.040000000000006"/>
    <n v="115"/>
    <n v="0"/>
    <n v="2.54"/>
    <n v="115"/>
    <n v="183.58"/>
    <n v="72.275590551181111"/>
  </r>
  <r>
    <n v="6326783"/>
    <x v="373"/>
    <x v="3"/>
    <s v="OT"/>
    <n v="20"/>
    <n v="1.72"/>
    <n v="44.72"/>
    <n v="115"/>
    <n v="0"/>
    <n v="1.72"/>
    <n v="115"/>
    <n v="161.44"/>
    <n v="93.860465116279073"/>
  </r>
  <r>
    <n v="6326783"/>
    <x v="373"/>
    <x v="3"/>
    <s v="OT"/>
    <n v="20"/>
    <n v="1.41"/>
    <n v="36.659999999999997"/>
    <n v="115"/>
    <n v="0"/>
    <n v="1.41"/>
    <n v="115"/>
    <n v="153.07"/>
    <n v="108.56028368794327"/>
  </r>
  <r>
    <n v="6326783"/>
    <x v="374"/>
    <x v="2"/>
    <s v="OT"/>
    <n v="40"/>
    <n v="5.08"/>
    <n v="132.08000000000001"/>
    <n v="115"/>
    <n v="0"/>
    <n v="5.08"/>
    <n v="115"/>
    <n v="252.16000000000003"/>
    <n v="49.637795275590555"/>
  </r>
  <r>
    <n v="6326783"/>
    <x v="374"/>
    <x v="4"/>
    <s v="SC"/>
    <n v="30"/>
    <n v="6.28"/>
    <n v="163.28"/>
    <n v="115"/>
    <n v="0"/>
    <n v="6.28"/>
    <n v="115"/>
    <n v="284.55999999999995"/>
    <n v="45.312101910828012"/>
  </r>
  <r>
    <n v="6326783"/>
    <x v="375"/>
    <x v="1"/>
    <s v="SC"/>
    <n v="32"/>
    <n v="7.02"/>
    <n v="182.51999999999998"/>
    <n v="115"/>
    <n v="0"/>
    <n v="7.02"/>
    <n v="115"/>
    <n v="304.53999999999996"/>
    <n v="43.381766381766376"/>
  </r>
  <r>
    <n v="6326783"/>
    <x v="376"/>
    <x v="2"/>
    <s v="OT"/>
    <n v="40"/>
    <n v="2.2599999999999998"/>
    <n v="58.759999999999991"/>
    <n v="115"/>
    <n v="0"/>
    <n v="2.2599999999999998"/>
    <n v="115"/>
    <n v="176.01999999999998"/>
    <n v="77.884955752212392"/>
  </r>
  <r>
    <n v="6326783"/>
    <x v="376"/>
    <x v="3"/>
    <s v="SC"/>
    <n v="35"/>
    <n v="5.23"/>
    <n v="135.98000000000002"/>
    <n v="115"/>
    <n v="0"/>
    <n v="5.23"/>
    <n v="115"/>
    <n v="256.21000000000004"/>
    <n v="48.988527724665396"/>
  </r>
  <r>
    <m/>
    <x v="377"/>
    <x v="5"/>
    <s v="FL"/>
    <n v="6"/>
    <n v="1.17"/>
    <m/>
    <n v="54"/>
    <m/>
    <m/>
    <m/>
    <n v="54"/>
    <n v="46.153846153846153"/>
  </r>
  <r>
    <m/>
    <x v="378"/>
    <x v="5"/>
    <s v="FL"/>
    <n v="6"/>
    <n v="1.17"/>
    <m/>
    <n v="70.680000000000007"/>
    <m/>
    <m/>
    <m/>
    <n v="70.680000000000007"/>
    <n v="60.410256410256423"/>
  </r>
  <r>
    <m/>
    <x v="378"/>
    <x v="6"/>
    <s v="FL"/>
    <n v="6"/>
    <n v="2.34"/>
    <m/>
    <n v="94.32"/>
    <m/>
    <m/>
    <m/>
    <n v="94.32"/>
    <n v="40.307692307692307"/>
  </r>
  <r>
    <m/>
    <x v="378"/>
    <x v="7"/>
    <s v="FL"/>
    <n v="8"/>
    <n v="3.12"/>
    <m/>
    <n v="129"/>
    <m/>
    <m/>
    <m/>
    <n v="129"/>
    <n v="41.346153846153847"/>
  </r>
  <r>
    <m/>
    <x v="378"/>
    <x v="8"/>
    <s v="SC"/>
    <n v="6"/>
    <n v="1"/>
    <m/>
    <n v="155.88"/>
    <m/>
    <m/>
    <m/>
    <n v="155.88"/>
    <n v="155.88"/>
  </r>
  <r>
    <m/>
    <x v="378"/>
    <x v="9"/>
    <s v="FL"/>
    <n v="2"/>
    <n v="0.39"/>
    <m/>
    <n v="48"/>
    <m/>
    <m/>
    <m/>
    <n v="48"/>
    <n v="123.07692307692307"/>
  </r>
  <r>
    <m/>
    <x v="378"/>
    <x v="14"/>
    <s v="FL"/>
    <n v="8"/>
    <n v="1.56"/>
    <m/>
    <n v="69.28"/>
    <m/>
    <m/>
    <m/>
    <n v="69.28"/>
    <m/>
  </r>
  <r>
    <n v="6344130"/>
    <x v="379"/>
    <x v="4"/>
    <s v="SC"/>
    <n v="30"/>
    <n v="2.39"/>
    <n v="62.14"/>
    <n v="115"/>
    <n v="0"/>
    <n v="2.39"/>
    <n v="115"/>
    <n v="179.52999999999997"/>
    <n v="75.117154811715466"/>
  </r>
  <r>
    <n v="6344130"/>
    <x v="380"/>
    <x v="3"/>
    <s v="SC"/>
    <n v="35"/>
    <n v="4.13"/>
    <n v="107.38"/>
    <n v="115"/>
    <n v="0"/>
    <n v="4.13"/>
    <n v="115"/>
    <n v="226.51"/>
    <n v="54.845036319612589"/>
  </r>
  <r>
    <n v="6344130"/>
    <x v="380"/>
    <x v="2"/>
    <s v="OT"/>
    <n v="40"/>
    <n v="3.33"/>
    <n v="86.58"/>
    <n v="115"/>
    <n v="0"/>
    <n v="3.33"/>
    <n v="115"/>
    <n v="204.91"/>
    <n v="61.534534534534529"/>
  </r>
  <r>
    <n v="6344130"/>
    <x v="380"/>
    <x v="4"/>
    <s v="SC"/>
    <n v="30"/>
    <n v="9.23"/>
    <n v="239.98000000000002"/>
    <n v="115"/>
    <n v="0"/>
    <n v="9.23"/>
    <n v="115"/>
    <n v="364.21000000000004"/>
    <n v="39.45937161430119"/>
  </r>
  <r>
    <n v="6344130"/>
    <x v="381"/>
    <x v="1"/>
    <s v="SC"/>
    <n v="32"/>
    <n v="0.7"/>
    <n v="18.2"/>
    <n v="115"/>
    <n v="0"/>
    <n v="0.7"/>
    <n v="115"/>
    <n v="133.89999999999998"/>
    <n v="191.28571428571428"/>
  </r>
  <r>
    <n v="6344130"/>
    <x v="382"/>
    <x v="1"/>
    <s v="SC"/>
    <n v="32"/>
    <n v="13.92"/>
    <n v="361.92"/>
    <n v="115"/>
    <n v="0"/>
    <n v="13.92"/>
    <n v="115"/>
    <n v="490.84000000000003"/>
    <n v="35.261494252873568"/>
  </r>
  <r>
    <n v="6344130"/>
    <x v="383"/>
    <x v="0"/>
    <s v="OT"/>
    <n v="40"/>
    <n v="4.76"/>
    <n v="123.75999999999999"/>
    <n v="115"/>
    <n v="0"/>
    <n v="4.76"/>
    <n v="115"/>
    <n v="243.51999999999998"/>
    <n v="51.159663865546214"/>
  </r>
  <r>
    <n v="6344130"/>
    <x v="384"/>
    <x v="2"/>
    <s v="OT"/>
    <n v="40"/>
    <n v="7.66"/>
    <n v="199.16"/>
    <n v="115"/>
    <n v="0"/>
    <n v="7.66"/>
    <n v="115"/>
    <n v="321.82"/>
    <n v="42.013054830287203"/>
  </r>
  <r>
    <n v="6344130"/>
    <x v="385"/>
    <x v="4"/>
    <s v="SC"/>
    <n v="30"/>
    <n v="7.44"/>
    <n v="193.44"/>
    <n v="115"/>
    <n v="0"/>
    <n v="7.44"/>
    <n v="115"/>
    <n v="315.88"/>
    <n v="42.456989247311824"/>
  </r>
  <r>
    <m/>
    <x v="386"/>
    <x v="6"/>
    <s v="FL"/>
    <n v="6"/>
    <n v="2.34"/>
    <m/>
    <n v="94.32"/>
    <m/>
    <m/>
    <m/>
    <n v="94.32"/>
    <n v="40.307692307692307"/>
  </r>
  <r>
    <m/>
    <x v="386"/>
    <x v="5"/>
    <s v="FL"/>
    <n v="6"/>
    <n v="1.17"/>
    <m/>
    <n v="54"/>
    <m/>
    <m/>
    <m/>
    <n v="54"/>
    <n v="46.153846153846153"/>
  </r>
  <r>
    <m/>
    <x v="386"/>
    <x v="7"/>
    <s v="FL"/>
    <n v="8"/>
    <n v="3.12"/>
    <m/>
    <n v="129"/>
    <m/>
    <m/>
    <m/>
    <n v="129"/>
    <n v="41.346153846153847"/>
  </r>
  <r>
    <m/>
    <x v="386"/>
    <x v="8"/>
    <s v="SC"/>
    <n v="6"/>
    <n v="1"/>
    <m/>
    <n v="155.88"/>
    <m/>
    <m/>
    <m/>
    <n v="155.88"/>
    <n v="155.88"/>
  </r>
  <r>
    <m/>
    <x v="386"/>
    <x v="9"/>
    <s v="FL"/>
    <n v="2"/>
    <n v="0.39"/>
    <m/>
    <n v="48"/>
    <m/>
    <m/>
    <m/>
    <n v="48"/>
    <n v="123.07692307692307"/>
  </r>
  <r>
    <m/>
    <x v="386"/>
    <x v="14"/>
    <s v="FL"/>
    <n v="8"/>
    <n v="1.56"/>
    <m/>
    <n v="69.28"/>
    <m/>
    <m/>
    <m/>
    <n v="69.28"/>
    <m/>
  </r>
  <r>
    <n v="6364610"/>
    <x v="387"/>
    <x v="0"/>
    <s v="OT"/>
    <n v="40"/>
    <n v="2.06"/>
    <n v="53.56"/>
    <n v="115"/>
    <n v="0"/>
    <n v="2.06"/>
    <n v="115"/>
    <n v="170.62"/>
    <n v="82.825242718446603"/>
  </r>
  <r>
    <n v="6364610"/>
    <x v="387"/>
    <x v="3"/>
    <s v="SC"/>
    <n v="35"/>
    <n v="5.4"/>
    <n v="140.4"/>
    <n v="115"/>
    <n v="0"/>
    <n v="5.4"/>
    <n v="115"/>
    <n v="260.8"/>
    <n v="48.296296296296298"/>
  </r>
  <r>
    <n v="6364610"/>
    <x v="388"/>
    <x v="3"/>
    <s v="OT"/>
    <n v="20"/>
    <n v="4.33"/>
    <n v="112.58"/>
    <n v="115"/>
    <n v="0"/>
    <n v="4.33"/>
    <n v="115"/>
    <n v="231.91"/>
    <n v="53.558891454965355"/>
  </r>
  <r>
    <n v="6364610"/>
    <x v="388"/>
    <x v="3"/>
    <s v="OT"/>
    <n v="20"/>
    <n v="2.36"/>
    <n v="61.36"/>
    <n v="115"/>
    <n v="0"/>
    <n v="2.36"/>
    <n v="115"/>
    <n v="178.72000000000003"/>
    <n v="75.728813559322049"/>
  </r>
  <r>
    <m/>
    <x v="389"/>
    <x v="5"/>
    <s v="FL"/>
    <n v="6"/>
    <n v="1.17"/>
    <m/>
    <n v="70.680000000000007"/>
    <m/>
    <m/>
    <m/>
    <n v="70.680000000000007"/>
    <n v="60.410256410256423"/>
  </r>
  <r>
    <m/>
    <x v="389"/>
    <x v="6"/>
    <s v="FL"/>
    <n v="6"/>
    <n v="2.34"/>
    <m/>
    <n v="94.32"/>
    <m/>
    <m/>
    <m/>
    <n v="94.32"/>
    <n v="40.307692307692307"/>
  </r>
  <r>
    <m/>
    <x v="389"/>
    <x v="7"/>
    <s v="FL"/>
    <n v="8"/>
    <n v="3.12"/>
    <m/>
    <n v="129"/>
    <m/>
    <m/>
    <m/>
    <n v="129"/>
    <n v="41.346153846153847"/>
  </r>
  <r>
    <m/>
    <x v="389"/>
    <x v="8"/>
    <s v="SC"/>
    <n v="6"/>
    <n v="1"/>
    <m/>
    <n v="155.88"/>
    <m/>
    <m/>
    <m/>
    <n v="155.88"/>
    <n v="155.88"/>
  </r>
  <r>
    <m/>
    <x v="389"/>
    <x v="9"/>
    <s v="FL"/>
    <n v="2"/>
    <n v="0.39"/>
    <m/>
    <n v="48"/>
    <m/>
    <m/>
    <m/>
    <n v="48"/>
    <n v="123.07692307692307"/>
  </r>
  <r>
    <m/>
    <x v="389"/>
    <x v="14"/>
    <s v="FL"/>
    <n v="8"/>
    <n v="1.56"/>
    <m/>
    <n v="69.28"/>
    <m/>
    <m/>
    <m/>
    <n v="69.28"/>
    <m/>
  </r>
  <r>
    <n v="6385427"/>
    <x v="390"/>
    <x v="0"/>
    <s v="OT"/>
    <n v="40"/>
    <n v="2.14"/>
    <n v="55.64"/>
    <n v="115"/>
    <n v="0"/>
    <n v="2.14"/>
    <n v="115"/>
    <n v="172.77999999999997"/>
    <n v="80.738317757009327"/>
  </r>
  <r>
    <n v="6385427"/>
    <x v="390"/>
    <x v="0"/>
    <s v="OT"/>
    <n v="40"/>
    <n v="1.95"/>
    <n v="50.699999999999996"/>
    <n v="115"/>
    <n v="0"/>
    <n v="1.95"/>
    <n v="115"/>
    <n v="167.64999999999998"/>
    <n v="85.974358974358964"/>
  </r>
  <r>
    <n v="6385427"/>
    <x v="391"/>
    <x v="4"/>
    <s v="SC"/>
    <n v="30"/>
    <n v="1.93"/>
    <n v="50.18"/>
    <n v="115"/>
    <n v="0"/>
    <n v="1.93"/>
    <n v="115"/>
    <n v="167.11"/>
    <n v="86.585492227979287"/>
  </r>
  <r>
    <n v="6385427"/>
    <x v="391"/>
    <x v="1"/>
    <s v="SC"/>
    <n v="32"/>
    <n v="9.11"/>
    <n v="236.85999999999999"/>
    <n v="115"/>
    <n v="0"/>
    <n v="9.11"/>
    <n v="115"/>
    <n v="360.97"/>
    <n v="39.623490669593856"/>
  </r>
  <r>
    <n v="6385427"/>
    <x v="392"/>
    <x v="4"/>
    <s v="SC"/>
    <n v="30"/>
    <n v="8.43"/>
    <n v="219.18"/>
    <n v="115"/>
    <n v="0"/>
    <n v="8.43"/>
    <n v="115"/>
    <n v="342.61"/>
    <n v="40.641755634638201"/>
  </r>
  <r>
    <n v="6385427"/>
    <x v="392"/>
    <x v="3"/>
    <s v="OT"/>
    <n v="20"/>
    <n v="1.83"/>
    <n v="47.58"/>
    <n v="115"/>
    <n v="0"/>
    <n v="1.83"/>
    <n v="115"/>
    <n v="164.41"/>
    <n v="89.841530054644807"/>
  </r>
  <r>
    <n v="6385427"/>
    <x v="392"/>
    <x v="3"/>
    <s v="OT"/>
    <n v="20"/>
    <n v="1.82"/>
    <n v="47.32"/>
    <n v="115"/>
    <n v="0"/>
    <n v="1.82"/>
    <n v="115"/>
    <n v="164.14"/>
    <n v="90.186813186813183"/>
  </r>
  <r>
    <n v="6385427"/>
    <x v="393"/>
    <x v="2"/>
    <s v="OT"/>
    <n v="40"/>
    <n v="2.42"/>
    <n v="62.92"/>
    <n v="115"/>
    <n v="0"/>
    <n v="2.42"/>
    <n v="115"/>
    <n v="180.34"/>
    <n v="74.52066115702479"/>
  </r>
  <r>
    <m/>
    <x v="394"/>
    <x v="5"/>
    <s v="FL"/>
    <n v="6"/>
    <n v="1.17"/>
    <m/>
    <n v="70.680000000000007"/>
    <m/>
    <m/>
    <m/>
    <n v="70.680000000000007"/>
    <n v="60.410256410256423"/>
  </r>
  <r>
    <m/>
    <x v="394"/>
    <x v="6"/>
    <s v="FL"/>
    <n v="6"/>
    <n v="2.34"/>
    <m/>
    <n v="94.32"/>
    <m/>
    <m/>
    <m/>
    <n v="94.32"/>
    <n v="40.307692307692307"/>
  </r>
  <r>
    <m/>
    <x v="394"/>
    <x v="7"/>
    <s v="FL"/>
    <n v="8"/>
    <n v="3.12"/>
    <m/>
    <n v="129"/>
    <m/>
    <m/>
    <m/>
    <n v="129"/>
    <n v="41.346153846153847"/>
  </r>
  <r>
    <m/>
    <x v="394"/>
    <x v="8"/>
    <s v="SC"/>
    <n v="6"/>
    <n v="1"/>
    <m/>
    <n v="155.88"/>
    <m/>
    <m/>
    <m/>
    <n v="155.88"/>
    <n v="155.88"/>
  </r>
  <r>
    <m/>
    <x v="394"/>
    <x v="9"/>
    <s v="FL"/>
    <n v="2"/>
    <n v="0.39"/>
    <m/>
    <n v="48"/>
    <m/>
    <m/>
    <m/>
    <n v="48"/>
    <n v="123.07692307692307"/>
  </r>
  <r>
    <m/>
    <x v="394"/>
    <x v="14"/>
    <s v="FL"/>
    <n v="8"/>
    <n v="1.56"/>
    <m/>
    <n v="69.28"/>
    <m/>
    <m/>
    <m/>
    <n v="69.28"/>
    <m/>
  </r>
  <r>
    <n v="6401050"/>
    <x v="395"/>
    <x v="1"/>
    <s v="SC"/>
    <n v="32"/>
    <n v="7.42"/>
    <n v="192.92"/>
    <n v="115"/>
    <n v="0"/>
    <n v="7.42"/>
    <n v="115"/>
    <n v="315.33999999999997"/>
    <n v="42.498652291105117"/>
  </r>
  <r>
    <n v="6401050"/>
    <x v="396"/>
    <x v="0"/>
    <s v="OT"/>
    <n v="40"/>
    <n v="4.57"/>
    <n v="118.82000000000001"/>
    <n v="115"/>
    <n v="0"/>
    <n v="4.57"/>
    <n v="115"/>
    <n v="238.39"/>
    <n v="52.16411378555798"/>
  </r>
  <r>
    <n v="6401050"/>
    <x v="396"/>
    <x v="4"/>
    <s v="SC"/>
    <n v="30"/>
    <n v="8.2100000000000009"/>
    <n v="213.46000000000004"/>
    <n v="115"/>
    <n v="0"/>
    <n v="8.2100000000000009"/>
    <n v="115"/>
    <n v="336.67"/>
    <n v="41.007308160779537"/>
  </r>
  <r>
    <m/>
    <x v="397"/>
    <x v="5"/>
    <s v="FL"/>
    <n v="6"/>
    <n v="1.17"/>
    <m/>
    <n v="70.680000000000007"/>
    <m/>
    <m/>
    <m/>
    <n v="70.680000000000007"/>
    <n v="60.410256410256423"/>
  </r>
  <r>
    <m/>
    <x v="397"/>
    <x v="6"/>
    <s v="FL"/>
    <n v="6"/>
    <n v="2.34"/>
    <m/>
    <n v="94.32"/>
    <m/>
    <m/>
    <m/>
    <n v="94.32"/>
    <n v="40.307692307692307"/>
  </r>
  <r>
    <m/>
    <x v="397"/>
    <x v="7"/>
    <s v="FL"/>
    <n v="8"/>
    <n v="3.12"/>
    <m/>
    <n v="129"/>
    <m/>
    <m/>
    <m/>
    <n v="129"/>
    <n v="41.346153846153847"/>
  </r>
  <r>
    <m/>
    <x v="397"/>
    <x v="8"/>
    <s v="SC"/>
    <n v="6"/>
    <n v="1"/>
    <m/>
    <n v="155.88"/>
    <m/>
    <m/>
    <m/>
    <n v="155.88"/>
    <n v="155.88"/>
  </r>
  <r>
    <m/>
    <x v="397"/>
    <x v="9"/>
    <s v="FL"/>
    <n v="2"/>
    <n v="0.39"/>
    <m/>
    <n v="48"/>
    <m/>
    <m/>
    <m/>
    <n v="48"/>
    <n v="123.07692307692307"/>
  </r>
  <r>
    <m/>
    <x v="397"/>
    <x v="14"/>
    <s v="FL"/>
    <n v="8"/>
    <n v="1.56"/>
    <m/>
    <n v="69.28"/>
    <m/>
    <m/>
    <m/>
    <n v="69.28"/>
    <m/>
  </r>
  <r>
    <n v="6419309"/>
    <x v="398"/>
    <x v="1"/>
    <s v="SC"/>
    <n v="32"/>
    <n v="5.36"/>
    <n v="139.36000000000001"/>
    <n v="115"/>
    <n v="0"/>
    <n v="5.36"/>
    <n v="115"/>
    <n v="259.72000000000003"/>
    <n v="48.455223880597018"/>
  </r>
  <r>
    <n v="6419309"/>
    <x v="399"/>
    <x v="0"/>
    <s v="OT"/>
    <n v="40"/>
    <n v="3.76"/>
    <n v="97.759999999999991"/>
    <n v="115"/>
    <n v="0"/>
    <n v="3.76"/>
    <n v="115"/>
    <n v="216.51999999999998"/>
    <n v="57.585106382978722"/>
  </r>
  <r>
    <n v="6419309"/>
    <x v="399"/>
    <x v="4"/>
    <s v="SC"/>
    <n v="30"/>
    <n v="7.5"/>
    <n v="195"/>
    <n v="115"/>
    <n v="0"/>
    <n v="7.5"/>
    <n v="115"/>
    <n v="317.5"/>
    <n v="42.333333333333336"/>
  </r>
  <r>
    <n v="6419309"/>
    <x v="400"/>
    <x v="3"/>
    <s v="SC"/>
    <n v="35"/>
    <n v="5.43"/>
    <n v="141.18"/>
    <n v="115"/>
    <n v="0"/>
    <n v="5.43"/>
    <n v="115"/>
    <n v="261.61"/>
    <n v="48.178637200736652"/>
  </r>
  <r>
    <n v="6419309"/>
    <x v="401"/>
    <x v="2"/>
    <s v="OT"/>
    <n v="40"/>
    <n v="3.63"/>
    <n v="94.38"/>
    <n v="115"/>
    <n v="0"/>
    <n v="3.63"/>
    <n v="115"/>
    <n v="213.01"/>
    <n v="58.680440771349865"/>
  </r>
  <r>
    <m/>
    <x v="402"/>
    <x v="5"/>
    <s v="FL"/>
    <n v="6"/>
    <n v="1.17"/>
    <m/>
    <n v="70.680000000000007"/>
    <m/>
    <m/>
    <m/>
    <n v="70.680000000000007"/>
    <n v="60.410256410256423"/>
  </r>
  <r>
    <m/>
    <x v="402"/>
    <x v="6"/>
    <s v="FL"/>
    <n v="6"/>
    <n v="2.34"/>
    <m/>
    <n v="94.32"/>
    <m/>
    <m/>
    <m/>
    <n v="94.32"/>
    <n v="40.307692307692307"/>
  </r>
  <r>
    <m/>
    <x v="402"/>
    <x v="7"/>
    <s v="FL"/>
    <n v="8"/>
    <n v="3.12"/>
    <m/>
    <n v="129"/>
    <m/>
    <m/>
    <m/>
    <n v="129"/>
    <n v="41.346153846153847"/>
  </r>
  <r>
    <m/>
    <x v="402"/>
    <x v="8"/>
    <s v="SC"/>
    <n v="6"/>
    <n v="0"/>
    <m/>
    <n v="71.739999999999995"/>
    <m/>
    <m/>
    <m/>
    <n v="71.739999999999995"/>
    <e v="#DIV/0!"/>
  </r>
  <r>
    <m/>
    <x v="402"/>
    <x v="9"/>
    <s v="FL"/>
    <n v="2"/>
    <n v="0.39"/>
    <m/>
    <n v="48"/>
    <m/>
    <m/>
    <m/>
    <n v="48"/>
    <n v="123.07692307692307"/>
  </r>
  <r>
    <m/>
    <x v="402"/>
    <x v="14"/>
    <s v="FL"/>
    <n v="8"/>
    <n v="1.56"/>
    <m/>
    <n v="45.28"/>
    <m/>
    <m/>
    <m/>
    <n v="45.28"/>
    <m/>
  </r>
  <r>
    <n v="6435824"/>
    <x v="403"/>
    <x v="1"/>
    <s v="SC"/>
    <n v="32"/>
    <n v="8.9700000000000006"/>
    <n v="233.22000000000003"/>
    <n v="115"/>
    <n v="0"/>
    <n v="8.9700000000000006"/>
    <n v="115"/>
    <n v="357.19000000000005"/>
    <n v="39.820512820512825"/>
  </r>
  <r>
    <n v="6435824"/>
    <x v="403"/>
    <x v="2"/>
    <s v="OT"/>
    <n v="40"/>
    <n v="2.2799999999999998"/>
    <n v="59.279999999999994"/>
    <n v="115"/>
    <n v="0"/>
    <n v="2.2799999999999998"/>
    <n v="115"/>
    <n v="176.56"/>
    <n v="77.438596491228083"/>
  </r>
  <r>
    <n v="6435824"/>
    <x v="404"/>
    <x v="3"/>
    <s v="OT"/>
    <n v="20"/>
    <n v="3.72"/>
    <n v="96.72"/>
    <n v="115"/>
    <n v="0"/>
    <n v="3.72"/>
    <n v="115"/>
    <n v="215.44"/>
    <n v="57.913978494623649"/>
  </r>
  <r>
    <n v="6435824"/>
    <x v="404"/>
    <x v="3"/>
    <s v="OT"/>
    <n v="20"/>
    <n v="3.66"/>
    <n v="95.16"/>
    <n v="115"/>
    <n v="0"/>
    <n v="3.66"/>
    <n v="115"/>
    <n v="213.82"/>
    <n v="58.420765027322403"/>
  </r>
  <r>
    <n v="6435824"/>
    <x v="405"/>
    <x v="4"/>
    <s v="SC"/>
    <n v="30"/>
    <n v="9.08"/>
    <n v="236.08"/>
    <n v="115"/>
    <n v="0"/>
    <n v="9.08"/>
    <n v="115"/>
    <n v="360.16"/>
    <n v="39.665198237885463"/>
  </r>
  <r>
    <n v="6435824"/>
    <x v="406"/>
    <x v="2"/>
    <s v="OT"/>
    <n v="40"/>
    <n v="2.96"/>
    <n v="76.959999999999994"/>
    <n v="115"/>
    <n v="0"/>
    <n v="2.96"/>
    <n v="115"/>
    <n v="194.92"/>
    <n v="65.851351351351354"/>
  </r>
  <r>
    <n v="6435824"/>
    <x v="407"/>
    <x v="0"/>
    <s v="OT"/>
    <n v="40"/>
    <n v="3.18"/>
    <n v="82.68"/>
    <n v="115"/>
    <n v="0"/>
    <n v="3.18"/>
    <n v="115"/>
    <n v="200.86"/>
    <n v="63.163522012578618"/>
  </r>
  <r>
    <n v="6435824"/>
    <x v="407"/>
    <x v="3"/>
    <s v="SC"/>
    <n v="35"/>
    <n v="7.56"/>
    <n v="196.56"/>
    <n v="115"/>
    <n v="0"/>
    <n v="7.56"/>
    <n v="115"/>
    <n v="319.12"/>
    <n v="42.211640211640216"/>
  </r>
  <r>
    <n v="6435824"/>
    <x v="408"/>
    <x v="2"/>
    <s v="OT"/>
    <n v="40"/>
    <n v="4.49"/>
    <n v="116.74000000000001"/>
    <n v="115"/>
    <n v="0"/>
    <n v="4.49"/>
    <n v="115"/>
    <n v="236.23000000000002"/>
    <n v="52.612472160356347"/>
  </r>
  <r>
    <m/>
    <x v="409"/>
    <x v="5"/>
    <s v="FL"/>
    <n v="6"/>
    <n v="0.93599999999999994"/>
    <m/>
    <n v="70.680000000000007"/>
    <m/>
    <m/>
    <m/>
    <n v="70.680000000000007"/>
    <n v="75.512820512820525"/>
  </r>
  <r>
    <m/>
    <x v="409"/>
    <x v="6"/>
    <s v="FL"/>
    <n v="6"/>
    <n v="1.8719999999999999"/>
    <m/>
    <n v="94.32"/>
    <m/>
    <m/>
    <m/>
    <n v="94.32"/>
    <n v="50.384615384615387"/>
  </r>
  <r>
    <m/>
    <x v="409"/>
    <x v="7"/>
    <s v="FL"/>
    <n v="8"/>
    <n v="2.4960000000000004"/>
    <m/>
    <n v="129"/>
    <m/>
    <m/>
    <m/>
    <n v="129"/>
    <n v="51.682692307692299"/>
  </r>
  <r>
    <m/>
    <x v="409"/>
    <x v="9"/>
    <s v="FL"/>
    <n v="2"/>
    <n v="0.31200000000000006"/>
    <m/>
    <n v="48"/>
    <m/>
    <m/>
    <m/>
    <n v="48"/>
    <n v="153.84615384615381"/>
  </r>
  <r>
    <m/>
    <x v="409"/>
    <x v="14"/>
    <s v="FL"/>
    <n v="8"/>
    <n v="1.2480000000000002"/>
    <m/>
    <n v="45.28"/>
    <m/>
    <m/>
    <m/>
    <n v="45.28"/>
    <m/>
  </r>
  <r>
    <n v="6453847"/>
    <x v="410"/>
    <x v="4"/>
    <s v="SC"/>
    <n v="30"/>
    <n v="7.72"/>
    <n v="200.72"/>
    <n v="115"/>
    <n v="0"/>
    <n v="7.72"/>
    <n v="115"/>
    <n v="323.44000000000005"/>
    <n v="41.896373056994825"/>
  </r>
  <r>
    <n v="6453847"/>
    <x v="411"/>
    <x v="1"/>
    <s v="SC"/>
    <n v="32"/>
    <n v="9.2100000000000009"/>
    <n v="239.46000000000004"/>
    <n v="115"/>
    <n v="0"/>
    <n v="9.2100000000000009"/>
    <n v="115"/>
    <n v="363.67"/>
    <n v="39.48642779587405"/>
  </r>
  <r>
    <n v="6453847"/>
    <x v="412"/>
    <x v="2"/>
    <s v="OT"/>
    <n v="40"/>
    <n v="4.78"/>
    <n v="124.28"/>
    <n v="115"/>
    <n v="0"/>
    <n v="4.78"/>
    <n v="115"/>
    <n v="244.06"/>
    <n v="51.05857740585774"/>
  </r>
  <r>
    <n v="6453847"/>
    <x v="413"/>
    <x v="0"/>
    <s v="OT"/>
    <n v="40"/>
    <n v="2.31"/>
    <n v="60.06"/>
    <n v="115"/>
    <n v="0"/>
    <n v="2.31"/>
    <n v="115"/>
    <n v="177.37"/>
    <n v="76.783549783549788"/>
  </r>
  <r>
    <m/>
    <x v="414"/>
    <x v="5"/>
    <s v="FL"/>
    <n v="6"/>
    <n v="0.93599999999999994"/>
    <m/>
    <n v="70.680000000000007"/>
    <m/>
    <m/>
    <m/>
    <n v="70.680000000000007"/>
    <n v="75.512820512820525"/>
  </r>
  <r>
    <m/>
    <x v="414"/>
    <x v="6"/>
    <s v="FL"/>
    <n v="6"/>
    <n v="1.8719999999999999"/>
    <m/>
    <n v="94.32"/>
    <m/>
    <m/>
    <m/>
    <n v="94.32"/>
    <n v="50.384615384615387"/>
  </r>
  <r>
    <m/>
    <x v="414"/>
    <x v="7"/>
    <s v="FL"/>
    <n v="8"/>
    <n v="2.4960000000000004"/>
    <m/>
    <n v="129"/>
    <m/>
    <m/>
    <m/>
    <n v="129"/>
    <n v="51.682692307692299"/>
  </r>
  <r>
    <m/>
    <x v="414"/>
    <x v="9"/>
    <s v="FL"/>
    <n v="2"/>
    <n v="0.31200000000000006"/>
    <m/>
    <n v="48"/>
    <m/>
    <m/>
    <m/>
    <n v="48"/>
    <n v="153.84615384615381"/>
  </r>
  <r>
    <m/>
    <x v="414"/>
    <x v="14"/>
    <s v="FL"/>
    <n v="8"/>
    <n v="1.2480000000000002"/>
    <m/>
    <n v="45.28"/>
    <m/>
    <m/>
    <m/>
    <n v="45.28"/>
    <m/>
  </r>
  <r>
    <n v="6472282"/>
    <x v="415"/>
    <x v="1"/>
    <s v="SC"/>
    <n v="32"/>
    <n v="9.7200000000000006"/>
    <n v="252.72000000000003"/>
    <n v="115"/>
    <n v="0"/>
    <n v="9.7200000000000006"/>
    <n v="115"/>
    <n v="377.44000000000005"/>
    <n v="38.831275720164612"/>
  </r>
  <r>
    <n v="6472282"/>
    <x v="415"/>
    <x v="2"/>
    <s v="OT"/>
    <n v="40"/>
    <n v="4.6399999999999997"/>
    <n v="120.63999999999999"/>
    <n v="115"/>
    <n v="0"/>
    <n v="4.6399999999999997"/>
    <n v="115"/>
    <n v="240.27999999999997"/>
    <n v="51.78448275862069"/>
  </r>
  <r>
    <n v="6472282"/>
    <x v="416"/>
    <x v="4"/>
    <s v="SC"/>
    <n v="30"/>
    <n v="8.81"/>
    <n v="229.06"/>
    <n v="115"/>
    <n v="0"/>
    <n v="8.81"/>
    <n v="115"/>
    <n v="352.87"/>
    <n v="40.053348467650395"/>
  </r>
  <r>
    <n v="6472282"/>
    <x v="417"/>
    <x v="3"/>
    <s v="SC"/>
    <n v="35"/>
    <n v="9.43"/>
    <n v="245.18"/>
    <n v="115"/>
    <n v="0"/>
    <n v="9.43"/>
    <n v="115"/>
    <n v="369.61"/>
    <n v="39.195121951219512"/>
  </r>
  <r>
    <n v="6472282"/>
    <x v="418"/>
    <x v="2"/>
    <s v="SC"/>
    <n v="32"/>
    <n v="3.19"/>
    <n v="82.94"/>
    <n v="115"/>
    <n v="0"/>
    <n v="3.19"/>
    <n v="115"/>
    <n v="201.13"/>
    <n v="63.050156739811911"/>
  </r>
  <r>
    <n v="6472282"/>
    <x v="419"/>
    <x v="2"/>
    <s v="OT"/>
    <n v="20"/>
    <n v="3.52"/>
    <n v="91.52"/>
    <n v="115"/>
    <n v="0"/>
    <n v="3.52"/>
    <n v="115"/>
    <n v="210.04"/>
    <n v="59.67045454545454"/>
  </r>
  <r>
    <n v="6472282"/>
    <x v="420"/>
    <x v="2"/>
    <s v="OT"/>
    <n v="20"/>
    <n v="5.0999999999999996"/>
    <n v="132.6"/>
    <n v="115"/>
    <n v="0"/>
    <n v="5.0999999999999996"/>
    <n v="115"/>
    <n v="252.7"/>
    <n v="49.549019607843135"/>
  </r>
  <r>
    <n v="6472282"/>
    <x v="421"/>
    <x v="4"/>
    <s v="SC"/>
    <n v="30"/>
    <n v="4.08"/>
    <n v="106.08"/>
    <n v="115"/>
    <n v="0"/>
    <n v="4.08"/>
    <n v="115"/>
    <n v="225.16"/>
    <n v="55.186274509803923"/>
  </r>
  <r>
    <n v="6472282"/>
    <x v="422"/>
    <x v="11"/>
    <s v="OT"/>
    <n v="40"/>
    <n v="2.98"/>
    <n v="77.48"/>
    <n v="115"/>
    <n v="0"/>
    <n v="2.98"/>
    <n v="115"/>
    <n v="195.46"/>
    <n v="65.590604026845639"/>
  </r>
  <r>
    <m/>
    <x v="422"/>
    <x v="5"/>
    <s v="FL"/>
    <n v="6"/>
    <n v="0.93599999999999994"/>
    <m/>
    <n v="70.680000000000007"/>
    <m/>
    <m/>
    <m/>
    <n v="70.680000000000007"/>
    <n v="75.512820512820525"/>
  </r>
  <r>
    <m/>
    <x v="422"/>
    <x v="6"/>
    <s v="FL"/>
    <n v="6"/>
    <n v="1.8719999999999999"/>
    <m/>
    <n v="94.32"/>
    <m/>
    <m/>
    <m/>
    <n v="94.32"/>
    <n v="50.384615384615387"/>
  </r>
  <r>
    <m/>
    <x v="422"/>
    <x v="7"/>
    <s v="FL"/>
    <n v="8"/>
    <n v="2.4960000000000004"/>
    <m/>
    <n v="129"/>
    <m/>
    <m/>
    <m/>
    <n v="129"/>
    <n v="51.682692307692299"/>
  </r>
  <r>
    <m/>
    <x v="422"/>
    <x v="9"/>
    <s v="FL"/>
    <n v="2"/>
    <n v="0.31200000000000006"/>
    <m/>
    <n v="48"/>
    <m/>
    <m/>
    <m/>
    <n v="48"/>
    <n v="153.84615384615381"/>
  </r>
  <r>
    <m/>
    <x v="422"/>
    <x v="14"/>
    <s v="FL"/>
    <n v="8"/>
    <n v="1.2480000000000002"/>
    <m/>
    <n v="45.28"/>
    <m/>
    <m/>
    <m/>
    <n v="45.28"/>
    <m/>
  </r>
  <r>
    <n v="6493410"/>
    <x v="423"/>
    <x v="1"/>
    <s v="SC"/>
    <n v="32"/>
    <n v="9.66"/>
    <n v="251.16"/>
    <n v="115"/>
    <n v="0"/>
    <n v="9.66"/>
    <n v="115"/>
    <n v="375.82"/>
    <n v="38.904761904761905"/>
  </r>
  <r>
    <n v="6493410"/>
    <x v="424"/>
    <x v="3"/>
    <s v="OT"/>
    <n v="20"/>
    <n v="3.46"/>
    <n v="89.96"/>
    <n v="115"/>
    <n v="0"/>
    <n v="3.46"/>
    <n v="115"/>
    <n v="208.42"/>
    <n v="60.236994219653177"/>
  </r>
  <r>
    <n v="6493410"/>
    <x v="424"/>
    <x v="3"/>
    <s v="OT"/>
    <n v="20"/>
    <n v="6.04"/>
    <n v="157.04"/>
    <n v="115"/>
    <n v="0"/>
    <n v="6.04"/>
    <n v="115"/>
    <n v="278.08"/>
    <n v="46.039735099337747"/>
  </r>
  <r>
    <n v="6493410"/>
    <x v="425"/>
    <x v="0"/>
    <s v="OT"/>
    <n v="40"/>
    <n v="6.78"/>
    <n v="176.28"/>
    <n v="115"/>
    <n v="0"/>
    <n v="6.78"/>
    <n v="115"/>
    <n v="298.05999999999995"/>
    <n v="43.961651917404119"/>
  </r>
  <r>
    <n v="6493410"/>
    <x v="426"/>
    <x v="3"/>
    <s v="SC"/>
    <n v="35"/>
    <n v="5.53"/>
    <n v="143.78"/>
    <n v="115"/>
    <n v="0"/>
    <n v="5.53"/>
    <n v="115"/>
    <n v="264.30999999999995"/>
    <n v="47.795660036166353"/>
  </r>
  <r>
    <n v="6493410"/>
    <x v="427"/>
    <x v="1"/>
    <s v="SC"/>
    <n v="32"/>
    <n v="9.89"/>
    <n v="257.14"/>
    <n v="115"/>
    <n v="0"/>
    <n v="9.89"/>
    <n v="115"/>
    <n v="382.03"/>
    <n v="38.627906976744178"/>
  </r>
  <r>
    <n v="6493410"/>
    <x v="428"/>
    <x v="2"/>
    <s v="OT"/>
    <n v="40"/>
    <n v="3.51"/>
    <n v="91.259999999999991"/>
    <n v="115"/>
    <n v="0"/>
    <n v="3.51"/>
    <n v="115"/>
    <n v="209.76999999999998"/>
    <n v="59.763532763532758"/>
  </r>
  <r>
    <n v="6493410"/>
    <x v="429"/>
    <x v="4"/>
    <s v="SC"/>
    <n v="30"/>
    <n v="8.3800000000000008"/>
    <n v="217.88000000000002"/>
    <n v="115"/>
    <n v="0"/>
    <n v="8.3800000000000008"/>
    <n v="115"/>
    <n v="341.26"/>
    <n v="40.723150357995223"/>
  </r>
  <r>
    <m/>
    <x v="430"/>
    <x v="5"/>
    <s v="FL"/>
    <n v="6"/>
    <n v="0.93599999999999994"/>
    <m/>
    <n v="70.680000000000007"/>
    <m/>
    <m/>
    <m/>
    <n v="70.680000000000007"/>
    <n v="75.512820512820525"/>
  </r>
  <r>
    <m/>
    <x v="430"/>
    <x v="6"/>
    <s v="FL"/>
    <n v="6"/>
    <n v="1.8719999999999999"/>
    <m/>
    <n v="94.32"/>
    <m/>
    <m/>
    <m/>
    <n v="94.32"/>
    <n v="50.384615384615387"/>
  </r>
  <r>
    <m/>
    <x v="430"/>
    <x v="7"/>
    <s v="FL"/>
    <n v="8"/>
    <n v="2.4960000000000004"/>
    <m/>
    <n v="129"/>
    <m/>
    <m/>
    <m/>
    <n v="129"/>
    <n v="51.682692307692299"/>
  </r>
  <r>
    <m/>
    <x v="430"/>
    <x v="9"/>
    <s v="FL"/>
    <n v="2"/>
    <n v="0.31200000000000006"/>
    <m/>
    <n v="48"/>
    <m/>
    <m/>
    <m/>
    <n v="48"/>
    <n v="153.84615384615381"/>
  </r>
  <r>
    <m/>
    <x v="430"/>
    <x v="14"/>
    <s v="FL"/>
    <n v="8"/>
    <n v="1.2480000000000002"/>
    <m/>
    <n v="45.28"/>
    <m/>
    <m/>
    <m/>
    <n v="45.28"/>
    <m/>
  </r>
  <r>
    <n v="6513466"/>
    <x v="431"/>
    <x v="11"/>
    <s v="OT"/>
    <n v="40"/>
    <n v="2.37"/>
    <n v="61.620000000000005"/>
    <n v="115"/>
    <n v="0"/>
    <n v="2.37"/>
    <n v="115"/>
    <n v="178.99"/>
    <n v="75.523206751054857"/>
  </r>
  <r>
    <n v="6513466"/>
    <x v="432"/>
    <x v="2"/>
    <s v="OT"/>
    <n v="40"/>
    <n v="3.88"/>
    <n v="100.88"/>
    <n v="115"/>
    <n v="0"/>
    <n v="3.88"/>
    <n v="115"/>
    <n v="219.76"/>
    <n v="56.639175257731956"/>
  </r>
  <r>
    <n v="6513466"/>
    <x v="433"/>
    <x v="2"/>
    <s v="OT"/>
    <n v="40"/>
    <n v="4.2300000000000004"/>
    <n v="109.98000000000002"/>
    <n v="115"/>
    <n v="0"/>
    <n v="4.2300000000000004"/>
    <n v="115"/>
    <n v="229.21"/>
    <n v="54.186761229314421"/>
  </r>
  <r>
    <m/>
    <x v="434"/>
    <x v="5"/>
    <s v="FL"/>
    <n v="6"/>
    <n v="0.93599999999999994"/>
    <m/>
    <n v="70.680000000000007"/>
    <m/>
    <m/>
    <m/>
    <n v="70.680000000000007"/>
    <n v="75.512820512820525"/>
  </r>
  <r>
    <m/>
    <x v="434"/>
    <x v="6"/>
    <s v="FL"/>
    <n v="6"/>
    <n v="1.8719999999999999"/>
    <m/>
    <n v="94.32"/>
    <m/>
    <m/>
    <m/>
    <n v="94.32"/>
    <n v="50.384615384615387"/>
  </r>
  <r>
    <m/>
    <x v="434"/>
    <x v="7"/>
    <s v="FL"/>
    <n v="8"/>
    <n v="2.4960000000000004"/>
    <m/>
    <n v="129"/>
    <m/>
    <m/>
    <m/>
    <n v="129"/>
    <n v="51.682692307692299"/>
  </r>
  <r>
    <m/>
    <x v="434"/>
    <x v="9"/>
    <s v="FL"/>
    <n v="2"/>
    <n v="0.31200000000000006"/>
    <m/>
    <n v="48"/>
    <m/>
    <m/>
    <m/>
    <n v="48"/>
    <n v="153.84615384615381"/>
  </r>
  <r>
    <m/>
    <x v="434"/>
    <x v="14"/>
    <s v="FL"/>
    <n v="8"/>
    <n v="1.2480000000000002"/>
    <m/>
    <n v="45.28"/>
    <m/>
    <m/>
    <m/>
    <n v="45.28"/>
    <m/>
  </r>
  <r>
    <n v="6533710"/>
    <x v="435"/>
    <x v="1"/>
    <s v="SC"/>
    <n v="32"/>
    <n v="11.55"/>
    <n v="300.3"/>
    <n v="115"/>
    <n v="0"/>
    <n v="11.55"/>
    <n v="115"/>
    <n v="426.85"/>
    <n v="36.956709956709958"/>
  </r>
  <r>
    <n v="6533710"/>
    <x v="436"/>
    <x v="2"/>
    <s v="OT"/>
    <n v="40"/>
    <n v="6.47"/>
    <n v="168.22"/>
    <n v="115"/>
    <n v="0"/>
    <n v="6.47"/>
    <n v="115"/>
    <n v="289.69000000000005"/>
    <n v="44.774343122102017"/>
  </r>
  <r>
    <n v="6533710"/>
    <x v="436"/>
    <x v="4"/>
    <s v="SC"/>
    <n v="30"/>
    <n v="7.54"/>
    <n v="196.04"/>
    <n v="115"/>
    <n v="0"/>
    <n v="7.54"/>
    <n v="115"/>
    <n v="318.58"/>
    <n v="42.251989389920425"/>
  </r>
  <r>
    <n v="6533710"/>
    <x v="437"/>
    <x v="0"/>
    <s v="OT"/>
    <n v="40"/>
    <n v="2.96"/>
    <n v="76.959999999999994"/>
    <n v="115"/>
    <n v="0"/>
    <n v="2.96"/>
    <n v="115"/>
    <n v="194.92"/>
    <n v="65.851351351351354"/>
  </r>
  <r>
    <n v="6533710"/>
    <x v="438"/>
    <x v="3"/>
    <s v="SC"/>
    <n v="35"/>
    <n v="9.98"/>
    <n v="259.48"/>
    <n v="115"/>
    <n v="0"/>
    <n v="9.98"/>
    <n v="115"/>
    <n v="384.46000000000004"/>
    <n v="38.523046092184373"/>
  </r>
  <r>
    <n v="6553138"/>
    <x v="438"/>
    <x v="0"/>
    <s v="OT"/>
    <n v="40"/>
    <n v="4.05"/>
    <n v="105.3"/>
    <n v="115"/>
    <n v="0"/>
    <n v="4.05"/>
    <n v="115"/>
    <n v="224.35000000000002"/>
    <n v="55.395061728395071"/>
  </r>
  <r>
    <n v="6533710"/>
    <x v="439"/>
    <x v="0"/>
    <s v="OT"/>
    <n v="40"/>
    <n v="1.3"/>
    <n v="33.800000000000004"/>
    <n v="115"/>
    <n v="0"/>
    <n v="1.3"/>
    <n v="115"/>
    <n v="150.10000000000002"/>
    <n v="115.46153846153848"/>
  </r>
  <r>
    <m/>
    <x v="440"/>
    <x v="5"/>
    <s v="FL"/>
    <n v="6"/>
    <n v="0.93599999999999994"/>
    <m/>
    <n v="70.680000000000007"/>
    <m/>
    <m/>
    <m/>
    <n v="70.680000000000007"/>
    <n v="75.512820512820525"/>
  </r>
  <r>
    <m/>
    <x v="440"/>
    <x v="6"/>
    <s v="FL"/>
    <n v="6"/>
    <n v="1.8719999999999999"/>
    <m/>
    <n v="94.32"/>
    <m/>
    <m/>
    <m/>
    <n v="94.32"/>
    <n v="50.384615384615387"/>
  </r>
  <r>
    <m/>
    <x v="440"/>
    <x v="7"/>
    <s v="FL"/>
    <n v="8"/>
    <n v="2.4960000000000004"/>
    <m/>
    <n v="129"/>
    <m/>
    <m/>
    <m/>
    <n v="129"/>
    <n v="51.682692307692299"/>
  </r>
  <r>
    <m/>
    <x v="440"/>
    <x v="9"/>
    <s v="FL"/>
    <n v="2"/>
    <n v="0.31200000000000006"/>
    <m/>
    <n v="48"/>
    <m/>
    <m/>
    <m/>
    <n v="48"/>
    <n v="153.84615384615381"/>
  </r>
  <r>
    <m/>
    <x v="440"/>
    <x v="14"/>
    <s v="FL"/>
    <n v="8"/>
    <n v="1.2480000000000002"/>
    <m/>
    <n v="45.28"/>
    <m/>
    <m/>
    <m/>
    <n v="45.28"/>
    <m/>
  </r>
  <r>
    <n v="6553138"/>
    <x v="441"/>
    <x v="0"/>
    <s v="OT"/>
    <n v="40"/>
    <n v="8.0500000000000007"/>
    <n v="209.3"/>
    <n v="115"/>
    <n v="0"/>
    <n v="8.0500000000000007"/>
    <n v="115"/>
    <n v="332.35"/>
    <n v="41.285714285714285"/>
  </r>
  <r>
    <n v="6553138"/>
    <x v="442"/>
    <x v="3"/>
    <s v="OT"/>
    <n v="20"/>
    <n v="7.54"/>
    <n v="196.04"/>
    <n v="115"/>
    <n v="0"/>
    <n v="7.54"/>
    <n v="115"/>
    <n v="318.58"/>
    <n v="42.251989389920425"/>
  </r>
  <r>
    <n v="6553138"/>
    <x v="443"/>
    <x v="3"/>
    <s v="OT"/>
    <n v="20"/>
    <n v="5.46"/>
    <n v="141.96"/>
    <n v="115"/>
    <n v="0"/>
    <n v="5.46"/>
    <n v="115"/>
    <n v="262.42"/>
    <n v="48.062271062271066"/>
  </r>
  <r>
    <n v="6553138"/>
    <x v="443"/>
    <x v="3"/>
    <s v="OT"/>
    <n v="20"/>
    <n v="2.95"/>
    <n v="76.7"/>
    <n v="115"/>
    <n v="0"/>
    <n v="2.95"/>
    <n v="115"/>
    <n v="194.64999999999998"/>
    <n v="65.983050847457619"/>
  </r>
  <r>
    <n v="6553138"/>
    <x v="443"/>
    <x v="0"/>
    <s v="OT"/>
    <n v="40"/>
    <n v="4.1900000000000004"/>
    <n v="108.94000000000001"/>
    <n v="115"/>
    <n v="0"/>
    <n v="4.1900000000000004"/>
    <n v="115"/>
    <n v="228.13"/>
    <n v="54.446300715990446"/>
  </r>
  <r>
    <n v="6553138"/>
    <x v="444"/>
    <x v="1"/>
    <s v="SC"/>
    <n v="32"/>
    <n v="10.36"/>
    <n v="269.36"/>
    <n v="115"/>
    <n v="0"/>
    <n v="10.36"/>
    <n v="115"/>
    <n v="394.72"/>
    <n v="38.100386100386103"/>
  </r>
  <r>
    <n v="6553138"/>
    <x v="445"/>
    <x v="18"/>
    <s v="SC"/>
    <n v="30"/>
    <n v="1.96"/>
    <n v="50.96"/>
    <n v="115"/>
    <n v="0"/>
    <n v="1.96"/>
    <n v="115"/>
    <n v="167.92000000000002"/>
    <n v="85.673469387755105"/>
  </r>
  <r>
    <n v="6553138"/>
    <x v="446"/>
    <x v="4"/>
    <s v="SC"/>
    <n v="30"/>
    <n v="1.33"/>
    <n v="34.58"/>
    <n v="115"/>
    <n v="0"/>
    <n v="1.33"/>
    <n v="115"/>
    <n v="150.91"/>
    <n v="113.46616541353383"/>
  </r>
  <r>
    <n v="6553138"/>
    <x v="446"/>
    <x v="4"/>
    <s v="SC"/>
    <n v="30"/>
    <n v="8.2200000000000006"/>
    <n v="213.72000000000003"/>
    <n v="115"/>
    <n v="0"/>
    <n v="8.2200000000000006"/>
    <n v="115"/>
    <n v="336.94000000000005"/>
    <n v="40.990267639902683"/>
  </r>
  <r>
    <m/>
    <x v="447"/>
    <x v="5"/>
    <s v="FL"/>
    <n v="6"/>
    <n v="0.93599999999999994"/>
    <m/>
    <n v="70.680000000000007"/>
    <m/>
    <m/>
    <m/>
    <n v="70.680000000000007"/>
    <n v="75.512820512820525"/>
  </r>
  <r>
    <m/>
    <x v="447"/>
    <x v="6"/>
    <s v="FL"/>
    <n v="6"/>
    <n v="1.8719999999999999"/>
    <m/>
    <n v="94.32"/>
    <m/>
    <m/>
    <m/>
    <n v="94.32"/>
    <n v="50.384615384615387"/>
  </r>
  <r>
    <m/>
    <x v="447"/>
    <x v="7"/>
    <s v="FL"/>
    <n v="8"/>
    <n v="2.4960000000000004"/>
    <m/>
    <n v="129"/>
    <m/>
    <m/>
    <m/>
    <n v="129"/>
    <n v="51.682692307692299"/>
  </r>
  <r>
    <m/>
    <x v="447"/>
    <x v="9"/>
    <s v="FL"/>
    <n v="2"/>
    <n v="0.31200000000000006"/>
    <m/>
    <n v="48"/>
    <m/>
    <m/>
    <m/>
    <n v="48"/>
    <n v="153.84615384615381"/>
  </r>
  <r>
    <m/>
    <x v="447"/>
    <x v="14"/>
    <s v="FL"/>
    <n v="8"/>
    <n v="1.2480000000000002"/>
    <m/>
    <n v="45.28"/>
    <m/>
    <m/>
    <m/>
    <n v="45.28"/>
    <m/>
  </r>
  <r>
    <n v="6571726"/>
    <x v="448"/>
    <x v="2"/>
    <s v="OT"/>
    <n v="40"/>
    <n v="4.07"/>
    <n v="105.82000000000001"/>
    <n v="115"/>
    <n v="0"/>
    <n v="4.07"/>
    <n v="115"/>
    <n v="224.89"/>
    <n v="55.255528255528247"/>
  </r>
  <r>
    <n v="6571726"/>
    <x v="449"/>
    <x v="18"/>
    <s v="SC"/>
    <n v="30"/>
    <n v="1.51"/>
    <n v="39.26"/>
    <n v="115"/>
    <n v="0"/>
    <n v="1.51"/>
    <n v="115"/>
    <n v="155.76999999999998"/>
    <n v="103.15894039735097"/>
  </r>
  <r>
    <n v="6571726"/>
    <x v="450"/>
    <x v="3"/>
    <s v="SC"/>
    <n v="35"/>
    <n v="9.66"/>
    <n v="251.16"/>
    <n v="115"/>
    <n v="0"/>
    <n v="9.66"/>
    <n v="115"/>
    <n v="375.82"/>
    <n v="38.904761904761905"/>
  </r>
  <r>
    <n v="6571726"/>
    <x v="451"/>
    <x v="0"/>
    <s v="OT"/>
    <n v="40"/>
    <n v="2.98"/>
    <n v="77.48"/>
    <n v="115"/>
    <n v="0"/>
    <n v="2.98"/>
    <n v="115"/>
    <n v="195.46"/>
    <n v="65.590604026845639"/>
  </r>
  <r>
    <n v="6571726"/>
    <x v="452"/>
    <x v="2"/>
    <s v="OT"/>
    <n v="40"/>
    <n v="3.74"/>
    <n v="97.240000000000009"/>
    <n v="115"/>
    <n v="0"/>
    <n v="3.74"/>
    <n v="115"/>
    <n v="215.98000000000002"/>
    <n v="57.748663101604279"/>
  </r>
  <r>
    <n v="6571726"/>
    <x v="453"/>
    <x v="4"/>
    <s v="SC"/>
    <n v="30"/>
    <n v="7.6"/>
    <n v="197.6"/>
    <n v="115"/>
    <n v="0"/>
    <n v="7.6"/>
    <n v="115"/>
    <n v="320.20000000000005"/>
    <n v="42.131578947368432"/>
  </r>
  <r>
    <n v="6571726"/>
    <x v="454"/>
    <x v="1"/>
    <s v="SC"/>
    <n v="32"/>
    <n v="10.66"/>
    <n v="277.16000000000003"/>
    <n v="115"/>
    <n v="0"/>
    <n v="10.66"/>
    <n v="115"/>
    <n v="402.82000000000005"/>
    <n v="37.787992495309574"/>
  </r>
  <r>
    <n v="6595313"/>
    <x v="455"/>
    <x v="0"/>
    <s v="OT"/>
    <n v="40"/>
    <n v="4.91"/>
    <n v="127.66"/>
    <n v="115"/>
    <n v="0"/>
    <n v="4.91"/>
    <n v="115"/>
    <n v="247.57"/>
    <n v="50.42158859470468"/>
  </r>
  <r>
    <m/>
    <x v="456"/>
    <x v="5"/>
    <s v="FL"/>
    <n v="6"/>
    <n v="0.93599999999999994"/>
    <m/>
    <n v="70.680000000000007"/>
    <m/>
    <m/>
    <m/>
    <n v="70.680000000000007"/>
    <n v="75.512820512820525"/>
  </r>
  <r>
    <m/>
    <x v="456"/>
    <x v="6"/>
    <s v="FL"/>
    <n v="6"/>
    <n v="1.8719999999999999"/>
    <m/>
    <n v="94.32"/>
    <m/>
    <m/>
    <m/>
    <n v="94.32"/>
    <n v="50.384615384615387"/>
  </r>
  <r>
    <m/>
    <x v="456"/>
    <x v="7"/>
    <s v="FL"/>
    <n v="8"/>
    <n v="2.4960000000000004"/>
    <m/>
    <n v="129"/>
    <m/>
    <m/>
    <m/>
    <n v="129"/>
    <n v="51.682692307692299"/>
  </r>
  <r>
    <m/>
    <x v="456"/>
    <x v="9"/>
    <s v="FL"/>
    <n v="2"/>
    <n v="0.31200000000000006"/>
    <m/>
    <n v="48"/>
    <m/>
    <m/>
    <m/>
    <n v="48"/>
    <n v="153.846153846153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2">
  <r>
    <x v="0"/>
    <s v="CSB  paper trailer"/>
    <s v="Paper"/>
    <x v="0"/>
    <s v="Batliner"/>
    <m/>
    <n v="3240"/>
    <n v="1.62"/>
    <m/>
    <m/>
    <m/>
    <n v="205.44"/>
    <m/>
    <m/>
    <m/>
  </r>
  <r>
    <x v="0"/>
    <s v="Warehouse"/>
    <s v="Cardboard"/>
    <x v="1"/>
    <s v="Batliner"/>
    <m/>
    <n v="4840"/>
    <n v="2.42"/>
    <m/>
    <m/>
    <m/>
    <m/>
    <m/>
    <m/>
    <m/>
  </r>
  <r>
    <x v="0"/>
    <s v="CSB  paper trailer"/>
    <s v="Plastic"/>
    <x v="2"/>
    <s v="Batliner"/>
    <m/>
    <n v="420"/>
    <n v="0.21"/>
    <m/>
    <m/>
    <m/>
    <m/>
    <m/>
    <m/>
    <m/>
  </r>
  <r>
    <x v="1"/>
    <s v="CSB  paper trailer"/>
    <s v="Paper"/>
    <x v="0"/>
    <s v="Batliner"/>
    <m/>
    <n v="10090"/>
    <n v="5.0449999999999999"/>
    <m/>
    <m/>
    <m/>
    <n v="761.54"/>
    <m/>
    <m/>
    <m/>
  </r>
  <r>
    <x v="1"/>
    <s v="CSB  paper trailer"/>
    <s v="Paper"/>
    <x v="3"/>
    <s v="Batliner"/>
    <m/>
    <n v="11220"/>
    <n v="5.61"/>
    <m/>
    <m/>
    <m/>
    <m/>
    <m/>
    <m/>
    <m/>
  </r>
  <r>
    <x v="1"/>
    <s v="Warehouse"/>
    <s v="Cardboard"/>
    <x v="1"/>
    <s v="Batliner"/>
    <m/>
    <n v="3340"/>
    <n v="1.67"/>
    <m/>
    <m/>
    <m/>
    <m/>
    <m/>
    <m/>
    <m/>
  </r>
  <r>
    <x v="1"/>
    <s v="CSB  paper trailer"/>
    <s v="Plastic"/>
    <x v="2"/>
    <s v="Batliner"/>
    <m/>
    <n v="620"/>
    <n v="0.31"/>
    <m/>
    <m/>
    <m/>
    <m/>
    <m/>
    <m/>
    <m/>
  </r>
  <r>
    <x v="2"/>
    <s v="CSB  paper trailer"/>
    <s v="Paper"/>
    <x v="4"/>
    <s v="Batliner"/>
    <m/>
    <n v="750"/>
    <n v="0.375"/>
    <m/>
    <m/>
    <m/>
    <m/>
    <m/>
    <m/>
    <m/>
  </r>
  <r>
    <x v="2"/>
    <s v="CSB  paper trailer"/>
    <s v="Paper"/>
    <x v="5"/>
    <s v="Batliner"/>
    <m/>
    <n v="1260"/>
    <n v="0.63"/>
    <m/>
    <m/>
    <m/>
    <m/>
    <m/>
    <m/>
    <m/>
  </r>
  <r>
    <x v="2"/>
    <s v="CSB  paper trailer"/>
    <s v="Paper"/>
    <x v="0"/>
    <s v="Batliner"/>
    <m/>
    <n v="8000"/>
    <n v="4"/>
    <m/>
    <m/>
    <m/>
    <n v="941.95"/>
    <m/>
    <m/>
    <m/>
  </r>
  <r>
    <x v="2"/>
    <s v="CSB  paper trailer"/>
    <s v="Paper"/>
    <x v="3"/>
    <s v="Batliner"/>
    <m/>
    <n v="20660"/>
    <n v="10.33"/>
    <m/>
    <m/>
    <m/>
    <m/>
    <m/>
    <m/>
    <m/>
  </r>
  <r>
    <x v="2"/>
    <s v="CSB  paper trailer"/>
    <s v="Paper"/>
    <x v="6"/>
    <s v="Batliner"/>
    <m/>
    <n v="800"/>
    <n v="0.4"/>
    <m/>
    <m/>
    <m/>
    <m/>
    <m/>
    <m/>
    <m/>
  </r>
  <r>
    <x v="2"/>
    <s v="Warehouse"/>
    <s v="Cardboard"/>
    <x v="1"/>
    <s v="Batliner"/>
    <m/>
    <n v="6150"/>
    <n v="3.0750000000000002"/>
    <m/>
    <m/>
    <m/>
    <m/>
    <m/>
    <m/>
    <m/>
  </r>
  <r>
    <x v="2"/>
    <s v="CSB  paper trailer"/>
    <s v="Plastic"/>
    <x v="2"/>
    <s v="Batliner"/>
    <m/>
    <n v="1720"/>
    <n v="0.86"/>
    <m/>
    <m/>
    <m/>
    <m/>
    <m/>
    <m/>
    <m/>
  </r>
  <r>
    <x v="3"/>
    <s v="CSB  paper trailer"/>
    <s v="Paper"/>
    <x v="0"/>
    <s v="Batliner"/>
    <m/>
    <n v="2880"/>
    <n v="1.44"/>
    <m/>
    <m/>
    <m/>
    <n v="244.85"/>
    <m/>
    <m/>
    <m/>
  </r>
  <r>
    <x v="3"/>
    <s v="Warehouse"/>
    <s v="Cardboard"/>
    <x v="1"/>
    <s v="Batliner"/>
    <m/>
    <n v="6260"/>
    <n v="3.13"/>
    <m/>
    <m/>
    <m/>
    <m/>
    <m/>
    <m/>
    <m/>
  </r>
  <r>
    <x v="3"/>
    <s v="CSB  paper trailer"/>
    <s v="Plastic"/>
    <x v="2"/>
    <s v="Batliner"/>
    <m/>
    <n v="960"/>
    <n v="0.48"/>
    <m/>
    <m/>
    <m/>
    <m/>
    <m/>
    <m/>
    <m/>
  </r>
  <r>
    <x v="4"/>
    <s v="CSB  paper trailer"/>
    <s v="Paper"/>
    <x v="0"/>
    <s v="Batliner"/>
    <m/>
    <n v="7420"/>
    <n v="3.71"/>
    <m/>
    <m/>
    <m/>
    <n v="413.97"/>
    <m/>
    <m/>
    <m/>
  </r>
  <r>
    <x v="4"/>
    <s v="CSB  paper trailer"/>
    <s v="Paper"/>
    <x v="7"/>
    <s v="Batliner"/>
    <m/>
    <n v="12410"/>
    <n v="6.2050000000000001"/>
    <m/>
    <m/>
    <m/>
    <m/>
    <m/>
    <m/>
    <m/>
  </r>
  <r>
    <x v="4"/>
    <s v="Warehouse"/>
    <s v="Cardboard"/>
    <x v="1"/>
    <s v="Batliner"/>
    <m/>
    <n v="2440"/>
    <n v="1.22"/>
    <m/>
    <m/>
    <m/>
    <m/>
    <m/>
    <m/>
    <m/>
  </r>
  <r>
    <x v="4"/>
    <s v="CSB  paper trailer"/>
    <s v="Plastic"/>
    <x v="2"/>
    <s v="Batliner"/>
    <m/>
    <n v="580"/>
    <n v="0.28999999999999998"/>
    <m/>
    <m/>
    <m/>
    <m/>
    <m/>
    <m/>
    <m/>
  </r>
  <r>
    <x v="4"/>
    <s v="CSB  paper trailer"/>
    <s v="Paper"/>
    <x v="3"/>
    <s v="Batliner"/>
    <m/>
    <n v="780"/>
    <n v="0.39"/>
    <m/>
    <m/>
    <m/>
    <m/>
    <m/>
    <m/>
    <m/>
  </r>
  <r>
    <x v="5"/>
    <s v="CSB  paper trailer"/>
    <s v="Paper"/>
    <x v="0"/>
    <s v="Batliner"/>
    <m/>
    <n v="14760"/>
    <n v="7.38"/>
    <m/>
    <m/>
    <m/>
    <n v="728.77"/>
    <m/>
    <m/>
    <m/>
  </r>
  <r>
    <x v="5"/>
    <s v="CSB  paper trailer"/>
    <s v="Paper"/>
    <x v="3"/>
    <s v="Batliner"/>
    <m/>
    <n v="7970"/>
    <n v="3.9849999999999999"/>
    <m/>
    <m/>
    <m/>
    <m/>
    <m/>
    <m/>
    <m/>
  </r>
  <r>
    <x v="5"/>
    <s v="Warehouse"/>
    <s v="Cardboard"/>
    <x v="1"/>
    <s v="Batliner"/>
    <m/>
    <n v="4680"/>
    <n v="2.34"/>
    <m/>
    <m/>
    <m/>
    <m/>
    <m/>
    <m/>
    <m/>
  </r>
  <r>
    <x v="5"/>
    <s v="CSB  paper trailer"/>
    <s v="Plastic"/>
    <x v="2"/>
    <s v="Batliner"/>
    <m/>
    <n v="500"/>
    <n v="0.25"/>
    <m/>
    <m/>
    <m/>
    <m/>
    <m/>
    <m/>
    <m/>
  </r>
  <r>
    <x v="6"/>
    <s v="CSB  paper trailer"/>
    <s v="Paper"/>
    <x v="0"/>
    <s v="Batliner"/>
    <m/>
    <n v="2000"/>
    <n v="1"/>
    <m/>
    <m/>
    <m/>
    <n v="306.51"/>
    <m/>
    <m/>
    <m/>
  </r>
  <r>
    <x v="6"/>
    <s v="CSB  paper trailer"/>
    <s v="Paper"/>
    <x v="3"/>
    <s v="Batliner"/>
    <m/>
    <n v="9840"/>
    <n v="4.92"/>
    <m/>
    <m/>
    <m/>
    <m/>
    <m/>
    <m/>
    <m/>
  </r>
  <r>
    <x v="6"/>
    <s v="Warehouse"/>
    <s v="Cardboard"/>
    <x v="1"/>
    <s v="Batliner"/>
    <m/>
    <n v="4540"/>
    <n v="2.27"/>
    <m/>
    <m/>
    <m/>
    <m/>
    <m/>
    <m/>
    <m/>
  </r>
  <r>
    <x v="6"/>
    <s v="CSB  paper trailer"/>
    <s v="Plastic"/>
    <x v="2"/>
    <s v="Batliner"/>
    <m/>
    <n v="580"/>
    <n v="0.28999999999999998"/>
    <m/>
    <m/>
    <m/>
    <m/>
    <m/>
    <m/>
    <m/>
  </r>
  <r>
    <x v="7"/>
    <s v="Warehouse"/>
    <s v="Paper"/>
    <x v="0"/>
    <s v="Batliner"/>
    <m/>
    <n v="4440"/>
    <n v="2.2200000000000002"/>
    <m/>
    <m/>
    <m/>
    <n v="319.48"/>
    <m/>
    <m/>
    <m/>
  </r>
  <r>
    <x v="7"/>
    <s v="Warehouse"/>
    <s v="Cardboard"/>
    <x v="1"/>
    <s v="Batliner"/>
    <m/>
    <n v="7880"/>
    <n v="3.94"/>
    <m/>
    <m/>
    <m/>
    <m/>
    <m/>
    <m/>
    <m/>
  </r>
  <r>
    <x v="7"/>
    <s v="CSB  paper trailer"/>
    <s v="Plastic"/>
    <x v="2"/>
    <s v="Batliner"/>
    <m/>
    <n v="1380"/>
    <n v="0.69"/>
    <m/>
    <m/>
    <m/>
    <m/>
    <m/>
    <m/>
    <m/>
  </r>
  <r>
    <x v="8"/>
    <s v="CSB  paper trailer"/>
    <s v="Paper"/>
    <x v="4"/>
    <s v="Batliner"/>
    <m/>
    <n v="840"/>
    <n v="0.42"/>
    <m/>
    <m/>
    <m/>
    <n v="0"/>
    <m/>
    <m/>
    <m/>
  </r>
  <r>
    <x v="8"/>
    <s v="Warehouse"/>
    <s v="Paper"/>
    <x v="0"/>
    <s v="Batliner"/>
    <m/>
    <n v="16060"/>
    <n v="8.0299999999999994"/>
    <m/>
    <m/>
    <m/>
    <n v="706.64"/>
    <m/>
    <m/>
    <m/>
  </r>
  <r>
    <x v="8"/>
    <s v="CSB  paper trailer"/>
    <s v="Paper"/>
    <x v="3"/>
    <s v="Batliner"/>
    <m/>
    <n v="7400"/>
    <n v="3.7"/>
    <m/>
    <m/>
    <m/>
    <n v="55.5"/>
    <m/>
    <m/>
    <m/>
  </r>
  <r>
    <x v="8"/>
    <s v="Warehouse"/>
    <s v="Cardboard"/>
    <x v="1"/>
    <s v="Batliner"/>
    <m/>
    <n v="7420"/>
    <n v="3.71"/>
    <m/>
    <m/>
    <m/>
    <n v="116.87"/>
    <m/>
    <m/>
    <m/>
  </r>
  <r>
    <x v="8"/>
    <s v="CSB  paper trailer"/>
    <s v="Plastic"/>
    <x v="2"/>
    <s v="Batliner"/>
    <m/>
    <n v="1000"/>
    <n v="0.5"/>
    <m/>
    <m/>
    <m/>
    <n v="0"/>
    <m/>
    <m/>
    <m/>
  </r>
  <r>
    <x v="9"/>
    <s v="CSB  paper trailer"/>
    <s v="Paper"/>
    <x v="0"/>
    <s v="Batliner"/>
    <m/>
    <n v="8180"/>
    <n v="4.09"/>
    <m/>
    <m/>
    <m/>
    <n v="359.92"/>
    <m/>
    <m/>
    <m/>
  </r>
  <r>
    <x v="9"/>
    <s v="CSB  paper trailer"/>
    <s v="Paper"/>
    <x v="3"/>
    <s v="Batliner"/>
    <m/>
    <n v="12730"/>
    <n v="6.3650000000000002"/>
    <m/>
    <m/>
    <m/>
    <n v="318.25"/>
    <m/>
    <m/>
    <m/>
  </r>
  <r>
    <x v="9"/>
    <s v="Warehouse"/>
    <s v="Cardboard"/>
    <x v="1"/>
    <s v="Batliner"/>
    <m/>
    <n v="5480"/>
    <n v="2.74"/>
    <m/>
    <m/>
    <m/>
    <n v="102.75"/>
    <m/>
    <m/>
    <m/>
  </r>
  <r>
    <x v="9"/>
    <s v="CSB  paper trailer"/>
    <s v="Plastic"/>
    <x v="2"/>
    <s v="Batliner"/>
    <m/>
    <n v="1440"/>
    <n v="0.72"/>
    <m/>
    <m/>
    <m/>
    <n v="0"/>
    <m/>
    <m/>
    <m/>
  </r>
  <r>
    <x v="10"/>
    <s v="CSB  paper trailer"/>
    <s v="Paper"/>
    <x v="0"/>
    <s v="Batliner"/>
    <m/>
    <n v="1280"/>
    <n v="0.64"/>
    <m/>
    <m/>
    <m/>
    <n v="53.76"/>
    <m/>
    <m/>
    <m/>
  </r>
  <r>
    <x v="10"/>
    <s v="CSB  paper trailer"/>
    <s v="Paper"/>
    <x v="3"/>
    <s v="Batliner"/>
    <m/>
    <n v="8820"/>
    <n v="4.41"/>
    <m/>
    <m/>
    <m/>
    <n v="176.4"/>
    <m/>
    <m/>
    <m/>
  </r>
  <r>
    <x v="10"/>
    <s v="Warehouse"/>
    <s v="Cardboard"/>
    <x v="1"/>
    <s v="Batliner"/>
    <m/>
    <n v="5500"/>
    <n v="2.75"/>
    <m/>
    <m/>
    <m/>
    <n v="111.38"/>
    <m/>
    <m/>
    <m/>
  </r>
  <r>
    <x v="10"/>
    <s v="CSB  paper trailer"/>
    <s v="Plastic"/>
    <x v="2"/>
    <s v="Batliner"/>
    <m/>
    <n v="560"/>
    <n v="0.28000000000000003"/>
    <m/>
    <m/>
    <m/>
    <n v="0"/>
    <m/>
    <m/>
    <m/>
  </r>
  <r>
    <x v="11"/>
    <s v="Warehouse"/>
    <s v="e-waste"/>
    <x v="8"/>
    <s v="Unicor"/>
    <m/>
    <n v="683"/>
    <n v="0.34150000000000003"/>
    <m/>
    <m/>
    <m/>
    <m/>
    <m/>
    <m/>
    <m/>
  </r>
  <r>
    <x v="12"/>
    <s v="CSB  paper trailer"/>
    <s v="Paper"/>
    <x v="4"/>
    <s v="Batliner"/>
    <m/>
    <n v="2540"/>
    <n v="1.27"/>
    <m/>
    <m/>
    <m/>
    <n v="0"/>
    <m/>
    <m/>
    <m/>
  </r>
  <r>
    <x v="12"/>
    <s v="CSB  paper trailer"/>
    <s v="Paper"/>
    <x v="5"/>
    <s v="Batliner"/>
    <m/>
    <n v="9540"/>
    <n v="4.7699999999999996"/>
    <m/>
    <m/>
    <m/>
    <n v="113.53"/>
    <m/>
    <m/>
    <m/>
  </r>
  <r>
    <x v="12"/>
    <s v="CSB  paper trailer"/>
    <s v="Paper"/>
    <x v="0"/>
    <s v="Batliner"/>
    <m/>
    <n v="6240"/>
    <n v="3.12"/>
    <m/>
    <m/>
    <m/>
    <n v="249.6"/>
    <m/>
    <m/>
    <m/>
  </r>
  <r>
    <x v="12"/>
    <s v="CSB  paper trailer"/>
    <s v="Paper"/>
    <x v="3"/>
    <s v="Batliner"/>
    <m/>
    <n v="7420"/>
    <n v="3.71"/>
    <m/>
    <m/>
    <m/>
    <n v="111.3"/>
    <m/>
    <m/>
    <m/>
  </r>
  <r>
    <x v="12"/>
    <s v="Warehouse"/>
    <s v="Cardboard"/>
    <x v="1"/>
    <s v="Batliner"/>
    <m/>
    <n v="4030"/>
    <n v="2.0150000000000001"/>
    <m/>
    <m/>
    <m/>
    <n v="81.61"/>
    <m/>
    <m/>
    <m/>
  </r>
  <r>
    <x v="12"/>
    <s v="CSB  paper trailer"/>
    <s v="Plastic"/>
    <x v="2"/>
    <s v="Batliner"/>
    <m/>
    <n v="760"/>
    <n v="0.38"/>
    <m/>
    <m/>
    <m/>
    <n v="0"/>
    <m/>
    <m/>
    <m/>
  </r>
  <r>
    <x v="13"/>
    <s v="Warehouse"/>
    <s v="e-waste"/>
    <x v="9"/>
    <s v="Call2recycle"/>
    <m/>
    <n v="866"/>
    <n v="0.433"/>
    <m/>
    <m/>
    <m/>
    <m/>
    <m/>
    <m/>
    <m/>
  </r>
  <r>
    <x v="13"/>
    <s v="Book  Store"/>
    <s v="books"/>
    <x v="10"/>
    <s v="One Planet books"/>
    <s v="316 boxes"/>
    <n v="12640"/>
    <n v="6.32"/>
    <m/>
    <m/>
    <m/>
    <n v="3160"/>
    <m/>
    <m/>
    <m/>
  </r>
  <r>
    <x v="14"/>
    <s v="Warehouse"/>
    <s v="Cardboard"/>
    <x v="1"/>
    <s v="Batliner"/>
    <m/>
    <n v="7800"/>
    <n v="3.9"/>
    <m/>
    <m/>
    <m/>
    <n v="157.96"/>
    <m/>
    <m/>
    <m/>
  </r>
  <r>
    <x v="14"/>
    <s v="CSB  paper trailer"/>
    <s v="Plastic"/>
    <x v="2"/>
    <s v="Batliner"/>
    <m/>
    <n v="460"/>
    <n v="0.23"/>
    <m/>
    <m/>
    <m/>
    <n v="0"/>
    <m/>
    <m/>
    <m/>
  </r>
  <r>
    <x v="15"/>
    <s v="CSB  paper trailer"/>
    <s v="Paper"/>
    <x v="0"/>
    <s v="Batliner"/>
    <m/>
    <n v="11240"/>
    <n v="5.62"/>
    <m/>
    <m/>
    <m/>
    <n v="472.08"/>
    <m/>
    <m/>
    <m/>
  </r>
  <r>
    <x v="15"/>
    <s v="CSB  paper trailer"/>
    <s v="Paper"/>
    <x v="3"/>
    <s v="Batliner"/>
    <m/>
    <n v="13110"/>
    <n v="6.5549999999999997"/>
    <m/>
    <m/>
    <m/>
    <n v="229.43"/>
    <m/>
    <m/>
    <m/>
  </r>
  <r>
    <x v="15"/>
    <s v="Warehouse"/>
    <s v="Cardboard"/>
    <x v="1"/>
    <s v="Batliner"/>
    <m/>
    <n v="3870"/>
    <n v="1.9350000000000001"/>
    <m/>
    <m/>
    <m/>
    <n v="78.37"/>
    <m/>
    <m/>
    <m/>
  </r>
  <r>
    <x v="15"/>
    <s v="CSB  paper trailer"/>
    <s v="Plastic"/>
    <x v="2"/>
    <s v="Batliner"/>
    <m/>
    <n v="1370"/>
    <n v="0.68500000000000005"/>
    <m/>
    <m/>
    <m/>
    <n v="0"/>
    <m/>
    <m/>
    <m/>
  </r>
  <r>
    <x v="16"/>
    <s v="CSB  paper trailer"/>
    <s v="Paper"/>
    <x v="0"/>
    <s v="Batliner"/>
    <m/>
    <n v="8150"/>
    <n v="4.0750000000000002"/>
    <m/>
    <m/>
    <m/>
    <n v="342.3"/>
    <m/>
    <m/>
    <m/>
  </r>
  <r>
    <x v="16"/>
    <s v="CSB  paper trailer"/>
    <s v="Paper"/>
    <x v="3"/>
    <s v="Batliner"/>
    <m/>
    <n v="5510"/>
    <n v="2.7549999999999999"/>
    <m/>
    <m/>
    <m/>
    <n v="96.43"/>
    <m/>
    <m/>
    <m/>
  </r>
  <r>
    <x v="16"/>
    <s v="Warehouse"/>
    <s v="Cardboard"/>
    <x v="1"/>
    <s v="Batliner"/>
    <m/>
    <n v="8420"/>
    <n v="4.21"/>
    <m/>
    <m/>
    <m/>
    <n v="170.52"/>
    <m/>
    <m/>
    <m/>
  </r>
  <r>
    <x v="16"/>
    <s v="CSB  paper trailer"/>
    <s v="Plastic"/>
    <x v="2"/>
    <s v="Batliner"/>
    <m/>
    <n v="1600"/>
    <n v="0.8"/>
    <m/>
    <m/>
    <m/>
    <n v="0"/>
    <m/>
    <m/>
    <m/>
  </r>
  <r>
    <x v="17"/>
    <s v="CSB  paper trailer"/>
    <s v="Paper"/>
    <x v="0"/>
    <s v="Batliner"/>
    <m/>
    <n v="5090"/>
    <n v="2.5449999999999999"/>
    <m/>
    <m/>
    <m/>
    <n v="244.32"/>
    <m/>
    <m/>
    <m/>
  </r>
  <r>
    <x v="17"/>
    <s v="CSB  paper trailer"/>
    <s v="Paper"/>
    <x v="3"/>
    <s v="Batliner"/>
    <m/>
    <n v="6070"/>
    <n v="3.0350000000000001"/>
    <m/>
    <m/>
    <m/>
    <n v="209.18"/>
    <m/>
    <m/>
    <m/>
  </r>
  <r>
    <x v="17"/>
    <s v="Warehouse"/>
    <s v="Cardboard"/>
    <x v="1"/>
    <s v="Batliner"/>
    <m/>
    <n v="7240"/>
    <n v="3.62"/>
    <m/>
    <m/>
    <m/>
    <n v="146.62"/>
    <m/>
    <m/>
    <m/>
  </r>
  <r>
    <x v="17"/>
    <s v="CSB  paper trailer"/>
    <s v="Plastic"/>
    <x v="2"/>
    <s v="Batliner"/>
    <m/>
    <n v="2250"/>
    <n v="1.125"/>
    <m/>
    <m/>
    <m/>
    <n v="0"/>
    <m/>
    <m/>
    <m/>
  </r>
  <r>
    <x v="18"/>
    <s v="CSB  paper trailer"/>
    <s v="Paper"/>
    <x v="5"/>
    <s v="Batliner"/>
    <m/>
    <n v="850"/>
    <n v="0.42499999999999999"/>
    <m/>
    <m/>
    <m/>
    <n v="17.260000000000002"/>
    <m/>
    <m/>
    <m/>
  </r>
  <r>
    <x v="18"/>
    <s v="CSB  paper trailer"/>
    <s v="Paper"/>
    <x v="0"/>
    <s v="Batliner"/>
    <m/>
    <n v="3500"/>
    <n v="1.75"/>
    <m/>
    <m/>
    <m/>
    <n v="182"/>
    <m/>
    <m/>
    <m/>
  </r>
  <r>
    <x v="18"/>
    <s v="CSB  paper trailer"/>
    <s v="Paper"/>
    <x v="3"/>
    <s v="Batliner"/>
    <m/>
    <n v="1530"/>
    <n v="0.76500000000000001"/>
    <m/>
    <m/>
    <m/>
    <n v="42.08"/>
    <m/>
    <m/>
    <m/>
  </r>
  <r>
    <x v="18"/>
    <s v="Warehouse"/>
    <s v="Cardboard"/>
    <x v="1"/>
    <s v="Batliner"/>
    <m/>
    <n v="5020"/>
    <n v="2.5099999999999998"/>
    <m/>
    <m/>
    <m/>
    <n v="105.42"/>
    <m/>
    <m/>
    <m/>
  </r>
  <r>
    <x v="18"/>
    <s v="CSB  paper trailer"/>
    <s v="Plastic"/>
    <x v="2"/>
    <s v="Batliner"/>
    <m/>
    <n v="720"/>
    <n v="0.36"/>
    <m/>
    <m/>
    <m/>
    <n v="25.6"/>
    <m/>
    <m/>
    <m/>
  </r>
  <r>
    <x v="18"/>
    <s v="CSB  paper trailer"/>
    <s v="Paper"/>
    <x v="3"/>
    <s v="Batliner"/>
    <m/>
    <n v="1320"/>
    <n v="0.66"/>
    <m/>
    <m/>
    <m/>
    <m/>
    <m/>
    <m/>
    <m/>
  </r>
  <r>
    <x v="19"/>
    <s v="CSB  paper trailer"/>
    <s v="Paper"/>
    <x v="5"/>
    <s v="Batliner"/>
    <m/>
    <n v="3690"/>
    <n v="1.845"/>
    <m/>
    <m/>
    <m/>
    <n v="71.959999999999994"/>
    <m/>
    <m/>
    <m/>
  </r>
  <r>
    <x v="19"/>
    <s v="CSB  paper trailer"/>
    <s v="Paper"/>
    <x v="0"/>
    <s v="Batliner"/>
    <m/>
    <n v="21720"/>
    <n v="10.86"/>
    <m/>
    <m/>
    <m/>
    <n v="1129.44"/>
    <m/>
    <m/>
    <m/>
  </r>
  <r>
    <x v="19"/>
    <s v="Warehouse"/>
    <s v="Cardboard"/>
    <x v="1"/>
    <s v="Batliner"/>
    <m/>
    <n v="4410"/>
    <n v="2.2050000000000001"/>
    <m/>
    <m/>
    <m/>
    <n v="92.61"/>
    <m/>
    <m/>
    <m/>
  </r>
  <r>
    <x v="19"/>
    <s v="CSB  paper trailer"/>
    <s v="Plastic"/>
    <x v="2"/>
    <s v="Batliner"/>
    <m/>
    <n v="960"/>
    <n v="0.48"/>
    <m/>
    <m/>
    <m/>
    <n v="0"/>
    <m/>
    <m/>
    <m/>
  </r>
  <r>
    <x v="20"/>
    <s v="CC compactor"/>
    <s v="Single Stream"/>
    <x v="11"/>
    <s v="RockTenn"/>
    <m/>
    <n v="7600"/>
    <n v="3.8"/>
    <n v="57.894736842105267"/>
    <n v="220"/>
    <n v="0"/>
    <n v="220"/>
    <n v="3243308"/>
    <n v="148606"/>
    <d v="2011-07-25T00:00:00"/>
  </r>
  <r>
    <x v="21"/>
    <s v="CSB  paper trailer"/>
    <s v="Paper"/>
    <x v="0"/>
    <s v="Batliner"/>
    <m/>
    <n v="1160"/>
    <n v="0.57999999999999996"/>
    <m/>
    <m/>
    <m/>
    <n v="63.8"/>
    <m/>
    <m/>
    <m/>
  </r>
  <r>
    <x v="21"/>
    <s v="Warehouse"/>
    <s v="Cardboard"/>
    <x v="1"/>
    <s v="Batliner"/>
    <m/>
    <n v="2200"/>
    <n v="1.1000000000000001"/>
    <m/>
    <m/>
    <m/>
    <n v="51.15"/>
    <m/>
    <m/>
    <m/>
  </r>
  <r>
    <x v="21"/>
    <s v="CSB  paper trailer"/>
    <s v="Plastic"/>
    <x v="2"/>
    <s v="Batliner"/>
    <m/>
    <n v="340"/>
    <n v="0.17"/>
    <m/>
    <m/>
    <m/>
    <n v="0"/>
    <m/>
    <m/>
    <m/>
  </r>
  <r>
    <x v="21"/>
    <s v="CC compactor"/>
    <s v="Single Stream"/>
    <x v="11"/>
    <s v="RockTenn"/>
    <m/>
    <n v="7300"/>
    <n v="3.65"/>
    <n v="100"/>
    <n v="365"/>
    <n v="0"/>
    <n v="365"/>
    <n v="3242825"/>
    <n v="148611"/>
    <d v="2011-08-15T00:00:00"/>
  </r>
  <r>
    <x v="22"/>
    <s v="CC compactor"/>
    <s v="Single Stream"/>
    <x v="11"/>
    <s v="RockTenn"/>
    <m/>
    <n v="7400"/>
    <n v="3.7"/>
    <n v="100"/>
    <n v="370"/>
    <n v="0"/>
    <n v="370"/>
    <n v="3245837"/>
    <n v="158720"/>
    <d v="2012-10-31T00:00:00"/>
  </r>
  <r>
    <x v="23"/>
    <s v="CC compactor"/>
    <s v="Single Stream"/>
    <x v="11"/>
    <s v="RockTenn"/>
    <m/>
    <n v="8220"/>
    <n v="4.1100000000000003"/>
    <n v="99.999999999999986"/>
    <n v="411"/>
    <n v="0"/>
    <n v="411"/>
    <n v="3244752"/>
    <m/>
    <m/>
  </r>
  <r>
    <x v="24"/>
    <s v="CSB  paper trailer"/>
    <s v="Paper"/>
    <x v="0"/>
    <s v="Batliner"/>
    <m/>
    <n v="4390"/>
    <n v="2.1949999999999998"/>
    <m/>
    <m/>
    <m/>
    <n v="254.62"/>
    <m/>
    <m/>
    <m/>
  </r>
  <r>
    <x v="24"/>
    <s v="Warehouse"/>
    <s v="Paper"/>
    <x v="3"/>
    <s v="Batliner"/>
    <m/>
    <n v="10045"/>
    <n v="5.0225"/>
    <m/>
    <m/>
    <m/>
    <n v="326.45999999999998"/>
    <m/>
    <m/>
    <m/>
  </r>
  <r>
    <x v="24"/>
    <s v="CSB  paper trailer"/>
    <s v="Cardboard"/>
    <x v="1"/>
    <s v="Batliner"/>
    <m/>
    <n v="505"/>
    <n v="0.2525"/>
    <m/>
    <m/>
    <m/>
    <n v="12.5"/>
    <m/>
    <m/>
    <m/>
  </r>
  <r>
    <x v="24"/>
    <s v="CSB  paper trailer"/>
    <s v="Plastic"/>
    <x v="2"/>
    <s v="Batliner"/>
    <m/>
    <n v="50"/>
    <n v="2.5000000000000001E-2"/>
    <m/>
    <m/>
    <m/>
    <n v="0"/>
    <m/>
    <m/>
    <m/>
  </r>
  <r>
    <x v="24"/>
    <s v="All/Dumpsters"/>
    <s v="Single Stream"/>
    <x v="11"/>
    <s v="RockTenn/Abitibi"/>
    <m/>
    <n v="2446"/>
    <n v="1.2230000000000001"/>
    <m/>
    <m/>
    <m/>
    <m/>
    <m/>
    <m/>
    <m/>
  </r>
  <r>
    <x v="25"/>
    <s v="CSB  paper trailer"/>
    <s v="Paper"/>
    <x v="0"/>
    <s v="RockTenn"/>
    <m/>
    <n v="10150"/>
    <n v="5.0750000000000002"/>
    <n v="125.00098522167487"/>
    <n v="634.38"/>
    <n v="0"/>
    <n v="634.38"/>
    <n v="3245832"/>
    <n v="158720"/>
    <d v="2012-10-31T00:00:00"/>
  </r>
  <r>
    <x v="25"/>
    <s v="CSB  paper trailer"/>
    <s v="Cardboard"/>
    <x v="1"/>
    <s v="RockTenn"/>
    <m/>
    <n v="200"/>
    <n v="0.1"/>
    <n v="100"/>
    <n v="10"/>
    <n v="0"/>
    <n v="10"/>
    <n v="3245832"/>
    <n v="158720"/>
    <d v="2012-10-31T00:00:00"/>
  </r>
  <r>
    <x v="26"/>
    <s v="CC compactor"/>
    <s v="Single Stream"/>
    <x v="11"/>
    <s v="RockTenn"/>
    <m/>
    <n v="8040"/>
    <n v="4.0199999999999996"/>
    <n v="100.00000000000001"/>
    <n v="402"/>
    <n v="0"/>
    <n v="402"/>
    <n v="3245835"/>
    <n v="158720"/>
    <d v="2012-10-31T00:00:00"/>
  </r>
  <r>
    <x v="27"/>
    <s v="All/Dumpsters"/>
    <s v="Single Stream"/>
    <x v="11"/>
    <s v="RockTenn/Abitibi"/>
    <m/>
    <n v="2436"/>
    <n v="1.218"/>
    <m/>
    <m/>
    <m/>
    <m/>
    <m/>
    <m/>
    <m/>
  </r>
  <r>
    <x v="28"/>
    <s v="Warehouse"/>
    <s v="Glass"/>
    <x v="12"/>
    <s v="Ripple"/>
    <m/>
    <n v="8940"/>
    <n v="4.47"/>
    <m/>
    <m/>
    <m/>
    <m/>
    <m/>
    <m/>
    <m/>
  </r>
  <r>
    <x v="29"/>
    <s v="CC compactor"/>
    <s v="Single Stream"/>
    <x v="11"/>
    <s v="RockTenn"/>
    <m/>
    <n v="8920"/>
    <n v="4.46"/>
    <n v="100"/>
    <n v="446"/>
    <n v="0"/>
    <n v="446"/>
    <n v="3245834"/>
    <n v="158720"/>
    <d v="2012-10-31T00:00:00"/>
  </r>
  <r>
    <x v="30"/>
    <s v="CSB  paper trailer"/>
    <s v="Paper"/>
    <x v="0"/>
    <s v="RockTenn"/>
    <m/>
    <n v="12530"/>
    <n v="6.2649999999999997"/>
    <n v="125.00079808459698"/>
    <n v="783.13"/>
    <n v="0"/>
    <n v="783.13"/>
    <n v="3245833"/>
    <n v="158720"/>
    <d v="2012-10-31T00:00:00"/>
  </r>
  <r>
    <x v="30"/>
    <s v="CSB  paper trailer"/>
    <s v="Cardboard"/>
    <x v="1"/>
    <s v="RockTenn"/>
    <m/>
    <n v="250"/>
    <n v="0.125"/>
    <n v="100"/>
    <n v="12.5"/>
    <n v="0"/>
    <n v="12.5"/>
    <n v="3245833"/>
    <n v="158720"/>
    <d v="2012-10-31T00:00:00"/>
  </r>
  <r>
    <x v="31"/>
    <s v="CC compactor"/>
    <s v="Single Stream"/>
    <x v="11"/>
    <s v="RockTenn"/>
    <m/>
    <n v="2080"/>
    <n v="1.04"/>
    <n v="100"/>
    <n v="104"/>
    <n v="0"/>
    <n v="104"/>
    <n v="3245836"/>
    <n v="158720"/>
    <d v="2012-10-31T00:00:00"/>
  </r>
  <r>
    <x v="32"/>
    <s v="Student Center compactor"/>
    <s v="Single Stream"/>
    <x v="11"/>
    <s v="RockTenn"/>
    <m/>
    <n v="8660"/>
    <n v="4.33"/>
    <n v="100"/>
    <n v="433"/>
    <n v="0"/>
    <n v="433"/>
    <n v="3245838"/>
    <n v="158720"/>
    <d v="2012-10-31T00:00:00"/>
  </r>
  <r>
    <x v="33"/>
    <s v="All/Dumpsters"/>
    <s v="Single Stream"/>
    <x v="11"/>
    <s v="RockTenn/Abitibi"/>
    <m/>
    <n v="2812"/>
    <n v="1.4059999999999999"/>
    <m/>
    <m/>
    <m/>
    <m/>
    <m/>
    <m/>
    <m/>
  </r>
  <r>
    <x v="34"/>
    <s v="CC compactor"/>
    <s v="Single Stream"/>
    <x v="11"/>
    <s v="RockTenn"/>
    <m/>
    <n v="5320"/>
    <n v="2.66"/>
    <n v="59.999999999999993"/>
    <n v="159.6"/>
    <n v="0"/>
    <n v="159.6"/>
    <n v="3246107"/>
    <n v="162991"/>
    <d v="2012-11-10T00:00:00"/>
  </r>
  <r>
    <x v="35"/>
    <s v="CSB  paper trailer"/>
    <s v="Paper"/>
    <x v="0"/>
    <s v="RockTenn"/>
    <m/>
    <n v="3865"/>
    <n v="1.9325000000000001"/>
    <n v="50.002587322121599"/>
    <n v="96.63"/>
    <n v="0"/>
    <n v="96.63"/>
    <n v="3246455"/>
    <n v="162991"/>
    <d v="2012-11-28T00:00:00"/>
  </r>
  <r>
    <x v="35"/>
    <s v="CSB  paper trailer"/>
    <s v="Paper"/>
    <x v="3"/>
    <s v="RockTenn"/>
    <m/>
    <n v="4585"/>
    <n v="2.2925"/>
    <n v="50.002181025081789"/>
    <n v="114.63"/>
    <n v="0"/>
    <n v="114.63"/>
    <n v="3246455"/>
    <n v="162991"/>
    <d v="2012-11-28T00:00:00"/>
  </r>
  <r>
    <x v="35"/>
    <s v="CSB  paper trailer"/>
    <s v="Cardboard"/>
    <x v="1"/>
    <s v="RockTenn"/>
    <m/>
    <n v="130"/>
    <n v="6.5000000000000002E-2"/>
    <n v="100"/>
    <n v="6.5"/>
    <n v="0"/>
    <n v="6.5"/>
    <n v="3246455"/>
    <n v="162991"/>
    <d v="2012-11-28T00:00:00"/>
  </r>
  <r>
    <x v="36"/>
    <s v="CC compactor"/>
    <s v="Single Stream"/>
    <x v="11"/>
    <s v="RockTenn"/>
    <m/>
    <n v="6640"/>
    <n v="3.32"/>
    <n v="60"/>
    <n v="199.2"/>
    <n v="0"/>
    <n v="199.2"/>
    <n v="3246350"/>
    <n v="162991"/>
    <d v="2012-11-21T00:00:00"/>
  </r>
  <r>
    <x v="37"/>
    <s v="Warehouse"/>
    <s v="Glass"/>
    <x v="12"/>
    <s v="Ripple"/>
    <m/>
    <n v="9640"/>
    <n v="4.82"/>
    <m/>
    <m/>
    <m/>
    <m/>
    <m/>
    <m/>
    <m/>
  </r>
  <r>
    <x v="38"/>
    <s v="All/Dumpsters"/>
    <s v="Single Stream"/>
    <x v="11"/>
    <s v="RockTenn/Abitibi"/>
    <m/>
    <n v="3178"/>
    <n v="1.589"/>
    <m/>
    <m/>
    <m/>
    <m/>
    <m/>
    <m/>
    <m/>
  </r>
  <r>
    <x v="39"/>
    <s v="CC compactor"/>
    <s v="Single Stream"/>
    <x v="11"/>
    <s v="RockTenn"/>
    <m/>
    <n v="6680"/>
    <n v="3.34"/>
    <n v="45.000000000000007"/>
    <n v="150.30000000000001"/>
    <n v="0"/>
    <n v="150.30000000000001"/>
    <n v="3246881"/>
    <n v="163757"/>
    <d v="2012-12-13T00:00:00"/>
  </r>
  <r>
    <x v="40"/>
    <s v="All/Dumpsters"/>
    <s v="Single Stream"/>
    <x v="11"/>
    <s v="RockTenn/Abitibi"/>
    <m/>
    <n v="2030"/>
    <n v="1.0149999999999999"/>
    <m/>
    <m/>
    <m/>
    <m/>
    <m/>
    <m/>
    <m/>
  </r>
  <r>
    <x v="41"/>
    <s v="Warehouse"/>
    <s v="e-waste"/>
    <x v="9"/>
    <s v="Call2recycle"/>
    <m/>
    <n v="1542"/>
    <n v="0.77100000000000002"/>
    <m/>
    <m/>
    <m/>
    <m/>
    <m/>
    <m/>
    <m/>
  </r>
  <r>
    <x v="41"/>
    <s v="Book  Store"/>
    <s v="books"/>
    <x v="10"/>
    <s v="One Planet books"/>
    <s v="569 boxes"/>
    <n v="22760"/>
    <n v="11.38"/>
    <m/>
    <m/>
    <m/>
    <n v="5690"/>
    <m/>
    <m/>
    <m/>
  </r>
  <r>
    <x v="42"/>
    <s v="Warehouse"/>
    <s v="e-waste"/>
    <x v="8"/>
    <s v="Unicor"/>
    <m/>
    <n v="4293"/>
    <n v="2.1465000000000001"/>
    <m/>
    <m/>
    <m/>
    <m/>
    <m/>
    <m/>
    <m/>
  </r>
  <r>
    <x v="43"/>
    <s v="CSB  paper trailer"/>
    <s v="Paper"/>
    <x v="4"/>
    <s v="RockTenn"/>
    <m/>
    <n v="860"/>
    <n v="0.43"/>
    <n v="5"/>
    <n v="2.15"/>
    <n v="0"/>
    <n v="2.15"/>
    <n v="3247415"/>
    <n v="167496"/>
    <d v="2012-01-05T00:00:00"/>
  </r>
  <r>
    <x v="43"/>
    <s v="CSB  paper trailer"/>
    <s v="Paper"/>
    <x v="0"/>
    <s v="RockTenn"/>
    <m/>
    <n v="5355"/>
    <n v="2.6775000000000002"/>
    <n v="30.001867413632116"/>
    <n v="80.33"/>
    <n v="0"/>
    <n v="80.33"/>
    <n v="3247415"/>
    <n v="167496"/>
    <d v="2012-01-05T00:00:00"/>
  </r>
  <r>
    <x v="43"/>
    <s v="CSB  paper trailer"/>
    <s v="Paper"/>
    <x v="3"/>
    <s v="RockTenn"/>
    <m/>
    <n v="7180"/>
    <n v="3.59"/>
    <n v="20"/>
    <n v="71.8"/>
    <n v="0"/>
    <n v="71.8"/>
    <n v="3247415"/>
    <n v="167496"/>
    <d v="2012-01-05T00:00:00"/>
  </r>
  <r>
    <x v="43"/>
    <s v="CSB  paper trailer"/>
    <s v="Cardboard"/>
    <x v="1"/>
    <s v="RockTenn"/>
    <m/>
    <n v="585"/>
    <n v="0.29249999999999998"/>
    <n v="70.017094017094024"/>
    <n v="20.48"/>
    <n v="0"/>
    <n v="20.48"/>
    <n v="3247415"/>
    <n v="167496"/>
    <d v="2012-01-05T00:00:00"/>
  </r>
  <r>
    <x v="44"/>
    <s v="CC compactor"/>
    <s v="Single Stream"/>
    <x v="11"/>
    <s v="RockTenn"/>
    <m/>
    <n v="8800"/>
    <n v="4.4000000000000004"/>
    <n v="44.999999999999993"/>
    <n v="198"/>
    <n v="0"/>
    <n v="198"/>
    <n v="3247660"/>
    <n v="168277"/>
    <d v="2012-01-16T00:00:00"/>
  </r>
  <r>
    <x v="45"/>
    <s v="Warehouse"/>
    <s v="Glass"/>
    <x v="12"/>
    <s v="Ripple"/>
    <m/>
    <n v="11880"/>
    <n v="5.94"/>
    <m/>
    <m/>
    <m/>
    <m/>
    <m/>
    <m/>
    <m/>
  </r>
  <r>
    <x v="46"/>
    <s v="All/Dumpsters"/>
    <s v="Single Stream"/>
    <x v="11"/>
    <s v="RockTenn/Abitibi"/>
    <m/>
    <n v="7347"/>
    <n v="3.6735000000000002"/>
    <m/>
    <m/>
    <m/>
    <m/>
    <m/>
    <m/>
    <m/>
  </r>
  <r>
    <x v="46"/>
    <s v="CSB  paper trailer"/>
    <s v="Paper"/>
    <x v="0"/>
    <s v="RockTenn"/>
    <m/>
    <n v="5480"/>
    <n v="2.74"/>
    <n v="70.003649635036496"/>
    <n v="191.81"/>
    <n v="0"/>
    <n v="191.81"/>
    <n v="3248171"/>
    <n v="169357"/>
    <m/>
  </r>
  <r>
    <x v="46"/>
    <s v="CSB  paper trailer"/>
    <s v="Cardboard"/>
    <x v="1"/>
    <s v="RockTenn"/>
    <m/>
    <n v="840"/>
    <n v="0.42"/>
    <n v="60"/>
    <n v="25.2"/>
    <n v="0"/>
    <n v="25.2"/>
    <n v="3248171"/>
    <n v="169357"/>
    <m/>
  </r>
  <r>
    <x v="46"/>
    <s v="CSB  paper trailer"/>
    <s v="Paper"/>
    <x v="3"/>
    <s v="RockTenn"/>
    <m/>
    <n v="1800"/>
    <n v="0.9"/>
    <n v="50"/>
    <n v="45"/>
    <n v="0"/>
    <n v="45"/>
    <n v="3248171"/>
    <n v="169357"/>
    <m/>
  </r>
  <r>
    <x v="47"/>
    <s v="Student Center compactor"/>
    <s v="Single Stream"/>
    <x v="11"/>
    <s v="RockTenn"/>
    <m/>
    <n v="8220"/>
    <n v="4.1100000000000003"/>
    <n v="59.999999999999993"/>
    <n v="246.6"/>
    <n v="0"/>
    <n v="246.6"/>
    <n v="477823"/>
    <n v="169275"/>
    <d v="2012-02-01T00:00:00"/>
  </r>
  <r>
    <x v="48"/>
    <s v="CC compactor"/>
    <s v="Single Stream"/>
    <x v="11"/>
    <s v="RockTenn"/>
    <m/>
    <n v="7040"/>
    <n v="3.52"/>
    <n v="60"/>
    <n v="211.2"/>
    <n v="0"/>
    <n v="211.2"/>
    <n v="477824"/>
    <n v="169275"/>
    <d v="2012-02-01T00:00:00"/>
  </r>
  <r>
    <x v="49"/>
    <s v="Aluminum plates with paper"/>
    <s v="Metal"/>
    <x v="13"/>
    <s v="RockTenn"/>
    <m/>
    <n v="1620"/>
    <n v="0.81"/>
    <n v="499.99999999999994"/>
    <n v="405"/>
    <n v="0"/>
    <n v="405"/>
    <n v="477898"/>
    <n v="171458"/>
    <d v="2012-04-30T00:00:00"/>
  </r>
  <r>
    <x v="49"/>
    <s v="copper cords wires 35%"/>
    <s v="Metal"/>
    <x v="14"/>
    <s v="RockTenn"/>
    <m/>
    <n v="320"/>
    <n v="0.16"/>
    <n v="1100"/>
    <n v="176"/>
    <n v="0"/>
    <n v="176"/>
    <n v="477898"/>
    <n v="171458"/>
    <d v="2012-04-30T00:00:00"/>
  </r>
  <r>
    <x v="50"/>
    <s v="CSB  paper trailer"/>
    <s v="Paper"/>
    <x v="0"/>
    <s v="RockTenn"/>
    <m/>
    <n v="6735"/>
    <n v="3.3675000000000002"/>
    <n v="100"/>
    <n v="336.75"/>
    <n v="0"/>
    <n v="336.75"/>
    <n v="478505"/>
    <n v="171820"/>
    <d v="2012-03-06T00:00:00"/>
  </r>
  <r>
    <x v="50"/>
    <s v="CSB  paper trailer"/>
    <s v="Cardboard"/>
    <x v="1"/>
    <s v="RockTenn"/>
    <m/>
    <n v="160"/>
    <n v="0.08"/>
    <n v="60"/>
    <n v="4.8"/>
    <n v="0"/>
    <n v="4.8"/>
    <n v="478505"/>
    <n v="171820"/>
    <d v="2012-03-06T00:00:00"/>
  </r>
  <r>
    <x v="50"/>
    <s v="CSB  paper trailer"/>
    <s v="Trash"/>
    <x v="15"/>
    <s v="RockTenn"/>
    <m/>
    <n v="1405"/>
    <n v="0.70250000000000001"/>
    <n v="-50.035587188612098"/>
    <n v="-35.15"/>
    <n v="0"/>
    <n v="-35.15"/>
    <n v="478505"/>
    <n v="171820"/>
    <d v="2012-03-06T00:00:00"/>
  </r>
  <r>
    <x v="50"/>
    <s v="CSB  paper trailer"/>
    <s v="Plastic"/>
    <x v="16"/>
    <s v="RockTenn"/>
    <m/>
    <n v="40"/>
    <n v="0.02"/>
    <n v="100"/>
    <n v="2"/>
    <n v="0"/>
    <n v="2"/>
    <n v="478505"/>
    <n v="171820"/>
    <d v="2012-03-06T00:00:00"/>
  </r>
  <r>
    <x v="50"/>
    <s v="CSB  paper trailer"/>
    <s v="Paper"/>
    <x v="3"/>
    <s v="RockTenn"/>
    <m/>
    <n v="760"/>
    <n v="0.38"/>
    <n v="80"/>
    <n v="30.4"/>
    <n v="0"/>
    <n v="30.4"/>
    <n v="478505"/>
    <n v="171820"/>
    <d v="2012-03-06T00:00:00"/>
  </r>
  <r>
    <x v="51"/>
    <s v="CC compactor"/>
    <s v="Single Stream"/>
    <x v="11"/>
    <s v="RockTenn"/>
    <m/>
    <n v="7720"/>
    <n v="3.86"/>
    <n v="60"/>
    <n v="231.6"/>
    <n v="0"/>
    <n v="231.6"/>
    <n v="478317"/>
    <n v="171052"/>
    <d v="2012-04-19T00:00:00"/>
  </r>
  <r>
    <x v="52"/>
    <s v="Warehouse"/>
    <s v="Glass"/>
    <x v="12"/>
    <s v="Ripple"/>
    <m/>
    <n v="9620"/>
    <n v="4.8099999999999996"/>
    <m/>
    <m/>
    <m/>
    <m/>
    <m/>
    <m/>
    <m/>
  </r>
  <r>
    <x v="52"/>
    <s v="All/Dumpsters"/>
    <s v="Single Stream"/>
    <x v="11"/>
    <s v="RockTenn/Abitibi"/>
    <m/>
    <n v="7347"/>
    <n v="3.6735000000000002"/>
    <m/>
    <m/>
    <m/>
    <m/>
    <m/>
    <m/>
    <m/>
  </r>
  <r>
    <x v="53"/>
    <s v="CSB  paper trailer"/>
    <s v="Paper"/>
    <x v="0"/>
    <s v="RockTenn"/>
    <m/>
    <n v="14525"/>
    <n v="7.2625000000000002"/>
    <n v="100"/>
    <n v="726.25"/>
    <n v="0"/>
    <n v="726.25"/>
    <n v="478146"/>
    <n v="171820"/>
    <d v="2012-03-05T00:00:00"/>
  </r>
  <r>
    <x v="53"/>
    <s v="CSB  paper trailer"/>
    <s v="Cardboard"/>
    <x v="1"/>
    <s v="RockTenn"/>
    <m/>
    <n v="615"/>
    <n v="0.3075"/>
    <n v="60"/>
    <n v="18.45"/>
    <n v="0"/>
    <n v="18.45"/>
    <n v="478146"/>
    <n v="171820"/>
    <d v="2012-03-05T00:00:00"/>
  </r>
  <r>
    <x v="53"/>
    <s v="CSB  paper trailer"/>
    <s v="Paper"/>
    <x v="3"/>
    <s v="RockTenn"/>
    <m/>
    <n v="5055"/>
    <n v="2.5274999999999999"/>
    <n v="80"/>
    <n v="202.2"/>
    <n v="0"/>
    <n v="202.2"/>
    <n v="478146"/>
    <n v="171820"/>
    <d v="2012-03-05T00:00:00"/>
  </r>
  <r>
    <x v="53"/>
    <s v="CSB  paper trailer"/>
    <s v="Trash"/>
    <x v="15"/>
    <s v="RockTenn"/>
    <m/>
    <n v="565"/>
    <n v="0.28249999999999997"/>
    <n v="-50.017699115044252"/>
    <n v="-14.13"/>
    <n v="0"/>
    <n v="-14.13"/>
    <n v="478146"/>
    <n v="171820"/>
    <d v="2012-03-05T00:00:00"/>
  </r>
  <r>
    <x v="53"/>
    <s v="CSB  paper trailer"/>
    <s v="Plastic"/>
    <x v="16"/>
    <s v="RockTenn"/>
    <m/>
    <n v="180"/>
    <n v="0.09"/>
    <n v="100"/>
    <n v="9"/>
    <n v="0"/>
    <n v="9"/>
    <n v="478146"/>
    <n v="171820"/>
    <d v="2012-03-05T00:00:00"/>
  </r>
  <r>
    <x v="54"/>
    <s v="CSB  paper trailer"/>
    <s v="Paper"/>
    <x v="0"/>
    <s v="RockTenn"/>
    <m/>
    <n v="1255"/>
    <n v="0.62749999999999995"/>
    <n v="100.00000000000001"/>
    <n v="62.75"/>
    <n v="0"/>
    <n v="62.75"/>
    <n v="478676"/>
    <n v="172632"/>
    <d v="2012-03-15T00:00:00"/>
  </r>
  <r>
    <x v="54"/>
    <s v="CSB  paper trailer"/>
    <s v="Cardboard"/>
    <x v="1"/>
    <s v="RockTenn"/>
    <m/>
    <n v="185"/>
    <n v="9.2499999999999999E-2"/>
    <n v="60"/>
    <n v="5.55"/>
    <n v="0"/>
    <n v="5.55"/>
    <n v="478676"/>
    <n v="172632"/>
    <d v="2012-03-15T00:00:00"/>
  </r>
  <r>
    <x v="54"/>
    <s v="CSB  paper trailer"/>
    <s v="Paper"/>
    <x v="3"/>
    <s v="RockTenn"/>
    <m/>
    <n v="1835"/>
    <n v="0.91749999999999998"/>
    <n v="80.000000000000014"/>
    <n v="73.400000000000006"/>
    <n v="0"/>
    <n v="73.400000000000006"/>
    <n v="478676"/>
    <n v="172632"/>
    <d v="2012-03-15T00:00:00"/>
  </r>
  <r>
    <x v="54"/>
    <s v="CSB  paper trailer"/>
    <s v="Trash"/>
    <x v="15"/>
    <s v="RockTenn"/>
    <m/>
    <n v="405"/>
    <n v="0.20250000000000001"/>
    <n v="50.02469135802469"/>
    <n v="10.130000000000001"/>
    <n v="0"/>
    <n v="10.130000000000001"/>
    <n v="478676"/>
    <n v="172632"/>
    <d v="2012-03-15T00:00:00"/>
  </r>
  <r>
    <x v="55"/>
    <s v="CC compactor"/>
    <s v="Single Stream"/>
    <x v="11"/>
    <s v="RockTenn"/>
    <m/>
    <n v="6640"/>
    <n v="3.32"/>
    <n v="35"/>
    <n v="116.2"/>
    <n v="0"/>
    <n v="116.2"/>
    <n v="478918"/>
    <n v="179250"/>
    <d v="2012-03-19T00:00:00"/>
  </r>
  <r>
    <x v="56"/>
    <s v="All/Dumpsters"/>
    <s v="Single Stream"/>
    <x v="11"/>
    <s v="RockTenn/Abitibi"/>
    <m/>
    <n v="7347"/>
    <n v="3.6735000000000002"/>
    <m/>
    <m/>
    <m/>
    <m/>
    <m/>
    <m/>
    <m/>
  </r>
  <r>
    <x v="57"/>
    <s v="Warehouse"/>
    <s v="Glass"/>
    <x v="12"/>
    <s v="Ripple"/>
    <m/>
    <n v="9860"/>
    <n v="4.93"/>
    <m/>
    <m/>
    <m/>
    <m/>
    <m/>
    <m/>
    <m/>
  </r>
  <r>
    <x v="57"/>
    <s v="CSB  paper trailer"/>
    <s v="Paper"/>
    <x v="0"/>
    <s v="RockTenn"/>
    <m/>
    <n v="600"/>
    <n v="0.3"/>
    <n v="100"/>
    <n v="30"/>
    <n v="0"/>
    <n v="30"/>
    <n v="37123"/>
    <n v="173396"/>
    <d v="2012-05-21T00:00:00"/>
  </r>
  <r>
    <x v="57"/>
    <s v="CSB  paper trailer"/>
    <s v="Paper"/>
    <x v="0"/>
    <s v="RockTenn"/>
    <m/>
    <n v="4050"/>
    <n v="2.0249999999999999"/>
    <n v="100"/>
    <n v="202.5"/>
    <n v="0"/>
    <n v="202.5"/>
    <n v="37123"/>
    <n v="173396"/>
    <d v="2012-05-21T00:00:00"/>
  </r>
  <r>
    <x v="57"/>
    <s v="CSB  paper trailer"/>
    <s v="Paper"/>
    <x v="3"/>
    <s v="RockTenn"/>
    <m/>
    <n v="4960"/>
    <n v="2.48"/>
    <n v="80"/>
    <n v="198.4"/>
    <n v="0"/>
    <n v="198.4"/>
    <n v="37123"/>
    <n v="173396"/>
    <d v="2012-05-21T00:00:00"/>
  </r>
  <r>
    <x v="57"/>
    <s v="CSB  paper trailer"/>
    <s v="Plastic"/>
    <x v="16"/>
    <s v="RockTenn"/>
    <m/>
    <n v="80"/>
    <n v="0.04"/>
    <n v="100"/>
    <n v="4"/>
    <n v="0"/>
    <n v="4"/>
    <n v="37123"/>
    <n v="173396"/>
    <d v="2012-05-21T00:00:00"/>
  </r>
  <r>
    <x v="57"/>
    <s v="CC compactor"/>
    <s v="Single Stream"/>
    <x v="11"/>
    <s v="RockTenn"/>
    <m/>
    <n v="6480"/>
    <n v="3.24"/>
    <n v="35"/>
    <n v="113.4"/>
    <n v="0"/>
    <n v="113.4"/>
    <n v="3249913"/>
    <n v="175280"/>
    <d v="2012-05-05T00:00:00"/>
  </r>
  <r>
    <x v="58"/>
    <s v="CC compactor"/>
    <s v="Single Stream"/>
    <x v="11"/>
    <s v="RockTenn"/>
    <m/>
    <n v="5180"/>
    <n v="2.59"/>
    <n v="34.301158301158303"/>
    <n v="88.84"/>
    <n v="0"/>
    <n v="88.84"/>
    <n v="3250348"/>
    <n v="175281"/>
    <d v="2012-05-05T00:00:00"/>
  </r>
  <r>
    <x v="59"/>
    <s v="All/Dumpsters"/>
    <s v="Single Stream"/>
    <x v="11"/>
    <s v="RockTenn/Abitibi"/>
    <m/>
    <n v="5329"/>
    <n v="2.6644999999999999"/>
    <m/>
    <m/>
    <m/>
    <m/>
    <m/>
    <m/>
    <m/>
  </r>
  <r>
    <x v="60"/>
    <s v="CC compactor"/>
    <s v="Single Stream"/>
    <x v="11"/>
    <s v="RockTenn"/>
    <m/>
    <n v="4000"/>
    <n v="2"/>
    <n v="0"/>
    <m/>
    <n v="0"/>
    <m/>
    <m/>
    <m/>
    <m/>
  </r>
  <r>
    <x v="60"/>
    <s v="Student Center compactor"/>
    <s v="Single Stream"/>
    <x v="11"/>
    <s v="RockTenn"/>
    <m/>
    <n v="6000"/>
    <n v="3"/>
    <n v="0"/>
    <m/>
    <n v="0"/>
    <m/>
    <m/>
    <m/>
    <m/>
  </r>
  <r>
    <x v="61"/>
    <s v="CSB Trailer"/>
    <s v="Paper"/>
    <x v="0"/>
    <s v="RockTenn"/>
    <m/>
    <n v="4215"/>
    <n v="2.1074999999999999"/>
    <n v="80"/>
    <n v="168.6"/>
    <n v="0"/>
    <n v="168.6"/>
    <n v="479720"/>
    <n v="178260"/>
    <d v="2012-05-23T00:00:00"/>
  </r>
  <r>
    <x v="61"/>
    <s v="CSB Trailer"/>
    <s v="Cardboard"/>
    <x v="1"/>
    <s v="RockTenn"/>
    <m/>
    <n v="185"/>
    <n v="9.2499999999999999E-2"/>
    <n v="40"/>
    <n v="3.7"/>
    <n v="0"/>
    <n v="3.7"/>
    <n v="479720"/>
    <n v="178260"/>
    <d v="2012-05-23T00:00:00"/>
  </r>
  <r>
    <x v="61"/>
    <s v="CSB Trailer"/>
    <s v="Paper"/>
    <x v="3"/>
    <s v="RockTenn"/>
    <m/>
    <n v="1285"/>
    <n v="0.64249999999999996"/>
    <n v="60"/>
    <n v="38.549999999999997"/>
    <n v="0"/>
    <n v="38.549999999999997"/>
    <n v="479720"/>
    <n v="178260"/>
    <d v="2012-05-23T00:00:00"/>
  </r>
  <r>
    <x v="62"/>
    <s v="Warehouse"/>
    <s v="Glass"/>
    <x v="12"/>
    <s v="Ripple"/>
    <m/>
    <n v="10100"/>
    <n v="5.05"/>
    <m/>
    <m/>
    <m/>
    <m/>
    <m/>
    <m/>
    <m/>
  </r>
  <r>
    <x v="63"/>
    <s v="CC compactor"/>
    <s v="Single Stream"/>
    <x v="11"/>
    <s v="RockTenn"/>
    <m/>
    <n v="7760"/>
    <n v="3.88"/>
    <n v="35.000000000000007"/>
    <n v="135.80000000000001"/>
    <n v="0"/>
    <n v="135.80000000000001"/>
    <n v="481609"/>
    <n v="178670"/>
    <d v="2012-05-29T00:00:00"/>
  </r>
  <r>
    <x v="64"/>
    <s v="All/Dumpsters"/>
    <s v="Single Stream"/>
    <x v="11"/>
    <s v="RockTenn/Abitibi"/>
    <m/>
    <n v="5329"/>
    <n v="2.6644999999999999"/>
    <m/>
    <m/>
    <m/>
    <m/>
    <m/>
    <m/>
    <m/>
  </r>
  <r>
    <x v="65"/>
    <s v="Warehouse"/>
    <s v="e-waste"/>
    <x v="8"/>
    <s v="Unicor"/>
    <m/>
    <n v="5000"/>
    <n v="2.5"/>
    <m/>
    <m/>
    <m/>
    <m/>
    <m/>
    <m/>
    <m/>
  </r>
  <r>
    <x v="66"/>
    <s v="CSB Trailer"/>
    <s v="Paper"/>
    <x v="0"/>
    <s v="RockTenn"/>
    <m/>
    <n v="8815"/>
    <n v="4.4074999999999998"/>
    <n v="80.000000000000014"/>
    <n v="352.6"/>
    <n v="0"/>
    <n v="352.6"/>
    <n v="481897"/>
    <n v="180424"/>
    <d v="2012-06-11T00:00:00"/>
  </r>
  <r>
    <x v="66"/>
    <s v="CSB Trailer"/>
    <s v="Cardboard"/>
    <x v="1"/>
    <s v="RockTenn"/>
    <m/>
    <n v="55"/>
    <n v="2.75E-2"/>
    <n v="30.18181818181818"/>
    <n v="0.83"/>
    <n v="0"/>
    <n v="0.83"/>
    <n v="481897"/>
    <n v="180424"/>
    <d v="2012-06-11T00:00:00"/>
  </r>
  <r>
    <x v="67"/>
    <s v="Warehouse"/>
    <s v="Glass"/>
    <x v="12"/>
    <s v="Ripple"/>
    <m/>
    <n v="9800"/>
    <n v="4.9000000000000004"/>
    <m/>
    <m/>
    <m/>
    <m/>
    <m/>
    <m/>
    <m/>
  </r>
  <r>
    <x v="68"/>
    <s v="Warehouse"/>
    <s v="e-waste"/>
    <x v="8"/>
    <s v="Unicor"/>
    <m/>
    <n v="4739"/>
    <n v="2.3694999999999999"/>
    <m/>
    <m/>
    <m/>
    <m/>
    <m/>
    <m/>
    <m/>
  </r>
  <r>
    <x v="69"/>
    <s v="CC compactor"/>
    <s v="Single Stream"/>
    <x v="11"/>
    <s v="RockTenn"/>
    <m/>
    <n v="8500"/>
    <n v="4.25"/>
    <n v="25"/>
    <n v="106.25"/>
    <n v="0"/>
    <n v="106.25"/>
    <n v="482439"/>
    <n v="181805"/>
    <d v="2012-07-02T00:00:00"/>
  </r>
  <r>
    <x v="70"/>
    <s v="All/Dumpsters"/>
    <s v="Single Stream"/>
    <x v="11"/>
    <s v="RockTenn/Abitibi"/>
    <m/>
    <n v="5329"/>
    <n v="2.6644999999999999"/>
    <m/>
    <m/>
    <m/>
    <m/>
    <m/>
    <m/>
    <m/>
  </r>
  <r>
    <x v="71"/>
    <s v="CSB Trailer"/>
    <s v="Paper"/>
    <x v="0"/>
    <s v="RockTenn"/>
    <m/>
    <n v="8210"/>
    <n v="4.1050000000000004"/>
    <n v="99.999999999999986"/>
    <n v="410.5"/>
    <n v="0"/>
    <n v="410.5"/>
    <n v="482539"/>
    <n v="183355"/>
    <d v="2012-07-20T00:00:00"/>
  </r>
  <r>
    <x v="71"/>
    <s v="CSB Trailer"/>
    <s v="Cardboard"/>
    <x v="1"/>
    <s v="RockTenn"/>
    <m/>
    <n v="60"/>
    <n v="0.03"/>
    <n v="25"/>
    <n v="0.75"/>
    <n v="0"/>
    <n v="0.75"/>
    <n v="482539"/>
    <n v="183355"/>
    <d v="2012-07-20T00:00:00"/>
  </r>
  <r>
    <x v="71"/>
    <s v="CSB Trailer"/>
    <s v="Paper"/>
    <x v="3"/>
    <s v="RockTenn"/>
    <m/>
    <n v="540"/>
    <n v="0.27"/>
    <n v="59.999999999999993"/>
    <n v="16.2"/>
    <n v="0"/>
    <n v="16.2"/>
    <n v="482539"/>
    <n v="183355"/>
    <d v="2012-07-20T00:00:00"/>
  </r>
  <r>
    <x v="72"/>
    <s v="Warehouse"/>
    <s v="Glass"/>
    <x v="12"/>
    <s v="Ripple"/>
    <m/>
    <n v="10100"/>
    <n v="5.05"/>
    <m/>
    <m/>
    <m/>
    <m/>
    <m/>
    <m/>
    <m/>
  </r>
  <r>
    <x v="73"/>
    <s v="CC compactor"/>
    <s v="Single Stream"/>
    <x v="11"/>
    <s v="RockTenn"/>
    <m/>
    <n v="9280"/>
    <n v="4.6399999999999997"/>
    <n v="25"/>
    <n v="116"/>
    <n v="0"/>
    <n v="116"/>
    <n v="483042"/>
    <n v="186265"/>
    <d v="2012-07-30T00:00:00"/>
  </r>
  <r>
    <x v="74"/>
    <s v="All/Dumpsters"/>
    <s v="Single Stream"/>
    <x v="11"/>
    <s v="RockTenn/Abitibi"/>
    <m/>
    <n v="5329"/>
    <n v="2.6644999999999999"/>
    <m/>
    <m/>
    <m/>
    <m/>
    <m/>
    <m/>
    <m/>
  </r>
  <r>
    <x v="75"/>
    <s v="south compound"/>
    <s v="Metal"/>
    <x v="17"/>
    <s v="Advantage Metal"/>
    <m/>
    <n v="8520"/>
    <n v="4.26"/>
    <n v="0.09"/>
    <n v="766.8"/>
    <n v="180"/>
    <n v="586.79999999999995"/>
    <s v="TKXFDD"/>
    <n v="181688"/>
    <m/>
  </r>
  <r>
    <x v="76"/>
    <s v="Warehouse"/>
    <s v="e-waste"/>
    <x v="8"/>
    <s v="Surplus Exchange"/>
    <m/>
    <n v="4500"/>
    <n v="2.25"/>
    <m/>
    <m/>
    <m/>
    <m/>
    <m/>
    <m/>
    <m/>
  </r>
  <r>
    <x v="77"/>
    <s v="CC compactor"/>
    <s v="Single Stream"/>
    <x v="11"/>
    <s v="RockTenn"/>
    <m/>
    <n v="4380"/>
    <n v="2.19"/>
    <n v="25"/>
    <n v="54.75"/>
    <n v="0"/>
    <n v="54.75"/>
    <n v="483398"/>
    <n v="189280"/>
    <d v="2012-11-07T00:00:00"/>
  </r>
  <r>
    <x v="78"/>
    <s v="Warehouse"/>
    <s v="Glass"/>
    <x v="12"/>
    <s v="Ripple"/>
    <m/>
    <n v="10060"/>
    <n v="5.03"/>
    <m/>
    <m/>
    <m/>
    <m/>
    <m/>
    <m/>
    <m/>
  </r>
  <r>
    <x v="79"/>
    <s v="SC compactor"/>
    <s v="Single Stream"/>
    <x v="11"/>
    <s v="RockTenn"/>
    <m/>
    <n v="9540"/>
    <n v="4.7699999999999996"/>
    <n v="25.000000000000004"/>
    <n v="119.25"/>
    <n v="0"/>
    <n v="119.25"/>
    <n v="483423"/>
    <n v="189280"/>
    <d v="2012-11-07T00:00:00"/>
  </r>
  <r>
    <x v="80"/>
    <s v="CSB Trailer"/>
    <s v="Paper"/>
    <x v="0"/>
    <s v="RockTenn"/>
    <m/>
    <n v="5935"/>
    <n v="2.9674999999999998"/>
    <n v="100"/>
    <n v="296.75"/>
    <n v="0"/>
    <n v="296.75"/>
    <n v="3253690"/>
    <n v="189280"/>
    <d v="2012-11-07T00:00:00"/>
  </r>
  <r>
    <x v="80"/>
    <s v="CSB Trailer"/>
    <s v="Cardboard"/>
    <x v="1"/>
    <s v="RockTenn"/>
    <m/>
    <n v="5435"/>
    <n v="2.7174999999999998"/>
    <n v="14.999080036798528"/>
    <n v="40.76"/>
    <n v="0"/>
    <n v="40.76"/>
    <n v="3253690"/>
    <n v="189280"/>
    <d v="2012-11-07T00:00:00"/>
  </r>
  <r>
    <x v="80"/>
    <s v="CSB Trailer"/>
    <s v="Trash"/>
    <x v="15"/>
    <s v="RockTenn"/>
    <m/>
    <n v="400"/>
    <n v="0.2"/>
    <n v="-100"/>
    <n v="-20"/>
    <n v="0"/>
    <n v="-20"/>
    <n v="3253690"/>
    <n v="189280"/>
    <d v="2012-11-07T00:00:00"/>
  </r>
  <r>
    <x v="81"/>
    <s v="Delivered"/>
    <s v="Metal"/>
    <x v="18"/>
    <s v="Advantage Metal"/>
    <m/>
    <n v="96"/>
    <n v="4.8000000000000001E-2"/>
    <n v="2.8"/>
    <n v="268.8"/>
    <n v="0"/>
    <n v="268.8"/>
    <s v="ZHEAAN"/>
    <n v="183200"/>
    <m/>
  </r>
  <r>
    <x v="81"/>
    <s v="Delivered"/>
    <s v="Metal"/>
    <x v="19"/>
    <s v="Advantage Metal"/>
    <m/>
    <n v="657"/>
    <n v="0.32850000000000001"/>
    <n v="0.25"/>
    <n v="164.25"/>
    <n v="0"/>
    <n v="164.25"/>
    <s v="ZHEAAN"/>
    <n v="183200"/>
    <m/>
  </r>
  <r>
    <x v="81"/>
    <s v="CC compactor"/>
    <s v="Single Stream"/>
    <x v="11"/>
    <s v="RockTenn"/>
    <m/>
    <n v="8440"/>
    <n v="4.22"/>
    <n v="25"/>
    <n v="105.5"/>
    <n v="0"/>
    <n v="105.5"/>
    <n v="3253676"/>
    <n v="189280"/>
    <d v="2012-11-07T00:00:00"/>
  </r>
  <r>
    <x v="82"/>
    <s v="All/Dumpsters"/>
    <s v="Single Stream"/>
    <x v="11"/>
    <s v="RockTenn/Abitibi"/>
    <m/>
    <n v="5329"/>
    <n v="2.6644999999999999"/>
    <m/>
    <m/>
    <m/>
    <m/>
    <m/>
    <m/>
    <m/>
  </r>
  <r>
    <x v="83"/>
    <s v="south compound"/>
    <s v="Metal"/>
    <x v="17"/>
    <s v="Advantage Metal"/>
    <m/>
    <n v="6700"/>
    <n v="3.35"/>
    <n v="9.7500000000000003E-2"/>
    <n v="653.25"/>
    <n v="180"/>
    <n v="473.25"/>
    <m/>
    <m/>
    <m/>
  </r>
  <r>
    <x v="84"/>
    <s v="Warehouse"/>
    <s v="Glass"/>
    <x v="12"/>
    <s v="Ripple"/>
    <m/>
    <n v="336"/>
    <n v="0.16800000000000001"/>
    <m/>
    <m/>
    <m/>
    <m/>
    <m/>
    <m/>
    <m/>
  </r>
  <r>
    <x v="84"/>
    <s v="CSB Trailer"/>
    <s v="Paper"/>
    <x v="0"/>
    <s v="RockTenn"/>
    <m/>
    <n v="5635"/>
    <n v="2.8174999999999999"/>
    <n v="90.00177462289264"/>
    <n v="253.58"/>
    <n v="0"/>
    <n v="253.58"/>
    <n v="3254209"/>
    <n v="190079"/>
    <d v="2012-11-19T00:00:00"/>
  </r>
  <r>
    <x v="84"/>
    <s v="CSB Trailer"/>
    <s v="Paper"/>
    <x v="4"/>
    <s v="RockTenn"/>
    <m/>
    <n v="7665"/>
    <n v="3.8325"/>
    <n v="4.9993476842791909"/>
    <n v="19.16"/>
    <n v="0"/>
    <n v="19.16"/>
    <n v="3254209"/>
    <n v="190079"/>
    <d v="2012-11-19T00:00:00"/>
  </r>
  <r>
    <x v="85"/>
    <s v="Abitibi pickup"/>
    <s v="e-waste"/>
    <x v="20"/>
    <s v="RockTenn"/>
    <m/>
    <m/>
    <n v="0"/>
    <e v="#DIV/0!"/>
    <n v="-680"/>
    <n v="0"/>
    <n v="-680"/>
    <m/>
    <n v="189280"/>
    <d v="2012-11-07T00:00:00"/>
  </r>
  <r>
    <x v="86"/>
    <s v="CC compactor"/>
    <s v="Single Stream"/>
    <x v="11"/>
    <s v="RockTenn"/>
    <m/>
    <n v="8840"/>
    <n v="4.42"/>
    <n v="25"/>
    <n v="110.5"/>
    <n v="0"/>
    <n v="110.5"/>
    <n v="3254510"/>
    <n v="189280"/>
    <d v="2012-11-07T00:00:00"/>
  </r>
  <r>
    <x v="87"/>
    <s v="All/Dumpsters"/>
    <s v="Single Stream"/>
    <x v="11"/>
    <s v="RockTenn/Abitibi"/>
    <m/>
    <n v="5329"/>
    <n v="2.6644999999999999"/>
    <m/>
    <m/>
    <m/>
    <m/>
    <m/>
    <m/>
    <m/>
  </r>
  <r>
    <x v="88"/>
    <s v="south compound"/>
    <s v="Metal"/>
    <x v="17"/>
    <s v="Advantage Metal"/>
    <m/>
    <n v="7220"/>
    <n v="3.61"/>
    <n v="8.5000000000000006E-2"/>
    <n v="613.70000000000005"/>
    <n v="180"/>
    <n v="433.7"/>
    <s v="TLNAEY"/>
    <n v="186931"/>
    <m/>
  </r>
  <r>
    <x v="89"/>
    <s v="CSB Trailer"/>
    <s v="Paper"/>
    <x v="0"/>
    <s v="RockTenn"/>
    <m/>
    <n v="4570"/>
    <n v="2.2850000000000001"/>
    <n v="69.999999999999986"/>
    <n v="159.94999999999999"/>
    <n v="0"/>
    <n v="159.94999999999999"/>
    <n v="3254600"/>
    <n v="190757"/>
    <d v="2012-12-03T00:00:00"/>
  </r>
  <r>
    <x v="89"/>
    <s v="CSB Trailer"/>
    <s v="Paper"/>
    <x v="4"/>
    <s v="RockTenn"/>
    <m/>
    <n v="3440"/>
    <n v="1.72"/>
    <n v="5"/>
    <n v="8.6"/>
    <n v="0"/>
    <n v="8.6"/>
    <n v="3254600"/>
    <n v="190757"/>
    <d v="2012-12-03T00:00:00"/>
  </r>
  <r>
    <x v="89"/>
    <s v="CSB Trailer"/>
    <s v="Paper"/>
    <x v="3"/>
    <s v="RockTenn"/>
    <m/>
    <n v="3925"/>
    <n v="1.9624999999999999"/>
    <n v="60"/>
    <n v="117.75"/>
    <n v="0"/>
    <n v="117.75"/>
    <n v="3254600"/>
    <n v="190757"/>
    <d v="2012-12-03T00:00:00"/>
  </r>
  <r>
    <x v="90"/>
    <s v="SC compactor"/>
    <s v="Single Stream"/>
    <x v="11"/>
    <s v="RockTenn"/>
    <m/>
    <n v="6980"/>
    <n v="3.49"/>
    <n v="25"/>
    <n v="87.25"/>
    <n v="0"/>
    <n v="87.25"/>
    <n v="3254715"/>
    <n v="190081"/>
    <d v="2012-11-16T00:00:00"/>
  </r>
  <r>
    <x v="90"/>
    <s v="Unknown"/>
    <s v="Trash"/>
    <x v="15"/>
    <s v="RockTenn"/>
    <m/>
    <n v="205"/>
    <n v="0.10249999999999999"/>
    <n v="-100"/>
    <n v="-10.25"/>
    <n v="0"/>
    <n v="-10.25"/>
    <n v="3254600"/>
    <n v="190081"/>
    <d v="2012-11-16T00:00:00"/>
  </r>
  <r>
    <x v="91"/>
    <s v="Delivered"/>
    <s v="Metal"/>
    <x v="18"/>
    <s v="Advantage Metal"/>
    <m/>
    <n v="237"/>
    <n v="0.11849999999999999"/>
    <n v="2.95"/>
    <n v="699.15"/>
    <n v="0"/>
    <n v="699.15"/>
    <s v="zhmouw"/>
    <m/>
    <m/>
  </r>
  <r>
    <x v="91"/>
    <s v="Delivered"/>
    <s v="Metal"/>
    <x v="21"/>
    <s v="Advantage Metal"/>
    <m/>
    <n v="355"/>
    <n v="0.17749999999999999"/>
    <n v="0.51"/>
    <n v="181.05"/>
    <n v="0"/>
    <n v="181.05"/>
    <s v="zhmouw"/>
    <m/>
    <m/>
  </r>
  <r>
    <x v="91"/>
    <s v="Delivered"/>
    <s v="Metal"/>
    <x v="22"/>
    <s v="Advantage Metal"/>
    <m/>
    <n v="28"/>
    <n v="1.4E-2"/>
    <n v="0.5"/>
    <n v="14"/>
    <n v="0"/>
    <n v="14"/>
    <s v="zhmouw"/>
    <m/>
    <m/>
  </r>
  <r>
    <x v="91"/>
    <s v="Delivered"/>
    <s v="Metal"/>
    <x v="23"/>
    <s v="Advantage Metal"/>
    <m/>
    <n v="169"/>
    <n v="8.4500000000000006E-2"/>
    <n v="1.41"/>
    <n v="238.29"/>
    <n v="0"/>
    <n v="238.29"/>
    <s v="zhmouw"/>
    <m/>
    <m/>
  </r>
  <r>
    <x v="91"/>
    <s v="Delivered"/>
    <s v="Metal"/>
    <x v="24"/>
    <s v="Advantage Metal"/>
    <m/>
    <n v="138"/>
    <n v="6.9000000000000006E-2"/>
    <n v="0.55000000000000004"/>
    <n v="75.900000000000006"/>
    <n v="0"/>
    <n v="75.900000000000006"/>
    <s v="zhmouw"/>
    <m/>
    <m/>
  </r>
  <r>
    <x v="91"/>
    <s v="Delivered"/>
    <s v="Metal"/>
    <x v="25"/>
    <s v="Advantage Metal"/>
    <m/>
    <n v="63"/>
    <n v="3.15E-2"/>
    <n v="0.35"/>
    <n v="22.05"/>
    <n v="0"/>
    <n v="22.05"/>
    <s v="zhmouw"/>
    <m/>
    <m/>
  </r>
  <r>
    <x v="91"/>
    <s v="CC compactor"/>
    <s v="Single Stream"/>
    <x v="11"/>
    <s v="RockTenn"/>
    <m/>
    <n v="5900"/>
    <n v="2.95"/>
    <n v="25"/>
    <n v="73.75"/>
    <n v="0"/>
    <n v="73.75"/>
    <n v="3254874"/>
    <n v="190157"/>
    <d v="2012-11-20T00:00:00"/>
  </r>
  <r>
    <x v="91"/>
    <s v="Warehouse"/>
    <s v="Glass"/>
    <x v="12"/>
    <s v="Ripple"/>
    <m/>
    <n v="336"/>
    <n v="0.16800000000000001"/>
    <m/>
    <m/>
    <m/>
    <m/>
    <m/>
    <m/>
    <m/>
  </r>
  <r>
    <x v="92"/>
    <s v="Warehouse"/>
    <s v="e-waste"/>
    <x v="8"/>
    <s v="Unicor"/>
    <m/>
    <n v="10142"/>
    <n v="5.0709999999999997"/>
    <m/>
    <m/>
    <m/>
    <m/>
    <m/>
    <m/>
    <m/>
  </r>
  <r>
    <x v="93"/>
    <s v="All/Dumpsters"/>
    <s v="Single Stream"/>
    <x v="11"/>
    <s v="RockTenn/Abitibi"/>
    <m/>
    <n v="5329"/>
    <n v="2.6644999999999999"/>
    <m/>
    <m/>
    <m/>
    <m/>
    <m/>
    <m/>
    <m/>
  </r>
  <r>
    <x v="94"/>
    <s v="Abitibi Correction"/>
    <s v="e-waste"/>
    <x v="26"/>
    <s v="RockTenn"/>
    <m/>
    <m/>
    <n v="0"/>
    <e v="#DIV/0!"/>
    <n v="486.4"/>
    <n v="0"/>
    <n v="486.4"/>
    <m/>
    <n v="191066"/>
    <d v="2012-12-06T00:00:00"/>
  </r>
  <r>
    <x v="95"/>
    <s v="CC compactor"/>
    <s v="Single Stream"/>
    <x v="11"/>
    <s v="RockTenn"/>
    <m/>
    <n v="1600"/>
    <n v="0.8"/>
    <n v="25"/>
    <n v="20"/>
    <n v="0"/>
    <n v="20"/>
    <n v="3255584"/>
    <n v="194033"/>
    <d v="2013-01-08T00:00:00"/>
  </r>
  <r>
    <x v="96"/>
    <s v="Warehouse"/>
    <s v="Glass"/>
    <x v="12"/>
    <s v="Ripple"/>
    <m/>
    <n v="336"/>
    <n v="0.16800000000000001"/>
    <m/>
    <m/>
    <m/>
    <m/>
    <m/>
    <m/>
    <m/>
  </r>
  <r>
    <x v="96"/>
    <s v="CC compactor"/>
    <s v="Single Stream"/>
    <x v="11"/>
    <s v="RockTenn"/>
    <m/>
    <n v="9680"/>
    <n v="4.84"/>
    <n v="25"/>
    <n v="121"/>
    <n v="0"/>
    <n v="121"/>
    <n v="3255584"/>
    <n v="194033"/>
    <d v="2013-01-08T00:00:00"/>
  </r>
  <r>
    <x v="96"/>
    <s v="CSB Trailer"/>
    <s v="Paper"/>
    <x v="0"/>
    <s v="RockTenn"/>
    <m/>
    <n v="8615"/>
    <n v="4.3075000000000001"/>
    <n v="70.001160766105627"/>
    <n v="301.52999999999997"/>
    <n v="0"/>
    <n v="301.52999999999997"/>
    <n v="3255696"/>
    <n v="194823"/>
    <d v="2013-01-07T00:00:00"/>
  </r>
  <r>
    <x v="96"/>
    <s v="CSB Trailer"/>
    <s v="Paper"/>
    <x v="4"/>
    <s v="RockTenn"/>
    <m/>
    <n v="435"/>
    <n v="0.2175"/>
    <n v="5.0114942528735638"/>
    <n v="1.0900000000000001"/>
    <n v="0"/>
    <n v="1.0900000000000001"/>
    <n v="3255696"/>
    <n v="194823"/>
    <d v="2013-01-07T00:00:00"/>
  </r>
  <r>
    <x v="96"/>
    <s v="CSB Trailer"/>
    <s v="Paper"/>
    <x v="3"/>
    <s v="RockTenn"/>
    <m/>
    <n v="3365"/>
    <n v="1.6825000000000001"/>
    <n v="60"/>
    <n v="100.95"/>
    <n v="0"/>
    <n v="100.95"/>
    <n v="3255696"/>
    <n v="194823"/>
    <d v="2013-01-07T00:00:00"/>
  </r>
  <r>
    <x v="97"/>
    <s v="south compactor"/>
    <s v="Trash"/>
    <x v="27"/>
    <s v="Deffenbaugh"/>
    <m/>
    <n v="1925"/>
    <n v="0.96250000000000002"/>
    <m/>
    <m/>
    <m/>
    <n v="-96.25"/>
    <n v="3255696"/>
    <n v="194033"/>
    <d v="2013-01-08T00:00:00"/>
  </r>
  <r>
    <x v="97"/>
    <s v="south compactor"/>
    <s v="Trash"/>
    <x v="27"/>
    <s v="RockTenn"/>
    <m/>
    <n v="1925"/>
    <n v="0.96250000000000002"/>
    <n v="-100"/>
    <n v="-96.25"/>
    <n v="0"/>
    <n v="-96.25"/>
    <n v="3255696"/>
    <n v="194033"/>
    <d v="2013-01-08T00:00:00"/>
  </r>
  <r>
    <x v="98"/>
    <s v="south compound"/>
    <s v="Metal"/>
    <x v="17"/>
    <s v="Advantage Metal"/>
    <m/>
    <n v="3200"/>
    <n v="1.6"/>
    <n v="7.0000000000000007E-2"/>
    <n v="224"/>
    <n v="180"/>
    <n v="44"/>
    <s v="TLXQKL"/>
    <m/>
    <m/>
  </r>
  <r>
    <x v="99"/>
    <s v="All/Dumpsters"/>
    <s v="Single Stream"/>
    <x v="11"/>
    <s v="RockTenn/Abitibi"/>
    <m/>
    <n v="5329"/>
    <n v="2.6644999999999999"/>
    <m/>
    <m/>
    <m/>
    <m/>
    <m/>
    <m/>
    <m/>
  </r>
  <r>
    <x v="100"/>
    <s v="CC compactor"/>
    <s v="Single Stream"/>
    <x v="11"/>
    <s v="RockTenn"/>
    <m/>
    <n v="9740"/>
    <n v="4.87"/>
    <n v="25"/>
    <n v="121.75"/>
    <n v="0"/>
    <n v="121.75"/>
    <n v="3256283"/>
    <m/>
    <d v="2013-02-11T00:00:00"/>
  </r>
  <r>
    <x v="100"/>
    <s v="south compound"/>
    <s v="Trash"/>
    <x v="27"/>
    <s v="RockTenn"/>
    <m/>
    <n v="9500"/>
    <n v="4.75"/>
    <n v="-100"/>
    <n v="-475"/>
    <n v="0"/>
    <n v="-475"/>
    <n v="3256208"/>
    <m/>
    <d v="2013-02-11T00:00:00"/>
  </r>
  <r>
    <x v="100"/>
    <s v="south compound"/>
    <s v="Trash"/>
    <x v="27"/>
    <s v="Deffenbaugh"/>
    <m/>
    <n v="0"/>
    <n v="0"/>
    <m/>
    <m/>
    <m/>
    <n v="510"/>
    <m/>
    <n v="201385"/>
    <m/>
  </r>
  <r>
    <x v="101"/>
    <s v="south compound"/>
    <s v="Trash"/>
    <x v="27"/>
    <s v="RockTenn"/>
    <m/>
    <n v="700"/>
    <n v="0.35"/>
    <n v="-100"/>
    <n v="-35"/>
    <n v="0"/>
    <n v="-35"/>
    <n v="356277"/>
    <m/>
    <d v="2013-02-11T00:00:00"/>
  </r>
  <r>
    <x v="102"/>
    <s v="Warehouse"/>
    <s v="Glass"/>
    <x v="12"/>
    <s v="Ripple"/>
    <m/>
    <n v="336"/>
    <n v="0.16800000000000001"/>
    <m/>
    <m/>
    <m/>
    <m/>
    <m/>
    <m/>
    <m/>
  </r>
  <r>
    <x v="103"/>
    <s v="South Compound 20yd"/>
    <s v="Wood"/>
    <x v="28"/>
    <s v="Missouri Organic"/>
    <m/>
    <n v="3440"/>
    <n v="1.72"/>
    <n v="0"/>
    <n v="0"/>
    <n v="210"/>
    <m/>
    <n v="4263"/>
    <m/>
    <m/>
  </r>
  <r>
    <x v="104"/>
    <s v="CSB Trailer"/>
    <s v="Paper"/>
    <x v="0"/>
    <s v="RockTenn"/>
    <m/>
    <n v="8600"/>
    <n v="4.3"/>
    <n v="80"/>
    <n v="344"/>
    <n v="0"/>
    <n v="344"/>
    <n v="486403"/>
    <m/>
    <d v="2013-02-11T00:00:00"/>
  </r>
  <r>
    <x v="104"/>
    <s v="CSB Trailer"/>
    <s v="Paper"/>
    <x v="4"/>
    <s v="RockTenn"/>
    <m/>
    <n v="200"/>
    <n v="0.1"/>
    <n v="5"/>
    <n v="0.5"/>
    <n v="0"/>
    <n v="0.5"/>
    <n v="486403"/>
    <m/>
    <d v="2013-02-11T00:00:00"/>
  </r>
  <r>
    <x v="104"/>
    <s v="CSB Trailer"/>
    <s v="Paper"/>
    <x v="3"/>
    <s v="RockTenn"/>
    <m/>
    <n v="2470"/>
    <n v="1.2350000000000001"/>
    <n v="59.999999999999993"/>
    <n v="74.099999999999994"/>
    <n v="0"/>
    <n v="74.099999999999994"/>
    <n v="486403"/>
    <m/>
    <d v="2013-02-11T00:00:00"/>
  </r>
  <r>
    <x v="105"/>
    <s v="CC compactor"/>
    <s v="Single Stream"/>
    <x v="11"/>
    <s v="RockTenn"/>
    <m/>
    <n v="7920"/>
    <n v="3.96"/>
    <n v="25"/>
    <n v="99"/>
    <n v="0"/>
    <n v="99"/>
    <n v="3256769"/>
    <n v="198300"/>
    <d v="2013-02-25T00:00:00"/>
  </r>
  <r>
    <x v="106"/>
    <s v="All/Dumpsters"/>
    <s v="Single Stream"/>
    <x v="11"/>
    <s v="Deffenbaugh"/>
    <m/>
    <n v="5000"/>
    <n v="2.5"/>
    <m/>
    <m/>
    <m/>
    <m/>
    <m/>
    <m/>
    <m/>
  </r>
  <r>
    <x v="106"/>
    <s v="Warehouse"/>
    <s v="e-waste"/>
    <x v="9"/>
    <s v="Call2recycle"/>
    <m/>
    <s v="?"/>
    <s v="?"/>
    <m/>
    <m/>
    <m/>
    <m/>
    <m/>
    <m/>
    <m/>
  </r>
  <r>
    <x v="106"/>
    <s v="Book  Store"/>
    <s v="e-waste"/>
    <x v="10"/>
    <s v="One Planet books"/>
    <s v="530 boxes"/>
    <n v="21200"/>
    <n v="10.6"/>
    <m/>
    <m/>
    <m/>
    <n v="5300"/>
    <m/>
    <m/>
    <m/>
  </r>
  <r>
    <x v="107"/>
    <s v="south compound"/>
    <s v="Metal"/>
    <x v="17"/>
    <s v="Advantage Metal"/>
    <m/>
    <n v="10780"/>
    <n v="5.39"/>
    <n v="0.10249999999999999"/>
    <n v="1104.95"/>
    <n v="180"/>
    <n v="924.95"/>
    <s v="tmjqtq"/>
    <m/>
    <m/>
  </r>
  <r>
    <x v="108"/>
    <s v="CC compactor"/>
    <s v="Single Stream"/>
    <x v="11"/>
    <s v="Deffenbaugh"/>
    <m/>
    <n v="3100"/>
    <n v="1.55"/>
    <n v="25"/>
    <n v="38.75"/>
    <n v="0"/>
    <n v="38.75"/>
    <n v="3257044"/>
    <n v="199143"/>
    <m/>
  </r>
  <r>
    <x v="108"/>
    <s v="SC compactor"/>
    <s v="Single Stream"/>
    <x v="11"/>
    <s v="Deffenbaugh"/>
    <m/>
    <n v="9520"/>
    <n v="4.76"/>
    <n v="25"/>
    <n v="119"/>
    <n v="0"/>
    <n v="119"/>
    <n v="3257054"/>
    <n v="199143"/>
    <m/>
  </r>
  <r>
    <x v="109"/>
    <s v="Gym"/>
    <s v="Wood"/>
    <x v="29"/>
    <s v="BCD sales"/>
    <n v="30"/>
    <n v="1110"/>
    <n v="0.55500000000000005"/>
    <m/>
    <m/>
    <m/>
    <n v="72"/>
    <m/>
    <m/>
    <m/>
  </r>
  <r>
    <x v="110"/>
    <s v="CSB Trailer"/>
    <s v="Paper"/>
    <x v="0"/>
    <s v="RockTenn"/>
    <m/>
    <n v="7635"/>
    <n v="3.8174999999999999"/>
    <n v="80"/>
    <n v="305.39999999999998"/>
    <n v="0"/>
    <n v="305.39999999999998"/>
    <n v="3257303"/>
    <n v="200210"/>
    <m/>
  </r>
  <r>
    <x v="110"/>
    <s v="CSB Trailer"/>
    <s v="Paper"/>
    <x v="3"/>
    <s v="RockTenn"/>
    <m/>
    <n v="2955"/>
    <n v="1.4775"/>
    <n v="60"/>
    <n v="88.65"/>
    <n v="0"/>
    <n v="88.65"/>
    <n v="3257303"/>
    <n v="200210"/>
    <m/>
  </r>
  <r>
    <x v="111"/>
    <s v="South Compound 20yd"/>
    <s v="Wood"/>
    <x v="28"/>
    <s v="Missouri Organic"/>
    <m/>
    <n v="4420"/>
    <n v="2.21"/>
    <n v="0"/>
    <n v="0"/>
    <n v="210"/>
    <m/>
    <n v="4533"/>
    <m/>
    <m/>
  </r>
  <r>
    <x v="112"/>
    <s v="Warehouse"/>
    <s v="Glass"/>
    <x v="12"/>
    <s v="Ripple"/>
    <m/>
    <n v="336"/>
    <n v="0.16800000000000001"/>
    <m/>
    <m/>
    <m/>
    <m/>
    <m/>
    <m/>
    <m/>
  </r>
  <r>
    <x v="113"/>
    <s v="All/Dumpsters"/>
    <s v="Single Stream"/>
    <x v="11"/>
    <s v="Deffenbaugh"/>
    <m/>
    <n v="5000"/>
    <n v="2.5"/>
    <m/>
    <m/>
    <m/>
    <m/>
    <m/>
    <m/>
    <m/>
  </r>
  <r>
    <x v="114"/>
    <s v="south compound"/>
    <s v="Metal"/>
    <x v="17"/>
    <s v="Advantage Metal"/>
    <m/>
    <n v="4620"/>
    <n v="2.31"/>
    <n v="9.2499999999999999E-2"/>
    <n v="427.35"/>
    <n v="180"/>
    <n v="247.35"/>
    <s v="TMTiHN"/>
    <m/>
    <m/>
  </r>
  <r>
    <x v="115"/>
    <s v="CC compactor"/>
    <s v="Single Stream"/>
    <x v="11"/>
    <s v="Deffenbaugh"/>
    <m/>
    <n v="7000"/>
    <n v="3.5"/>
    <m/>
    <m/>
    <m/>
    <m/>
    <m/>
    <m/>
    <m/>
  </r>
  <r>
    <x v="116"/>
    <s v="SC compactor"/>
    <s v="Single Stream"/>
    <x v="11"/>
    <s v="Town Country"/>
    <m/>
    <n v="5320"/>
    <n v="2.66"/>
    <n v="49"/>
    <n v="130.34"/>
    <n v="85"/>
    <n v="45.34"/>
    <n v="174786"/>
    <n v="200589"/>
    <d v="2013-03-27T00:00:00"/>
  </r>
  <r>
    <x v="117"/>
    <s v="Warehouse"/>
    <s v="e-waste"/>
    <x v="8"/>
    <s v="Unicor"/>
    <m/>
    <n v="4450"/>
    <n v="2.2250000000000001"/>
    <m/>
    <m/>
    <m/>
    <m/>
    <m/>
    <m/>
    <m/>
  </r>
  <r>
    <x v="118"/>
    <s v="South Compound 20yd"/>
    <s v="Wood"/>
    <x v="28"/>
    <s v="Missouri Organic"/>
    <m/>
    <n v="4840"/>
    <n v="2.42"/>
    <n v="0"/>
    <n v="0"/>
    <n v="210"/>
    <m/>
    <n v="4779"/>
    <m/>
    <m/>
  </r>
  <r>
    <x v="119"/>
    <s v="Warehouse"/>
    <s v="Glass"/>
    <x v="12"/>
    <s v="Ripple"/>
    <m/>
    <n v="336"/>
    <n v="0.16800000000000001"/>
    <m/>
    <m/>
    <m/>
    <m/>
    <m/>
    <m/>
    <m/>
  </r>
  <r>
    <x v="119"/>
    <s v="All/Dumpsters"/>
    <s v="Single Stream"/>
    <x v="11"/>
    <s v="Deffenbaugh"/>
    <m/>
    <n v="5000"/>
    <n v="2.5"/>
    <m/>
    <m/>
    <m/>
    <m/>
    <m/>
    <m/>
    <m/>
  </r>
  <r>
    <x v="119"/>
    <s v="Warehouse"/>
    <s v="e-waste"/>
    <x v="8"/>
    <s v="Vintage Tech"/>
    <m/>
    <n v="1825"/>
    <n v="0.91249999999999998"/>
    <m/>
    <m/>
    <m/>
    <m/>
    <m/>
    <m/>
    <m/>
  </r>
  <r>
    <x v="119"/>
    <s v="All/Dumpsters"/>
    <s v="Single Stream"/>
    <x v="11"/>
    <s v="Town Country"/>
    <m/>
    <n v="17347.2"/>
    <n v="8.6736000000000004"/>
    <m/>
    <m/>
    <m/>
    <m/>
    <m/>
    <m/>
    <m/>
  </r>
  <r>
    <x v="120"/>
    <s v="CC compactor"/>
    <s v="Single Stream"/>
    <x v="11"/>
    <s v="Town Country"/>
    <m/>
    <n v="6760"/>
    <n v="3.38"/>
    <n v="38.5"/>
    <n v="130.13"/>
    <n v="85"/>
    <n v="45.13"/>
    <n v="206154"/>
    <n v="230249"/>
    <d v="2014-04-02T00:00:00"/>
  </r>
  <r>
    <x v="121"/>
    <s v="CC compactor"/>
    <s v="Single Stream"/>
    <x v="11"/>
    <s v="Town Country"/>
    <m/>
    <n v="8740"/>
    <n v="4.37"/>
    <n v="49"/>
    <n v="214.13"/>
    <n v="85"/>
    <n v="129.13"/>
    <n v="176689"/>
    <n v="202290"/>
    <d v="2013-04-17T00:00:00"/>
  </r>
  <r>
    <x v="122"/>
    <s v="Gym"/>
    <s v="Metal"/>
    <x v="17"/>
    <s v="Advantage Metal"/>
    <m/>
    <n v="3160"/>
    <n v="1.58"/>
    <n v="9.5200000000000007E-2"/>
    <n v="331.8"/>
    <n v="180"/>
    <n v="151.80000000000001"/>
    <s v="TNDHHC"/>
    <n v="200106"/>
    <d v="2013-03-20T00:00:00"/>
  </r>
  <r>
    <x v="123"/>
    <s v="Gym"/>
    <s v="Metal"/>
    <x v="17"/>
    <s v="Advantage Metal"/>
    <m/>
    <n v="3580"/>
    <n v="1.79"/>
    <n v="0.105"/>
    <n v="375.9"/>
    <n v="180"/>
    <n v="195.9"/>
    <s v="TNDSXQ"/>
    <n v="200338"/>
    <d v="2013-03-25T00:00:00"/>
  </r>
  <r>
    <x v="124"/>
    <s v="Warehouse"/>
    <s v="Glass"/>
    <x v="12"/>
    <s v="Ripple"/>
    <m/>
    <n v="336"/>
    <n v="0.16800000000000001"/>
    <m/>
    <m/>
    <m/>
    <m/>
    <m/>
    <m/>
    <m/>
  </r>
  <r>
    <x v="125"/>
    <s v="CC compactor"/>
    <s v="Single Stream"/>
    <x v="11"/>
    <s v="Town Country"/>
    <m/>
    <n v="9680"/>
    <n v="4.84"/>
    <n v="49"/>
    <n v="237.16"/>
    <n v="85"/>
    <n v="152.16"/>
    <n v="178626"/>
    <n v="202290"/>
    <d v="2013-04-17T00:00:00"/>
  </r>
  <r>
    <x v="125"/>
    <s v="All/Dumpsters"/>
    <s v="Single Stream"/>
    <x v="11"/>
    <s v="Town Country"/>
    <m/>
    <n v="17347.2"/>
    <n v="8.6736000000000004"/>
    <m/>
    <m/>
    <m/>
    <m/>
    <m/>
    <m/>
    <m/>
  </r>
  <r>
    <x v="126"/>
    <s v="CSB Trailer"/>
    <s v="Paper"/>
    <x v="0"/>
    <s v="Town Country"/>
    <m/>
    <n v="12192"/>
    <n v="6.0960000000000001"/>
    <n v="126"/>
    <n v="768.1"/>
    <n v="100"/>
    <n v="668.1"/>
    <n v="178827"/>
    <n v="207227"/>
    <d v="2013-06-24T00:00:00"/>
  </r>
  <r>
    <x v="126"/>
    <s v="CSB Trailer"/>
    <s v="Cardboard"/>
    <x v="1"/>
    <s v="Town Country"/>
    <m/>
    <n v="448"/>
    <n v="0.224"/>
    <n v="90"/>
    <n v="20.16"/>
    <n v="0"/>
    <n v="20.16"/>
    <n v="178827"/>
    <n v="207227"/>
    <d v="2013-06-24T00:00:00"/>
  </r>
  <r>
    <x v="126"/>
    <s v="CSB Trailer"/>
    <s v="Paper"/>
    <x v="3"/>
    <s v="Town Country"/>
    <m/>
    <n v="187"/>
    <n v="9.35E-2"/>
    <n v="49.5"/>
    <n v="4.6500000000000004"/>
    <n v="0"/>
    <n v="4.6500000000000004"/>
    <n v="178827"/>
    <n v="207227"/>
    <d v="2013-06-24T00:00:00"/>
  </r>
  <r>
    <x v="126"/>
    <s v="CSB Trailer"/>
    <s v="Wood"/>
    <x v="29"/>
    <s v="Town Country"/>
    <m/>
    <n v="902"/>
    <n v="0.45100000000000001"/>
    <n v="0"/>
    <m/>
    <m/>
    <m/>
    <n v="178827"/>
    <n v="207227"/>
    <d v="2013-06-24T00:00:00"/>
  </r>
  <r>
    <x v="126"/>
    <s v="CSB Trailer"/>
    <s v="Single Stream"/>
    <x v="30"/>
    <s v="Town Country"/>
    <m/>
    <n v="1406"/>
    <n v="0.70299999999999996"/>
    <n v="49.52"/>
    <n v="4.6500000000000004"/>
    <n v="0"/>
    <n v="4.6500000000000004"/>
    <n v="178827"/>
    <n v="207227"/>
    <d v="2013-06-24T00:00:00"/>
  </r>
  <r>
    <x v="127"/>
    <s v="South compound 30yd"/>
    <s v="Wood"/>
    <x v="28"/>
    <s v="Missouri Organic"/>
    <m/>
    <n v="3760"/>
    <n v="1.88"/>
    <m/>
    <m/>
    <n v="230"/>
    <m/>
    <m/>
    <m/>
    <m/>
  </r>
  <r>
    <x v="127"/>
    <s v="south compound"/>
    <s v="Metal"/>
    <x v="17"/>
    <s v="Advantage Metal"/>
    <m/>
    <n v="7560"/>
    <n v="3.78"/>
    <n v="0.1"/>
    <n v="756"/>
    <n v="180"/>
    <n v="576"/>
    <s v="TNJSOP"/>
    <m/>
    <m/>
  </r>
  <r>
    <x v="128"/>
    <s v="SC compactor"/>
    <s v="Single Stream"/>
    <x v="11"/>
    <s v="Town Country"/>
    <m/>
    <n v="5540"/>
    <n v="2.77"/>
    <n v="49"/>
    <n v="135.72999999999999"/>
    <n v="85"/>
    <n v="50.73"/>
    <n v="179724"/>
    <n v="207227"/>
    <d v="2013-06-24T00:00:00"/>
  </r>
  <r>
    <x v="129"/>
    <s v="CC compactor"/>
    <s v="Single Stream"/>
    <x v="11"/>
    <s v="Town Country"/>
    <m/>
    <n v="10320"/>
    <n v="5.16"/>
    <n v="49"/>
    <n v="252.84"/>
    <n v="85"/>
    <n v="167.84"/>
    <n v="181018"/>
    <n v="207227"/>
    <d v="2013-06-24T00:00:00"/>
  </r>
  <r>
    <x v="130"/>
    <s v="Warehouse"/>
    <s v="Glass"/>
    <x v="12"/>
    <s v="Ripple"/>
    <m/>
    <n v="336"/>
    <n v="0.16800000000000001"/>
    <m/>
    <m/>
    <m/>
    <m/>
    <m/>
    <m/>
    <m/>
  </r>
  <r>
    <x v="131"/>
    <s v="South compound 30yd"/>
    <s v="Wood"/>
    <x v="28"/>
    <s v="Missouri Organic"/>
    <m/>
    <n v="4740"/>
    <n v="2.37"/>
    <m/>
    <m/>
    <n v="230"/>
    <m/>
    <m/>
    <m/>
    <m/>
  </r>
  <r>
    <x v="131"/>
    <s v="All/Dumpsters"/>
    <s v="Single Stream"/>
    <x v="11"/>
    <s v="Town Country"/>
    <m/>
    <n v="17347.2"/>
    <n v="2.37"/>
    <m/>
    <m/>
    <m/>
    <m/>
    <m/>
    <m/>
    <m/>
  </r>
  <r>
    <x v="132"/>
    <s v="South compound 30yd"/>
    <s v="Wood"/>
    <x v="28"/>
    <s v="Missouri Organic"/>
    <m/>
    <n v="3840"/>
    <n v="1.92"/>
    <m/>
    <m/>
    <n v="230"/>
    <m/>
    <m/>
    <m/>
    <m/>
  </r>
  <r>
    <x v="133"/>
    <s v="south compound"/>
    <s v="Metal"/>
    <x v="17"/>
    <s v="Advantage Metal"/>
    <m/>
    <n v="7000"/>
    <n v="3.5"/>
    <n v="8.5000000000000006E-2"/>
    <n v="595"/>
    <n v="180"/>
    <n v="415"/>
    <s v="TNVQPE"/>
    <n v="205135"/>
    <d v="2013-05-24T00:00:00"/>
  </r>
  <r>
    <x v="133"/>
    <s v="CC compactor"/>
    <s v="Single Stream"/>
    <x v="11"/>
    <s v="Town Country"/>
    <m/>
    <n v="15600"/>
    <n v="7.8"/>
    <n v="45.5"/>
    <n v="354.9"/>
    <n v="85"/>
    <n v="269.89999999999998"/>
    <n v="183227"/>
    <n v="208258"/>
    <d v="2013-07-10T00:00:00"/>
  </r>
  <r>
    <x v="134"/>
    <s v="Warehouse"/>
    <s v="Glass"/>
    <x v="12"/>
    <s v="Ripple"/>
    <m/>
    <n v="336"/>
    <n v="0.16800000000000001"/>
    <m/>
    <m/>
    <m/>
    <m/>
    <m/>
    <m/>
    <m/>
  </r>
  <r>
    <x v="135"/>
    <s v="All/Dumpsters"/>
    <s v="Single Stream"/>
    <x v="11"/>
    <s v="Town Country"/>
    <m/>
    <n v="17347.2"/>
    <n v="7.8"/>
    <m/>
    <m/>
    <m/>
    <m/>
    <m/>
    <m/>
    <m/>
  </r>
  <r>
    <x v="136"/>
    <s v="South compound 30yd"/>
    <s v="Wood"/>
    <x v="28"/>
    <s v="Missouri Organic"/>
    <m/>
    <n v="11140"/>
    <n v="5.57"/>
    <m/>
    <m/>
    <n v="230"/>
    <m/>
    <n v="5790"/>
    <m/>
    <m/>
  </r>
  <r>
    <x v="137"/>
    <s v="Warehouse"/>
    <s v="e-waste"/>
    <x v="8"/>
    <s v="MRC"/>
    <n v="3"/>
    <n v="3013"/>
    <n v="1.5065"/>
    <m/>
    <m/>
    <m/>
    <m/>
    <m/>
    <m/>
    <m/>
  </r>
  <r>
    <x v="138"/>
    <s v="Warehouse"/>
    <s v="e-waste"/>
    <x v="8"/>
    <s v="MRC"/>
    <n v="2"/>
    <n v="1854"/>
    <n v="0.92700000000000005"/>
    <m/>
    <m/>
    <m/>
    <m/>
    <m/>
    <m/>
    <m/>
  </r>
  <r>
    <x v="139"/>
    <s v="CSB Trailer"/>
    <s v="Paper"/>
    <x v="0"/>
    <s v="Town Country"/>
    <m/>
    <n v="13336"/>
    <n v="6.6680000000000001"/>
    <n v="112.5"/>
    <n v="750.15"/>
    <n v="100"/>
    <n v="650.15"/>
    <n v="185343"/>
    <n v="214007"/>
    <d v="2013-09-05T00:00:00"/>
  </r>
  <r>
    <x v="139"/>
    <s v="CSB Trailer"/>
    <s v="Paper"/>
    <x v="0"/>
    <s v="Town Country"/>
    <m/>
    <n v="240"/>
    <n v="0.12"/>
    <n v="81"/>
    <n v="9.7200000000000006"/>
    <n v="0"/>
    <n v="9.7200000000000006"/>
    <n v="185343"/>
    <n v="214007"/>
    <d v="2013-09-05T00:00:00"/>
  </r>
  <r>
    <x v="139"/>
    <s v="CSB Trailer"/>
    <s v="Wood"/>
    <x v="31"/>
    <s v="Town Country"/>
    <m/>
    <n v="664"/>
    <n v="0.33200000000000002"/>
    <n v="0"/>
    <n v="0"/>
    <n v="0"/>
    <n v="0"/>
    <n v="185343"/>
    <n v="214007"/>
    <d v="2013-09-05T00:00:00"/>
  </r>
  <r>
    <x v="140"/>
    <s v="Delivered"/>
    <s v="Metal"/>
    <x v="13"/>
    <s v="Advantage Metal"/>
    <m/>
    <n v="909"/>
    <n v="0.45450000000000002"/>
    <n v="0.65"/>
    <n v="590.85"/>
    <n v="0"/>
    <n v="590.85"/>
    <s v="ZJEHIY"/>
    <n v="206994"/>
    <d v="2013-05-18T00:00:00"/>
  </r>
  <r>
    <x v="140"/>
    <s v="Delivered"/>
    <s v="Metal"/>
    <x v="21"/>
    <s v="Advantage Metal"/>
    <m/>
    <n v="188"/>
    <n v="9.4E-2"/>
    <n v="0.51"/>
    <n v="95.88"/>
    <n v="0"/>
    <n v="95.88"/>
    <s v="ZJEHIY"/>
    <n v="206994"/>
    <d v="2013-05-18T00:00:00"/>
  </r>
  <r>
    <x v="140"/>
    <s v="Delivered"/>
    <s v="Metal"/>
    <x v="32"/>
    <s v="Advantage Metal"/>
    <m/>
    <n v="119"/>
    <n v="5.9499999999999997E-2"/>
    <n v="0.5"/>
    <n v="59.5"/>
    <n v="0"/>
    <n v="59.5"/>
    <s v="ZJEHIY"/>
    <n v="206994"/>
    <d v="2013-05-18T00:00:00"/>
  </r>
  <r>
    <x v="140"/>
    <s v="Delivered"/>
    <s v="Metal"/>
    <x v="23"/>
    <s v="Advantage Metal"/>
    <m/>
    <n v="112"/>
    <n v="5.6000000000000001E-2"/>
    <n v="1.47"/>
    <n v="164.64"/>
    <n v="0"/>
    <n v="164.64"/>
    <s v="ZJEHIY"/>
    <n v="206994"/>
    <d v="2013-05-18T00:00:00"/>
  </r>
  <r>
    <x v="140"/>
    <s v="Delivered"/>
    <s v="Metal"/>
    <x v="33"/>
    <s v="Advantage Metal"/>
    <m/>
    <n v="92"/>
    <n v="4.5999999999999999E-2"/>
    <n v="0.35"/>
    <n v="32.200000000000003"/>
    <n v="0"/>
    <n v="32.200000000000003"/>
    <s v="ZJEHIY"/>
    <n v="206994"/>
    <d v="2013-05-18T00:00:00"/>
  </r>
  <r>
    <x v="141"/>
    <s v="CC compactor"/>
    <s v="Single Stream"/>
    <x v="11"/>
    <s v="Town Country"/>
    <m/>
    <s v="?"/>
    <m/>
    <m/>
    <m/>
    <m/>
    <m/>
    <m/>
    <m/>
    <m/>
  </r>
  <r>
    <x v="142"/>
    <s v="Warehouse"/>
    <s v="Glass"/>
    <x v="12"/>
    <s v="Ripple"/>
    <m/>
    <n v="336"/>
    <n v="0.16800000000000001"/>
    <m/>
    <m/>
    <m/>
    <m/>
    <m/>
    <m/>
    <m/>
  </r>
  <r>
    <x v="143"/>
    <s v="All/Dumpsters"/>
    <s v="Single Stream"/>
    <x v="11"/>
    <s v="Town Country"/>
    <m/>
    <n v="17347.2"/>
    <n v="8.6736000000000004"/>
    <m/>
    <m/>
    <m/>
    <m/>
    <m/>
    <m/>
    <m/>
  </r>
  <r>
    <x v="144"/>
    <s v="Warehouse"/>
    <s v="e-waste"/>
    <x v="8"/>
    <s v="MRC"/>
    <n v="5"/>
    <n v="2724"/>
    <n v="1.3620000000000001"/>
    <m/>
    <m/>
    <m/>
    <m/>
    <m/>
    <m/>
    <m/>
  </r>
  <r>
    <x v="145"/>
    <s v="South compound 30yd"/>
    <s v="Wood"/>
    <x v="28"/>
    <s v="Missouri Organic"/>
    <m/>
    <n v="4380"/>
    <n v="2.19"/>
    <m/>
    <m/>
    <n v="230"/>
    <m/>
    <m/>
    <m/>
    <m/>
  </r>
  <r>
    <x v="146"/>
    <s v="Warehouse"/>
    <s v="Glass"/>
    <x v="12"/>
    <s v="Ripple"/>
    <m/>
    <n v="336"/>
    <n v="0.16800000000000001"/>
    <m/>
    <m/>
    <m/>
    <m/>
    <m/>
    <m/>
    <m/>
  </r>
  <r>
    <x v="147"/>
    <s v="South compound 30yd"/>
    <s v="Wood"/>
    <x v="28"/>
    <s v="Missouri Organic"/>
    <m/>
    <n v="4000"/>
    <n v="2"/>
    <m/>
    <m/>
    <n v="230"/>
    <m/>
    <m/>
    <m/>
    <m/>
  </r>
  <r>
    <x v="147"/>
    <s v="CC compactor"/>
    <s v="Single Stream"/>
    <x v="11"/>
    <s v="Town Country"/>
    <m/>
    <n v="13920"/>
    <n v="6.96"/>
    <n v="38.5"/>
    <n v="267.95999999999998"/>
    <n v="85"/>
    <n v="182.96"/>
    <n v="189503"/>
    <n v="214008"/>
    <d v="2013-09-05T00:00:00"/>
  </r>
  <r>
    <x v="147"/>
    <s v="All/Dumpsters"/>
    <s v="Single Stream"/>
    <x v="11"/>
    <s v="Town Country"/>
    <m/>
    <n v="17347.2"/>
    <n v="8.6736000000000004"/>
    <m/>
    <m/>
    <m/>
    <m/>
    <m/>
    <m/>
    <m/>
  </r>
  <r>
    <x v="148"/>
    <s v="Warehouse"/>
    <s v="e-waste"/>
    <x v="8"/>
    <s v="MRC"/>
    <n v="5"/>
    <n v="2764"/>
    <n v="1.3819999999999999"/>
    <m/>
    <m/>
    <m/>
    <m/>
    <m/>
    <m/>
    <m/>
  </r>
  <r>
    <x v="149"/>
    <s v="south compound"/>
    <s v="Metal"/>
    <x v="17"/>
    <s v="Advantage Metal"/>
    <m/>
    <n v="5880"/>
    <n v="2.94"/>
    <n v="8.5000000000000006E-2"/>
    <n v="499.8"/>
    <n v="180"/>
    <n v="319.8"/>
    <s v="totuhh"/>
    <n v="212215"/>
    <d v="2013-08-16T00:00:00"/>
  </r>
  <r>
    <x v="149"/>
    <s v="Student Center compactor"/>
    <s v="Single Stream"/>
    <x v="11"/>
    <s v="Town Country"/>
    <m/>
    <n v="11740"/>
    <n v="5.87"/>
    <n v="38.5"/>
    <n v="226"/>
    <n v="85"/>
    <n v="141"/>
    <n v="190624"/>
    <n v="216044"/>
    <d v="2013-09-24T00:00:00"/>
  </r>
  <r>
    <x v="150"/>
    <s v="CC compactor"/>
    <s v="Single Stream"/>
    <x v="11"/>
    <s v="Deffenbaugh"/>
    <m/>
    <n v="6160"/>
    <n v="3.08"/>
    <m/>
    <m/>
    <m/>
    <m/>
    <m/>
    <m/>
    <m/>
  </r>
  <r>
    <x v="151"/>
    <s v="South compound 30yd"/>
    <s v="Wood"/>
    <x v="28"/>
    <s v="Missouri Organic"/>
    <m/>
    <n v="5820"/>
    <n v="2.91"/>
    <m/>
    <m/>
    <n v="230"/>
    <m/>
    <m/>
    <m/>
    <m/>
  </r>
  <r>
    <x v="152"/>
    <s v="CSB Trailer"/>
    <s v="Paper"/>
    <x v="0"/>
    <s v="Town Country"/>
    <m/>
    <n v="15060"/>
    <b v="0"/>
    <n v="112.5"/>
    <n v="847.13"/>
    <n v="100"/>
    <n v="747.13"/>
    <n v="191725"/>
    <n v="216044"/>
    <m/>
  </r>
  <r>
    <x v="153"/>
    <s v="Warehouse"/>
    <s v="e-waste"/>
    <x v="9"/>
    <s v="Batteries Solutions"/>
    <m/>
    <n v="8466"/>
    <n v="4.2329999999999997"/>
    <m/>
    <m/>
    <m/>
    <m/>
    <m/>
    <m/>
    <m/>
  </r>
  <r>
    <x v="154"/>
    <s v="CC 8yd"/>
    <s v="Single Stream"/>
    <x v="11"/>
    <s v="Deffenbaugh"/>
    <m/>
    <s v="?"/>
    <m/>
    <m/>
    <m/>
    <m/>
    <n v="0"/>
    <m/>
    <m/>
    <m/>
  </r>
  <r>
    <x v="155"/>
    <s v="Warehouse"/>
    <s v="Glass"/>
    <x v="12"/>
    <s v="Ripple"/>
    <m/>
    <n v="336"/>
    <n v="0.16800000000000001"/>
    <m/>
    <m/>
    <m/>
    <m/>
    <m/>
    <m/>
    <m/>
  </r>
  <r>
    <x v="156"/>
    <s v="All/Dumpsters"/>
    <s v="Single Stream"/>
    <x v="11"/>
    <s v="Town Country"/>
    <m/>
    <n v="17347.2"/>
    <n v="8.6736000000000004"/>
    <m/>
    <m/>
    <m/>
    <m/>
    <m/>
    <m/>
    <m/>
  </r>
  <r>
    <x v="157"/>
    <s v="Delivered"/>
    <s v="Wood"/>
    <x v="31"/>
    <s v="B&amp;T"/>
    <n v="40"/>
    <n v="1480"/>
    <n v="0.74"/>
    <m/>
    <m/>
    <m/>
    <n v="146.5"/>
    <m/>
    <n v="214211"/>
    <d v="2012-09-06T00:00:00"/>
  </r>
  <r>
    <x v="157"/>
    <s v="?"/>
    <s v="Oil"/>
    <x v="34"/>
    <s v="Heritage-Crystal clean"/>
    <m/>
    <m/>
    <m/>
    <m/>
    <m/>
    <m/>
    <n v="151.19999999999999"/>
    <s v="00-005tnj6"/>
    <n v="215103"/>
    <d v="2013-09-13T00:00:00"/>
  </r>
  <r>
    <x v="157"/>
    <s v="Student Center compactor"/>
    <s v="Single Stream"/>
    <x v="11"/>
    <s v="Town Country"/>
    <m/>
    <n v="8940"/>
    <n v="4.47"/>
    <n v="38.5"/>
    <n v="172.1"/>
    <n v="85"/>
    <n v="87.1"/>
    <n v="192498"/>
    <n v="218201"/>
    <d v="2013-10-17T00:00:00"/>
  </r>
  <r>
    <x v="158"/>
    <s v="Warehouse"/>
    <s v="e-waste"/>
    <x v="8"/>
    <s v="MRC"/>
    <n v="6"/>
    <n v="3174"/>
    <n v="1.587"/>
    <m/>
    <m/>
    <m/>
    <m/>
    <m/>
    <m/>
    <m/>
  </r>
  <r>
    <x v="159"/>
    <s v="Warehouse"/>
    <s v="Glass"/>
    <x v="12"/>
    <s v="Ripple"/>
    <m/>
    <n v="336"/>
    <n v="0.16800000000000001"/>
    <m/>
    <m/>
    <m/>
    <m/>
    <m/>
    <m/>
    <m/>
  </r>
  <r>
    <x v="160"/>
    <s v="All/Dumpsters"/>
    <s v="Single Stream"/>
    <x v="11"/>
    <s v="Town Country"/>
    <m/>
    <n v="17347.2"/>
    <n v="8.6736000000000004"/>
    <m/>
    <m/>
    <m/>
    <m/>
    <m/>
    <m/>
    <m/>
  </r>
  <r>
    <x v="161"/>
    <s v="South compound 30yd"/>
    <s v="Wood"/>
    <x v="28"/>
    <s v="Missouri Organic"/>
    <m/>
    <n v="4080"/>
    <n v="2.04"/>
    <m/>
    <m/>
    <n v="230"/>
    <m/>
    <m/>
    <m/>
    <m/>
  </r>
  <r>
    <x v="162"/>
    <s v="Student Center compactor"/>
    <s v="Single Stream"/>
    <x v="11"/>
    <s v="Town Country"/>
    <m/>
    <n v="8920"/>
    <n v="4.46"/>
    <n v="38.5"/>
    <n v="171.71"/>
    <n v="85"/>
    <n v="86.71"/>
    <n v="196037"/>
    <n v="221330"/>
    <d v="2013-12-09T00:00:00"/>
  </r>
  <r>
    <x v="163"/>
    <s v="CC compactor"/>
    <s v="Single Stream"/>
    <x v="11"/>
    <s v="Town Country"/>
    <m/>
    <n v="12140"/>
    <n v="6.07"/>
    <n v="38.5"/>
    <n v="233.7"/>
    <n v="85"/>
    <n v="148.69999999999999"/>
    <n v="196575"/>
    <n v="221330"/>
    <d v="2013-12-09T00:00:00"/>
  </r>
  <r>
    <x v="163"/>
    <s v="CSB Trailer"/>
    <s v="Paper"/>
    <x v="0"/>
    <s v="Town Country"/>
    <m/>
    <n v="15280"/>
    <n v="7.64"/>
    <n v="112.5"/>
    <n v="859.5"/>
    <n v="100"/>
    <n v="759.5"/>
    <n v="200456"/>
    <n v="224655"/>
    <d v="2014-01-14T00:00:00"/>
  </r>
  <r>
    <x v="164"/>
    <s v="Warehouse"/>
    <s v="Glass"/>
    <x v="12"/>
    <s v="Ripple"/>
    <m/>
    <n v="336"/>
    <n v="0.16800000000000001"/>
    <m/>
    <m/>
    <m/>
    <m/>
    <m/>
    <m/>
    <m/>
  </r>
  <r>
    <x v="165"/>
    <s v="Delivered"/>
    <s v="Wood"/>
    <x v="31"/>
    <s v="B&amp;T"/>
    <n v="40"/>
    <n v="1480"/>
    <n v="0.74"/>
    <m/>
    <m/>
    <m/>
    <n v="108.5"/>
    <m/>
    <n v="219248"/>
    <d v="2013-10-31T00:00:00"/>
  </r>
  <r>
    <x v="165"/>
    <s v="All/Dumpsters"/>
    <s v="Single Stream"/>
    <x v="11"/>
    <s v="Town Country"/>
    <m/>
    <n v="17347.2"/>
    <n v="8.6736000000000004"/>
    <m/>
    <m/>
    <m/>
    <m/>
    <m/>
    <m/>
    <m/>
  </r>
  <r>
    <x v="166"/>
    <s v="Delivered"/>
    <s v="Metal"/>
    <x v="17"/>
    <s v="Advantage Metal"/>
    <m/>
    <n v="1259"/>
    <n v="0.62949999999999995"/>
    <n v="8.5000000000000006E-2"/>
    <n v="8.5000000000000006E-2"/>
    <n v="0"/>
    <n v="107.02"/>
    <s v="zkemnw"/>
    <n v="219794"/>
    <d v="2013-11-11T00:00:00"/>
  </r>
  <r>
    <x v="166"/>
    <s v="Delivered"/>
    <s v="Metal"/>
    <x v="32"/>
    <s v="Advantage Metal"/>
    <m/>
    <n v="9"/>
    <n v="4.4999999999999997E-3"/>
    <n v="0.2"/>
    <n v="1.8"/>
    <n v="0"/>
    <n v="1.8"/>
    <s v="zkemnw"/>
    <n v="219794"/>
    <d v="2013-11-11T00:00:00"/>
  </r>
  <r>
    <x v="166"/>
    <s v="Delivered"/>
    <s v="Metal"/>
    <x v="33"/>
    <s v="Advantage Metal"/>
    <m/>
    <n v="400"/>
    <n v="0.2"/>
    <n v="0.35"/>
    <n v="140"/>
    <n v="0"/>
    <n v="140"/>
    <s v="ZJEHIY"/>
    <n v="219794"/>
    <d v="2013-11-11T00:00:00"/>
  </r>
  <r>
    <x v="167"/>
    <s v="south compound"/>
    <s v="Metal"/>
    <x v="17"/>
    <s v="Advantage Metal"/>
    <m/>
    <n v="7680"/>
    <n v="3.84"/>
    <n v="0.09"/>
    <n v="710.4"/>
    <n v="180"/>
    <n v="530.4"/>
    <s v="tpskdo"/>
    <n v="220751"/>
    <d v="2013-11-26T00:00:00"/>
  </r>
  <r>
    <x v="168"/>
    <s v="Warehouse"/>
    <s v="e-waste"/>
    <x v="35"/>
    <s v="Clover Technologies"/>
    <n v="433"/>
    <m/>
    <m/>
    <m/>
    <m/>
    <m/>
    <n v="496.05"/>
    <s v="POC05365"/>
    <n v="221649"/>
    <d v="2013-12-12T00:00:00"/>
  </r>
  <r>
    <x v="169"/>
    <s v="Warehouse"/>
    <s v="e-waste"/>
    <x v="8"/>
    <s v="MRC"/>
    <n v="5"/>
    <n v="1347"/>
    <n v="0.67349999999999999"/>
    <m/>
    <m/>
    <m/>
    <m/>
    <m/>
    <m/>
    <m/>
  </r>
  <r>
    <x v="170"/>
    <s v="South compound 30yd"/>
    <s v="Wood"/>
    <x v="28"/>
    <s v="Missouri Organic"/>
    <m/>
    <n v="3940"/>
    <n v="1.97"/>
    <m/>
    <m/>
    <n v="230"/>
    <m/>
    <m/>
    <m/>
    <m/>
  </r>
  <r>
    <x v="171"/>
    <s v="Delivered"/>
    <s v="Wood"/>
    <x v="31"/>
    <s v="B&amp;T"/>
    <n v="40"/>
    <n v="1480"/>
    <n v="0.74"/>
    <m/>
    <m/>
    <m/>
    <n v="135"/>
    <m/>
    <n v="220587"/>
    <d v="2013-11-22T00:00:00"/>
  </r>
  <r>
    <x v="172"/>
    <s v="Warehouse"/>
    <s v="Glass"/>
    <x v="12"/>
    <s v="Ripple"/>
    <m/>
    <n v="336"/>
    <n v="0.16800000000000001"/>
    <m/>
    <m/>
    <m/>
    <m/>
    <m/>
    <m/>
    <m/>
  </r>
  <r>
    <x v="173"/>
    <s v="All/Dumpsters"/>
    <s v="Single Stream"/>
    <x v="11"/>
    <s v="Town Country"/>
    <m/>
    <n v="17347.2"/>
    <n v="8.6736000000000004"/>
    <m/>
    <m/>
    <m/>
    <m/>
    <m/>
    <m/>
    <m/>
  </r>
  <r>
    <x v="174"/>
    <s v="Delivered"/>
    <s v="Metal"/>
    <x v="17"/>
    <s v="Advantage Metal"/>
    <m/>
    <n v="37"/>
    <n v="1.8499999999999999E-2"/>
    <n v="0.1"/>
    <n v="8.5000000000000006E-2"/>
    <n v="0"/>
    <n v="3.7"/>
    <s v="zkisau"/>
    <n v="221244"/>
    <d v="2013-12-06T00:00:00"/>
  </r>
  <r>
    <x v="174"/>
    <s v="Delivered"/>
    <s v="Metal"/>
    <x v="36"/>
    <s v="Advantage Metal"/>
    <m/>
    <n v="8"/>
    <n v="4.0000000000000001E-3"/>
    <n v="0.2"/>
    <n v="1.8"/>
    <n v="0"/>
    <n v="1.8"/>
    <s v="zkisau"/>
    <n v="221244"/>
    <d v="2013-12-06T00:00:00"/>
  </r>
  <r>
    <x v="174"/>
    <s v="Delivered"/>
    <s v="Metal"/>
    <x v="33"/>
    <s v="Advantage Metal"/>
    <m/>
    <n v="117"/>
    <n v="5.8500000000000003E-2"/>
    <n v="0.32"/>
    <n v="37.44"/>
    <n v="0"/>
    <n v="37.44"/>
    <s v="zkisau"/>
    <n v="221244"/>
    <d v="2013-12-06T00:00:00"/>
  </r>
  <r>
    <x v="174"/>
    <s v="Delivered"/>
    <s v="Metal"/>
    <x v="13"/>
    <s v="Advantage Metal"/>
    <m/>
    <n v="194"/>
    <n v="9.7000000000000003E-2"/>
    <n v="0.48"/>
    <n v="93.12"/>
    <n v="0"/>
    <n v="93.12"/>
    <s v="zkisau"/>
    <n v="221244"/>
    <d v="2013-12-06T00:00:00"/>
  </r>
  <r>
    <x v="174"/>
    <s v="Delivered"/>
    <s v="Metal"/>
    <x v="37"/>
    <s v="Advantage Metal"/>
    <m/>
    <n v="1080"/>
    <n v="0.54"/>
    <n v="0.48"/>
    <n v="518.4"/>
    <m/>
    <n v="518.4"/>
    <s v="zkisau"/>
    <n v="221244"/>
    <d v="2013-12-06T00:00:00"/>
  </r>
  <r>
    <x v="174"/>
    <s v="Delivered"/>
    <s v="Metal"/>
    <x v="38"/>
    <s v="Advantage Metal"/>
    <m/>
    <n v="6"/>
    <n v="3.0000000000000001E-3"/>
    <n v="0.92"/>
    <n v="5.52"/>
    <n v="0"/>
    <n v="5.52"/>
    <s v="zkisau"/>
    <n v="221244"/>
    <d v="2013-12-06T00:00:00"/>
  </r>
  <r>
    <x v="175"/>
    <s v="CSB Trailer"/>
    <s v="Paper"/>
    <x v="0"/>
    <s v="Town Country"/>
    <m/>
    <n v="12655"/>
    <n v="6.33"/>
    <n v="112.5"/>
    <n v="712.33"/>
    <n v="100"/>
    <n v="612.33000000000004"/>
    <n v="202395"/>
    <n v="226509"/>
    <d v="2014-02-06T00:00:00"/>
  </r>
  <r>
    <x v="175"/>
    <s v="CSB Trailer"/>
    <s v="Cardboard"/>
    <x v="1"/>
    <s v="Town Country"/>
    <m/>
    <n v="2625"/>
    <n v="1.3125"/>
    <n v="38.5"/>
    <n v="106.11"/>
    <n v="0"/>
    <n v="106.11"/>
    <n v="202395"/>
    <n v="226509"/>
    <d v="2014-02-06T00:00:00"/>
  </r>
  <r>
    <x v="176"/>
    <s v="CC compactor"/>
    <s v="Single Stream"/>
    <x v="11"/>
    <s v="Town Country"/>
    <m/>
    <n v="9620"/>
    <n v="4.8099999999999996"/>
    <n v="38.5"/>
    <n v="185.19"/>
    <n v="85"/>
    <n v="100.19"/>
    <n v="200165"/>
    <n v="226509"/>
    <d v="2014-02-06T00:00:00"/>
  </r>
  <r>
    <x v="177"/>
    <s v="Delivered"/>
    <s v="Wood"/>
    <x v="31"/>
    <s v="B&amp;T"/>
    <n v="26"/>
    <n v="962"/>
    <n v="0.48099999999999998"/>
    <m/>
    <m/>
    <m/>
    <n v="75"/>
    <m/>
    <n v="221851"/>
    <d v="2013-12-16T00:00:00"/>
  </r>
  <r>
    <x v="178"/>
    <s v="Warehouse"/>
    <s v="Glass"/>
    <x v="12"/>
    <s v="Ripple"/>
    <m/>
    <n v="336"/>
    <n v="0.16800000000000001"/>
    <m/>
    <m/>
    <m/>
    <m/>
    <m/>
    <m/>
    <m/>
  </r>
  <r>
    <x v="179"/>
    <s v="All/Dumpsters"/>
    <s v="Single Stream"/>
    <x v="11"/>
    <s v="Town Country"/>
    <m/>
    <n v="17347.2"/>
    <n v="8.6736000000000004"/>
    <m/>
    <m/>
    <m/>
    <m/>
    <m/>
    <m/>
    <m/>
  </r>
  <r>
    <x v="180"/>
    <s v="Campus"/>
    <s v="Paper"/>
    <x v="0"/>
    <s v="Cintas"/>
    <m/>
    <n v="31015"/>
    <n v="15.5075"/>
    <n v="0"/>
    <n v="0"/>
    <n v="0"/>
    <n v="0"/>
    <n v="0"/>
    <n v="0"/>
    <n v="0"/>
  </r>
  <r>
    <x v="180"/>
    <s v="Book  Store"/>
    <s v="books"/>
    <x v="10"/>
    <s v="One Planet books"/>
    <n v="364"/>
    <n v="21200"/>
    <n v="10.6"/>
    <m/>
    <m/>
    <m/>
    <n v="3640"/>
    <m/>
    <m/>
    <m/>
  </r>
  <r>
    <x v="181"/>
    <s v="Warehouse"/>
    <s v="e-waste"/>
    <x v="8"/>
    <s v="MRC"/>
    <n v="4"/>
    <n v="2175"/>
    <n v="1.0874999999999999"/>
    <m/>
    <m/>
    <m/>
    <m/>
    <m/>
    <m/>
    <m/>
  </r>
  <r>
    <x v="181"/>
    <s v="Delivered"/>
    <s v="Wood"/>
    <x v="31"/>
    <s v="B&amp;T"/>
    <n v="30"/>
    <n v="1110"/>
    <n v="0.55500000000000005"/>
    <m/>
    <m/>
    <m/>
    <n v="78"/>
    <m/>
    <n v="225221"/>
    <d v="2014-01-17T00:00:00"/>
  </r>
  <r>
    <x v="181"/>
    <s v="CC compactor"/>
    <s v="Single Stream"/>
    <x v="11"/>
    <s v="Town Country"/>
    <m/>
    <m/>
    <n v="6.35"/>
    <n v="38.5"/>
    <n v="244.48"/>
    <n v="85"/>
    <n v="159.47999999999999"/>
    <n v="203004"/>
    <n v="227605"/>
    <d v="2014-02-19T00:00:00"/>
  </r>
  <r>
    <x v="182"/>
    <s v="Student Center compactor"/>
    <s v="Single Stream"/>
    <x v="11"/>
    <s v="Town Country"/>
    <m/>
    <m/>
    <n v="4.45"/>
    <n v="38.5"/>
    <n v="171.33"/>
    <n v="85"/>
    <n v="88.33"/>
    <n v="203287"/>
    <n v="227605"/>
    <d v="2014-02-19T00:00:00"/>
  </r>
  <r>
    <x v="183"/>
    <s v="South compound 30yd"/>
    <s v="Wood"/>
    <x v="28"/>
    <s v="Missouri Organic"/>
    <m/>
    <n v="2840"/>
    <n v="1.42"/>
    <m/>
    <m/>
    <n v="230"/>
    <m/>
    <m/>
    <m/>
    <m/>
  </r>
  <r>
    <x v="183"/>
    <s v="Warehouse"/>
    <s v="Glass"/>
    <x v="12"/>
    <s v="Ripple"/>
    <m/>
    <n v="336"/>
    <n v="0.16800000000000001"/>
    <m/>
    <m/>
    <m/>
    <m/>
    <m/>
    <m/>
    <m/>
  </r>
  <r>
    <x v="184"/>
    <s v="All/Dumpsters"/>
    <s v="Single Stream"/>
    <x v="11"/>
    <s v="Town Country"/>
    <m/>
    <n v="17347.2"/>
    <n v="8.6736000000000004"/>
    <m/>
    <m/>
    <m/>
    <m/>
    <m/>
    <m/>
    <m/>
  </r>
  <r>
    <x v="185"/>
    <s v="CSB Trailer"/>
    <s v="Paper"/>
    <x v="0"/>
    <s v="Town Country"/>
    <m/>
    <n v="14962"/>
    <n v="7.4809999999999999"/>
    <n v="121.5"/>
    <n v="908.94150000000002"/>
    <n v="100"/>
    <n v="808.94150000000002"/>
    <n v="204775"/>
    <n v="229855"/>
    <d v="2014-03-26T00:00:00"/>
  </r>
  <r>
    <x v="185"/>
    <s v="CSB Trailer"/>
    <s v="Cardboard"/>
    <x v="1"/>
    <s v="Town Country"/>
    <m/>
    <n v="769"/>
    <n v="0.38"/>
    <n v="81"/>
    <n v="30.78"/>
    <n v="0"/>
    <n v="30.78"/>
    <n v="204775"/>
    <n v="229855"/>
    <d v="2014-03-26T00:00:00"/>
  </r>
  <r>
    <x v="185"/>
    <s v="CSB Trailer"/>
    <s v="Paper"/>
    <x v="0"/>
    <s v="Town Country"/>
    <m/>
    <n v="1380"/>
    <n v="0.69"/>
    <n v="0"/>
    <n v="0"/>
    <m/>
    <n v="0"/>
    <n v="204775"/>
    <n v="229855"/>
    <d v="2014-03-26T00:00:00"/>
  </r>
  <r>
    <x v="186"/>
    <s v="South compound 30yd"/>
    <s v="Wood"/>
    <x v="28"/>
    <s v="Missouri Organic"/>
    <m/>
    <n v="4100"/>
    <n v="2.0499999999999998"/>
    <m/>
    <m/>
    <n v="230"/>
    <m/>
    <m/>
    <m/>
    <m/>
  </r>
  <r>
    <x v="187"/>
    <s v="Delivered"/>
    <s v="Wood"/>
    <x v="31"/>
    <s v="B&amp;T"/>
    <n v="40"/>
    <n v="1480"/>
    <n v="0.74"/>
    <m/>
    <m/>
    <m/>
    <n v="95"/>
    <m/>
    <n v="228337"/>
    <d v="2014-02-28T00:00:00"/>
  </r>
  <r>
    <x v="188"/>
    <s v="All/Dumpsters"/>
    <s v="Single Stream"/>
    <x v="11"/>
    <s v="Town Country"/>
    <m/>
    <n v="17347.2"/>
    <n v="8.6736000000000004"/>
    <m/>
    <m/>
    <m/>
    <m/>
    <m/>
    <m/>
    <m/>
  </r>
  <r>
    <x v="188"/>
    <s v="Warehouse"/>
    <s v="Glass"/>
    <x v="12"/>
    <s v="Ripple"/>
    <m/>
    <n v="336"/>
    <n v="0.16800000000000001"/>
    <m/>
    <m/>
    <m/>
    <m/>
    <m/>
    <m/>
    <m/>
  </r>
  <r>
    <x v="189"/>
    <s v="south compound"/>
    <s v="Metal"/>
    <x v="17"/>
    <s v="Advantage Metal"/>
    <m/>
    <n v="6400"/>
    <n v="3.2"/>
    <n v="9.2499999999999999E-2"/>
    <n v="592"/>
    <n v="180"/>
    <n v="412"/>
    <s v="tqtebj"/>
    <n v="228772"/>
    <d v="2014-03-07T00:00:00"/>
  </r>
  <r>
    <x v="190"/>
    <s v="Delivered"/>
    <s v="Wood"/>
    <x v="31"/>
    <s v="B&amp;T"/>
    <n v="30"/>
    <n v="1110"/>
    <n v="0.55500000000000005"/>
    <m/>
    <m/>
    <m/>
    <n v="61"/>
    <m/>
    <n v="229441"/>
    <d v="2014-03-19T00:00:00"/>
  </r>
  <r>
    <x v="190"/>
    <s v="Delivered"/>
    <s v="Metal"/>
    <x v="17"/>
    <s v="Advantage Metal"/>
    <m/>
    <n v="120"/>
    <n v="0.06"/>
    <n v="9.2499999999999999E-2"/>
    <n v="11.1"/>
    <n v="0"/>
    <n v="11.1"/>
    <s v="zkyevx"/>
    <n v="229442"/>
    <d v="2014-03-19T00:00:00"/>
  </r>
  <r>
    <x v="190"/>
    <s v="Delivered"/>
    <s v="Metal"/>
    <x v="39"/>
    <s v="Advantage Metal"/>
    <m/>
    <n v="5"/>
    <n v="2.5000000000000001E-3"/>
    <n v="0.15"/>
    <n v="0.75"/>
    <n v="0"/>
    <n v="0.75"/>
    <s v="zkyevx"/>
    <n v="229442"/>
    <d v="2014-03-19T00:00:00"/>
  </r>
  <r>
    <x v="190"/>
    <s v="Delivered"/>
    <s v="Metal"/>
    <x v="22"/>
    <s v="Advantage Metal"/>
    <m/>
    <n v="46"/>
    <n v="2.3E-2"/>
    <n v="0.44"/>
    <n v="20.239999999999998"/>
    <n v="0"/>
    <n v="20.239999999999998"/>
    <s v="zkyevx"/>
    <n v="229442"/>
    <d v="2014-03-19T00:00:00"/>
  </r>
  <r>
    <x v="190"/>
    <s v="Delivered"/>
    <s v="Metal"/>
    <x v="40"/>
    <s v="Advantage Metal"/>
    <m/>
    <n v="39"/>
    <n v="1.95E-2"/>
    <n v="0.38"/>
    <n v="14.82"/>
    <n v="0"/>
    <n v="14.82"/>
    <s v="zkyevx"/>
    <n v="229442"/>
    <d v="2014-03-19T00:00:00"/>
  </r>
  <r>
    <x v="190"/>
    <s v="Delivered"/>
    <s v="Metal"/>
    <x v="41"/>
    <s v="Advantage Metal"/>
    <m/>
    <n v="6"/>
    <n v="3.0000000000000001E-3"/>
    <n v="0.54"/>
    <n v="3.24"/>
    <n v="0"/>
    <n v="3.24"/>
    <s v="zkyevx"/>
    <n v="229442"/>
    <d v="2014-03-19T00:00:00"/>
  </r>
  <r>
    <x v="191"/>
    <s v="CSB Trailer"/>
    <s v="Paper"/>
    <x v="0"/>
    <s v="Town Country"/>
    <m/>
    <n v="16220"/>
    <n v="8.11"/>
    <n v="121.5"/>
    <n v="985.3649999999999"/>
    <n v="100"/>
    <n v="885.3649999999999"/>
    <n v="204775"/>
    <n v="231943"/>
    <d v="2014-04-29T00:00:00"/>
  </r>
  <r>
    <x v="191"/>
    <s v="CSB Trailer"/>
    <s v="Cardboard"/>
    <x v="1"/>
    <s v="Town Country"/>
    <m/>
    <n v="230"/>
    <n v="0.12"/>
    <n v="90"/>
    <n v="10.799999999999999"/>
    <n v="0"/>
    <n v="10.799999999999999"/>
    <n v="204775"/>
    <n v="231943"/>
    <d v="2014-04-29T00:00:00"/>
  </r>
  <r>
    <x v="191"/>
    <s v="CSB Trailer"/>
    <s v="Paper"/>
    <x v="42"/>
    <s v="Town Country"/>
    <m/>
    <n v="693"/>
    <n v="0.35"/>
    <n v="49.5"/>
    <n v="17.324999999999999"/>
    <m/>
    <n v="17.324999999999999"/>
    <n v="204775"/>
    <n v="231943"/>
    <d v="2014-04-29T00:00:00"/>
  </r>
  <r>
    <x v="191"/>
    <s v="Warehouse"/>
    <s v="Glass"/>
    <x v="12"/>
    <s v="Ripple"/>
    <m/>
    <n v="336"/>
    <n v="0.16800000000000001"/>
    <m/>
    <m/>
    <m/>
    <m/>
    <m/>
    <m/>
    <m/>
  </r>
  <r>
    <x v="191"/>
    <s v="All/Dumpsters"/>
    <s v="Single Stream"/>
    <x v="11"/>
    <s v="Town Country"/>
    <m/>
    <n v="17347.2"/>
    <n v="8.6736000000000004"/>
    <m/>
    <m/>
    <m/>
    <m/>
    <m/>
    <m/>
    <m/>
  </r>
  <r>
    <x v="192"/>
    <s v="Campus"/>
    <s v="Paper"/>
    <x v="0"/>
    <s v="Cintas"/>
    <m/>
    <n v="11800"/>
    <n v="5.9"/>
    <m/>
    <m/>
    <m/>
    <m/>
    <m/>
    <m/>
    <m/>
  </r>
  <r>
    <x v="193"/>
    <s v="South compound 30yd"/>
    <s v="Wood"/>
    <x v="28"/>
    <s v="Missouri Organic"/>
    <m/>
    <n v="4200"/>
    <n v="2.1"/>
    <m/>
    <m/>
    <n v="230"/>
    <m/>
    <m/>
    <m/>
    <m/>
  </r>
  <r>
    <x v="193"/>
    <s v="CC compactor"/>
    <s v="Single Stream"/>
    <x v="11"/>
    <s v="Town Country"/>
    <m/>
    <n v="11480"/>
    <n v="5.74"/>
    <n v="38.5"/>
    <n v="220.99"/>
    <n v="85"/>
    <n v="135.99"/>
    <n v="209088"/>
    <n v="232243"/>
    <d v="2014-05-05T00:00:00"/>
  </r>
  <r>
    <x v="194"/>
    <s v="Warehouse"/>
    <s v="e-waste"/>
    <x v="35"/>
    <s v="Clover Technologies"/>
    <n v="587"/>
    <m/>
    <m/>
    <m/>
    <m/>
    <m/>
    <n v="830.7"/>
    <s v="POC06493"/>
    <n v="231894"/>
    <d v="2014-04-28T00:00:00"/>
  </r>
  <r>
    <x v="195"/>
    <s v="Delivered"/>
    <s v="Wood"/>
    <x v="31"/>
    <s v="B&amp;T"/>
    <n v="40"/>
    <n v="1480"/>
    <n v="0.74"/>
    <m/>
    <m/>
    <m/>
    <n v="143"/>
    <m/>
    <n v="231941"/>
    <d v="2014-04-29T00:00:00"/>
  </r>
  <r>
    <x v="195"/>
    <s v="Warehouse"/>
    <s v="Glass"/>
    <x v="12"/>
    <s v="Ripple"/>
    <m/>
    <n v="336"/>
    <n v="0.16800000000000001"/>
    <m/>
    <m/>
    <m/>
    <m/>
    <m/>
    <m/>
    <m/>
  </r>
  <r>
    <x v="195"/>
    <s v="All/Dumpsters"/>
    <s v="Single Stream"/>
    <x v="11"/>
    <s v="Town Country"/>
    <m/>
    <n v="17347.2"/>
    <n v="8.6736000000000004"/>
    <m/>
    <m/>
    <m/>
    <m/>
    <m/>
    <m/>
    <m/>
  </r>
  <r>
    <x v="196"/>
    <s v="Warehouse"/>
    <s v="e-waste"/>
    <x v="8"/>
    <s v="MRC"/>
    <n v="4"/>
    <n v="2863"/>
    <n v="1.4315"/>
    <m/>
    <m/>
    <m/>
    <m/>
    <m/>
    <m/>
    <m/>
  </r>
  <r>
    <x v="197"/>
    <s v="South compound 30yd"/>
    <s v="Wood"/>
    <x v="28"/>
    <s v="Missouri Organic"/>
    <m/>
    <n v="5160"/>
    <n v="2.58"/>
    <m/>
    <m/>
    <n v="230"/>
    <m/>
    <m/>
    <m/>
    <m/>
  </r>
  <r>
    <x v="198"/>
    <s v="CC compactor"/>
    <s v="Single Stream"/>
    <x v="11"/>
    <s v="Town Country"/>
    <m/>
    <n v="14300"/>
    <n v="7.15"/>
    <n v="38.5"/>
    <n v="289.14"/>
    <n v="85"/>
    <n v="204.14"/>
    <n v="212936"/>
    <n v="236057"/>
    <d v="2014-05-30T00:00:00"/>
  </r>
  <r>
    <x v="199"/>
    <s v="Warehouse"/>
    <s v="Glass"/>
    <x v="12"/>
    <s v="Ripple"/>
    <m/>
    <n v="336"/>
    <n v="0.16800000000000001"/>
    <m/>
    <m/>
    <m/>
    <m/>
    <m/>
    <m/>
    <m/>
  </r>
  <r>
    <x v="199"/>
    <s v="All/Dumpsters"/>
    <s v="Single Stream"/>
    <x v="11"/>
    <s v="Town Country"/>
    <m/>
    <n v="17347.2"/>
    <n v="8.6736000000000004"/>
    <m/>
    <m/>
    <m/>
    <m/>
    <m/>
    <m/>
    <m/>
  </r>
  <r>
    <x v="200"/>
    <s v="south compound"/>
    <s v="Metal"/>
    <x v="17"/>
    <s v="Advantage Metal"/>
    <m/>
    <n v="10500"/>
    <n v="5.25"/>
    <n v="8.7499999999999994E-2"/>
    <n v="918.74999999999989"/>
    <n v="180"/>
    <n v="738.75"/>
    <s v="TRRVMQ"/>
    <n v="234870"/>
    <d v="2014-06-03T00:00:00"/>
  </r>
  <r>
    <x v="201"/>
    <s v="Student Center compactor"/>
    <s v="Single Stream"/>
    <x v="11"/>
    <s v="Town Country"/>
    <m/>
    <n v="11420"/>
    <n v="5.71"/>
    <n v="72"/>
    <n v="411.12"/>
    <n v="85"/>
    <n v="326.12"/>
    <n v="21104"/>
    <n v="237009"/>
    <d v="2014-07-22T00:00:00"/>
  </r>
  <r>
    <x v="202"/>
    <s v="Delivered"/>
    <s v="Metal"/>
    <x v="39"/>
    <s v="Advantage Metal"/>
    <m/>
    <n v="298"/>
    <n v="0.14899999999999999"/>
    <n v="0.45"/>
    <n v="134.1"/>
    <n v="0"/>
    <n v="134.1"/>
    <s v="zlowml"/>
    <n v="235686"/>
    <d v="2014-06-19T00:00:00"/>
  </r>
  <r>
    <x v="202"/>
    <s v="Delivered"/>
    <s v="Metal"/>
    <x v="43"/>
    <s v="Advantage Metal"/>
    <m/>
    <n v="231"/>
    <n v="0.11550000000000001"/>
    <n v="0.57999999999999996"/>
    <n v="133.97999999999999"/>
    <n v="0"/>
    <n v="133.97999999999999"/>
    <s v="zlowml"/>
    <n v="235686"/>
    <d v="2014-06-19T00:00:00"/>
  </r>
  <r>
    <x v="202"/>
    <s v="Delivered"/>
    <s v="Metal"/>
    <x v="44"/>
    <s v="Advantage Metal"/>
    <m/>
    <n v="114"/>
    <n v="5.7000000000000002E-2"/>
    <n v="0.6"/>
    <n v="68.399999999999991"/>
    <n v="0"/>
    <n v="68.399999999999991"/>
    <s v="zlowml"/>
    <n v="235686"/>
    <d v="2014-06-19T00:00:00"/>
  </r>
  <r>
    <x v="202"/>
    <s v="Delivered"/>
    <s v="Metal"/>
    <x v="45"/>
    <s v="Advantage Metal"/>
    <m/>
    <n v="26"/>
    <n v="1.2999999999999999E-2"/>
    <n v="1.75"/>
    <n v="45.5"/>
    <n v="0"/>
    <n v="45.5"/>
    <s v="zlowml"/>
    <n v="235686"/>
    <d v="2014-06-19T00:00:00"/>
  </r>
  <r>
    <x v="202"/>
    <s v="Delivered"/>
    <s v="Metal"/>
    <x v="46"/>
    <s v="Advantage Metal"/>
    <m/>
    <n v="953"/>
    <n v="0.47649999999999998"/>
    <n v="0.84"/>
    <n v="800.52"/>
    <n v="0"/>
    <n v="800.52"/>
    <s v="zlowml"/>
    <n v="235686"/>
    <d v="2014-06-19T00:00:00"/>
  </r>
  <r>
    <x v="203"/>
    <s v="CSB Trailer"/>
    <s v="Paper"/>
    <x v="0"/>
    <s v="Town Country"/>
    <m/>
    <n v="6840"/>
    <n v="3.42"/>
    <n v="121.5"/>
    <n v="415.53"/>
    <n v="100"/>
    <n v="315.52999999999997"/>
    <n v="22279"/>
    <n v="237009"/>
    <d v="2014-07-22T00:00:00"/>
  </r>
  <r>
    <x v="203"/>
    <s v="CSB Trailer"/>
    <s v="Cardboard"/>
    <x v="1"/>
    <s v="Town Country"/>
    <m/>
    <n v="269"/>
    <n v="0.13"/>
    <n v="72"/>
    <n v="9.36"/>
    <n v="0"/>
    <n v="9.36"/>
    <n v="22279"/>
    <n v="237009"/>
    <d v="2014-07-22T00:00:00"/>
  </r>
  <r>
    <x v="203"/>
    <s v="CSB Trailer"/>
    <s v="Paper"/>
    <x v="42"/>
    <s v="Town Country"/>
    <m/>
    <n v="8719"/>
    <n v="4.3600000000000003"/>
    <n v="49.5"/>
    <n v="215.82000000000002"/>
    <m/>
    <n v="215.82000000000002"/>
    <n v="22279"/>
    <n v="237009"/>
    <d v="2014-07-22T00:00:00"/>
  </r>
  <r>
    <x v="204"/>
    <s v="Warehouse"/>
    <s v="Glass"/>
    <x v="12"/>
    <s v="Ripple"/>
    <m/>
    <n v="336"/>
    <n v="0.16800000000000001"/>
    <m/>
    <m/>
    <m/>
    <m/>
    <m/>
    <m/>
    <m/>
  </r>
  <r>
    <x v="204"/>
    <s v="All/Dumpsters"/>
    <s v="Single Stream"/>
    <x v="11"/>
    <s v="Town Country"/>
    <m/>
    <n v="17347.2"/>
    <n v="8.6736000000000004"/>
    <m/>
    <m/>
    <m/>
    <m/>
    <m/>
    <m/>
    <m/>
  </r>
  <r>
    <x v="205"/>
    <s v="Campus"/>
    <s v="Paper"/>
    <x v="0"/>
    <s v="Cintas"/>
    <m/>
    <n v="24786"/>
    <n v="12.393000000000001"/>
    <m/>
    <m/>
    <m/>
    <m/>
    <m/>
    <m/>
    <m/>
  </r>
  <r>
    <x v="206"/>
    <s v="CC compactor"/>
    <s v="Single Stream"/>
    <x v="11"/>
    <s v="Town Country"/>
    <m/>
    <m/>
    <m/>
    <m/>
    <m/>
    <m/>
    <m/>
    <m/>
    <m/>
    <m/>
  </r>
  <r>
    <x v="207"/>
    <s v="Warehouse"/>
    <s v="Glass"/>
    <x v="12"/>
    <s v="Ripple"/>
    <m/>
    <n v="336"/>
    <n v="0.16800000000000001"/>
    <m/>
    <m/>
    <m/>
    <m/>
    <m/>
    <m/>
    <m/>
  </r>
  <r>
    <x v="207"/>
    <s v="All/Dumpsters"/>
    <s v="Single Stream"/>
    <x v="11"/>
    <s v="Town Country"/>
    <m/>
    <n v="17347.2"/>
    <n v="8.6736000000000004"/>
    <m/>
    <m/>
    <m/>
    <m/>
    <m/>
    <m/>
    <m/>
  </r>
  <r>
    <x v="208"/>
    <s v="South compound 30yd"/>
    <s v="Wood"/>
    <x v="28"/>
    <s v="Missouri Organic"/>
    <m/>
    <n v="3360"/>
    <n v="1.68"/>
    <m/>
    <m/>
    <n v="230"/>
    <m/>
    <n v="8899"/>
    <m/>
    <m/>
  </r>
  <r>
    <x v="209"/>
    <s v="Warehouse"/>
    <s v="e-waste"/>
    <x v="8"/>
    <s v="MRC"/>
    <n v="5"/>
    <n v="1500"/>
    <n v="0.75"/>
    <m/>
    <m/>
    <m/>
    <m/>
    <m/>
    <m/>
    <m/>
  </r>
  <r>
    <x v="210"/>
    <s v="Warehouse"/>
    <s v="e-waste"/>
    <x v="8"/>
    <s v="MRC"/>
    <n v="9"/>
    <n v="3538"/>
    <n v="1.7689999999999999"/>
    <m/>
    <m/>
    <m/>
    <m/>
    <m/>
    <m/>
    <m/>
  </r>
  <r>
    <x v="210"/>
    <s v="CC compactor"/>
    <s v="Single Stream"/>
    <x v="11"/>
    <s v="Town Country"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5">
  <r>
    <x v="0"/>
    <s v="CSB  paper trailer"/>
    <s v="Paper"/>
    <x v="0"/>
    <s v="Batliner"/>
    <m/>
    <n v="3240"/>
    <n v="1.62"/>
    <m/>
    <m/>
    <m/>
    <n v="205.44"/>
    <m/>
    <m/>
    <m/>
  </r>
  <r>
    <x v="0"/>
    <s v="Warehouse"/>
    <s v="Cardboard"/>
    <x v="1"/>
    <s v="Batliner"/>
    <m/>
    <n v="4840"/>
    <n v="2.42"/>
    <m/>
    <m/>
    <m/>
    <m/>
    <m/>
    <m/>
    <m/>
  </r>
  <r>
    <x v="0"/>
    <s v="CSB  paper trailer"/>
    <s v="Plastic"/>
    <x v="2"/>
    <s v="Batliner"/>
    <m/>
    <n v="420"/>
    <n v="0.21"/>
    <m/>
    <m/>
    <m/>
    <m/>
    <m/>
    <m/>
    <m/>
  </r>
  <r>
    <x v="1"/>
    <s v="CSB  paper trailer"/>
    <s v="Paper"/>
    <x v="0"/>
    <s v="Batliner"/>
    <m/>
    <n v="10090"/>
    <n v="5.0449999999999999"/>
    <m/>
    <m/>
    <m/>
    <n v="761.54"/>
    <m/>
    <m/>
    <m/>
  </r>
  <r>
    <x v="1"/>
    <s v="CSB  paper trailer"/>
    <s v="Paper"/>
    <x v="3"/>
    <s v="Batliner"/>
    <m/>
    <n v="11220"/>
    <n v="5.61"/>
    <m/>
    <m/>
    <m/>
    <m/>
    <m/>
    <m/>
    <m/>
  </r>
  <r>
    <x v="1"/>
    <s v="Warehouse"/>
    <s v="Cardboard"/>
    <x v="1"/>
    <s v="Batliner"/>
    <m/>
    <n v="3340"/>
    <n v="1.67"/>
    <m/>
    <m/>
    <m/>
    <m/>
    <m/>
    <m/>
    <m/>
  </r>
  <r>
    <x v="1"/>
    <s v="CSB  paper trailer"/>
    <s v="Plastic"/>
    <x v="2"/>
    <s v="Batliner"/>
    <m/>
    <n v="620"/>
    <n v="0.31"/>
    <m/>
    <m/>
    <m/>
    <m/>
    <m/>
    <m/>
    <m/>
  </r>
  <r>
    <x v="2"/>
    <s v="CSB  paper trailer"/>
    <s v="Paper"/>
    <x v="4"/>
    <s v="Batliner"/>
    <m/>
    <n v="750"/>
    <n v="0.375"/>
    <m/>
    <m/>
    <m/>
    <m/>
    <m/>
    <m/>
    <m/>
  </r>
  <r>
    <x v="2"/>
    <s v="CSB  paper trailer"/>
    <s v="Paper"/>
    <x v="5"/>
    <s v="Batliner"/>
    <m/>
    <n v="1260"/>
    <n v="0.63"/>
    <m/>
    <m/>
    <m/>
    <m/>
    <m/>
    <m/>
    <m/>
  </r>
  <r>
    <x v="2"/>
    <s v="CSB  paper trailer"/>
    <s v="Paper"/>
    <x v="0"/>
    <s v="Batliner"/>
    <m/>
    <n v="8000"/>
    <n v="4"/>
    <m/>
    <m/>
    <m/>
    <n v="941.95"/>
    <m/>
    <m/>
    <m/>
  </r>
  <r>
    <x v="2"/>
    <s v="CSB  paper trailer"/>
    <s v="Paper"/>
    <x v="3"/>
    <s v="Batliner"/>
    <m/>
    <n v="20660"/>
    <n v="10.33"/>
    <m/>
    <m/>
    <m/>
    <m/>
    <m/>
    <m/>
    <m/>
  </r>
  <r>
    <x v="2"/>
    <s v="CSB  paper trailer"/>
    <s v="Paper"/>
    <x v="6"/>
    <s v="Batliner"/>
    <m/>
    <n v="800"/>
    <n v="0.4"/>
    <m/>
    <m/>
    <m/>
    <m/>
    <m/>
    <m/>
    <m/>
  </r>
  <r>
    <x v="2"/>
    <s v="Warehouse"/>
    <s v="Cardboard"/>
    <x v="1"/>
    <s v="Batliner"/>
    <m/>
    <n v="6150"/>
    <n v="3.0750000000000002"/>
    <m/>
    <m/>
    <m/>
    <m/>
    <m/>
    <m/>
    <m/>
  </r>
  <r>
    <x v="2"/>
    <s v="CSB  paper trailer"/>
    <s v="Plastic"/>
    <x v="2"/>
    <s v="Batliner"/>
    <m/>
    <n v="1720"/>
    <n v="0.86"/>
    <m/>
    <m/>
    <m/>
    <m/>
    <m/>
    <m/>
    <m/>
  </r>
  <r>
    <x v="3"/>
    <s v="CSB  paper trailer"/>
    <s v="Paper"/>
    <x v="0"/>
    <s v="Batliner"/>
    <m/>
    <n v="2880"/>
    <n v="1.44"/>
    <m/>
    <m/>
    <m/>
    <n v="244.85"/>
    <m/>
    <m/>
    <m/>
  </r>
  <r>
    <x v="3"/>
    <s v="Warehouse"/>
    <s v="Cardboard"/>
    <x v="1"/>
    <s v="Batliner"/>
    <m/>
    <n v="6260"/>
    <n v="3.13"/>
    <m/>
    <m/>
    <m/>
    <m/>
    <m/>
    <m/>
    <m/>
  </r>
  <r>
    <x v="3"/>
    <s v="CSB  paper trailer"/>
    <s v="Plastic"/>
    <x v="2"/>
    <s v="Batliner"/>
    <m/>
    <n v="960"/>
    <n v="0.48"/>
    <m/>
    <m/>
    <m/>
    <m/>
    <m/>
    <m/>
    <m/>
  </r>
  <r>
    <x v="4"/>
    <s v="CSB  paper trailer"/>
    <s v="Paper"/>
    <x v="0"/>
    <s v="Batliner"/>
    <m/>
    <n v="7420"/>
    <n v="3.71"/>
    <m/>
    <m/>
    <m/>
    <n v="413.97"/>
    <m/>
    <m/>
    <m/>
  </r>
  <r>
    <x v="4"/>
    <s v="CSB  paper trailer"/>
    <s v="Paper"/>
    <x v="7"/>
    <s v="Batliner"/>
    <m/>
    <n v="12410"/>
    <n v="6.2050000000000001"/>
    <m/>
    <m/>
    <m/>
    <m/>
    <m/>
    <m/>
    <m/>
  </r>
  <r>
    <x v="4"/>
    <s v="Warehouse"/>
    <s v="Cardboard"/>
    <x v="1"/>
    <s v="Batliner"/>
    <m/>
    <n v="2440"/>
    <n v="1.22"/>
    <m/>
    <m/>
    <m/>
    <m/>
    <m/>
    <m/>
    <m/>
  </r>
  <r>
    <x v="4"/>
    <s v="CSB  paper trailer"/>
    <s v="Plastic"/>
    <x v="2"/>
    <s v="Batliner"/>
    <m/>
    <n v="580"/>
    <n v="0.28999999999999998"/>
    <m/>
    <m/>
    <m/>
    <m/>
    <m/>
    <m/>
    <m/>
  </r>
  <r>
    <x v="4"/>
    <s v="CSB  paper trailer"/>
    <s v="Paper"/>
    <x v="3"/>
    <s v="Batliner"/>
    <m/>
    <n v="780"/>
    <n v="0.39"/>
    <m/>
    <m/>
    <m/>
    <m/>
    <m/>
    <m/>
    <m/>
  </r>
  <r>
    <x v="5"/>
    <s v="CSB  paper trailer"/>
    <s v="Paper"/>
    <x v="0"/>
    <s v="Batliner"/>
    <m/>
    <n v="14760"/>
    <n v="7.38"/>
    <m/>
    <m/>
    <m/>
    <n v="728.77"/>
    <m/>
    <m/>
    <m/>
  </r>
  <r>
    <x v="5"/>
    <s v="CSB  paper trailer"/>
    <s v="Paper"/>
    <x v="3"/>
    <s v="Batliner"/>
    <m/>
    <n v="7970"/>
    <n v="3.9849999999999999"/>
    <m/>
    <m/>
    <m/>
    <m/>
    <m/>
    <m/>
    <m/>
  </r>
  <r>
    <x v="5"/>
    <s v="Warehouse"/>
    <s v="Cardboard"/>
    <x v="1"/>
    <s v="Batliner"/>
    <m/>
    <n v="4680"/>
    <n v="2.34"/>
    <m/>
    <m/>
    <m/>
    <m/>
    <m/>
    <m/>
    <m/>
  </r>
  <r>
    <x v="5"/>
    <s v="CSB  paper trailer"/>
    <s v="Plastic"/>
    <x v="2"/>
    <s v="Batliner"/>
    <m/>
    <n v="500"/>
    <n v="0.25"/>
    <m/>
    <m/>
    <m/>
    <m/>
    <m/>
    <m/>
    <m/>
  </r>
  <r>
    <x v="6"/>
    <s v="CSB  paper trailer"/>
    <s v="Paper"/>
    <x v="0"/>
    <s v="Batliner"/>
    <m/>
    <n v="2000"/>
    <n v="1"/>
    <m/>
    <m/>
    <m/>
    <n v="306.51"/>
    <m/>
    <m/>
    <m/>
  </r>
  <r>
    <x v="6"/>
    <s v="CSB  paper trailer"/>
    <s v="Paper"/>
    <x v="3"/>
    <s v="Batliner"/>
    <m/>
    <n v="9840"/>
    <n v="4.92"/>
    <m/>
    <m/>
    <m/>
    <m/>
    <m/>
    <m/>
    <m/>
  </r>
  <r>
    <x v="6"/>
    <s v="Warehouse"/>
    <s v="Cardboard"/>
    <x v="1"/>
    <s v="Batliner"/>
    <m/>
    <n v="4540"/>
    <n v="2.27"/>
    <m/>
    <m/>
    <m/>
    <m/>
    <m/>
    <m/>
    <m/>
  </r>
  <r>
    <x v="6"/>
    <s v="CSB  paper trailer"/>
    <s v="Plastic"/>
    <x v="2"/>
    <s v="Batliner"/>
    <m/>
    <n v="580"/>
    <n v="0.28999999999999998"/>
    <m/>
    <m/>
    <m/>
    <m/>
    <m/>
    <m/>
    <m/>
  </r>
  <r>
    <x v="7"/>
    <s v="Warehouse"/>
    <s v="Paper"/>
    <x v="0"/>
    <s v="Batliner"/>
    <m/>
    <n v="4440"/>
    <n v="2.2200000000000002"/>
    <m/>
    <m/>
    <m/>
    <n v="319.48"/>
    <m/>
    <m/>
    <m/>
  </r>
  <r>
    <x v="7"/>
    <s v="Warehouse"/>
    <s v="Cardboard"/>
    <x v="1"/>
    <s v="Batliner"/>
    <m/>
    <n v="7880"/>
    <n v="3.94"/>
    <m/>
    <m/>
    <m/>
    <m/>
    <m/>
    <m/>
    <m/>
  </r>
  <r>
    <x v="7"/>
    <s v="CSB  paper trailer"/>
    <s v="Plastic"/>
    <x v="2"/>
    <s v="Batliner"/>
    <m/>
    <n v="1380"/>
    <n v="0.69"/>
    <m/>
    <m/>
    <m/>
    <m/>
    <m/>
    <m/>
    <m/>
  </r>
  <r>
    <x v="8"/>
    <s v="CSB  paper trailer"/>
    <s v="Paper"/>
    <x v="4"/>
    <s v="Batliner"/>
    <m/>
    <n v="840"/>
    <n v="0.42"/>
    <m/>
    <m/>
    <m/>
    <n v="0"/>
    <m/>
    <m/>
    <m/>
  </r>
  <r>
    <x v="8"/>
    <s v="Warehouse"/>
    <s v="Paper"/>
    <x v="0"/>
    <s v="Batliner"/>
    <m/>
    <n v="16060"/>
    <n v="8.0299999999999994"/>
    <m/>
    <m/>
    <m/>
    <n v="706.64"/>
    <m/>
    <m/>
    <m/>
  </r>
  <r>
    <x v="8"/>
    <s v="CSB  paper trailer"/>
    <s v="Paper"/>
    <x v="3"/>
    <s v="Batliner"/>
    <m/>
    <n v="7400"/>
    <n v="3.7"/>
    <m/>
    <m/>
    <m/>
    <n v="55.5"/>
    <m/>
    <m/>
    <m/>
  </r>
  <r>
    <x v="8"/>
    <s v="Warehouse"/>
    <s v="Cardboard"/>
    <x v="1"/>
    <s v="Batliner"/>
    <m/>
    <n v="7420"/>
    <n v="3.71"/>
    <m/>
    <m/>
    <m/>
    <n v="116.87"/>
    <m/>
    <m/>
    <m/>
  </r>
  <r>
    <x v="8"/>
    <s v="CSB  paper trailer"/>
    <s v="Plastic"/>
    <x v="2"/>
    <s v="Batliner"/>
    <m/>
    <n v="1000"/>
    <n v="0.5"/>
    <m/>
    <m/>
    <m/>
    <n v="0"/>
    <m/>
    <m/>
    <m/>
  </r>
  <r>
    <x v="9"/>
    <s v="CSB  paper trailer"/>
    <s v="Paper"/>
    <x v="0"/>
    <s v="Batliner"/>
    <m/>
    <n v="8180"/>
    <n v="4.09"/>
    <m/>
    <m/>
    <m/>
    <n v="359.92"/>
    <m/>
    <m/>
    <m/>
  </r>
  <r>
    <x v="9"/>
    <s v="CSB  paper trailer"/>
    <s v="Paper"/>
    <x v="3"/>
    <s v="Batliner"/>
    <m/>
    <n v="12730"/>
    <n v="6.3650000000000002"/>
    <m/>
    <m/>
    <m/>
    <n v="318.25"/>
    <m/>
    <m/>
    <m/>
  </r>
  <r>
    <x v="9"/>
    <s v="Warehouse"/>
    <s v="Cardboard"/>
    <x v="1"/>
    <s v="Batliner"/>
    <m/>
    <n v="5480"/>
    <n v="2.74"/>
    <m/>
    <m/>
    <m/>
    <n v="102.75"/>
    <m/>
    <m/>
    <m/>
  </r>
  <r>
    <x v="9"/>
    <s v="CSB  paper trailer"/>
    <s v="Plastic"/>
    <x v="2"/>
    <s v="Batliner"/>
    <m/>
    <n v="1440"/>
    <n v="0.72"/>
    <m/>
    <m/>
    <m/>
    <n v="0"/>
    <m/>
    <m/>
    <m/>
  </r>
  <r>
    <x v="10"/>
    <s v="CSB  paper trailer"/>
    <s v="Paper"/>
    <x v="0"/>
    <s v="Batliner"/>
    <m/>
    <n v="1280"/>
    <n v="0.64"/>
    <m/>
    <m/>
    <m/>
    <n v="53.76"/>
    <m/>
    <m/>
    <m/>
  </r>
  <r>
    <x v="10"/>
    <s v="CSB  paper trailer"/>
    <s v="Paper"/>
    <x v="3"/>
    <s v="Batliner"/>
    <m/>
    <n v="8820"/>
    <n v="4.41"/>
    <m/>
    <m/>
    <m/>
    <n v="176.4"/>
    <m/>
    <m/>
    <m/>
  </r>
  <r>
    <x v="10"/>
    <s v="Warehouse"/>
    <s v="Cardboard"/>
    <x v="1"/>
    <s v="Batliner"/>
    <m/>
    <n v="5500"/>
    <n v="2.75"/>
    <m/>
    <m/>
    <m/>
    <n v="111.38"/>
    <m/>
    <m/>
    <m/>
  </r>
  <r>
    <x v="10"/>
    <s v="CSB  paper trailer"/>
    <s v="Plastic"/>
    <x v="2"/>
    <s v="Batliner"/>
    <m/>
    <n v="560"/>
    <n v="0.28000000000000003"/>
    <m/>
    <m/>
    <m/>
    <n v="0"/>
    <m/>
    <m/>
    <m/>
  </r>
  <r>
    <x v="11"/>
    <s v="Warehouse"/>
    <s v="e-waste"/>
    <x v="8"/>
    <s v="Unicor"/>
    <m/>
    <n v="683"/>
    <n v="0.34150000000000003"/>
    <m/>
    <m/>
    <m/>
    <m/>
    <m/>
    <m/>
    <m/>
  </r>
  <r>
    <x v="12"/>
    <s v="CSB  paper trailer"/>
    <s v="Paper"/>
    <x v="4"/>
    <s v="Batliner"/>
    <m/>
    <n v="2540"/>
    <n v="1.27"/>
    <m/>
    <m/>
    <m/>
    <n v="0"/>
    <m/>
    <m/>
    <m/>
  </r>
  <r>
    <x v="12"/>
    <s v="CSB  paper trailer"/>
    <s v="Paper"/>
    <x v="5"/>
    <s v="Batliner"/>
    <m/>
    <n v="9540"/>
    <n v="4.7699999999999996"/>
    <m/>
    <m/>
    <m/>
    <n v="113.53"/>
    <m/>
    <m/>
    <m/>
  </r>
  <r>
    <x v="12"/>
    <s v="CSB  paper trailer"/>
    <s v="Paper"/>
    <x v="0"/>
    <s v="Batliner"/>
    <m/>
    <n v="6240"/>
    <n v="3.12"/>
    <m/>
    <m/>
    <m/>
    <n v="249.6"/>
    <m/>
    <m/>
    <m/>
  </r>
  <r>
    <x v="12"/>
    <s v="CSB  paper trailer"/>
    <s v="Paper"/>
    <x v="3"/>
    <s v="Batliner"/>
    <m/>
    <n v="7420"/>
    <n v="3.71"/>
    <m/>
    <m/>
    <m/>
    <n v="111.3"/>
    <m/>
    <m/>
    <m/>
  </r>
  <r>
    <x v="12"/>
    <s v="Warehouse"/>
    <s v="Cardboard"/>
    <x v="1"/>
    <s v="Batliner"/>
    <m/>
    <n v="4030"/>
    <n v="2.0150000000000001"/>
    <m/>
    <m/>
    <m/>
    <n v="81.61"/>
    <m/>
    <m/>
    <m/>
  </r>
  <r>
    <x v="12"/>
    <s v="CSB  paper trailer"/>
    <s v="Plastic"/>
    <x v="2"/>
    <s v="Batliner"/>
    <m/>
    <n v="760"/>
    <n v="0.38"/>
    <m/>
    <m/>
    <m/>
    <n v="0"/>
    <m/>
    <m/>
    <m/>
  </r>
  <r>
    <x v="13"/>
    <s v="Warehouse"/>
    <s v="e-waste"/>
    <x v="9"/>
    <s v="Call2recycle"/>
    <m/>
    <n v="866"/>
    <n v="0.433"/>
    <m/>
    <m/>
    <m/>
    <m/>
    <m/>
    <m/>
    <m/>
  </r>
  <r>
    <x v="13"/>
    <s v="Book  Store"/>
    <s v="books"/>
    <x v="10"/>
    <s v="One Planet books"/>
    <s v="316 boxes"/>
    <n v="12640"/>
    <n v="6.32"/>
    <m/>
    <m/>
    <m/>
    <n v="3160"/>
    <m/>
    <m/>
    <m/>
  </r>
  <r>
    <x v="14"/>
    <s v="Warehouse"/>
    <s v="Cardboard"/>
    <x v="1"/>
    <s v="Batliner"/>
    <m/>
    <n v="7800"/>
    <n v="3.9"/>
    <m/>
    <m/>
    <m/>
    <n v="157.96"/>
    <m/>
    <m/>
    <m/>
  </r>
  <r>
    <x v="14"/>
    <s v="CSB  paper trailer"/>
    <s v="Plastic"/>
    <x v="2"/>
    <s v="Batliner"/>
    <m/>
    <n v="460"/>
    <n v="0.23"/>
    <m/>
    <m/>
    <m/>
    <n v="0"/>
    <m/>
    <m/>
    <m/>
  </r>
  <r>
    <x v="15"/>
    <s v="CSB  paper trailer"/>
    <s v="Paper"/>
    <x v="0"/>
    <s v="Batliner"/>
    <m/>
    <n v="11240"/>
    <n v="5.62"/>
    <m/>
    <m/>
    <m/>
    <n v="472.08"/>
    <m/>
    <m/>
    <m/>
  </r>
  <r>
    <x v="15"/>
    <s v="CSB  paper trailer"/>
    <s v="Paper"/>
    <x v="3"/>
    <s v="Batliner"/>
    <m/>
    <n v="13110"/>
    <n v="6.5549999999999997"/>
    <m/>
    <m/>
    <m/>
    <n v="229.43"/>
    <m/>
    <m/>
    <m/>
  </r>
  <r>
    <x v="15"/>
    <s v="Warehouse"/>
    <s v="Cardboard"/>
    <x v="1"/>
    <s v="Batliner"/>
    <m/>
    <n v="3870"/>
    <n v="1.9350000000000001"/>
    <m/>
    <m/>
    <m/>
    <n v="78.37"/>
    <m/>
    <m/>
    <m/>
  </r>
  <r>
    <x v="15"/>
    <s v="CSB  paper trailer"/>
    <s v="Plastic"/>
    <x v="2"/>
    <s v="Batliner"/>
    <m/>
    <n v="1370"/>
    <n v="0.68500000000000005"/>
    <m/>
    <m/>
    <m/>
    <n v="0"/>
    <m/>
    <m/>
    <m/>
  </r>
  <r>
    <x v="16"/>
    <s v="CSB  paper trailer"/>
    <s v="Paper"/>
    <x v="0"/>
    <s v="Batliner"/>
    <m/>
    <n v="8150"/>
    <n v="4.0750000000000002"/>
    <m/>
    <m/>
    <m/>
    <n v="342.3"/>
    <m/>
    <m/>
    <m/>
  </r>
  <r>
    <x v="16"/>
    <s v="CSB  paper trailer"/>
    <s v="Paper"/>
    <x v="3"/>
    <s v="Batliner"/>
    <m/>
    <n v="5510"/>
    <n v="2.7549999999999999"/>
    <m/>
    <m/>
    <m/>
    <n v="96.43"/>
    <m/>
    <m/>
    <m/>
  </r>
  <r>
    <x v="16"/>
    <s v="Warehouse"/>
    <s v="Cardboard"/>
    <x v="1"/>
    <s v="Batliner"/>
    <m/>
    <n v="8420"/>
    <n v="4.21"/>
    <m/>
    <m/>
    <m/>
    <n v="170.52"/>
    <m/>
    <m/>
    <m/>
  </r>
  <r>
    <x v="16"/>
    <s v="CSB  paper trailer"/>
    <s v="Plastic"/>
    <x v="2"/>
    <s v="Batliner"/>
    <m/>
    <n v="1600"/>
    <n v="0.8"/>
    <m/>
    <m/>
    <m/>
    <n v="0"/>
    <m/>
    <m/>
    <m/>
  </r>
  <r>
    <x v="17"/>
    <s v="CSB  paper trailer"/>
    <s v="Paper"/>
    <x v="0"/>
    <s v="Batliner"/>
    <m/>
    <n v="5090"/>
    <n v="2.5449999999999999"/>
    <m/>
    <m/>
    <m/>
    <n v="244.32"/>
    <m/>
    <m/>
    <m/>
  </r>
  <r>
    <x v="17"/>
    <s v="CSB  paper trailer"/>
    <s v="Paper"/>
    <x v="3"/>
    <s v="Batliner"/>
    <m/>
    <n v="6070"/>
    <n v="3.0350000000000001"/>
    <m/>
    <m/>
    <m/>
    <n v="209.18"/>
    <m/>
    <m/>
    <m/>
  </r>
  <r>
    <x v="17"/>
    <s v="Warehouse"/>
    <s v="Cardboard"/>
    <x v="1"/>
    <s v="Batliner"/>
    <m/>
    <n v="7240"/>
    <n v="3.62"/>
    <m/>
    <m/>
    <m/>
    <n v="146.62"/>
    <m/>
    <m/>
    <m/>
  </r>
  <r>
    <x v="17"/>
    <s v="CSB  paper trailer"/>
    <s v="Plastic"/>
    <x v="2"/>
    <s v="Batliner"/>
    <m/>
    <n v="2250"/>
    <n v="1.125"/>
    <m/>
    <m/>
    <m/>
    <n v="0"/>
    <m/>
    <m/>
    <m/>
  </r>
  <r>
    <x v="18"/>
    <s v="CSB  paper trailer"/>
    <s v="Paper"/>
    <x v="5"/>
    <s v="Batliner"/>
    <m/>
    <n v="850"/>
    <n v="0.42499999999999999"/>
    <m/>
    <m/>
    <m/>
    <n v="17.260000000000002"/>
    <m/>
    <m/>
    <m/>
  </r>
  <r>
    <x v="18"/>
    <s v="CSB  paper trailer"/>
    <s v="Paper"/>
    <x v="0"/>
    <s v="Batliner"/>
    <m/>
    <n v="3500"/>
    <n v="1.75"/>
    <m/>
    <m/>
    <m/>
    <n v="182"/>
    <m/>
    <m/>
    <m/>
  </r>
  <r>
    <x v="18"/>
    <s v="CSB  paper trailer"/>
    <s v="Paper"/>
    <x v="3"/>
    <s v="Batliner"/>
    <m/>
    <n v="1530"/>
    <n v="0.76500000000000001"/>
    <m/>
    <m/>
    <m/>
    <n v="42.08"/>
    <m/>
    <m/>
    <m/>
  </r>
  <r>
    <x v="18"/>
    <s v="Warehouse"/>
    <s v="Cardboard"/>
    <x v="1"/>
    <s v="Batliner"/>
    <m/>
    <n v="5020"/>
    <n v="2.5099999999999998"/>
    <m/>
    <m/>
    <m/>
    <n v="105.42"/>
    <m/>
    <m/>
    <m/>
  </r>
  <r>
    <x v="18"/>
    <s v="CSB  paper trailer"/>
    <s v="Plastic"/>
    <x v="2"/>
    <s v="Batliner"/>
    <m/>
    <n v="720"/>
    <n v="0.36"/>
    <m/>
    <m/>
    <m/>
    <n v="25.6"/>
    <m/>
    <m/>
    <m/>
  </r>
  <r>
    <x v="18"/>
    <s v="CSB  paper trailer"/>
    <s v="Paper"/>
    <x v="3"/>
    <s v="Batliner"/>
    <m/>
    <n v="1320"/>
    <n v="0.66"/>
    <m/>
    <m/>
    <m/>
    <m/>
    <m/>
    <m/>
    <m/>
  </r>
  <r>
    <x v="19"/>
    <s v="CSB  paper trailer"/>
    <s v="Paper"/>
    <x v="5"/>
    <s v="Batliner"/>
    <m/>
    <n v="3690"/>
    <n v="1.845"/>
    <m/>
    <m/>
    <m/>
    <n v="71.959999999999994"/>
    <m/>
    <m/>
    <m/>
  </r>
  <r>
    <x v="19"/>
    <s v="CSB  paper trailer"/>
    <s v="Paper"/>
    <x v="0"/>
    <s v="Batliner"/>
    <m/>
    <n v="21720"/>
    <n v="10.86"/>
    <m/>
    <m/>
    <m/>
    <n v="1129.44"/>
    <m/>
    <m/>
    <m/>
  </r>
  <r>
    <x v="19"/>
    <s v="Warehouse"/>
    <s v="Cardboard"/>
    <x v="1"/>
    <s v="Batliner"/>
    <m/>
    <n v="4410"/>
    <n v="2.2050000000000001"/>
    <m/>
    <m/>
    <m/>
    <n v="92.61"/>
    <m/>
    <m/>
    <m/>
  </r>
  <r>
    <x v="19"/>
    <s v="CSB  paper trailer"/>
    <s v="Plastic"/>
    <x v="2"/>
    <s v="Batliner"/>
    <m/>
    <n v="960"/>
    <n v="0.48"/>
    <m/>
    <m/>
    <m/>
    <n v="0"/>
    <m/>
    <m/>
    <m/>
  </r>
  <r>
    <x v="20"/>
    <s v="CC compactor"/>
    <s v="Single Stream"/>
    <x v="11"/>
    <s v="RockTenn"/>
    <m/>
    <n v="7600"/>
    <n v="3.8"/>
    <n v="57.894736842105267"/>
    <n v="220"/>
    <n v="0"/>
    <n v="220"/>
    <n v="3243308"/>
    <n v="148606"/>
    <d v="2011-07-25T00:00:00"/>
  </r>
  <r>
    <x v="21"/>
    <s v="CSB  paper trailer"/>
    <s v="Paper"/>
    <x v="0"/>
    <s v="Batliner"/>
    <m/>
    <n v="1160"/>
    <n v="0.57999999999999996"/>
    <m/>
    <m/>
    <m/>
    <n v="63.8"/>
    <m/>
    <m/>
    <m/>
  </r>
  <r>
    <x v="21"/>
    <s v="Warehouse"/>
    <s v="Cardboard"/>
    <x v="1"/>
    <s v="Batliner"/>
    <m/>
    <n v="2200"/>
    <n v="1.1000000000000001"/>
    <m/>
    <m/>
    <m/>
    <n v="51.15"/>
    <m/>
    <m/>
    <m/>
  </r>
  <r>
    <x v="21"/>
    <s v="CSB  paper trailer"/>
    <s v="Plastic"/>
    <x v="2"/>
    <s v="Batliner"/>
    <m/>
    <n v="340"/>
    <n v="0.17"/>
    <m/>
    <m/>
    <m/>
    <n v="0"/>
    <m/>
    <m/>
    <m/>
  </r>
  <r>
    <x v="21"/>
    <s v="CC compactor"/>
    <s v="Single Stream"/>
    <x v="11"/>
    <s v="RockTenn"/>
    <m/>
    <n v="7300"/>
    <n v="3.65"/>
    <n v="100"/>
    <n v="365"/>
    <n v="0"/>
    <n v="365"/>
    <n v="3242825"/>
    <n v="148611"/>
    <d v="2011-08-15T00:00:00"/>
  </r>
  <r>
    <x v="22"/>
    <s v="CC compactor"/>
    <s v="Single Stream"/>
    <x v="11"/>
    <s v="RockTenn"/>
    <m/>
    <n v="7400"/>
    <n v="3.7"/>
    <n v="100"/>
    <n v="370"/>
    <n v="0"/>
    <n v="370"/>
    <n v="3245837"/>
    <n v="158720"/>
    <d v="2012-10-31T00:00:00"/>
  </r>
  <r>
    <x v="23"/>
    <s v="CC compactor"/>
    <s v="Single Stream"/>
    <x v="11"/>
    <s v="RockTenn"/>
    <m/>
    <n v="8220"/>
    <n v="4.1100000000000003"/>
    <n v="99.999999999999986"/>
    <n v="411"/>
    <n v="0"/>
    <n v="411"/>
    <n v="3244752"/>
    <m/>
    <m/>
  </r>
  <r>
    <x v="24"/>
    <s v="CSB  paper trailer"/>
    <s v="Paper"/>
    <x v="0"/>
    <s v="Batliner"/>
    <m/>
    <n v="4390"/>
    <n v="2.1949999999999998"/>
    <m/>
    <m/>
    <m/>
    <n v="254.62"/>
    <m/>
    <m/>
    <m/>
  </r>
  <r>
    <x v="24"/>
    <s v="Warehouse"/>
    <s v="Paper"/>
    <x v="3"/>
    <s v="Batliner"/>
    <m/>
    <n v="10045"/>
    <n v="5.0225"/>
    <m/>
    <m/>
    <m/>
    <n v="326.45999999999998"/>
    <m/>
    <m/>
    <m/>
  </r>
  <r>
    <x v="24"/>
    <s v="CSB  paper trailer"/>
    <s v="Cardboard"/>
    <x v="1"/>
    <s v="Batliner"/>
    <m/>
    <n v="505"/>
    <n v="0.2525"/>
    <m/>
    <m/>
    <m/>
    <n v="12.5"/>
    <m/>
    <m/>
    <m/>
  </r>
  <r>
    <x v="24"/>
    <s v="CSB  paper trailer"/>
    <s v="Plastic"/>
    <x v="2"/>
    <s v="Batliner"/>
    <m/>
    <n v="50"/>
    <n v="2.5000000000000001E-2"/>
    <m/>
    <m/>
    <m/>
    <n v="0"/>
    <m/>
    <m/>
    <m/>
  </r>
  <r>
    <x v="24"/>
    <s v="All/Dumpsters"/>
    <s v="Single Stream"/>
    <x v="11"/>
    <s v="RockTenn/Abitibi"/>
    <m/>
    <n v="2446"/>
    <n v="1.2230000000000001"/>
    <m/>
    <m/>
    <m/>
    <m/>
    <m/>
    <m/>
    <m/>
  </r>
  <r>
    <x v="25"/>
    <s v="CSB  paper trailer"/>
    <s v="Paper"/>
    <x v="0"/>
    <s v="RockTenn"/>
    <m/>
    <n v="10150"/>
    <n v="5.0750000000000002"/>
    <n v="125.00098522167487"/>
    <n v="634.38"/>
    <n v="0"/>
    <n v="634.38"/>
    <n v="3245832"/>
    <n v="158720"/>
    <d v="2012-10-31T00:00:00"/>
  </r>
  <r>
    <x v="25"/>
    <s v="CSB  paper trailer"/>
    <s v="Cardboard"/>
    <x v="1"/>
    <s v="RockTenn"/>
    <m/>
    <n v="200"/>
    <n v="0.1"/>
    <n v="100"/>
    <n v="10"/>
    <n v="0"/>
    <n v="10"/>
    <n v="3245832"/>
    <n v="158720"/>
    <d v="2012-10-31T00:00:00"/>
  </r>
  <r>
    <x v="26"/>
    <s v="CC compactor"/>
    <s v="Single Stream"/>
    <x v="11"/>
    <s v="RockTenn"/>
    <m/>
    <n v="8040"/>
    <n v="4.0199999999999996"/>
    <n v="100.00000000000001"/>
    <n v="402"/>
    <n v="0"/>
    <n v="402"/>
    <n v="3245835"/>
    <n v="158720"/>
    <d v="2012-10-31T00:00:00"/>
  </r>
  <r>
    <x v="27"/>
    <s v="All/Dumpsters"/>
    <s v="Single Stream"/>
    <x v="11"/>
    <s v="RockTenn/Abitibi"/>
    <m/>
    <n v="2436"/>
    <n v="1.218"/>
    <m/>
    <m/>
    <m/>
    <m/>
    <m/>
    <m/>
    <m/>
  </r>
  <r>
    <x v="28"/>
    <s v="Warehouse"/>
    <s v="Glass"/>
    <x v="12"/>
    <s v="Ripple"/>
    <m/>
    <n v="8940"/>
    <n v="4.47"/>
    <m/>
    <m/>
    <m/>
    <m/>
    <m/>
    <m/>
    <m/>
  </r>
  <r>
    <x v="29"/>
    <s v="CC compactor"/>
    <s v="Single Stream"/>
    <x v="11"/>
    <s v="RockTenn"/>
    <m/>
    <n v="8920"/>
    <n v="4.46"/>
    <n v="100"/>
    <n v="446"/>
    <n v="0"/>
    <n v="446"/>
    <n v="3245834"/>
    <n v="158720"/>
    <d v="2012-10-31T00:00:00"/>
  </r>
  <r>
    <x v="30"/>
    <s v="CSB  paper trailer"/>
    <s v="Paper"/>
    <x v="0"/>
    <s v="RockTenn"/>
    <m/>
    <n v="12530"/>
    <n v="6.2649999999999997"/>
    <n v="125.00079808459698"/>
    <n v="783.13"/>
    <n v="0"/>
    <n v="783.13"/>
    <n v="3245833"/>
    <n v="158720"/>
    <d v="2012-10-31T00:00:00"/>
  </r>
  <r>
    <x v="30"/>
    <s v="CSB  paper trailer"/>
    <s v="Cardboard"/>
    <x v="1"/>
    <s v="RockTenn"/>
    <m/>
    <n v="250"/>
    <n v="0.125"/>
    <n v="100"/>
    <n v="12.5"/>
    <n v="0"/>
    <n v="12.5"/>
    <n v="3245833"/>
    <n v="158720"/>
    <d v="2012-10-31T00:00:00"/>
  </r>
  <r>
    <x v="31"/>
    <s v="CC compactor"/>
    <s v="Single Stream"/>
    <x v="11"/>
    <s v="RockTenn"/>
    <m/>
    <n v="2080"/>
    <n v="1.04"/>
    <n v="100"/>
    <n v="104"/>
    <n v="0"/>
    <n v="104"/>
    <n v="3245836"/>
    <n v="158720"/>
    <d v="2012-10-31T00:00:00"/>
  </r>
  <r>
    <x v="32"/>
    <s v="Student Center compactor"/>
    <s v="Single Stream"/>
    <x v="11"/>
    <s v="RockTenn"/>
    <m/>
    <n v="8660"/>
    <n v="4.33"/>
    <n v="100"/>
    <n v="433"/>
    <n v="0"/>
    <n v="433"/>
    <n v="3245838"/>
    <n v="158720"/>
    <d v="2012-10-31T00:00:00"/>
  </r>
  <r>
    <x v="33"/>
    <s v="All/Dumpsters"/>
    <s v="Single Stream"/>
    <x v="11"/>
    <s v="RockTenn/Abitibi"/>
    <m/>
    <n v="2812"/>
    <n v="1.4059999999999999"/>
    <m/>
    <m/>
    <m/>
    <m/>
    <m/>
    <m/>
    <m/>
  </r>
  <r>
    <x v="34"/>
    <s v="CC compactor"/>
    <s v="Single Stream"/>
    <x v="11"/>
    <s v="RockTenn"/>
    <m/>
    <n v="5320"/>
    <n v="2.66"/>
    <n v="59.999999999999993"/>
    <n v="159.6"/>
    <n v="0"/>
    <n v="159.6"/>
    <n v="3246107"/>
    <n v="162991"/>
    <d v="2012-11-10T00:00:00"/>
  </r>
  <r>
    <x v="35"/>
    <s v="CSB  paper trailer"/>
    <s v="Paper"/>
    <x v="0"/>
    <s v="RockTenn"/>
    <m/>
    <n v="3865"/>
    <n v="1.9325000000000001"/>
    <n v="50.002587322121599"/>
    <n v="96.63"/>
    <n v="0"/>
    <n v="96.63"/>
    <n v="3246455"/>
    <n v="162991"/>
    <d v="2012-11-28T00:00:00"/>
  </r>
  <r>
    <x v="35"/>
    <s v="CSB  paper trailer"/>
    <s v="Paper"/>
    <x v="3"/>
    <s v="RockTenn"/>
    <m/>
    <n v="4585"/>
    <n v="2.2925"/>
    <n v="50.002181025081789"/>
    <n v="114.63"/>
    <n v="0"/>
    <n v="114.63"/>
    <n v="3246455"/>
    <n v="162991"/>
    <d v="2012-11-28T00:00:00"/>
  </r>
  <r>
    <x v="35"/>
    <s v="CSB  paper trailer"/>
    <s v="Cardboard"/>
    <x v="1"/>
    <s v="RockTenn"/>
    <m/>
    <n v="130"/>
    <n v="6.5000000000000002E-2"/>
    <n v="100"/>
    <n v="6.5"/>
    <n v="0"/>
    <n v="6.5"/>
    <n v="3246455"/>
    <n v="162991"/>
    <d v="2012-11-28T00:00:00"/>
  </r>
  <r>
    <x v="36"/>
    <s v="CC compactor"/>
    <s v="Single Stream"/>
    <x v="11"/>
    <s v="RockTenn"/>
    <m/>
    <n v="6640"/>
    <n v="3.32"/>
    <n v="60"/>
    <n v="199.2"/>
    <n v="0"/>
    <n v="199.2"/>
    <n v="3246350"/>
    <n v="162991"/>
    <d v="2012-11-21T00:00:00"/>
  </r>
  <r>
    <x v="37"/>
    <s v="Warehouse"/>
    <s v="Glass"/>
    <x v="12"/>
    <s v="Ripple"/>
    <m/>
    <n v="9640"/>
    <n v="4.82"/>
    <m/>
    <m/>
    <m/>
    <m/>
    <m/>
    <m/>
    <m/>
  </r>
  <r>
    <x v="38"/>
    <s v="All/Dumpsters"/>
    <s v="Single Stream"/>
    <x v="11"/>
    <s v="RockTenn/Abitibi"/>
    <m/>
    <n v="3178"/>
    <n v="1.589"/>
    <m/>
    <m/>
    <m/>
    <m/>
    <m/>
    <m/>
    <m/>
  </r>
  <r>
    <x v="39"/>
    <s v="CC compactor"/>
    <s v="Single Stream"/>
    <x v="11"/>
    <s v="RockTenn"/>
    <m/>
    <n v="6680"/>
    <n v="3.34"/>
    <n v="45.000000000000007"/>
    <n v="150.30000000000001"/>
    <n v="0"/>
    <n v="150.30000000000001"/>
    <n v="3246881"/>
    <n v="163757"/>
    <d v="2012-12-13T00:00:00"/>
  </r>
  <r>
    <x v="40"/>
    <s v="All/Dumpsters"/>
    <s v="Single Stream"/>
    <x v="11"/>
    <s v="RockTenn/Abitibi"/>
    <m/>
    <n v="2030"/>
    <n v="1.0149999999999999"/>
    <m/>
    <m/>
    <m/>
    <m/>
    <m/>
    <m/>
    <m/>
  </r>
  <r>
    <x v="41"/>
    <s v="Warehouse"/>
    <s v="e-waste"/>
    <x v="9"/>
    <s v="Call2recycle"/>
    <m/>
    <n v="1542"/>
    <n v="0.77100000000000002"/>
    <m/>
    <m/>
    <m/>
    <m/>
    <m/>
    <m/>
    <m/>
  </r>
  <r>
    <x v="41"/>
    <s v="Book  Store"/>
    <s v="books"/>
    <x v="10"/>
    <s v="One Planet books"/>
    <s v="569 boxes"/>
    <n v="22760"/>
    <n v="11.38"/>
    <m/>
    <m/>
    <m/>
    <n v="5690"/>
    <m/>
    <m/>
    <m/>
  </r>
  <r>
    <x v="42"/>
    <s v="Warehouse"/>
    <s v="e-waste"/>
    <x v="8"/>
    <s v="Unicor"/>
    <m/>
    <n v="4293"/>
    <n v="2.1465000000000001"/>
    <m/>
    <m/>
    <m/>
    <m/>
    <m/>
    <m/>
    <m/>
  </r>
  <r>
    <x v="43"/>
    <s v="CSB  paper trailer"/>
    <s v="Paper"/>
    <x v="4"/>
    <s v="RockTenn"/>
    <m/>
    <n v="860"/>
    <n v="0.43"/>
    <n v="5"/>
    <n v="2.15"/>
    <n v="0"/>
    <n v="2.15"/>
    <n v="3247415"/>
    <n v="167496"/>
    <d v="2012-01-05T00:00:00"/>
  </r>
  <r>
    <x v="43"/>
    <s v="CSB  paper trailer"/>
    <s v="Paper"/>
    <x v="0"/>
    <s v="RockTenn"/>
    <m/>
    <n v="5355"/>
    <n v="2.6775000000000002"/>
    <n v="30.001867413632116"/>
    <n v="80.33"/>
    <n v="0"/>
    <n v="80.33"/>
    <n v="3247415"/>
    <n v="167496"/>
    <d v="2012-01-05T00:00:00"/>
  </r>
  <r>
    <x v="43"/>
    <s v="CSB  paper trailer"/>
    <s v="Paper"/>
    <x v="3"/>
    <s v="RockTenn"/>
    <m/>
    <n v="7180"/>
    <n v="3.59"/>
    <n v="20"/>
    <n v="71.8"/>
    <n v="0"/>
    <n v="71.8"/>
    <n v="3247415"/>
    <n v="167496"/>
    <d v="2012-01-05T00:00:00"/>
  </r>
  <r>
    <x v="43"/>
    <s v="CSB  paper trailer"/>
    <s v="Cardboard"/>
    <x v="1"/>
    <s v="RockTenn"/>
    <m/>
    <n v="585"/>
    <n v="0.29249999999999998"/>
    <n v="70.017094017094024"/>
    <n v="20.48"/>
    <n v="0"/>
    <n v="20.48"/>
    <n v="3247415"/>
    <n v="167496"/>
    <d v="2012-01-05T00:00:00"/>
  </r>
  <r>
    <x v="44"/>
    <s v="CC compactor"/>
    <s v="Single Stream"/>
    <x v="11"/>
    <s v="RockTenn"/>
    <m/>
    <n v="8800"/>
    <n v="4.4000000000000004"/>
    <n v="44.999999999999993"/>
    <n v="198"/>
    <n v="0"/>
    <n v="198"/>
    <n v="3247660"/>
    <n v="168277"/>
    <d v="2012-01-16T00:00:00"/>
  </r>
  <r>
    <x v="45"/>
    <s v="Warehouse"/>
    <s v="Glass"/>
    <x v="12"/>
    <s v="Ripple"/>
    <m/>
    <n v="11880"/>
    <n v="5.94"/>
    <m/>
    <m/>
    <m/>
    <m/>
    <m/>
    <m/>
    <m/>
  </r>
  <r>
    <x v="46"/>
    <s v="All/Dumpsters"/>
    <s v="Single Stream"/>
    <x v="11"/>
    <s v="RockTenn/Abitibi"/>
    <m/>
    <n v="7347"/>
    <n v="3.6735000000000002"/>
    <m/>
    <m/>
    <m/>
    <m/>
    <m/>
    <m/>
    <m/>
  </r>
  <r>
    <x v="46"/>
    <s v="CSB  paper trailer"/>
    <s v="Paper"/>
    <x v="0"/>
    <s v="RockTenn"/>
    <m/>
    <n v="5480"/>
    <n v="2.74"/>
    <n v="70.003649635036496"/>
    <n v="191.81"/>
    <n v="0"/>
    <n v="191.81"/>
    <n v="3248171"/>
    <n v="169357"/>
    <m/>
  </r>
  <r>
    <x v="46"/>
    <s v="CSB  paper trailer"/>
    <s v="Cardboard"/>
    <x v="1"/>
    <s v="RockTenn"/>
    <m/>
    <n v="840"/>
    <n v="0.42"/>
    <n v="60"/>
    <n v="25.2"/>
    <n v="0"/>
    <n v="25.2"/>
    <n v="3248171"/>
    <n v="169357"/>
    <m/>
  </r>
  <r>
    <x v="46"/>
    <s v="CSB  paper trailer"/>
    <s v="Paper"/>
    <x v="3"/>
    <s v="RockTenn"/>
    <m/>
    <n v="1800"/>
    <n v="0.9"/>
    <n v="50"/>
    <n v="45"/>
    <n v="0"/>
    <n v="45"/>
    <n v="3248171"/>
    <n v="169357"/>
    <m/>
  </r>
  <r>
    <x v="47"/>
    <s v="Student Center compactor"/>
    <s v="Single Stream"/>
    <x v="11"/>
    <s v="RockTenn"/>
    <m/>
    <n v="8220"/>
    <n v="4.1100000000000003"/>
    <n v="59.999999999999993"/>
    <n v="246.6"/>
    <n v="0"/>
    <n v="246.6"/>
    <n v="477823"/>
    <n v="169275"/>
    <d v="2012-02-01T00:00:00"/>
  </r>
  <r>
    <x v="48"/>
    <s v="CC compactor"/>
    <s v="Single Stream"/>
    <x v="11"/>
    <s v="RockTenn"/>
    <m/>
    <n v="7040"/>
    <n v="3.52"/>
    <n v="60"/>
    <n v="211.2"/>
    <n v="0"/>
    <n v="211.2"/>
    <n v="477824"/>
    <n v="169275"/>
    <d v="2012-02-01T00:00:00"/>
  </r>
  <r>
    <x v="49"/>
    <s v="Aluminum plates with paper"/>
    <s v="Metal"/>
    <x v="13"/>
    <s v="RockTenn"/>
    <m/>
    <n v="1620"/>
    <n v="0.81"/>
    <n v="499.99999999999994"/>
    <n v="405"/>
    <n v="0"/>
    <n v="405"/>
    <n v="477898"/>
    <n v="171458"/>
    <d v="2012-04-30T00:00:00"/>
  </r>
  <r>
    <x v="49"/>
    <s v="copper cords wires 35%"/>
    <s v="Metal"/>
    <x v="14"/>
    <s v="RockTenn"/>
    <m/>
    <n v="320"/>
    <n v="0.16"/>
    <n v="1100"/>
    <n v="176"/>
    <n v="0"/>
    <n v="176"/>
    <n v="477898"/>
    <n v="171458"/>
    <d v="2012-04-30T00:00:00"/>
  </r>
  <r>
    <x v="50"/>
    <s v="CSB  paper trailer"/>
    <s v="Paper"/>
    <x v="0"/>
    <s v="RockTenn"/>
    <m/>
    <n v="6735"/>
    <n v="3.3675000000000002"/>
    <n v="100"/>
    <n v="336.75"/>
    <n v="0"/>
    <n v="336.75"/>
    <n v="478505"/>
    <n v="171820"/>
    <d v="2012-03-06T00:00:00"/>
  </r>
  <r>
    <x v="50"/>
    <s v="CSB  paper trailer"/>
    <s v="Cardboard"/>
    <x v="1"/>
    <s v="RockTenn"/>
    <m/>
    <n v="160"/>
    <n v="0.08"/>
    <n v="60"/>
    <n v="4.8"/>
    <n v="0"/>
    <n v="4.8"/>
    <n v="478505"/>
    <n v="171820"/>
    <d v="2012-03-06T00:00:00"/>
  </r>
  <r>
    <x v="50"/>
    <s v="CSB  paper trailer"/>
    <s v="Trash"/>
    <x v="15"/>
    <s v="RockTenn"/>
    <m/>
    <n v="1405"/>
    <n v="0.70250000000000001"/>
    <n v="-50.035587188612098"/>
    <n v="-35.15"/>
    <n v="0"/>
    <n v="-35.15"/>
    <n v="478505"/>
    <n v="171820"/>
    <d v="2012-03-06T00:00:00"/>
  </r>
  <r>
    <x v="50"/>
    <s v="CSB  paper trailer"/>
    <s v="Plastic"/>
    <x v="16"/>
    <s v="RockTenn"/>
    <m/>
    <n v="40"/>
    <n v="0.02"/>
    <n v="100"/>
    <n v="2"/>
    <n v="0"/>
    <n v="2"/>
    <n v="478505"/>
    <n v="171820"/>
    <d v="2012-03-06T00:00:00"/>
  </r>
  <r>
    <x v="50"/>
    <s v="CSB  paper trailer"/>
    <s v="Paper"/>
    <x v="3"/>
    <s v="RockTenn"/>
    <m/>
    <n v="760"/>
    <n v="0.38"/>
    <n v="80"/>
    <n v="30.4"/>
    <n v="0"/>
    <n v="30.4"/>
    <n v="478505"/>
    <n v="171820"/>
    <d v="2012-03-06T00:00:00"/>
  </r>
  <r>
    <x v="51"/>
    <s v="CC compactor"/>
    <s v="Single Stream"/>
    <x v="11"/>
    <s v="RockTenn"/>
    <m/>
    <n v="7720"/>
    <n v="3.86"/>
    <n v="60"/>
    <n v="231.6"/>
    <n v="0"/>
    <n v="231.6"/>
    <n v="478317"/>
    <n v="171052"/>
    <d v="2012-04-19T00:00:00"/>
  </r>
  <r>
    <x v="52"/>
    <s v="Warehouse"/>
    <s v="Glass"/>
    <x v="12"/>
    <s v="Ripple"/>
    <m/>
    <n v="9620"/>
    <n v="4.8099999999999996"/>
    <m/>
    <m/>
    <m/>
    <m/>
    <m/>
    <m/>
    <m/>
  </r>
  <r>
    <x v="52"/>
    <s v="All/Dumpsters"/>
    <s v="Single Stream"/>
    <x v="11"/>
    <s v="RockTenn/Abitibi"/>
    <m/>
    <n v="7347"/>
    <n v="3.6735000000000002"/>
    <m/>
    <m/>
    <m/>
    <m/>
    <m/>
    <m/>
    <m/>
  </r>
  <r>
    <x v="53"/>
    <s v="CSB  paper trailer"/>
    <s v="Paper"/>
    <x v="0"/>
    <s v="RockTenn"/>
    <m/>
    <n v="14525"/>
    <n v="7.2625000000000002"/>
    <n v="100"/>
    <n v="726.25"/>
    <n v="0"/>
    <n v="726.25"/>
    <n v="478146"/>
    <n v="171820"/>
    <d v="2012-03-05T00:00:00"/>
  </r>
  <r>
    <x v="53"/>
    <s v="CSB  paper trailer"/>
    <s v="Cardboard"/>
    <x v="1"/>
    <s v="RockTenn"/>
    <m/>
    <n v="615"/>
    <n v="0.3075"/>
    <n v="60"/>
    <n v="18.45"/>
    <n v="0"/>
    <n v="18.45"/>
    <n v="478146"/>
    <n v="171820"/>
    <d v="2012-03-05T00:00:00"/>
  </r>
  <r>
    <x v="53"/>
    <s v="CSB  paper trailer"/>
    <s v="Paper"/>
    <x v="3"/>
    <s v="RockTenn"/>
    <m/>
    <n v="5055"/>
    <n v="2.5274999999999999"/>
    <n v="80"/>
    <n v="202.2"/>
    <n v="0"/>
    <n v="202.2"/>
    <n v="478146"/>
    <n v="171820"/>
    <d v="2012-03-05T00:00:00"/>
  </r>
  <r>
    <x v="53"/>
    <s v="CSB  paper trailer"/>
    <s v="Trash"/>
    <x v="15"/>
    <s v="RockTenn"/>
    <m/>
    <n v="565"/>
    <n v="0.28249999999999997"/>
    <n v="-50.017699115044252"/>
    <n v="-14.13"/>
    <n v="0"/>
    <n v="-14.13"/>
    <n v="478146"/>
    <n v="171820"/>
    <d v="2012-03-05T00:00:00"/>
  </r>
  <r>
    <x v="53"/>
    <s v="CSB  paper trailer"/>
    <s v="Plastic"/>
    <x v="16"/>
    <s v="RockTenn"/>
    <m/>
    <n v="180"/>
    <n v="0.09"/>
    <n v="100"/>
    <n v="9"/>
    <n v="0"/>
    <n v="9"/>
    <n v="478146"/>
    <n v="171820"/>
    <d v="2012-03-05T00:00:00"/>
  </r>
  <r>
    <x v="54"/>
    <s v="CSB  paper trailer"/>
    <s v="Paper"/>
    <x v="0"/>
    <s v="RockTenn"/>
    <m/>
    <n v="1255"/>
    <n v="0.62749999999999995"/>
    <n v="100.00000000000001"/>
    <n v="62.75"/>
    <n v="0"/>
    <n v="62.75"/>
    <n v="478676"/>
    <n v="172632"/>
    <d v="2012-03-15T00:00:00"/>
  </r>
  <r>
    <x v="54"/>
    <s v="CSB  paper trailer"/>
    <s v="Cardboard"/>
    <x v="1"/>
    <s v="RockTenn"/>
    <m/>
    <n v="185"/>
    <n v="9.2499999999999999E-2"/>
    <n v="60"/>
    <n v="5.55"/>
    <n v="0"/>
    <n v="5.55"/>
    <n v="478676"/>
    <n v="172632"/>
    <d v="2012-03-15T00:00:00"/>
  </r>
  <r>
    <x v="54"/>
    <s v="CSB  paper trailer"/>
    <s v="Paper"/>
    <x v="3"/>
    <s v="RockTenn"/>
    <m/>
    <n v="1835"/>
    <n v="0.91749999999999998"/>
    <n v="80.000000000000014"/>
    <n v="73.400000000000006"/>
    <n v="0"/>
    <n v="73.400000000000006"/>
    <n v="478676"/>
    <n v="172632"/>
    <d v="2012-03-15T00:00:00"/>
  </r>
  <r>
    <x v="54"/>
    <s v="CSB  paper trailer"/>
    <s v="Trash"/>
    <x v="15"/>
    <s v="RockTenn"/>
    <m/>
    <n v="405"/>
    <n v="0.20250000000000001"/>
    <n v="50.02469135802469"/>
    <n v="10.130000000000001"/>
    <n v="0"/>
    <n v="10.130000000000001"/>
    <n v="478676"/>
    <n v="172632"/>
    <d v="2012-03-15T00:00:00"/>
  </r>
  <r>
    <x v="55"/>
    <s v="CC compactor"/>
    <s v="Single Stream"/>
    <x v="11"/>
    <s v="RockTenn"/>
    <m/>
    <n v="6640"/>
    <n v="3.32"/>
    <n v="35"/>
    <n v="116.2"/>
    <n v="0"/>
    <n v="116.2"/>
    <n v="478918"/>
    <n v="179250"/>
    <d v="2012-03-19T00:00:00"/>
  </r>
  <r>
    <x v="56"/>
    <s v="All/Dumpsters"/>
    <s v="Single Stream"/>
    <x v="11"/>
    <s v="RockTenn/Abitibi"/>
    <m/>
    <n v="7347"/>
    <n v="3.6735000000000002"/>
    <m/>
    <m/>
    <m/>
    <m/>
    <m/>
    <m/>
    <m/>
  </r>
  <r>
    <x v="57"/>
    <s v="Warehouse"/>
    <s v="Glass"/>
    <x v="12"/>
    <s v="Ripple"/>
    <m/>
    <n v="9860"/>
    <n v="4.93"/>
    <m/>
    <m/>
    <m/>
    <m/>
    <m/>
    <m/>
    <m/>
  </r>
  <r>
    <x v="57"/>
    <s v="CSB  paper trailer"/>
    <s v="Paper"/>
    <x v="0"/>
    <s v="RockTenn"/>
    <m/>
    <n v="600"/>
    <n v="0.3"/>
    <n v="100"/>
    <n v="30"/>
    <n v="0"/>
    <n v="30"/>
    <n v="37123"/>
    <n v="173396"/>
    <d v="2012-05-21T00:00:00"/>
  </r>
  <r>
    <x v="57"/>
    <s v="CSB  paper trailer"/>
    <s v="Paper"/>
    <x v="0"/>
    <s v="RockTenn"/>
    <m/>
    <n v="4050"/>
    <n v="2.0249999999999999"/>
    <n v="100"/>
    <n v="202.5"/>
    <n v="0"/>
    <n v="202.5"/>
    <n v="37123"/>
    <n v="173396"/>
    <d v="2012-05-21T00:00:00"/>
  </r>
  <r>
    <x v="57"/>
    <s v="CSB  paper trailer"/>
    <s v="Paper"/>
    <x v="3"/>
    <s v="RockTenn"/>
    <m/>
    <n v="4960"/>
    <n v="2.48"/>
    <n v="80"/>
    <n v="198.4"/>
    <n v="0"/>
    <n v="198.4"/>
    <n v="37123"/>
    <n v="173396"/>
    <d v="2012-05-21T00:00:00"/>
  </r>
  <r>
    <x v="57"/>
    <s v="CSB  paper trailer"/>
    <s v="Plastic"/>
    <x v="16"/>
    <s v="RockTenn"/>
    <m/>
    <n v="80"/>
    <n v="0.04"/>
    <n v="100"/>
    <n v="4"/>
    <n v="0"/>
    <n v="4"/>
    <n v="37123"/>
    <n v="173396"/>
    <d v="2012-05-21T00:00:00"/>
  </r>
  <r>
    <x v="57"/>
    <s v="CC compactor"/>
    <s v="Single Stream"/>
    <x v="11"/>
    <s v="RockTenn"/>
    <m/>
    <n v="6480"/>
    <n v="3.24"/>
    <n v="35"/>
    <n v="113.4"/>
    <n v="0"/>
    <n v="113.4"/>
    <n v="3249913"/>
    <n v="175280"/>
    <d v="2012-05-05T00:00:00"/>
  </r>
  <r>
    <x v="58"/>
    <s v="CC compactor"/>
    <s v="Single Stream"/>
    <x v="11"/>
    <s v="RockTenn"/>
    <m/>
    <n v="5180"/>
    <n v="2.59"/>
    <n v="34.301158301158303"/>
    <n v="88.84"/>
    <n v="0"/>
    <n v="88.84"/>
    <n v="3250348"/>
    <n v="175281"/>
    <d v="2012-05-05T00:00:00"/>
  </r>
  <r>
    <x v="59"/>
    <s v="All/Dumpsters"/>
    <s v="Single Stream"/>
    <x v="11"/>
    <s v="RockTenn/Abitibi"/>
    <m/>
    <n v="5329"/>
    <n v="2.6644999999999999"/>
    <m/>
    <m/>
    <m/>
    <m/>
    <m/>
    <m/>
    <m/>
  </r>
  <r>
    <x v="60"/>
    <s v="CC compactor"/>
    <s v="Single Stream"/>
    <x v="11"/>
    <s v="RockTenn"/>
    <m/>
    <n v="4000"/>
    <n v="2"/>
    <n v="0"/>
    <m/>
    <n v="0"/>
    <m/>
    <m/>
    <m/>
    <m/>
  </r>
  <r>
    <x v="60"/>
    <s v="Student Center compactor"/>
    <s v="Single Stream"/>
    <x v="11"/>
    <s v="RockTenn"/>
    <m/>
    <n v="6000"/>
    <n v="3"/>
    <n v="0"/>
    <m/>
    <n v="0"/>
    <m/>
    <m/>
    <m/>
    <m/>
  </r>
  <r>
    <x v="61"/>
    <s v="CSB Trailer"/>
    <s v="Paper"/>
    <x v="0"/>
    <s v="RockTenn"/>
    <m/>
    <n v="4215"/>
    <n v="2.1074999999999999"/>
    <n v="80"/>
    <n v="168.6"/>
    <n v="0"/>
    <n v="168.6"/>
    <n v="479720"/>
    <n v="178260"/>
    <d v="2012-05-23T00:00:00"/>
  </r>
  <r>
    <x v="61"/>
    <s v="CSB Trailer"/>
    <s v="Cardboard"/>
    <x v="1"/>
    <s v="RockTenn"/>
    <m/>
    <n v="185"/>
    <n v="9.2499999999999999E-2"/>
    <n v="40"/>
    <n v="3.7"/>
    <n v="0"/>
    <n v="3.7"/>
    <n v="479720"/>
    <n v="178260"/>
    <d v="2012-05-23T00:00:00"/>
  </r>
  <r>
    <x v="61"/>
    <s v="CSB Trailer"/>
    <s v="Paper"/>
    <x v="3"/>
    <s v="RockTenn"/>
    <m/>
    <n v="1285"/>
    <n v="0.64249999999999996"/>
    <n v="60"/>
    <n v="38.549999999999997"/>
    <n v="0"/>
    <n v="38.549999999999997"/>
    <n v="479720"/>
    <n v="178260"/>
    <d v="2012-05-23T00:00:00"/>
  </r>
  <r>
    <x v="62"/>
    <s v="Warehouse"/>
    <s v="Glass"/>
    <x v="12"/>
    <s v="Ripple"/>
    <m/>
    <n v="10100"/>
    <n v="5.05"/>
    <m/>
    <m/>
    <m/>
    <m/>
    <m/>
    <m/>
    <m/>
  </r>
  <r>
    <x v="63"/>
    <s v="CC compactor"/>
    <s v="Single Stream"/>
    <x v="11"/>
    <s v="RockTenn"/>
    <m/>
    <n v="7760"/>
    <n v="3.88"/>
    <n v="35.000000000000007"/>
    <n v="135.80000000000001"/>
    <n v="0"/>
    <n v="135.80000000000001"/>
    <n v="481609"/>
    <n v="178670"/>
    <d v="2012-05-29T00:00:00"/>
  </r>
  <r>
    <x v="64"/>
    <s v="All/Dumpsters"/>
    <s v="Single Stream"/>
    <x v="11"/>
    <s v="RockTenn/Abitibi"/>
    <m/>
    <n v="5329"/>
    <n v="2.6644999999999999"/>
    <m/>
    <m/>
    <m/>
    <m/>
    <m/>
    <m/>
    <m/>
  </r>
  <r>
    <x v="65"/>
    <s v="Warehouse"/>
    <s v="e-waste"/>
    <x v="8"/>
    <s v="Unicor"/>
    <m/>
    <n v="5000"/>
    <n v="2.5"/>
    <m/>
    <m/>
    <m/>
    <m/>
    <m/>
    <m/>
    <m/>
  </r>
  <r>
    <x v="66"/>
    <s v="CSB Trailer"/>
    <s v="Paper"/>
    <x v="0"/>
    <s v="RockTenn"/>
    <m/>
    <n v="8815"/>
    <n v="4.4074999999999998"/>
    <n v="80.000000000000014"/>
    <n v="352.6"/>
    <n v="0"/>
    <n v="352.6"/>
    <n v="481897"/>
    <n v="180424"/>
    <d v="2012-06-11T00:00:00"/>
  </r>
  <r>
    <x v="66"/>
    <s v="CSB Trailer"/>
    <s v="Cardboard"/>
    <x v="1"/>
    <s v="RockTenn"/>
    <m/>
    <n v="55"/>
    <n v="2.75E-2"/>
    <n v="30.18181818181818"/>
    <n v="0.83"/>
    <n v="0"/>
    <n v="0.83"/>
    <n v="481897"/>
    <n v="180424"/>
    <d v="2012-06-11T00:00:00"/>
  </r>
  <r>
    <x v="67"/>
    <s v="Warehouse"/>
    <s v="Glass"/>
    <x v="12"/>
    <s v="Ripple"/>
    <m/>
    <n v="9800"/>
    <n v="4.9000000000000004"/>
    <m/>
    <m/>
    <m/>
    <m/>
    <m/>
    <m/>
    <m/>
  </r>
  <r>
    <x v="68"/>
    <s v="Warehouse"/>
    <s v="e-waste"/>
    <x v="8"/>
    <s v="Unicor"/>
    <m/>
    <n v="4739"/>
    <n v="2.3694999999999999"/>
    <m/>
    <m/>
    <m/>
    <m/>
    <m/>
    <m/>
    <m/>
  </r>
  <r>
    <x v="69"/>
    <s v="CC compactor"/>
    <s v="Single Stream"/>
    <x v="11"/>
    <s v="RockTenn"/>
    <m/>
    <n v="8500"/>
    <n v="4.25"/>
    <n v="25"/>
    <n v="106.25"/>
    <n v="0"/>
    <n v="106.25"/>
    <n v="482439"/>
    <n v="181805"/>
    <d v="2012-07-02T00:00:00"/>
  </r>
  <r>
    <x v="70"/>
    <s v="All/Dumpsters"/>
    <s v="Single Stream"/>
    <x v="11"/>
    <s v="RockTenn/Abitibi"/>
    <m/>
    <n v="5329"/>
    <n v="2.6644999999999999"/>
    <m/>
    <m/>
    <m/>
    <m/>
    <m/>
    <m/>
    <m/>
  </r>
  <r>
    <x v="71"/>
    <s v="CSB Trailer"/>
    <s v="Paper"/>
    <x v="0"/>
    <s v="RockTenn"/>
    <m/>
    <n v="8210"/>
    <n v="4.1050000000000004"/>
    <n v="99.999999999999986"/>
    <n v="410.5"/>
    <n v="0"/>
    <n v="410.5"/>
    <n v="482539"/>
    <n v="183355"/>
    <d v="2012-07-20T00:00:00"/>
  </r>
  <r>
    <x v="71"/>
    <s v="CSB Trailer"/>
    <s v="Cardboard"/>
    <x v="1"/>
    <s v="RockTenn"/>
    <m/>
    <n v="60"/>
    <n v="0.03"/>
    <n v="25"/>
    <n v="0.75"/>
    <n v="0"/>
    <n v="0.75"/>
    <n v="482539"/>
    <n v="183355"/>
    <d v="2012-07-20T00:00:00"/>
  </r>
  <r>
    <x v="71"/>
    <s v="CSB Trailer"/>
    <s v="Paper"/>
    <x v="3"/>
    <s v="RockTenn"/>
    <m/>
    <n v="540"/>
    <n v="0.27"/>
    <n v="59.999999999999993"/>
    <n v="16.2"/>
    <n v="0"/>
    <n v="16.2"/>
    <n v="482539"/>
    <n v="183355"/>
    <d v="2012-07-20T00:00:00"/>
  </r>
  <r>
    <x v="72"/>
    <s v="Warehouse"/>
    <s v="Glass"/>
    <x v="12"/>
    <s v="Ripple"/>
    <m/>
    <n v="10100"/>
    <n v="5.05"/>
    <m/>
    <m/>
    <m/>
    <m/>
    <m/>
    <m/>
    <m/>
  </r>
  <r>
    <x v="73"/>
    <s v="CC compactor"/>
    <s v="Single Stream"/>
    <x v="11"/>
    <s v="RockTenn"/>
    <m/>
    <n v="9280"/>
    <n v="4.6399999999999997"/>
    <n v="25"/>
    <n v="116"/>
    <n v="0"/>
    <n v="116"/>
    <n v="483042"/>
    <n v="186265"/>
    <d v="2012-07-30T00:00:00"/>
  </r>
  <r>
    <x v="74"/>
    <s v="All/Dumpsters"/>
    <s v="Single Stream"/>
    <x v="11"/>
    <s v="RockTenn/Abitibi"/>
    <m/>
    <n v="5329"/>
    <n v="2.6644999999999999"/>
    <m/>
    <m/>
    <m/>
    <m/>
    <m/>
    <m/>
    <m/>
  </r>
  <r>
    <x v="75"/>
    <s v="south compound"/>
    <s v="Metal"/>
    <x v="17"/>
    <s v="Advantage Metal"/>
    <m/>
    <n v="8520"/>
    <n v="4.26"/>
    <n v="0.09"/>
    <n v="766.8"/>
    <n v="180"/>
    <n v="586.79999999999995"/>
    <s v="TKXFDD"/>
    <n v="181688"/>
    <m/>
  </r>
  <r>
    <x v="76"/>
    <s v="Warehouse"/>
    <s v="e-waste"/>
    <x v="8"/>
    <s v="Surplus Exchange"/>
    <m/>
    <n v="4500"/>
    <n v="2.25"/>
    <m/>
    <m/>
    <m/>
    <m/>
    <m/>
    <m/>
    <m/>
  </r>
  <r>
    <x v="77"/>
    <s v="CC compactor"/>
    <s v="Single Stream"/>
    <x v="11"/>
    <s v="RockTenn"/>
    <m/>
    <n v="4380"/>
    <n v="2.19"/>
    <n v="25"/>
    <n v="54.75"/>
    <n v="0"/>
    <n v="54.75"/>
    <n v="483398"/>
    <n v="189280"/>
    <d v="2012-11-07T00:00:00"/>
  </r>
  <r>
    <x v="78"/>
    <s v="Warehouse"/>
    <s v="Glass"/>
    <x v="12"/>
    <s v="Ripple"/>
    <m/>
    <n v="10060"/>
    <n v="5.03"/>
    <m/>
    <m/>
    <m/>
    <m/>
    <m/>
    <m/>
    <m/>
  </r>
  <r>
    <x v="79"/>
    <s v="SC compactor"/>
    <s v="Single Stream"/>
    <x v="11"/>
    <s v="RockTenn"/>
    <m/>
    <n v="9540"/>
    <n v="4.7699999999999996"/>
    <n v="25.000000000000004"/>
    <n v="119.25"/>
    <n v="0"/>
    <n v="119.25"/>
    <n v="483423"/>
    <n v="189280"/>
    <d v="2012-11-07T00:00:00"/>
  </r>
  <r>
    <x v="80"/>
    <s v="CSB Trailer"/>
    <s v="Paper"/>
    <x v="0"/>
    <s v="RockTenn"/>
    <m/>
    <n v="5935"/>
    <n v="2.9674999999999998"/>
    <n v="100"/>
    <n v="296.75"/>
    <n v="0"/>
    <n v="296.75"/>
    <n v="3253690"/>
    <n v="189280"/>
    <d v="2012-11-07T00:00:00"/>
  </r>
  <r>
    <x v="80"/>
    <s v="CSB Trailer"/>
    <s v="Cardboard"/>
    <x v="1"/>
    <s v="RockTenn"/>
    <m/>
    <n v="5435"/>
    <n v="2.7174999999999998"/>
    <n v="14.999080036798528"/>
    <n v="40.76"/>
    <n v="0"/>
    <n v="40.76"/>
    <n v="3253690"/>
    <n v="189280"/>
    <d v="2012-11-07T00:00:00"/>
  </r>
  <r>
    <x v="80"/>
    <s v="CSB Trailer"/>
    <s v="Trash"/>
    <x v="15"/>
    <s v="RockTenn"/>
    <m/>
    <n v="400"/>
    <n v="0.2"/>
    <n v="-100"/>
    <n v="-20"/>
    <n v="0"/>
    <n v="-20"/>
    <n v="3253690"/>
    <n v="189280"/>
    <d v="2012-11-07T00:00:00"/>
  </r>
  <r>
    <x v="81"/>
    <s v="Delivered"/>
    <s v="Metal"/>
    <x v="18"/>
    <s v="Advantage Metal"/>
    <m/>
    <n v="96"/>
    <n v="4.8000000000000001E-2"/>
    <n v="2.8"/>
    <n v="268.8"/>
    <n v="0"/>
    <n v="268.8"/>
    <s v="ZHEAAN"/>
    <n v="183200"/>
    <m/>
  </r>
  <r>
    <x v="81"/>
    <s v="Delivered"/>
    <s v="Metal"/>
    <x v="19"/>
    <s v="Advantage Metal"/>
    <m/>
    <n v="657"/>
    <n v="0.32850000000000001"/>
    <n v="0.25"/>
    <n v="164.25"/>
    <n v="0"/>
    <n v="164.25"/>
    <s v="ZHEAAN"/>
    <n v="183200"/>
    <m/>
  </r>
  <r>
    <x v="81"/>
    <s v="CC compactor"/>
    <s v="Single Stream"/>
    <x v="11"/>
    <s v="RockTenn"/>
    <m/>
    <n v="8440"/>
    <n v="4.22"/>
    <n v="25"/>
    <n v="105.5"/>
    <n v="0"/>
    <n v="105.5"/>
    <n v="3253676"/>
    <n v="189280"/>
    <d v="2012-11-07T00:00:00"/>
  </r>
  <r>
    <x v="82"/>
    <s v="All/Dumpsters"/>
    <s v="Single Stream"/>
    <x v="11"/>
    <s v="RockTenn/Abitibi"/>
    <m/>
    <n v="5329"/>
    <n v="2.6644999999999999"/>
    <m/>
    <m/>
    <m/>
    <m/>
    <m/>
    <m/>
    <m/>
  </r>
  <r>
    <x v="83"/>
    <s v="south compound"/>
    <s v="Metal"/>
    <x v="17"/>
    <s v="Advantage Metal"/>
    <m/>
    <n v="6700"/>
    <n v="3.35"/>
    <n v="9.7500000000000003E-2"/>
    <n v="653.25"/>
    <n v="180"/>
    <n v="473.25"/>
    <m/>
    <m/>
    <m/>
  </r>
  <r>
    <x v="84"/>
    <s v="Warehouse"/>
    <s v="Glass"/>
    <x v="12"/>
    <s v="Ripple"/>
    <m/>
    <n v="336"/>
    <n v="0.16800000000000001"/>
    <m/>
    <m/>
    <m/>
    <m/>
    <m/>
    <m/>
    <m/>
  </r>
  <r>
    <x v="84"/>
    <s v="CSB Trailer"/>
    <s v="Paper"/>
    <x v="0"/>
    <s v="RockTenn"/>
    <m/>
    <n v="5635"/>
    <n v="2.8174999999999999"/>
    <n v="90.00177462289264"/>
    <n v="253.58"/>
    <n v="0"/>
    <n v="253.58"/>
    <n v="3254209"/>
    <n v="190079"/>
    <d v="2012-11-19T00:00:00"/>
  </r>
  <r>
    <x v="84"/>
    <s v="CSB Trailer"/>
    <s v="Paper"/>
    <x v="4"/>
    <s v="RockTenn"/>
    <m/>
    <n v="7665"/>
    <n v="3.8325"/>
    <n v="4.9993476842791909"/>
    <n v="19.16"/>
    <n v="0"/>
    <n v="19.16"/>
    <n v="3254209"/>
    <n v="190079"/>
    <d v="2012-11-19T00:00:00"/>
  </r>
  <r>
    <x v="85"/>
    <s v="Abitibi pickup"/>
    <s v="e-waste"/>
    <x v="20"/>
    <s v="RockTenn"/>
    <m/>
    <m/>
    <n v="0"/>
    <e v="#DIV/0!"/>
    <n v="-680"/>
    <n v="0"/>
    <n v="-680"/>
    <m/>
    <n v="189280"/>
    <d v="2012-11-07T00:00:00"/>
  </r>
  <r>
    <x v="86"/>
    <s v="CC compactor"/>
    <s v="Single Stream"/>
    <x v="11"/>
    <s v="RockTenn"/>
    <m/>
    <n v="8840"/>
    <n v="4.42"/>
    <n v="25"/>
    <n v="110.5"/>
    <n v="0"/>
    <n v="110.5"/>
    <n v="3254510"/>
    <n v="189280"/>
    <d v="2012-11-07T00:00:00"/>
  </r>
  <r>
    <x v="87"/>
    <s v="All/Dumpsters"/>
    <s v="Single Stream"/>
    <x v="11"/>
    <s v="RockTenn/Abitibi"/>
    <m/>
    <n v="5329"/>
    <n v="2.6644999999999999"/>
    <m/>
    <m/>
    <m/>
    <m/>
    <m/>
    <m/>
    <m/>
  </r>
  <r>
    <x v="88"/>
    <s v="south compound"/>
    <s v="Metal"/>
    <x v="17"/>
    <s v="Advantage Metal"/>
    <m/>
    <n v="7220"/>
    <n v="3.61"/>
    <n v="8.5000000000000006E-2"/>
    <n v="613.70000000000005"/>
    <n v="180"/>
    <n v="433.7"/>
    <s v="TLNAEY"/>
    <n v="186931"/>
    <m/>
  </r>
  <r>
    <x v="89"/>
    <s v="CSB Trailer"/>
    <s v="Paper"/>
    <x v="0"/>
    <s v="RockTenn"/>
    <m/>
    <n v="4570"/>
    <n v="2.2850000000000001"/>
    <n v="69.999999999999986"/>
    <n v="159.94999999999999"/>
    <n v="0"/>
    <n v="159.94999999999999"/>
    <n v="3254600"/>
    <n v="190757"/>
    <d v="2012-12-03T00:00:00"/>
  </r>
  <r>
    <x v="89"/>
    <s v="CSB Trailer"/>
    <s v="Paper"/>
    <x v="4"/>
    <s v="RockTenn"/>
    <m/>
    <n v="3440"/>
    <n v="1.72"/>
    <n v="5"/>
    <n v="8.6"/>
    <n v="0"/>
    <n v="8.6"/>
    <n v="3254600"/>
    <n v="190757"/>
    <d v="2012-12-03T00:00:00"/>
  </r>
  <r>
    <x v="89"/>
    <s v="CSB Trailer"/>
    <s v="Paper"/>
    <x v="3"/>
    <s v="RockTenn"/>
    <m/>
    <n v="3925"/>
    <n v="1.9624999999999999"/>
    <n v="60"/>
    <n v="117.75"/>
    <n v="0"/>
    <n v="117.75"/>
    <n v="3254600"/>
    <n v="190757"/>
    <d v="2012-12-03T00:00:00"/>
  </r>
  <r>
    <x v="90"/>
    <s v="SC compactor"/>
    <s v="Single Stream"/>
    <x v="11"/>
    <s v="RockTenn"/>
    <m/>
    <n v="6980"/>
    <n v="3.49"/>
    <n v="25"/>
    <n v="87.25"/>
    <n v="0"/>
    <n v="87.25"/>
    <n v="3254715"/>
    <n v="190081"/>
    <d v="2012-11-16T00:00:00"/>
  </r>
  <r>
    <x v="90"/>
    <s v="Unknown"/>
    <s v="Trash"/>
    <x v="15"/>
    <s v="RockTenn"/>
    <m/>
    <n v="205"/>
    <n v="0.10249999999999999"/>
    <n v="-100"/>
    <n v="-10.25"/>
    <n v="0"/>
    <n v="-10.25"/>
    <n v="3254600"/>
    <n v="190081"/>
    <d v="2012-11-16T00:00:00"/>
  </r>
  <r>
    <x v="91"/>
    <s v="Delivered"/>
    <s v="Metal"/>
    <x v="18"/>
    <s v="Advantage Metal"/>
    <m/>
    <n v="237"/>
    <n v="0.11849999999999999"/>
    <n v="2.95"/>
    <n v="699.15"/>
    <n v="0"/>
    <n v="699.15"/>
    <s v="zhmouw"/>
    <m/>
    <m/>
  </r>
  <r>
    <x v="91"/>
    <s v="Delivered"/>
    <s v="Metal"/>
    <x v="21"/>
    <s v="Advantage Metal"/>
    <m/>
    <n v="355"/>
    <n v="0.17749999999999999"/>
    <n v="0.51"/>
    <n v="181.05"/>
    <n v="0"/>
    <n v="181.05"/>
    <s v="zhmouw"/>
    <m/>
    <m/>
  </r>
  <r>
    <x v="91"/>
    <s v="Delivered"/>
    <s v="Metal"/>
    <x v="22"/>
    <s v="Advantage Metal"/>
    <m/>
    <n v="28"/>
    <n v="1.4E-2"/>
    <n v="0.5"/>
    <n v="14"/>
    <n v="0"/>
    <n v="14"/>
    <s v="zhmouw"/>
    <m/>
    <m/>
  </r>
  <r>
    <x v="91"/>
    <s v="Delivered"/>
    <s v="Metal"/>
    <x v="23"/>
    <s v="Advantage Metal"/>
    <m/>
    <n v="169"/>
    <n v="8.4500000000000006E-2"/>
    <n v="1.41"/>
    <n v="238.29"/>
    <n v="0"/>
    <n v="238.29"/>
    <s v="zhmouw"/>
    <m/>
    <m/>
  </r>
  <r>
    <x v="91"/>
    <s v="Delivered"/>
    <s v="Metal"/>
    <x v="24"/>
    <s v="Advantage Metal"/>
    <m/>
    <n v="138"/>
    <n v="6.9000000000000006E-2"/>
    <n v="0.55000000000000004"/>
    <n v="75.900000000000006"/>
    <n v="0"/>
    <n v="75.900000000000006"/>
    <s v="zhmouw"/>
    <m/>
    <m/>
  </r>
  <r>
    <x v="91"/>
    <s v="Delivered"/>
    <s v="Metal"/>
    <x v="25"/>
    <s v="Advantage Metal"/>
    <m/>
    <n v="63"/>
    <n v="3.15E-2"/>
    <n v="0.35"/>
    <n v="22.05"/>
    <n v="0"/>
    <n v="22.05"/>
    <s v="zhmouw"/>
    <m/>
    <m/>
  </r>
  <r>
    <x v="91"/>
    <s v="CC compactor"/>
    <s v="Single Stream"/>
    <x v="11"/>
    <s v="RockTenn"/>
    <m/>
    <n v="5900"/>
    <n v="2.95"/>
    <n v="25"/>
    <n v="73.75"/>
    <n v="0"/>
    <n v="73.75"/>
    <n v="3254874"/>
    <n v="190157"/>
    <d v="2012-11-20T00:00:00"/>
  </r>
  <r>
    <x v="91"/>
    <s v="Warehouse"/>
    <s v="Glass"/>
    <x v="12"/>
    <s v="Ripple"/>
    <m/>
    <n v="336"/>
    <n v="0.16800000000000001"/>
    <m/>
    <m/>
    <m/>
    <m/>
    <m/>
    <m/>
    <m/>
  </r>
  <r>
    <x v="92"/>
    <s v="Warehouse"/>
    <s v="e-waste"/>
    <x v="8"/>
    <s v="Unicor"/>
    <m/>
    <n v="10142"/>
    <n v="5.0709999999999997"/>
    <m/>
    <m/>
    <m/>
    <m/>
    <m/>
    <m/>
    <m/>
  </r>
  <r>
    <x v="93"/>
    <s v="All/Dumpsters"/>
    <s v="Single Stream"/>
    <x v="11"/>
    <s v="RockTenn/Abitibi"/>
    <m/>
    <n v="5329"/>
    <n v="2.6644999999999999"/>
    <m/>
    <m/>
    <m/>
    <m/>
    <m/>
    <m/>
    <m/>
  </r>
  <r>
    <x v="94"/>
    <s v="Abitibi Correction"/>
    <s v="e-waste"/>
    <x v="26"/>
    <s v="RockTenn"/>
    <m/>
    <m/>
    <n v="0"/>
    <e v="#DIV/0!"/>
    <n v="486.4"/>
    <n v="0"/>
    <n v="486.4"/>
    <m/>
    <n v="191066"/>
    <d v="2012-12-06T00:00:00"/>
  </r>
  <r>
    <x v="95"/>
    <s v="CC compactor"/>
    <s v="Single Stream"/>
    <x v="11"/>
    <s v="RockTenn"/>
    <m/>
    <n v="1600"/>
    <n v="0.8"/>
    <n v="25"/>
    <n v="20"/>
    <n v="0"/>
    <n v="20"/>
    <n v="3255584"/>
    <n v="194033"/>
    <d v="2013-01-08T00:00:00"/>
  </r>
  <r>
    <x v="96"/>
    <s v="Warehouse"/>
    <s v="Glass"/>
    <x v="12"/>
    <s v="Ripple"/>
    <m/>
    <n v="336"/>
    <n v="0.16800000000000001"/>
    <m/>
    <m/>
    <m/>
    <m/>
    <m/>
    <m/>
    <m/>
  </r>
  <r>
    <x v="96"/>
    <s v="CC compactor"/>
    <s v="Single Stream"/>
    <x v="11"/>
    <s v="RockTenn"/>
    <m/>
    <n v="9680"/>
    <n v="4.84"/>
    <n v="25"/>
    <n v="121"/>
    <n v="0"/>
    <n v="121"/>
    <n v="3255584"/>
    <n v="194033"/>
    <d v="2013-01-08T00:00:00"/>
  </r>
  <r>
    <x v="96"/>
    <s v="CSB Trailer"/>
    <s v="Paper"/>
    <x v="0"/>
    <s v="RockTenn"/>
    <m/>
    <n v="8615"/>
    <n v="4.3075000000000001"/>
    <n v="70.001160766105627"/>
    <n v="301.52999999999997"/>
    <n v="0"/>
    <n v="301.52999999999997"/>
    <n v="3255696"/>
    <n v="194823"/>
    <d v="2013-01-07T00:00:00"/>
  </r>
  <r>
    <x v="96"/>
    <s v="CSB Trailer"/>
    <s v="Paper"/>
    <x v="4"/>
    <s v="RockTenn"/>
    <m/>
    <n v="435"/>
    <n v="0.2175"/>
    <n v="5.0114942528735638"/>
    <n v="1.0900000000000001"/>
    <n v="0"/>
    <n v="1.0900000000000001"/>
    <n v="3255696"/>
    <n v="194823"/>
    <d v="2013-01-07T00:00:00"/>
  </r>
  <r>
    <x v="96"/>
    <s v="CSB Trailer"/>
    <s v="Paper"/>
    <x v="3"/>
    <s v="RockTenn"/>
    <m/>
    <n v="3365"/>
    <n v="1.6825000000000001"/>
    <n v="60"/>
    <n v="100.95"/>
    <n v="0"/>
    <n v="100.95"/>
    <n v="3255696"/>
    <n v="194823"/>
    <d v="2013-01-07T00:00:00"/>
  </r>
  <r>
    <x v="97"/>
    <s v="south compactor"/>
    <s v="Trash"/>
    <x v="27"/>
    <s v="Deffenbaugh"/>
    <m/>
    <n v="1925"/>
    <n v="0.96250000000000002"/>
    <m/>
    <m/>
    <m/>
    <n v="-96.25"/>
    <n v="3255696"/>
    <n v="194033"/>
    <d v="2013-01-08T00:00:00"/>
  </r>
  <r>
    <x v="97"/>
    <s v="south compactor"/>
    <s v="Trash"/>
    <x v="27"/>
    <s v="RockTenn"/>
    <m/>
    <n v="1925"/>
    <n v="0.96250000000000002"/>
    <n v="-100"/>
    <n v="-96.25"/>
    <n v="0"/>
    <n v="-96.25"/>
    <n v="3255696"/>
    <n v="194033"/>
    <d v="2013-01-08T00:00:00"/>
  </r>
  <r>
    <x v="98"/>
    <s v="south compound"/>
    <s v="Metal"/>
    <x v="17"/>
    <s v="Advantage Metal"/>
    <m/>
    <n v="3200"/>
    <n v="1.6"/>
    <n v="7.0000000000000007E-2"/>
    <n v="224"/>
    <n v="180"/>
    <n v="44"/>
    <s v="TLXQKL"/>
    <m/>
    <m/>
  </r>
  <r>
    <x v="99"/>
    <s v="All/Dumpsters"/>
    <s v="Single Stream"/>
    <x v="11"/>
    <s v="RockTenn/Abitibi"/>
    <m/>
    <n v="5329"/>
    <n v="2.6644999999999999"/>
    <m/>
    <m/>
    <m/>
    <m/>
    <m/>
    <m/>
    <m/>
  </r>
  <r>
    <x v="100"/>
    <s v="CC compactor"/>
    <s v="Single Stream"/>
    <x v="11"/>
    <s v="RockTenn"/>
    <m/>
    <n v="9740"/>
    <n v="4.87"/>
    <n v="25"/>
    <n v="121.75"/>
    <n v="0"/>
    <n v="121.75"/>
    <n v="3256283"/>
    <m/>
    <d v="2013-02-11T00:00:00"/>
  </r>
  <r>
    <x v="100"/>
    <s v="south compound"/>
    <s v="Trash"/>
    <x v="27"/>
    <s v="RockTenn"/>
    <m/>
    <n v="9500"/>
    <n v="4.75"/>
    <n v="-100"/>
    <n v="-475"/>
    <n v="0"/>
    <n v="-475"/>
    <n v="3256208"/>
    <m/>
    <d v="2013-02-11T00:00:00"/>
  </r>
  <r>
    <x v="100"/>
    <s v="south compound"/>
    <s v="Trash"/>
    <x v="27"/>
    <s v="Deffenbaugh"/>
    <m/>
    <n v="0"/>
    <n v="0"/>
    <m/>
    <m/>
    <m/>
    <n v="510"/>
    <m/>
    <n v="201385"/>
    <m/>
  </r>
  <r>
    <x v="101"/>
    <s v="south compound"/>
    <s v="Trash"/>
    <x v="27"/>
    <s v="RockTenn"/>
    <m/>
    <n v="700"/>
    <n v="0.35"/>
    <n v="-100"/>
    <n v="-35"/>
    <n v="0"/>
    <n v="-35"/>
    <n v="356277"/>
    <m/>
    <d v="2013-02-11T00:00:00"/>
  </r>
  <r>
    <x v="102"/>
    <s v="Warehouse"/>
    <s v="Glass"/>
    <x v="12"/>
    <s v="Ripple"/>
    <m/>
    <n v="336"/>
    <n v="0.16800000000000001"/>
    <m/>
    <m/>
    <m/>
    <m/>
    <m/>
    <m/>
    <m/>
  </r>
  <r>
    <x v="103"/>
    <s v="South Compound 20yd"/>
    <s v="Wood"/>
    <x v="28"/>
    <s v="Missouri Organic"/>
    <m/>
    <n v="3440"/>
    <n v="1.72"/>
    <n v="0"/>
    <n v="0"/>
    <n v="210"/>
    <m/>
    <n v="4263"/>
    <m/>
    <m/>
  </r>
  <r>
    <x v="104"/>
    <s v="CSB Trailer"/>
    <s v="Paper"/>
    <x v="0"/>
    <s v="RockTenn"/>
    <m/>
    <n v="8600"/>
    <n v="4.3"/>
    <n v="80"/>
    <n v="344"/>
    <n v="0"/>
    <n v="344"/>
    <n v="486403"/>
    <m/>
    <d v="2013-02-11T00:00:00"/>
  </r>
  <r>
    <x v="104"/>
    <s v="CSB Trailer"/>
    <s v="Paper"/>
    <x v="4"/>
    <s v="RockTenn"/>
    <m/>
    <n v="200"/>
    <n v="0.1"/>
    <n v="5"/>
    <n v="0.5"/>
    <n v="0"/>
    <n v="0.5"/>
    <n v="486403"/>
    <m/>
    <d v="2013-02-11T00:00:00"/>
  </r>
  <r>
    <x v="104"/>
    <s v="CSB Trailer"/>
    <s v="Paper"/>
    <x v="3"/>
    <s v="RockTenn"/>
    <m/>
    <n v="2470"/>
    <n v="1.2350000000000001"/>
    <n v="59.999999999999993"/>
    <n v="74.099999999999994"/>
    <n v="0"/>
    <n v="74.099999999999994"/>
    <n v="486403"/>
    <m/>
    <d v="2013-02-11T00:00:00"/>
  </r>
  <r>
    <x v="105"/>
    <s v="CC compactor"/>
    <s v="Single Stream"/>
    <x v="11"/>
    <s v="RockTenn"/>
    <m/>
    <n v="7920"/>
    <n v="3.96"/>
    <n v="25"/>
    <n v="99"/>
    <n v="0"/>
    <n v="99"/>
    <n v="3256769"/>
    <n v="198300"/>
    <d v="2013-02-25T00:00:00"/>
  </r>
  <r>
    <x v="106"/>
    <s v="All/Dumpsters"/>
    <s v="Single Stream"/>
    <x v="11"/>
    <s v="Deffenbaugh"/>
    <m/>
    <n v="5000"/>
    <n v="2.5"/>
    <m/>
    <m/>
    <m/>
    <m/>
    <m/>
    <m/>
    <m/>
  </r>
  <r>
    <x v="106"/>
    <s v="Warehouse"/>
    <s v="e-waste"/>
    <x v="9"/>
    <s v="Call2recycle"/>
    <m/>
    <s v="?"/>
    <s v="?"/>
    <m/>
    <m/>
    <m/>
    <m/>
    <m/>
    <m/>
    <m/>
  </r>
  <r>
    <x v="106"/>
    <s v="Book  Store"/>
    <s v="e-waste"/>
    <x v="10"/>
    <s v="One Planet books"/>
    <s v="530 boxes"/>
    <n v="21200"/>
    <n v="10.6"/>
    <m/>
    <m/>
    <m/>
    <n v="5300"/>
    <m/>
    <m/>
    <m/>
  </r>
  <r>
    <x v="107"/>
    <s v="south compound"/>
    <s v="Metal"/>
    <x v="17"/>
    <s v="Advantage Metal"/>
    <m/>
    <n v="10780"/>
    <n v="5.39"/>
    <n v="0.10249999999999999"/>
    <n v="1104.95"/>
    <n v="180"/>
    <n v="924.95"/>
    <s v="tmjqtq"/>
    <m/>
    <m/>
  </r>
  <r>
    <x v="108"/>
    <s v="CC compactor"/>
    <s v="Single Stream"/>
    <x v="11"/>
    <s v="Deffenbaugh"/>
    <m/>
    <n v="3100"/>
    <n v="1.55"/>
    <n v="25"/>
    <n v="38.75"/>
    <n v="0"/>
    <n v="38.75"/>
    <n v="3257044"/>
    <n v="199143"/>
    <m/>
  </r>
  <r>
    <x v="108"/>
    <s v="SC compactor"/>
    <s v="Single Stream"/>
    <x v="11"/>
    <s v="Deffenbaugh"/>
    <m/>
    <n v="9520"/>
    <n v="4.76"/>
    <n v="25"/>
    <n v="119"/>
    <n v="0"/>
    <n v="119"/>
    <n v="3257054"/>
    <n v="199143"/>
    <m/>
  </r>
  <r>
    <x v="109"/>
    <s v="Gym"/>
    <s v="Wood"/>
    <x v="29"/>
    <s v="BCD sales"/>
    <n v="30"/>
    <n v="1110"/>
    <n v="0.55500000000000005"/>
    <m/>
    <m/>
    <m/>
    <n v="72"/>
    <m/>
    <m/>
    <m/>
  </r>
  <r>
    <x v="110"/>
    <s v="CSB Trailer"/>
    <s v="Paper"/>
    <x v="0"/>
    <s v="RockTenn"/>
    <m/>
    <n v="7635"/>
    <n v="3.8174999999999999"/>
    <n v="80"/>
    <n v="305.39999999999998"/>
    <n v="0"/>
    <n v="305.39999999999998"/>
    <n v="3257303"/>
    <n v="200210"/>
    <m/>
  </r>
  <r>
    <x v="110"/>
    <s v="CSB Trailer"/>
    <s v="Paper"/>
    <x v="3"/>
    <s v="RockTenn"/>
    <m/>
    <n v="2955"/>
    <n v="1.4775"/>
    <n v="60"/>
    <n v="88.65"/>
    <n v="0"/>
    <n v="88.65"/>
    <n v="3257303"/>
    <n v="200210"/>
    <m/>
  </r>
  <r>
    <x v="111"/>
    <s v="South Compound 20yd"/>
    <s v="Wood"/>
    <x v="28"/>
    <s v="Missouri Organic"/>
    <m/>
    <n v="4420"/>
    <n v="2.21"/>
    <n v="0"/>
    <n v="0"/>
    <n v="210"/>
    <m/>
    <n v="4533"/>
    <m/>
    <m/>
  </r>
  <r>
    <x v="112"/>
    <s v="Warehouse"/>
    <s v="Glass"/>
    <x v="12"/>
    <s v="Ripple"/>
    <m/>
    <n v="336"/>
    <n v="0.16800000000000001"/>
    <m/>
    <m/>
    <m/>
    <m/>
    <m/>
    <m/>
    <m/>
  </r>
  <r>
    <x v="113"/>
    <s v="All/Dumpsters"/>
    <s v="Single Stream"/>
    <x v="11"/>
    <s v="Deffenbaugh"/>
    <m/>
    <n v="5000"/>
    <n v="2.5"/>
    <m/>
    <m/>
    <m/>
    <m/>
    <m/>
    <m/>
    <m/>
  </r>
  <r>
    <x v="114"/>
    <s v="south compound"/>
    <s v="Metal"/>
    <x v="17"/>
    <s v="Advantage Metal"/>
    <m/>
    <n v="4620"/>
    <n v="2.31"/>
    <n v="9.2499999999999999E-2"/>
    <n v="427.35"/>
    <n v="180"/>
    <n v="247.35"/>
    <s v="TMTiHN"/>
    <m/>
    <m/>
  </r>
  <r>
    <x v="115"/>
    <s v="CC compactor"/>
    <s v="Single Stream"/>
    <x v="11"/>
    <s v="Deffenbaugh"/>
    <m/>
    <n v="7000"/>
    <n v="3.5"/>
    <m/>
    <m/>
    <m/>
    <m/>
    <m/>
    <m/>
    <m/>
  </r>
  <r>
    <x v="116"/>
    <s v="SC compactor"/>
    <s v="Single Stream"/>
    <x v="11"/>
    <s v="Town Country"/>
    <m/>
    <n v="5320"/>
    <n v="2.66"/>
    <n v="49"/>
    <n v="130.34"/>
    <n v="85"/>
    <n v="45.34"/>
    <n v="174786"/>
    <n v="200589"/>
    <d v="2013-03-27T00:00:00"/>
  </r>
  <r>
    <x v="117"/>
    <s v="Warehouse"/>
    <s v="e-waste"/>
    <x v="8"/>
    <s v="Unicor"/>
    <m/>
    <n v="4450"/>
    <n v="2.2250000000000001"/>
    <m/>
    <m/>
    <m/>
    <m/>
    <m/>
    <m/>
    <m/>
  </r>
  <r>
    <x v="118"/>
    <s v="South Compound 20yd"/>
    <s v="Wood"/>
    <x v="28"/>
    <s v="Missouri Organic"/>
    <m/>
    <n v="4840"/>
    <n v="2.42"/>
    <n v="0"/>
    <n v="0"/>
    <n v="210"/>
    <m/>
    <n v="4779"/>
    <m/>
    <m/>
  </r>
  <r>
    <x v="119"/>
    <s v="Warehouse"/>
    <s v="Glass"/>
    <x v="12"/>
    <s v="Ripple"/>
    <m/>
    <n v="336"/>
    <n v="0.16800000000000001"/>
    <m/>
    <m/>
    <m/>
    <m/>
    <m/>
    <m/>
    <m/>
  </r>
  <r>
    <x v="119"/>
    <s v="All/Dumpsters"/>
    <s v="Single Stream"/>
    <x v="11"/>
    <s v="Deffenbaugh"/>
    <m/>
    <n v="5000"/>
    <n v="2.5"/>
    <m/>
    <m/>
    <m/>
    <m/>
    <m/>
    <m/>
    <m/>
  </r>
  <r>
    <x v="119"/>
    <s v="Warehouse"/>
    <s v="e-waste"/>
    <x v="8"/>
    <s v="Vintage Tech"/>
    <m/>
    <n v="1825"/>
    <n v="0.91249999999999998"/>
    <m/>
    <m/>
    <m/>
    <m/>
    <m/>
    <m/>
    <m/>
  </r>
  <r>
    <x v="119"/>
    <s v="All/Dumpsters"/>
    <s v="Single Stream"/>
    <x v="11"/>
    <s v="Town Country"/>
    <m/>
    <n v="17347.2"/>
    <n v="8.6736000000000004"/>
    <m/>
    <m/>
    <m/>
    <m/>
    <m/>
    <m/>
    <m/>
  </r>
  <r>
    <x v="120"/>
    <s v="CC compactor"/>
    <s v="Single Stream"/>
    <x v="11"/>
    <s v="Town Country"/>
    <m/>
    <n v="6760"/>
    <n v="3.38"/>
    <n v="38.5"/>
    <n v="130.13"/>
    <n v="85"/>
    <n v="45.13"/>
    <n v="206154"/>
    <n v="230249"/>
    <d v="2014-04-02T00:00:00"/>
  </r>
  <r>
    <x v="121"/>
    <s v="CC compactor"/>
    <s v="Single Stream"/>
    <x v="11"/>
    <s v="Town Country"/>
    <m/>
    <n v="8740"/>
    <n v="4.37"/>
    <n v="49"/>
    <n v="214.13"/>
    <n v="85"/>
    <n v="129.13"/>
    <n v="176689"/>
    <n v="202290"/>
    <d v="2013-04-17T00:00:00"/>
  </r>
  <r>
    <x v="122"/>
    <s v="Gym"/>
    <s v="Metal"/>
    <x v="17"/>
    <s v="Advantage Metal"/>
    <m/>
    <n v="3160"/>
    <n v="1.58"/>
    <n v="9.5200000000000007E-2"/>
    <n v="331.8"/>
    <n v="180"/>
    <n v="151.80000000000001"/>
    <s v="TNDHHC"/>
    <n v="200106"/>
    <d v="2013-03-20T00:00:00"/>
  </r>
  <r>
    <x v="123"/>
    <s v="Gym"/>
    <s v="Metal"/>
    <x v="17"/>
    <s v="Advantage Metal"/>
    <m/>
    <n v="3580"/>
    <n v="1.79"/>
    <n v="0.105"/>
    <n v="375.9"/>
    <n v="180"/>
    <n v="195.9"/>
    <s v="TNDSXQ"/>
    <n v="200338"/>
    <d v="2013-03-25T00:00:00"/>
  </r>
  <r>
    <x v="124"/>
    <s v="Warehouse"/>
    <s v="Glass"/>
    <x v="12"/>
    <s v="Ripple"/>
    <m/>
    <n v="336"/>
    <n v="0.16800000000000001"/>
    <m/>
    <m/>
    <m/>
    <m/>
    <m/>
    <m/>
    <m/>
  </r>
  <r>
    <x v="125"/>
    <s v="CC compactor"/>
    <s v="Single Stream"/>
    <x v="11"/>
    <s v="Town Country"/>
    <m/>
    <n v="9680"/>
    <n v="4.84"/>
    <n v="49"/>
    <n v="237.16"/>
    <n v="85"/>
    <n v="152.16"/>
    <n v="178626"/>
    <n v="202290"/>
    <d v="2013-04-17T00:00:00"/>
  </r>
  <r>
    <x v="125"/>
    <s v="All/Dumpsters"/>
    <s v="Single Stream"/>
    <x v="11"/>
    <s v="Town Country"/>
    <m/>
    <n v="17347.2"/>
    <n v="8.6736000000000004"/>
    <m/>
    <m/>
    <m/>
    <m/>
    <m/>
    <m/>
    <m/>
  </r>
  <r>
    <x v="126"/>
    <s v="CSB Trailer"/>
    <s v="Paper"/>
    <x v="0"/>
    <s v="Town Country"/>
    <m/>
    <n v="12192"/>
    <n v="6.0960000000000001"/>
    <n v="126"/>
    <n v="768.1"/>
    <n v="100"/>
    <n v="668.1"/>
    <n v="178827"/>
    <n v="207227"/>
    <d v="2013-06-24T00:00:00"/>
  </r>
  <r>
    <x v="126"/>
    <s v="CSB Trailer"/>
    <s v="Cardboard"/>
    <x v="1"/>
    <s v="Town Country"/>
    <m/>
    <n v="448"/>
    <n v="0.224"/>
    <n v="90"/>
    <n v="20.16"/>
    <n v="0"/>
    <n v="20.16"/>
    <n v="178827"/>
    <n v="207227"/>
    <d v="2013-06-24T00:00:00"/>
  </r>
  <r>
    <x v="126"/>
    <s v="CSB Trailer"/>
    <s v="Paper"/>
    <x v="3"/>
    <s v="Town Country"/>
    <m/>
    <n v="187"/>
    <n v="9.35E-2"/>
    <n v="49.5"/>
    <n v="4.6500000000000004"/>
    <n v="0"/>
    <n v="4.6500000000000004"/>
    <n v="178827"/>
    <n v="207227"/>
    <d v="2013-06-24T00:00:00"/>
  </r>
  <r>
    <x v="126"/>
    <s v="CSB Trailer"/>
    <s v="Wood"/>
    <x v="29"/>
    <s v="Town Country"/>
    <m/>
    <n v="902"/>
    <n v="0.45100000000000001"/>
    <n v="0"/>
    <m/>
    <m/>
    <m/>
    <n v="178827"/>
    <n v="207227"/>
    <d v="2013-06-24T00:00:00"/>
  </r>
  <r>
    <x v="126"/>
    <s v="CSB Trailer"/>
    <s v="Single Stream"/>
    <x v="30"/>
    <s v="Town Country"/>
    <m/>
    <n v="1406"/>
    <n v="0.70299999999999996"/>
    <n v="49.52"/>
    <n v="4.6500000000000004"/>
    <n v="0"/>
    <n v="4.6500000000000004"/>
    <n v="178827"/>
    <n v="207227"/>
    <d v="2013-06-24T00:00:00"/>
  </r>
  <r>
    <x v="127"/>
    <s v="South compound 30yd"/>
    <s v="Wood"/>
    <x v="28"/>
    <s v="Missouri Organic"/>
    <m/>
    <n v="3760"/>
    <n v="1.88"/>
    <m/>
    <m/>
    <n v="230"/>
    <m/>
    <m/>
    <m/>
    <m/>
  </r>
  <r>
    <x v="127"/>
    <s v="south compound"/>
    <s v="Metal"/>
    <x v="17"/>
    <s v="Advantage Metal"/>
    <m/>
    <n v="7560"/>
    <n v="3.78"/>
    <n v="0.1"/>
    <n v="756"/>
    <n v="180"/>
    <n v="576"/>
    <s v="TNJSOP"/>
    <m/>
    <m/>
  </r>
  <r>
    <x v="128"/>
    <s v="SC compactor"/>
    <s v="Single Stream"/>
    <x v="11"/>
    <s v="Town Country"/>
    <m/>
    <n v="5540"/>
    <n v="2.77"/>
    <n v="49"/>
    <n v="135.72999999999999"/>
    <n v="85"/>
    <n v="50.73"/>
    <n v="179724"/>
    <n v="207227"/>
    <d v="2013-06-24T00:00:00"/>
  </r>
  <r>
    <x v="129"/>
    <s v="CC compactor"/>
    <s v="Single Stream"/>
    <x v="11"/>
    <s v="Town Country"/>
    <m/>
    <n v="10320"/>
    <n v="5.16"/>
    <n v="49"/>
    <n v="252.84"/>
    <n v="85"/>
    <n v="167.84"/>
    <n v="181018"/>
    <n v="207227"/>
    <d v="2013-06-24T00:00:00"/>
  </r>
  <r>
    <x v="130"/>
    <s v="Warehouse"/>
    <s v="Glass"/>
    <x v="12"/>
    <s v="Ripple"/>
    <m/>
    <n v="336"/>
    <n v="0.16800000000000001"/>
    <m/>
    <m/>
    <m/>
    <m/>
    <m/>
    <m/>
    <m/>
  </r>
  <r>
    <x v="131"/>
    <s v="South compound 30yd"/>
    <s v="Wood"/>
    <x v="28"/>
    <s v="Missouri Organic"/>
    <m/>
    <n v="4740"/>
    <n v="2.37"/>
    <m/>
    <m/>
    <n v="230"/>
    <m/>
    <m/>
    <m/>
    <m/>
  </r>
  <r>
    <x v="131"/>
    <s v="All/Dumpsters"/>
    <s v="Single Stream"/>
    <x v="11"/>
    <s v="Town Country"/>
    <m/>
    <n v="17347.2"/>
    <n v="2.37"/>
    <m/>
    <m/>
    <m/>
    <m/>
    <m/>
    <m/>
    <m/>
  </r>
  <r>
    <x v="132"/>
    <s v="South compound 30yd"/>
    <s v="Wood"/>
    <x v="28"/>
    <s v="Missouri Organic"/>
    <m/>
    <n v="3840"/>
    <n v="1.92"/>
    <m/>
    <m/>
    <n v="230"/>
    <m/>
    <m/>
    <m/>
    <m/>
  </r>
  <r>
    <x v="133"/>
    <s v="south compound"/>
    <s v="Metal"/>
    <x v="17"/>
    <s v="Advantage Metal"/>
    <m/>
    <n v="7000"/>
    <n v="3.5"/>
    <n v="8.5000000000000006E-2"/>
    <n v="595"/>
    <n v="180"/>
    <n v="415"/>
    <s v="TNVQPE"/>
    <n v="205135"/>
    <d v="2013-05-24T00:00:00"/>
  </r>
  <r>
    <x v="133"/>
    <s v="CC compactor"/>
    <s v="Single Stream"/>
    <x v="11"/>
    <s v="Town Country"/>
    <m/>
    <n v="15600"/>
    <n v="7.8"/>
    <n v="45.5"/>
    <n v="354.9"/>
    <n v="85"/>
    <n v="269.89999999999998"/>
    <n v="183227"/>
    <n v="208258"/>
    <d v="2013-07-10T00:00:00"/>
  </r>
  <r>
    <x v="134"/>
    <s v="Warehouse"/>
    <s v="Glass"/>
    <x v="12"/>
    <s v="Ripple"/>
    <m/>
    <n v="336"/>
    <n v="0.16800000000000001"/>
    <m/>
    <m/>
    <m/>
    <m/>
    <m/>
    <m/>
    <m/>
  </r>
  <r>
    <x v="135"/>
    <s v="All/Dumpsters"/>
    <s v="Single Stream"/>
    <x v="11"/>
    <s v="Town Country"/>
    <m/>
    <n v="17347.2"/>
    <n v="7.8"/>
    <m/>
    <m/>
    <m/>
    <m/>
    <m/>
    <m/>
    <m/>
  </r>
  <r>
    <x v="136"/>
    <s v="South compound 30yd"/>
    <s v="Wood"/>
    <x v="28"/>
    <s v="Missouri Organic"/>
    <m/>
    <n v="11140"/>
    <n v="5.57"/>
    <m/>
    <m/>
    <n v="230"/>
    <m/>
    <n v="5790"/>
    <m/>
    <m/>
  </r>
  <r>
    <x v="137"/>
    <s v="Warehouse"/>
    <s v="e-waste"/>
    <x v="8"/>
    <s v="MRC"/>
    <n v="3"/>
    <n v="3013"/>
    <n v="1.5065"/>
    <m/>
    <m/>
    <m/>
    <m/>
    <m/>
    <m/>
    <m/>
  </r>
  <r>
    <x v="138"/>
    <s v="Warehouse"/>
    <s v="e-waste"/>
    <x v="8"/>
    <s v="MRC"/>
    <n v="2"/>
    <n v="1854"/>
    <n v="0.92700000000000005"/>
    <m/>
    <m/>
    <m/>
    <m/>
    <m/>
    <m/>
    <m/>
  </r>
  <r>
    <x v="139"/>
    <s v="CSB Trailer"/>
    <s v="Paper"/>
    <x v="0"/>
    <s v="Town Country"/>
    <m/>
    <n v="13336"/>
    <n v="6.6680000000000001"/>
    <n v="112.5"/>
    <n v="750.15"/>
    <n v="100"/>
    <n v="650.15"/>
    <n v="185343"/>
    <n v="214007"/>
    <d v="2013-09-05T00:00:00"/>
  </r>
  <r>
    <x v="139"/>
    <s v="CSB Trailer"/>
    <s v="Paper"/>
    <x v="0"/>
    <s v="Town Country"/>
    <m/>
    <n v="240"/>
    <n v="0.12"/>
    <n v="81"/>
    <n v="9.7200000000000006"/>
    <n v="0"/>
    <n v="9.7200000000000006"/>
    <n v="185343"/>
    <n v="214007"/>
    <d v="2013-09-05T00:00:00"/>
  </r>
  <r>
    <x v="139"/>
    <s v="CSB Trailer"/>
    <s v="Wood"/>
    <x v="31"/>
    <s v="Town Country"/>
    <m/>
    <n v="664"/>
    <n v="0.33200000000000002"/>
    <n v="0"/>
    <n v="0"/>
    <n v="0"/>
    <n v="0"/>
    <n v="185343"/>
    <n v="214007"/>
    <d v="2013-09-05T00:00:00"/>
  </r>
  <r>
    <x v="140"/>
    <s v="Delivered"/>
    <s v="Metal"/>
    <x v="13"/>
    <s v="Advantage Metal"/>
    <m/>
    <n v="909"/>
    <n v="0.45450000000000002"/>
    <n v="0.65"/>
    <n v="590.85"/>
    <n v="0"/>
    <n v="590.85"/>
    <s v="ZJEHIY"/>
    <n v="206994"/>
    <d v="2013-05-18T00:00:00"/>
  </r>
  <r>
    <x v="140"/>
    <s v="Delivered"/>
    <s v="Metal"/>
    <x v="21"/>
    <s v="Advantage Metal"/>
    <m/>
    <n v="188"/>
    <n v="9.4E-2"/>
    <n v="0.51"/>
    <n v="95.88"/>
    <n v="0"/>
    <n v="95.88"/>
    <s v="ZJEHIY"/>
    <n v="206994"/>
    <d v="2013-05-18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5">
  <r>
    <x v="0"/>
    <s v="CSB  paper trailer"/>
    <x v="0"/>
    <s v="ow"/>
    <s v="Batliner"/>
    <m/>
    <n v="3240"/>
    <n v="1.62"/>
    <m/>
    <m/>
    <m/>
    <n v="205.44"/>
    <m/>
    <m/>
    <m/>
  </r>
  <r>
    <x v="0"/>
    <s v="Warehouse"/>
    <x v="1"/>
    <s v="occ"/>
    <s v="Batliner"/>
    <m/>
    <n v="4840"/>
    <n v="2.42"/>
    <m/>
    <m/>
    <m/>
    <m/>
    <m/>
    <m/>
    <m/>
  </r>
  <r>
    <x v="0"/>
    <s v="CSB  paper trailer"/>
    <x v="2"/>
    <s v="Plastic"/>
    <s v="Batliner"/>
    <m/>
    <n v="420"/>
    <n v="0.21"/>
    <m/>
    <m/>
    <m/>
    <m/>
    <m/>
    <m/>
    <m/>
  </r>
  <r>
    <x v="1"/>
    <s v="CSB  paper trailer"/>
    <x v="0"/>
    <s v="ow"/>
    <s v="Batliner"/>
    <m/>
    <n v="10090"/>
    <n v="5.0449999999999999"/>
    <m/>
    <m/>
    <m/>
    <n v="761.54"/>
    <m/>
    <m/>
    <m/>
  </r>
  <r>
    <x v="1"/>
    <s v="CSB  paper trailer"/>
    <x v="0"/>
    <s v="book stock"/>
    <s v="Batliner"/>
    <m/>
    <n v="11220"/>
    <n v="5.61"/>
    <m/>
    <m/>
    <m/>
    <m/>
    <m/>
    <m/>
    <m/>
  </r>
  <r>
    <x v="1"/>
    <s v="Warehouse"/>
    <x v="1"/>
    <s v="occ"/>
    <s v="Batliner"/>
    <m/>
    <n v="3340"/>
    <n v="1.67"/>
    <m/>
    <m/>
    <m/>
    <m/>
    <m/>
    <m/>
    <m/>
  </r>
  <r>
    <x v="1"/>
    <s v="CSB  paper trailer"/>
    <x v="2"/>
    <s v="Plastic"/>
    <s v="Batliner"/>
    <m/>
    <n v="620"/>
    <n v="0.31"/>
    <m/>
    <m/>
    <m/>
    <m/>
    <m/>
    <m/>
    <m/>
  </r>
  <r>
    <x v="2"/>
    <s v="CSB  paper trailer"/>
    <x v="0"/>
    <s v="Mixed paper"/>
    <s v="Batliner"/>
    <m/>
    <n v="750"/>
    <n v="0.375"/>
    <m/>
    <m/>
    <m/>
    <m/>
    <m/>
    <m/>
    <m/>
  </r>
  <r>
    <x v="2"/>
    <s v="CSB  paper trailer"/>
    <x v="0"/>
    <s v="newspaper"/>
    <s v="Batliner"/>
    <m/>
    <n v="1260"/>
    <n v="0.63"/>
    <m/>
    <m/>
    <m/>
    <m/>
    <m/>
    <m/>
    <m/>
  </r>
  <r>
    <x v="2"/>
    <s v="CSB  paper trailer"/>
    <x v="0"/>
    <s v="ow"/>
    <s v="Batliner"/>
    <m/>
    <n v="8000"/>
    <n v="4"/>
    <m/>
    <m/>
    <m/>
    <n v="941.95"/>
    <m/>
    <m/>
    <m/>
  </r>
  <r>
    <x v="2"/>
    <s v="CSB  paper trailer"/>
    <x v="0"/>
    <s v="book stock"/>
    <s v="Batliner"/>
    <m/>
    <n v="20660"/>
    <n v="10.33"/>
    <m/>
    <m/>
    <m/>
    <m/>
    <m/>
    <m/>
    <m/>
  </r>
  <r>
    <x v="2"/>
    <s v="CSB  paper trailer"/>
    <x v="0"/>
    <s v="white ledger"/>
    <s v="Batliner"/>
    <m/>
    <n v="800"/>
    <n v="0.4"/>
    <m/>
    <m/>
    <m/>
    <m/>
    <m/>
    <m/>
    <m/>
  </r>
  <r>
    <x v="2"/>
    <s v="Warehouse"/>
    <x v="1"/>
    <s v="occ"/>
    <s v="Batliner"/>
    <m/>
    <n v="6150"/>
    <n v="3.0750000000000002"/>
    <m/>
    <m/>
    <m/>
    <m/>
    <m/>
    <m/>
    <m/>
  </r>
  <r>
    <x v="2"/>
    <s v="CSB  paper trailer"/>
    <x v="2"/>
    <s v="Plastic"/>
    <s v="Batliner"/>
    <m/>
    <n v="1720"/>
    <n v="0.86"/>
    <m/>
    <m/>
    <m/>
    <m/>
    <m/>
    <m/>
    <m/>
  </r>
  <r>
    <x v="3"/>
    <s v="CSB  paper trailer"/>
    <x v="0"/>
    <s v="ow"/>
    <s v="Batliner"/>
    <m/>
    <n v="2880"/>
    <n v="1.44"/>
    <m/>
    <m/>
    <m/>
    <n v="244.85"/>
    <m/>
    <m/>
    <m/>
  </r>
  <r>
    <x v="3"/>
    <s v="Warehouse"/>
    <x v="1"/>
    <s v="occ"/>
    <s v="Batliner"/>
    <m/>
    <n v="6260"/>
    <n v="3.13"/>
    <m/>
    <m/>
    <m/>
    <m/>
    <m/>
    <m/>
    <m/>
  </r>
  <r>
    <x v="3"/>
    <s v="CSB  paper trailer"/>
    <x v="2"/>
    <s v="Plastic"/>
    <s v="Batliner"/>
    <m/>
    <n v="960"/>
    <n v="0.48"/>
    <m/>
    <m/>
    <m/>
    <m/>
    <m/>
    <m/>
    <m/>
  </r>
  <r>
    <x v="4"/>
    <s v="CSB  paper trailer"/>
    <x v="0"/>
    <s v="ow"/>
    <s v="Batliner"/>
    <m/>
    <n v="7420"/>
    <n v="3.71"/>
    <m/>
    <m/>
    <m/>
    <n v="413.97"/>
    <m/>
    <m/>
    <m/>
  </r>
  <r>
    <x v="4"/>
    <s v="CSB  paper trailer"/>
    <x v="0"/>
    <s v="bookstock"/>
    <s v="Batliner"/>
    <m/>
    <n v="12410"/>
    <n v="6.2050000000000001"/>
    <m/>
    <m/>
    <m/>
    <m/>
    <m/>
    <m/>
    <m/>
  </r>
  <r>
    <x v="4"/>
    <s v="Warehouse"/>
    <x v="1"/>
    <s v="occ"/>
    <s v="Batliner"/>
    <m/>
    <n v="2440"/>
    <n v="1.22"/>
    <m/>
    <m/>
    <m/>
    <m/>
    <m/>
    <m/>
    <m/>
  </r>
  <r>
    <x v="4"/>
    <s v="CSB  paper trailer"/>
    <x v="2"/>
    <s v="Plastic"/>
    <s v="Batliner"/>
    <m/>
    <n v="580"/>
    <n v="0.28999999999999998"/>
    <m/>
    <m/>
    <m/>
    <m/>
    <m/>
    <m/>
    <m/>
  </r>
  <r>
    <x v="4"/>
    <s v="CSB  paper trailer"/>
    <x v="0"/>
    <s v="book stock"/>
    <s v="Batliner"/>
    <m/>
    <n v="780"/>
    <n v="0.39"/>
    <m/>
    <m/>
    <m/>
    <m/>
    <m/>
    <m/>
    <m/>
  </r>
  <r>
    <x v="5"/>
    <s v="CSB  paper trailer"/>
    <x v="0"/>
    <s v="ow"/>
    <s v="Batliner"/>
    <m/>
    <n v="14760"/>
    <n v="7.38"/>
    <m/>
    <m/>
    <m/>
    <n v="728.77"/>
    <m/>
    <m/>
    <m/>
  </r>
  <r>
    <x v="5"/>
    <s v="CSB  paper trailer"/>
    <x v="0"/>
    <s v="book stock"/>
    <s v="Batliner"/>
    <m/>
    <n v="7970"/>
    <n v="3.9849999999999999"/>
    <m/>
    <m/>
    <m/>
    <m/>
    <m/>
    <m/>
    <m/>
  </r>
  <r>
    <x v="5"/>
    <s v="Warehouse"/>
    <x v="1"/>
    <s v="occ"/>
    <s v="Batliner"/>
    <m/>
    <n v="4680"/>
    <n v="2.34"/>
    <m/>
    <m/>
    <m/>
    <m/>
    <m/>
    <m/>
    <m/>
  </r>
  <r>
    <x v="5"/>
    <s v="CSB  paper trailer"/>
    <x v="2"/>
    <s v="Plastic"/>
    <s v="Batliner"/>
    <m/>
    <n v="500"/>
    <n v="0.25"/>
    <m/>
    <m/>
    <m/>
    <m/>
    <m/>
    <m/>
    <m/>
  </r>
  <r>
    <x v="6"/>
    <s v="CSB  paper trailer"/>
    <x v="0"/>
    <s v="ow"/>
    <s v="Batliner"/>
    <m/>
    <n v="2000"/>
    <n v="1"/>
    <m/>
    <m/>
    <m/>
    <n v="306.51"/>
    <m/>
    <m/>
    <m/>
  </r>
  <r>
    <x v="6"/>
    <s v="CSB  paper trailer"/>
    <x v="0"/>
    <s v="book stock"/>
    <s v="Batliner"/>
    <m/>
    <n v="9840"/>
    <n v="4.92"/>
    <m/>
    <m/>
    <m/>
    <m/>
    <m/>
    <m/>
    <m/>
  </r>
  <r>
    <x v="6"/>
    <s v="Warehouse"/>
    <x v="1"/>
    <s v="occ"/>
    <s v="Batliner"/>
    <m/>
    <n v="4540"/>
    <n v="2.27"/>
    <m/>
    <m/>
    <m/>
    <m/>
    <m/>
    <m/>
    <m/>
  </r>
  <r>
    <x v="6"/>
    <s v="CSB  paper trailer"/>
    <x v="2"/>
    <s v="Plastic"/>
    <s v="Batliner"/>
    <m/>
    <n v="580"/>
    <n v="0.28999999999999998"/>
    <m/>
    <m/>
    <m/>
    <m/>
    <m/>
    <m/>
    <m/>
  </r>
  <r>
    <x v="7"/>
    <s v="Warehouse"/>
    <x v="0"/>
    <s v="ow"/>
    <s v="Batliner"/>
    <m/>
    <n v="4440"/>
    <n v="2.2200000000000002"/>
    <m/>
    <m/>
    <m/>
    <n v="319.48"/>
    <m/>
    <m/>
    <m/>
  </r>
  <r>
    <x v="7"/>
    <s v="Warehouse"/>
    <x v="1"/>
    <s v="occ"/>
    <s v="Batliner"/>
    <m/>
    <n v="7880"/>
    <n v="3.94"/>
    <m/>
    <m/>
    <m/>
    <m/>
    <m/>
    <m/>
    <m/>
  </r>
  <r>
    <x v="7"/>
    <s v="CSB  paper trailer"/>
    <x v="2"/>
    <s v="Plastic"/>
    <s v="Batliner"/>
    <m/>
    <n v="1380"/>
    <n v="0.69"/>
    <m/>
    <m/>
    <m/>
    <m/>
    <m/>
    <m/>
    <m/>
  </r>
  <r>
    <x v="8"/>
    <s v="CSB  paper trailer"/>
    <x v="0"/>
    <s v="Mixed paper"/>
    <s v="Batliner"/>
    <m/>
    <n v="840"/>
    <n v="0.42"/>
    <m/>
    <m/>
    <m/>
    <n v="0"/>
    <m/>
    <m/>
    <m/>
  </r>
  <r>
    <x v="8"/>
    <s v="Warehouse"/>
    <x v="0"/>
    <s v="ow"/>
    <s v="Batliner"/>
    <m/>
    <n v="16060"/>
    <n v="8.0299999999999994"/>
    <m/>
    <m/>
    <m/>
    <n v="706.64"/>
    <m/>
    <m/>
    <m/>
  </r>
  <r>
    <x v="8"/>
    <s v="CSB  paper trailer"/>
    <x v="0"/>
    <s v="book stock"/>
    <s v="Batliner"/>
    <m/>
    <n v="7400"/>
    <n v="3.7"/>
    <m/>
    <m/>
    <m/>
    <n v="55.5"/>
    <m/>
    <m/>
    <m/>
  </r>
  <r>
    <x v="8"/>
    <s v="Warehouse"/>
    <x v="1"/>
    <s v="occ"/>
    <s v="Batliner"/>
    <m/>
    <n v="7420"/>
    <n v="3.71"/>
    <m/>
    <m/>
    <m/>
    <n v="116.87"/>
    <m/>
    <m/>
    <m/>
  </r>
  <r>
    <x v="8"/>
    <s v="CSB  paper trailer"/>
    <x v="2"/>
    <s v="Plastic"/>
    <s v="Batliner"/>
    <m/>
    <n v="1000"/>
    <n v="0.5"/>
    <m/>
    <m/>
    <m/>
    <n v="0"/>
    <m/>
    <m/>
    <m/>
  </r>
  <r>
    <x v="9"/>
    <s v="CSB  paper trailer"/>
    <x v="0"/>
    <s v="ow"/>
    <s v="Batliner"/>
    <m/>
    <n v="8180"/>
    <n v="4.09"/>
    <m/>
    <m/>
    <m/>
    <n v="359.92"/>
    <m/>
    <m/>
    <m/>
  </r>
  <r>
    <x v="9"/>
    <s v="CSB  paper trailer"/>
    <x v="0"/>
    <s v="book stock"/>
    <s v="Batliner"/>
    <m/>
    <n v="12730"/>
    <n v="6.3650000000000002"/>
    <m/>
    <m/>
    <m/>
    <n v="318.25"/>
    <m/>
    <m/>
    <m/>
  </r>
  <r>
    <x v="9"/>
    <s v="Warehouse"/>
    <x v="1"/>
    <s v="occ"/>
    <s v="Batliner"/>
    <m/>
    <n v="5480"/>
    <n v="2.74"/>
    <m/>
    <m/>
    <m/>
    <n v="102.75"/>
    <m/>
    <m/>
    <m/>
  </r>
  <r>
    <x v="9"/>
    <s v="CSB  paper trailer"/>
    <x v="2"/>
    <s v="Plastic"/>
    <s v="Batliner"/>
    <m/>
    <n v="1440"/>
    <n v="0.72"/>
    <m/>
    <m/>
    <m/>
    <n v="0"/>
    <m/>
    <m/>
    <m/>
  </r>
  <r>
    <x v="10"/>
    <s v="CSB  paper trailer"/>
    <x v="0"/>
    <s v="ow"/>
    <s v="Batliner"/>
    <m/>
    <n v="1280"/>
    <n v="0.64"/>
    <m/>
    <m/>
    <m/>
    <n v="53.76"/>
    <m/>
    <m/>
    <m/>
  </r>
  <r>
    <x v="10"/>
    <s v="CSB  paper trailer"/>
    <x v="0"/>
    <s v="book stock"/>
    <s v="Batliner"/>
    <m/>
    <n v="8820"/>
    <n v="4.41"/>
    <m/>
    <m/>
    <m/>
    <n v="176.4"/>
    <m/>
    <m/>
    <m/>
  </r>
  <r>
    <x v="10"/>
    <s v="Warehouse"/>
    <x v="1"/>
    <s v="occ"/>
    <s v="Batliner"/>
    <m/>
    <n v="5500"/>
    <n v="2.75"/>
    <m/>
    <m/>
    <m/>
    <n v="111.38"/>
    <m/>
    <m/>
    <m/>
  </r>
  <r>
    <x v="10"/>
    <s v="CSB  paper trailer"/>
    <x v="2"/>
    <s v="Plastic"/>
    <s v="Batliner"/>
    <m/>
    <n v="560"/>
    <n v="0.28000000000000003"/>
    <m/>
    <m/>
    <m/>
    <n v="0"/>
    <m/>
    <m/>
    <m/>
  </r>
  <r>
    <x v="11"/>
    <s v="Warehouse"/>
    <x v="3"/>
    <s v="e-waste"/>
    <s v="Unicor"/>
    <m/>
    <n v="683"/>
    <n v="0.34150000000000003"/>
    <m/>
    <m/>
    <m/>
    <m/>
    <m/>
    <m/>
    <m/>
  </r>
  <r>
    <x v="12"/>
    <s v="CSB  paper trailer"/>
    <x v="0"/>
    <s v="Mixed paper"/>
    <s v="Batliner"/>
    <m/>
    <n v="2540"/>
    <n v="1.27"/>
    <m/>
    <m/>
    <m/>
    <n v="0"/>
    <m/>
    <m/>
    <m/>
  </r>
  <r>
    <x v="12"/>
    <s v="CSB  paper trailer"/>
    <x v="0"/>
    <s v="newspaper"/>
    <s v="Batliner"/>
    <m/>
    <n v="9540"/>
    <n v="4.7699999999999996"/>
    <m/>
    <m/>
    <m/>
    <n v="113.53"/>
    <m/>
    <m/>
    <m/>
  </r>
  <r>
    <x v="12"/>
    <s v="CSB  paper trailer"/>
    <x v="0"/>
    <s v="ow"/>
    <s v="Batliner"/>
    <m/>
    <n v="6240"/>
    <n v="3.12"/>
    <m/>
    <m/>
    <m/>
    <n v="249.6"/>
    <m/>
    <m/>
    <m/>
  </r>
  <r>
    <x v="12"/>
    <s v="CSB  paper trailer"/>
    <x v="0"/>
    <s v="book stock"/>
    <s v="Batliner"/>
    <m/>
    <n v="7420"/>
    <n v="3.71"/>
    <m/>
    <m/>
    <m/>
    <n v="111.3"/>
    <m/>
    <m/>
    <m/>
  </r>
  <r>
    <x v="12"/>
    <s v="Warehouse"/>
    <x v="1"/>
    <s v="occ"/>
    <s v="Batliner"/>
    <m/>
    <n v="4030"/>
    <n v="2.0150000000000001"/>
    <m/>
    <m/>
    <m/>
    <n v="81.61"/>
    <m/>
    <m/>
    <m/>
  </r>
  <r>
    <x v="12"/>
    <s v="CSB  paper trailer"/>
    <x v="2"/>
    <s v="Plastic"/>
    <s v="Batliner"/>
    <m/>
    <n v="760"/>
    <n v="0.38"/>
    <m/>
    <m/>
    <m/>
    <n v="0"/>
    <m/>
    <m/>
    <m/>
  </r>
  <r>
    <x v="13"/>
    <s v="Warehouse"/>
    <x v="3"/>
    <s v="batteries"/>
    <s v="Call2recycle"/>
    <m/>
    <n v="866"/>
    <n v="0.433"/>
    <m/>
    <m/>
    <m/>
    <m/>
    <m/>
    <m/>
    <m/>
  </r>
  <r>
    <x v="13"/>
    <s v="Book  Store"/>
    <x v="4"/>
    <s v="Books"/>
    <s v="One Planet books"/>
    <s v="316 boxes"/>
    <n v="12640"/>
    <n v="6.32"/>
    <m/>
    <m/>
    <m/>
    <n v="3160"/>
    <m/>
    <m/>
    <m/>
  </r>
  <r>
    <x v="14"/>
    <s v="Warehouse"/>
    <x v="1"/>
    <s v="occ"/>
    <s v="Batliner"/>
    <m/>
    <n v="7800"/>
    <n v="3.9"/>
    <m/>
    <m/>
    <m/>
    <n v="157.96"/>
    <m/>
    <m/>
    <m/>
  </r>
  <r>
    <x v="14"/>
    <s v="CSB  paper trailer"/>
    <x v="2"/>
    <s v="Plastic"/>
    <s v="Batliner"/>
    <m/>
    <n v="460"/>
    <n v="0.23"/>
    <m/>
    <m/>
    <m/>
    <n v="0"/>
    <m/>
    <m/>
    <m/>
  </r>
  <r>
    <x v="15"/>
    <s v="CSB  paper trailer"/>
    <x v="0"/>
    <s v="ow"/>
    <s v="Batliner"/>
    <m/>
    <n v="11240"/>
    <n v="5.62"/>
    <m/>
    <m/>
    <m/>
    <n v="472.08"/>
    <m/>
    <m/>
    <m/>
  </r>
  <r>
    <x v="15"/>
    <s v="CSB  paper trailer"/>
    <x v="0"/>
    <s v="book stock"/>
    <s v="Batliner"/>
    <m/>
    <n v="13110"/>
    <n v="6.5549999999999997"/>
    <m/>
    <m/>
    <m/>
    <n v="229.43"/>
    <m/>
    <m/>
    <m/>
  </r>
  <r>
    <x v="15"/>
    <s v="Warehouse"/>
    <x v="1"/>
    <s v="occ"/>
    <s v="Batliner"/>
    <m/>
    <n v="3870"/>
    <n v="1.9350000000000001"/>
    <m/>
    <m/>
    <m/>
    <n v="78.37"/>
    <m/>
    <m/>
    <m/>
  </r>
  <r>
    <x v="15"/>
    <s v="CSB  paper trailer"/>
    <x v="2"/>
    <s v="Plastic"/>
    <s v="Batliner"/>
    <m/>
    <n v="1370"/>
    <n v="0.68500000000000005"/>
    <m/>
    <m/>
    <m/>
    <n v="0"/>
    <m/>
    <m/>
    <m/>
  </r>
  <r>
    <x v="16"/>
    <s v="CSB  paper trailer"/>
    <x v="0"/>
    <s v="ow"/>
    <s v="Batliner"/>
    <m/>
    <n v="8150"/>
    <n v="4.0750000000000002"/>
    <m/>
    <m/>
    <m/>
    <n v="342.3"/>
    <m/>
    <m/>
    <m/>
  </r>
  <r>
    <x v="16"/>
    <s v="CSB  paper trailer"/>
    <x v="0"/>
    <s v="book stock"/>
    <s v="Batliner"/>
    <m/>
    <n v="5510"/>
    <n v="2.7549999999999999"/>
    <m/>
    <m/>
    <m/>
    <n v="96.43"/>
    <m/>
    <m/>
    <m/>
  </r>
  <r>
    <x v="16"/>
    <s v="Warehouse"/>
    <x v="1"/>
    <s v="occ"/>
    <s v="Batliner"/>
    <m/>
    <n v="8420"/>
    <n v="4.21"/>
    <m/>
    <m/>
    <m/>
    <n v="170.52"/>
    <m/>
    <m/>
    <m/>
  </r>
  <r>
    <x v="16"/>
    <s v="CSB  paper trailer"/>
    <x v="2"/>
    <s v="Plastic"/>
    <s v="Batliner"/>
    <m/>
    <n v="1600"/>
    <n v="0.8"/>
    <m/>
    <m/>
    <m/>
    <n v="0"/>
    <m/>
    <m/>
    <m/>
  </r>
  <r>
    <x v="17"/>
    <s v="CSB  paper trailer"/>
    <x v="0"/>
    <s v="ow"/>
    <s v="Batliner"/>
    <m/>
    <n v="5090"/>
    <n v="2.5449999999999999"/>
    <m/>
    <m/>
    <m/>
    <n v="244.32"/>
    <m/>
    <m/>
    <m/>
  </r>
  <r>
    <x v="17"/>
    <s v="CSB  paper trailer"/>
    <x v="0"/>
    <s v="book stock"/>
    <s v="Batliner"/>
    <m/>
    <n v="6070"/>
    <n v="3.0350000000000001"/>
    <m/>
    <m/>
    <m/>
    <n v="209.18"/>
    <m/>
    <m/>
    <m/>
  </r>
  <r>
    <x v="17"/>
    <s v="Warehouse"/>
    <x v="1"/>
    <s v="occ"/>
    <s v="Batliner"/>
    <m/>
    <n v="7240"/>
    <n v="3.62"/>
    <m/>
    <m/>
    <m/>
    <n v="146.62"/>
    <m/>
    <m/>
    <m/>
  </r>
  <r>
    <x v="17"/>
    <s v="CSB  paper trailer"/>
    <x v="2"/>
    <s v="Plastic"/>
    <s v="Batliner"/>
    <m/>
    <n v="2250"/>
    <n v="1.125"/>
    <m/>
    <m/>
    <m/>
    <n v="0"/>
    <m/>
    <m/>
    <m/>
  </r>
  <r>
    <x v="18"/>
    <s v="CSB  paper trailer"/>
    <x v="0"/>
    <s v="newspaper"/>
    <s v="Batliner"/>
    <m/>
    <n v="850"/>
    <n v="0.42499999999999999"/>
    <m/>
    <m/>
    <m/>
    <n v="17.260000000000002"/>
    <m/>
    <m/>
    <m/>
  </r>
  <r>
    <x v="18"/>
    <s v="CSB  paper trailer"/>
    <x v="0"/>
    <s v="ow"/>
    <s v="Batliner"/>
    <m/>
    <n v="3500"/>
    <n v="1.75"/>
    <m/>
    <m/>
    <m/>
    <n v="182"/>
    <m/>
    <m/>
    <m/>
  </r>
  <r>
    <x v="18"/>
    <s v="CSB  paper trailer"/>
    <x v="0"/>
    <s v="book stock"/>
    <s v="Batliner"/>
    <m/>
    <n v="1530"/>
    <n v="0.76500000000000001"/>
    <m/>
    <m/>
    <m/>
    <n v="42.08"/>
    <m/>
    <m/>
    <m/>
  </r>
  <r>
    <x v="18"/>
    <s v="Warehouse"/>
    <x v="1"/>
    <s v="occ"/>
    <s v="Batliner"/>
    <m/>
    <n v="5020"/>
    <n v="2.5099999999999998"/>
    <m/>
    <m/>
    <m/>
    <n v="105.42"/>
    <m/>
    <m/>
    <m/>
  </r>
  <r>
    <x v="18"/>
    <s v="CSB  paper trailer"/>
    <x v="2"/>
    <s v="Plastic"/>
    <s v="Batliner"/>
    <m/>
    <n v="720"/>
    <n v="0.36"/>
    <m/>
    <m/>
    <m/>
    <n v="25.6"/>
    <m/>
    <m/>
    <m/>
  </r>
  <r>
    <x v="18"/>
    <s v="CSB  paper trailer"/>
    <x v="0"/>
    <s v="book stock"/>
    <s v="Batliner"/>
    <m/>
    <n v="1320"/>
    <n v="0.66"/>
    <m/>
    <m/>
    <m/>
    <m/>
    <m/>
    <m/>
    <m/>
  </r>
  <r>
    <x v="19"/>
    <s v="CSB  paper trailer"/>
    <x v="0"/>
    <s v="newspaper"/>
    <s v="Batliner"/>
    <m/>
    <n v="3690"/>
    <n v="1.845"/>
    <m/>
    <m/>
    <m/>
    <n v="71.959999999999994"/>
    <m/>
    <m/>
    <m/>
  </r>
  <r>
    <x v="19"/>
    <s v="CSB  paper trailer"/>
    <x v="0"/>
    <s v="ow"/>
    <s v="Batliner"/>
    <m/>
    <n v="21720"/>
    <n v="10.86"/>
    <m/>
    <m/>
    <m/>
    <n v="1129.44"/>
    <m/>
    <m/>
    <m/>
  </r>
  <r>
    <x v="19"/>
    <s v="Warehouse"/>
    <x v="1"/>
    <s v="occ"/>
    <s v="Batliner"/>
    <m/>
    <n v="4410"/>
    <n v="2.2050000000000001"/>
    <m/>
    <m/>
    <m/>
    <n v="92.61"/>
    <m/>
    <m/>
    <m/>
  </r>
  <r>
    <x v="19"/>
    <s v="CSB  paper trailer"/>
    <x v="2"/>
    <s v="Plastic"/>
    <s v="Batliner"/>
    <m/>
    <n v="960"/>
    <n v="0.48"/>
    <m/>
    <m/>
    <m/>
    <n v="0"/>
    <m/>
    <m/>
    <m/>
  </r>
  <r>
    <x v="20"/>
    <s v="CC compactor"/>
    <x v="5"/>
    <s v="Single Stream"/>
    <s v="RockTenn"/>
    <m/>
    <n v="7600"/>
    <n v="3.8"/>
    <n v="57.894736842105267"/>
    <n v="220"/>
    <n v="0"/>
    <n v="220"/>
    <n v="3243308"/>
    <n v="148606"/>
    <d v="2011-07-25T00:00:00"/>
  </r>
  <r>
    <x v="21"/>
    <s v="CSB  paper trailer"/>
    <x v="0"/>
    <s v="ow"/>
    <s v="Batliner"/>
    <m/>
    <n v="1160"/>
    <n v="0.57999999999999996"/>
    <m/>
    <m/>
    <m/>
    <n v="63.8"/>
    <m/>
    <m/>
    <m/>
  </r>
  <r>
    <x v="21"/>
    <s v="Warehouse"/>
    <x v="1"/>
    <s v="occ"/>
    <s v="Batliner"/>
    <m/>
    <n v="2200"/>
    <n v="1.1000000000000001"/>
    <m/>
    <m/>
    <m/>
    <n v="51.15"/>
    <m/>
    <m/>
    <m/>
  </r>
  <r>
    <x v="21"/>
    <s v="CSB  paper trailer"/>
    <x v="2"/>
    <s v="Plastic"/>
    <s v="Batliner"/>
    <m/>
    <n v="340"/>
    <n v="0.17"/>
    <m/>
    <m/>
    <m/>
    <n v="0"/>
    <m/>
    <m/>
    <m/>
  </r>
  <r>
    <x v="21"/>
    <s v="CC compactor"/>
    <x v="5"/>
    <s v="Single Stream"/>
    <s v="RockTenn"/>
    <m/>
    <n v="7300"/>
    <n v="3.65"/>
    <n v="100"/>
    <n v="365"/>
    <n v="0"/>
    <n v="365"/>
    <n v="3242825"/>
    <n v="148611"/>
    <d v="2011-08-15T00:00:00"/>
  </r>
  <r>
    <x v="22"/>
    <s v="CC compactor"/>
    <x v="5"/>
    <s v="Single Stream"/>
    <s v="RockTenn"/>
    <m/>
    <n v="7400"/>
    <n v="3.7"/>
    <n v="100"/>
    <n v="370"/>
    <n v="0"/>
    <n v="370"/>
    <n v="3245837"/>
    <n v="158720"/>
    <d v="2012-10-31T00:00:00"/>
  </r>
  <r>
    <x v="23"/>
    <s v="CC compactor"/>
    <x v="5"/>
    <s v="Single Stream"/>
    <s v="RockTenn"/>
    <m/>
    <n v="8220"/>
    <n v="4.1100000000000003"/>
    <n v="99.999999999999986"/>
    <n v="411"/>
    <n v="0"/>
    <n v="411"/>
    <n v="3244752"/>
    <m/>
    <m/>
  </r>
  <r>
    <x v="24"/>
    <s v="CSB  paper trailer"/>
    <x v="0"/>
    <s v="ow"/>
    <s v="Batliner"/>
    <m/>
    <n v="4390"/>
    <n v="2.1949999999999998"/>
    <m/>
    <m/>
    <m/>
    <n v="254.62"/>
    <m/>
    <m/>
    <m/>
  </r>
  <r>
    <x v="24"/>
    <s v="Warehouse"/>
    <x v="0"/>
    <s v="book stock"/>
    <s v="Batliner"/>
    <m/>
    <n v="10045"/>
    <n v="5.0225"/>
    <m/>
    <m/>
    <m/>
    <n v="326.45999999999998"/>
    <m/>
    <m/>
    <m/>
  </r>
  <r>
    <x v="24"/>
    <s v="CSB  paper trailer"/>
    <x v="1"/>
    <s v="occ"/>
    <s v="Batliner"/>
    <m/>
    <n v="505"/>
    <n v="0.2525"/>
    <m/>
    <m/>
    <m/>
    <n v="12.5"/>
    <m/>
    <m/>
    <m/>
  </r>
  <r>
    <x v="24"/>
    <s v="CSB  paper trailer"/>
    <x v="2"/>
    <s v="Plastic"/>
    <s v="Batliner"/>
    <m/>
    <n v="50"/>
    <n v="2.5000000000000001E-2"/>
    <m/>
    <m/>
    <m/>
    <n v="0"/>
    <m/>
    <m/>
    <m/>
  </r>
  <r>
    <x v="24"/>
    <s v="All/Dumpsters"/>
    <x v="5"/>
    <s v="Single Stream"/>
    <s v="RockTenn/Abitibi"/>
    <m/>
    <n v="2446"/>
    <n v="1.2230000000000001"/>
    <m/>
    <m/>
    <m/>
    <m/>
    <m/>
    <m/>
    <m/>
  </r>
  <r>
    <x v="25"/>
    <s v="CSB  paper trailer"/>
    <x v="0"/>
    <s v="ow"/>
    <s v="RockTenn"/>
    <m/>
    <n v="10150"/>
    <n v="5.0750000000000002"/>
    <n v="125.00098522167487"/>
    <n v="634.38"/>
    <n v="0"/>
    <n v="634.38"/>
    <n v="3245832"/>
    <n v="158720"/>
    <d v="2012-10-31T00:00:00"/>
  </r>
  <r>
    <x v="25"/>
    <s v="CSB  paper trailer"/>
    <x v="1"/>
    <s v="occ"/>
    <s v="RockTenn"/>
    <m/>
    <n v="200"/>
    <n v="0.1"/>
    <n v="100"/>
    <n v="10"/>
    <n v="0"/>
    <n v="10"/>
    <n v="3245832"/>
    <n v="158720"/>
    <d v="2012-10-31T00:00:00"/>
  </r>
  <r>
    <x v="26"/>
    <s v="CC compactor"/>
    <x v="5"/>
    <s v="Single Stream"/>
    <s v="RockTenn"/>
    <m/>
    <n v="8040"/>
    <n v="4.0199999999999996"/>
    <n v="100.00000000000001"/>
    <n v="402"/>
    <n v="0"/>
    <n v="402"/>
    <n v="3245835"/>
    <n v="158720"/>
    <d v="2012-10-31T00:00:00"/>
  </r>
  <r>
    <x v="27"/>
    <s v="All/Dumpsters"/>
    <x v="5"/>
    <s v="Single Stream"/>
    <s v="RockTenn/Abitibi"/>
    <m/>
    <n v="2436"/>
    <n v="1.218"/>
    <m/>
    <m/>
    <m/>
    <m/>
    <m/>
    <m/>
    <m/>
  </r>
  <r>
    <x v="28"/>
    <s v="Warehouse"/>
    <x v="6"/>
    <s v="Glass"/>
    <s v="Ripple"/>
    <m/>
    <n v="8940"/>
    <n v="4.47"/>
    <m/>
    <m/>
    <m/>
    <m/>
    <m/>
    <m/>
    <m/>
  </r>
  <r>
    <x v="29"/>
    <s v="CC compactor"/>
    <x v="5"/>
    <s v="Single Stream"/>
    <s v="RockTenn"/>
    <m/>
    <n v="8920"/>
    <n v="4.46"/>
    <n v="100"/>
    <n v="446"/>
    <n v="0"/>
    <n v="446"/>
    <n v="3245834"/>
    <n v="158720"/>
    <d v="2012-10-31T00:00:00"/>
  </r>
  <r>
    <x v="30"/>
    <s v="CSB  paper trailer"/>
    <x v="0"/>
    <s v="ow"/>
    <s v="RockTenn"/>
    <m/>
    <n v="12530"/>
    <n v="6.2649999999999997"/>
    <n v="125.00079808459698"/>
    <n v="783.13"/>
    <n v="0"/>
    <n v="783.13"/>
    <n v="3245833"/>
    <n v="158720"/>
    <d v="2012-10-31T00:00:00"/>
  </r>
  <r>
    <x v="30"/>
    <s v="CSB  paper trailer"/>
    <x v="1"/>
    <s v="occ"/>
    <s v="RockTenn"/>
    <m/>
    <n v="250"/>
    <n v="0.125"/>
    <n v="100"/>
    <n v="12.5"/>
    <n v="0"/>
    <n v="12.5"/>
    <n v="3245833"/>
    <n v="158720"/>
    <d v="2012-10-31T00:00:00"/>
  </r>
  <r>
    <x v="31"/>
    <s v="CC compactor"/>
    <x v="5"/>
    <s v="Single Stream"/>
    <s v="RockTenn"/>
    <m/>
    <n v="2080"/>
    <n v="1.04"/>
    <n v="100"/>
    <n v="104"/>
    <n v="0"/>
    <n v="104"/>
    <n v="3245836"/>
    <n v="158720"/>
    <d v="2012-10-31T00:00:00"/>
  </r>
  <r>
    <x v="32"/>
    <s v="Student Center compactor"/>
    <x v="5"/>
    <s v="Single Stream"/>
    <s v="RockTenn"/>
    <m/>
    <n v="8660"/>
    <n v="4.33"/>
    <n v="100"/>
    <n v="433"/>
    <n v="0"/>
    <n v="433"/>
    <n v="3245838"/>
    <n v="158720"/>
    <d v="2012-10-31T00:00:00"/>
  </r>
  <r>
    <x v="33"/>
    <s v="All/Dumpsters"/>
    <x v="5"/>
    <s v="Single Stream"/>
    <s v="RockTenn/Abitibi"/>
    <m/>
    <n v="2812"/>
    <n v="1.4059999999999999"/>
    <m/>
    <m/>
    <m/>
    <m/>
    <m/>
    <m/>
    <m/>
  </r>
  <r>
    <x v="34"/>
    <s v="CC compactor"/>
    <x v="5"/>
    <s v="Single Stream"/>
    <s v="RockTenn"/>
    <m/>
    <n v="5320"/>
    <n v="2.66"/>
    <n v="59.999999999999993"/>
    <n v="159.6"/>
    <n v="0"/>
    <n v="159.6"/>
    <n v="3246107"/>
    <n v="162991"/>
    <d v="2012-11-10T00:00:00"/>
  </r>
  <r>
    <x v="35"/>
    <s v="CSB  paper trailer"/>
    <x v="0"/>
    <s v="ow"/>
    <s v="RockTenn"/>
    <m/>
    <n v="3865"/>
    <n v="1.9325000000000001"/>
    <n v="50.002587322121599"/>
    <n v="96.63"/>
    <n v="0"/>
    <n v="96.63"/>
    <n v="3246455"/>
    <n v="162991"/>
    <d v="2012-11-28T00:00:00"/>
  </r>
  <r>
    <x v="35"/>
    <s v="CSB  paper trailer"/>
    <x v="0"/>
    <s v="book stock"/>
    <s v="RockTenn"/>
    <m/>
    <n v="4585"/>
    <n v="2.2925"/>
    <n v="50.002181025081789"/>
    <n v="114.63"/>
    <n v="0"/>
    <n v="114.63"/>
    <n v="3246455"/>
    <n v="162991"/>
    <d v="2012-11-28T00:00:00"/>
  </r>
  <r>
    <x v="35"/>
    <s v="CSB  paper trailer"/>
    <x v="1"/>
    <s v="occ"/>
    <s v="RockTenn"/>
    <m/>
    <n v="130"/>
    <n v="6.5000000000000002E-2"/>
    <n v="100"/>
    <n v="6.5"/>
    <n v="0"/>
    <n v="6.5"/>
    <n v="3246455"/>
    <n v="162991"/>
    <d v="2012-11-28T00:00:00"/>
  </r>
  <r>
    <x v="36"/>
    <s v="CC compactor"/>
    <x v="5"/>
    <s v="Single Stream"/>
    <s v="RockTenn"/>
    <m/>
    <n v="6640"/>
    <n v="3.32"/>
    <n v="60"/>
    <n v="199.2"/>
    <n v="0"/>
    <n v="199.2"/>
    <n v="3246350"/>
    <n v="162991"/>
    <d v="2012-11-21T00:00:00"/>
  </r>
  <r>
    <x v="37"/>
    <s v="Warehouse"/>
    <x v="6"/>
    <s v="Glass"/>
    <s v="Ripple"/>
    <m/>
    <n v="9640"/>
    <n v="4.82"/>
    <m/>
    <m/>
    <m/>
    <m/>
    <m/>
    <m/>
    <m/>
  </r>
  <r>
    <x v="38"/>
    <s v="All/Dumpsters"/>
    <x v="5"/>
    <s v="Single Stream"/>
    <s v="RockTenn/Abitibi"/>
    <m/>
    <n v="3178"/>
    <n v="1.589"/>
    <m/>
    <m/>
    <m/>
    <m/>
    <m/>
    <m/>
    <m/>
  </r>
  <r>
    <x v="39"/>
    <s v="CC compactor"/>
    <x v="5"/>
    <s v="Single Stream"/>
    <s v="RockTenn"/>
    <m/>
    <n v="6680"/>
    <n v="3.34"/>
    <n v="45.000000000000007"/>
    <n v="150.30000000000001"/>
    <n v="0"/>
    <n v="150.30000000000001"/>
    <n v="3246881"/>
    <n v="163757"/>
    <d v="2012-12-13T00:00:00"/>
  </r>
  <r>
    <x v="40"/>
    <s v="All/Dumpsters"/>
    <x v="5"/>
    <s v="Single Stream"/>
    <s v="RockTenn/Abitibi"/>
    <m/>
    <n v="2030"/>
    <n v="1.0149999999999999"/>
    <m/>
    <m/>
    <m/>
    <m/>
    <m/>
    <m/>
    <m/>
  </r>
  <r>
    <x v="41"/>
    <s v="Warehouse"/>
    <x v="3"/>
    <s v="batteries"/>
    <s v="Call2recycle"/>
    <m/>
    <n v="1542"/>
    <n v="0.77100000000000002"/>
    <m/>
    <m/>
    <m/>
    <m/>
    <m/>
    <m/>
    <m/>
  </r>
  <r>
    <x v="41"/>
    <s v="Book  Store"/>
    <x v="4"/>
    <s v="Books"/>
    <s v="One Planet books"/>
    <s v="569 boxes"/>
    <n v="22760"/>
    <n v="11.38"/>
    <m/>
    <m/>
    <m/>
    <n v="5690"/>
    <m/>
    <m/>
    <m/>
  </r>
  <r>
    <x v="42"/>
    <s v="Warehouse"/>
    <x v="3"/>
    <s v="e-waste"/>
    <s v="Unicor"/>
    <m/>
    <n v="4293"/>
    <n v="2.1465000000000001"/>
    <m/>
    <m/>
    <m/>
    <m/>
    <m/>
    <m/>
    <m/>
  </r>
  <r>
    <x v="43"/>
    <s v="CSB  paper trailer"/>
    <x v="0"/>
    <s v="Mixed paper"/>
    <s v="RockTenn"/>
    <m/>
    <n v="860"/>
    <n v="0.43"/>
    <n v="5"/>
    <n v="2.15"/>
    <n v="0"/>
    <n v="2.15"/>
    <n v="3247415"/>
    <n v="167496"/>
    <d v="2012-01-05T00:00:00"/>
  </r>
  <r>
    <x v="43"/>
    <s v="CSB  paper trailer"/>
    <x v="0"/>
    <s v="ow"/>
    <s v="RockTenn"/>
    <m/>
    <n v="5355"/>
    <n v="2.6775000000000002"/>
    <n v="30.001867413632116"/>
    <n v="80.33"/>
    <n v="0"/>
    <n v="80.33"/>
    <n v="3247415"/>
    <n v="167496"/>
    <d v="2012-01-05T00:00:00"/>
  </r>
  <r>
    <x v="43"/>
    <s v="CSB  paper trailer"/>
    <x v="0"/>
    <s v="book stock"/>
    <s v="RockTenn"/>
    <m/>
    <n v="7180"/>
    <n v="3.59"/>
    <n v="20"/>
    <n v="71.8"/>
    <n v="0"/>
    <n v="71.8"/>
    <n v="3247415"/>
    <n v="167496"/>
    <d v="2012-01-05T00:00:00"/>
  </r>
  <r>
    <x v="43"/>
    <s v="CSB  paper trailer"/>
    <x v="1"/>
    <s v="occ"/>
    <s v="RockTenn"/>
    <m/>
    <n v="585"/>
    <n v="0.29249999999999998"/>
    <n v="70.017094017094024"/>
    <n v="20.48"/>
    <n v="0"/>
    <n v="20.48"/>
    <n v="3247415"/>
    <n v="167496"/>
    <d v="2012-01-05T00:00:00"/>
  </r>
  <r>
    <x v="44"/>
    <s v="CC compactor"/>
    <x v="5"/>
    <s v="Single Stream"/>
    <s v="RockTenn"/>
    <m/>
    <n v="8800"/>
    <n v="4.4000000000000004"/>
    <n v="44.999999999999993"/>
    <n v="198"/>
    <n v="0"/>
    <n v="198"/>
    <n v="3247660"/>
    <n v="168277"/>
    <d v="2012-01-16T00:00:00"/>
  </r>
  <r>
    <x v="45"/>
    <s v="Warehouse"/>
    <x v="6"/>
    <s v="Glass"/>
    <s v="Ripple"/>
    <m/>
    <n v="11880"/>
    <n v="5.94"/>
    <m/>
    <m/>
    <m/>
    <m/>
    <m/>
    <m/>
    <m/>
  </r>
  <r>
    <x v="46"/>
    <s v="All/Dumpsters"/>
    <x v="5"/>
    <s v="Single Stream"/>
    <s v="RockTenn/Abitibi"/>
    <m/>
    <n v="7347"/>
    <n v="3.6735000000000002"/>
    <m/>
    <m/>
    <m/>
    <m/>
    <m/>
    <m/>
    <m/>
  </r>
  <r>
    <x v="46"/>
    <s v="CSB  paper trailer"/>
    <x v="0"/>
    <s v="ow"/>
    <s v="RockTenn"/>
    <m/>
    <n v="5480"/>
    <n v="2.74"/>
    <n v="70.003649635036496"/>
    <n v="191.81"/>
    <n v="0"/>
    <n v="191.81"/>
    <n v="3248171"/>
    <n v="169357"/>
    <m/>
  </r>
  <r>
    <x v="46"/>
    <s v="CSB  paper trailer"/>
    <x v="1"/>
    <s v="occ"/>
    <s v="RockTenn"/>
    <m/>
    <n v="840"/>
    <n v="0.42"/>
    <n v="60"/>
    <n v="25.2"/>
    <n v="0"/>
    <n v="25.2"/>
    <n v="3248171"/>
    <n v="169357"/>
    <m/>
  </r>
  <r>
    <x v="46"/>
    <s v="CSB  paper trailer"/>
    <x v="0"/>
    <s v="book stock"/>
    <s v="RockTenn"/>
    <m/>
    <n v="1800"/>
    <n v="0.9"/>
    <n v="50"/>
    <n v="45"/>
    <n v="0"/>
    <n v="45"/>
    <n v="3248171"/>
    <n v="169357"/>
    <m/>
  </r>
  <r>
    <x v="47"/>
    <s v="Student Center compactor"/>
    <x v="5"/>
    <s v="Single Stream"/>
    <s v="RockTenn"/>
    <m/>
    <n v="8220"/>
    <n v="4.1100000000000003"/>
    <n v="59.999999999999993"/>
    <n v="246.6"/>
    <n v="0"/>
    <n v="246.6"/>
    <n v="477823"/>
    <n v="169275"/>
    <d v="2012-02-01T00:00:00"/>
  </r>
  <r>
    <x v="48"/>
    <s v="CC compactor"/>
    <x v="5"/>
    <s v="Single Stream"/>
    <s v="RockTenn"/>
    <m/>
    <n v="7040"/>
    <n v="3.52"/>
    <n v="60"/>
    <n v="211.2"/>
    <n v="0"/>
    <n v="211.2"/>
    <n v="477824"/>
    <n v="169275"/>
    <d v="2012-02-01T00:00:00"/>
  </r>
  <r>
    <x v="49"/>
    <s v="Aluminum plates with paper"/>
    <x v="7"/>
    <s v="Aluminum Litho"/>
    <s v="RockTenn"/>
    <m/>
    <n v="1620"/>
    <n v="0.81"/>
    <n v="499.99999999999994"/>
    <n v="405"/>
    <n v="0"/>
    <n v="405"/>
    <n v="477898"/>
    <n v="171458"/>
    <d v="2012-04-30T00:00:00"/>
  </r>
  <r>
    <x v="49"/>
    <s v="copper cords wires 35%"/>
    <x v="7"/>
    <s v="Copper"/>
    <s v="RockTenn"/>
    <m/>
    <n v="320"/>
    <n v="0.16"/>
    <n v="1100"/>
    <n v="176"/>
    <n v="0"/>
    <n v="176"/>
    <n v="477898"/>
    <n v="171458"/>
    <d v="2012-04-30T00:00:00"/>
  </r>
  <r>
    <x v="50"/>
    <s v="CSB  paper trailer"/>
    <x v="0"/>
    <s v="ow"/>
    <s v="RockTenn"/>
    <m/>
    <n v="6735"/>
    <n v="3.3675000000000002"/>
    <n v="100"/>
    <n v="336.75"/>
    <n v="0"/>
    <n v="336.75"/>
    <n v="478505"/>
    <n v="171820"/>
    <d v="2012-03-06T00:00:00"/>
  </r>
  <r>
    <x v="50"/>
    <s v="CSB  paper trailer"/>
    <x v="1"/>
    <s v="occ"/>
    <s v="RockTenn"/>
    <m/>
    <n v="160"/>
    <n v="0.08"/>
    <n v="60"/>
    <n v="4.8"/>
    <n v="0"/>
    <n v="4.8"/>
    <n v="478505"/>
    <n v="171820"/>
    <d v="2012-03-06T00:00:00"/>
  </r>
  <r>
    <x v="50"/>
    <s v="CSB  paper trailer"/>
    <x v="8"/>
    <s v="Garbage"/>
    <s v="RockTenn"/>
    <m/>
    <n v="1405"/>
    <n v="0.70250000000000001"/>
    <n v="-50.035587188612098"/>
    <n v="-35.15"/>
    <n v="0"/>
    <n v="-35.15"/>
    <n v="478505"/>
    <n v="171820"/>
    <d v="2012-03-06T00:00:00"/>
  </r>
  <r>
    <x v="50"/>
    <s v="CSB  paper trailer"/>
    <x v="2"/>
    <s v="LDPE grade a"/>
    <s v="RockTenn"/>
    <m/>
    <n v="40"/>
    <n v="0.02"/>
    <n v="100"/>
    <n v="2"/>
    <n v="0"/>
    <n v="2"/>
    <n v="478505"/>
    <n v="171820"/>
    <d v="2012-03-06T00:00:00"/>
  </r>
  <r>
    <x v="50"/>
    <s v="CSB  paper trailer"/>
    <x v="0"/>
    <s v="book stock"/>
    <s v="RockTenn"/>
    <m/>
    <n v="760"/>
    <n v="0.38"/>
    <n v="80"/>
    <n v="30.4"/>
    <n v="0"/>
    <n v="30.4"/>
    <n v="478505"/>
    <n v="171820"/>
    <d v="2012-03-06T00:00:00"/>
  </r>
  <r>
    <x v="51"/>
    <s v="CC compactor"/>
    <x v="5"/>
    <s v="Single Stream"/>
    <s v="RockTenn"/>
    <m/>
    <n v="7720"/>
    <n v="3.86"/>
    <n v="60"/>
    <n v="231.6"/>
    <n v="0"/>
    <n v="231.6"/>
    <n v="478317"/>
    <n v="171052"/>
    <d v="2012-04-19T00:00:00"/>
  </r>
  <r>
    <x v="52"/>
    <s v="Warehouse"/>
    <x v="6"/>
    <s v="Glass"/>
    <s v="Ripple"/>
    <m/>
    <n v="9620"/>
    <n v="4.8099999999999996"/>
    <m/>
    <m/>
    <m/>
    <m/>
    <m/>
    <m/>
    <m/>
  </r>
  <r>
    <x v="52"/>
    <s v="All/Dumpsters"/>
    <x v="5"/>
    <s v="Single Stream"/>
    <s v="RockTenn/Abitibi"/>
    <m/>
    <n v="7347"/>
    <n v="3.6735000000000002"/>
    <m/>
    <m/>
    <m/>
    <m/>
    <m/>
    <m/>
    <m/>
  </r>
  <r>
    <x v="53"/>
    <s v="CSB  paper trailer"/>
    <x v="0"/>
    <s v="ow"/>
    <s v="RockTenn"/>
    <m/>
    <n v="14525"/>
    <n v="7.2625000000000002"/>
    <n v="100"/>
    <n v="726.25"/>
    <n v="0"/>
    <n v="726.25"/>
    <n v="478146"/>
    <n v="171820"/>
    <d v="2012-03-05T00:00:00"/>
  </r>
  <r>
    <x v="53"/>
    <s v="CSB  paper trailer"/>
    <x v="1"/>
    <s v="occ"/>
    <s v="RockTenn"/>
    <m/>
    <n v="615"/>
    <n v="0.3075"/>
    <n v="60"/>
    <n v="18.45"/>
    <n v="0"/>
    <n v="18.45"/>
    <n v="478146"/>
    <n v="171820"/>
    <d v="2012-03-05T00:00:00"/>
  </r>
  <r>
    <x v="53"/>
    <s v="CSB  paper trailer"/>
    <x v="0"/>
    <s v="book stock"/>
    <s v="RockTenn"/>
    <m/>
    <n v="5055"/>
    <n v="2.5274999999999999"/>
    <n v="80"/>
    <n v="202.2"/>
    <n v="0"/>
    <n v="202.2"/>
    <n v="478146"/>
    <n v="171820"/>
    <d v="2012-03-05T00:00:00"/>
  </r>
  <r>
    <x v="53"/>
    <s v="CSB  paper trailer"/>
    <x v="8"/>
    <s v="Garbage"/>
    <s v="RockTenn"/>
    <m/>
    <n v="565"/>
    <n v="0.28249999999999997"/>
    <n v="-50.017699115044252"/>
    <n v="-14.13"/>
    <n v="0"/>
    <n v="-14.13"/>
    <n v="478146"/>
    <n v="171820"/>
    <d v="2012-03-05T00:00:00"/>
  </r>
  <r>
    <x v="53"/>
    <s v="CSB  paper trailer"/>
    <x v="2"/>
    <s v="LDPE grade a"/>
    <s v="RockTenn"/>
    <m/>
    <n v="180"/>
    <n v="0.09"/>
    <n v="100"/>
    <n v="9"/>
    <n v="0"/>
    <n v="9"/>
    <n v="478146"/>
    <n v="171820"/>
    <d v="2012-03-05T00:00:00"/>
  </r>
  <r>
    <x v="54"/>
    <s v="CSB  paper trailer"/>
    <x v="0"/>
    <s v="ow"/>
    <s v="RockTenn"/>
    <m/>
    <n v="1255"/>
    <n v="0.62749999999999995"/>
    <n v="100.00000000000001"/>
    <n v="62.75"/>
    <n v="0"/>
    <n v="62.75"/>
    <n v="478676"/>
    <n v="172632"/>
    <d v="2012-03-15T00:00:00"/>
  </r>
  <r>
    <x v="54"/>
    <s v="CSB  paper trailer"/>
    <x v="1"/>
    <s v="occ"/>
    <s v="RockTenn"/>
    <m/>
    <n v="185"/>
    <n v="9.2499999999999999E-2"/>
    <n v="60"/>
    <n v="5.55"/>
    <n v="0"/>
    <n v="5.55"/>
    <n v="478676"/>
    <n v="172632"/>
    <d v="2012-03-15T00:00:00"/>
  </r>
  <r>
    <x v="54"/>
    <s v="CSB  paper trailer"/>
    <x v="0"/>
    <s v="book stock"/>
    <s v="RockTenn"/>
    <m/>
    <n v="1835"/>
    <n v="0.91749999999999998"/>
    <n v="80.000000000000014"/>
    <n v="73.400000000000006"/>
    <n v="0"/>
    <n v="73.400000000000006"/>
    <n v="478676"/>
    <n v="172632"/>
    <d v="2012-03-15T00:00:00"/>
  </r>
  <r>
    <x v="54"/>
    <s v="CSB  paper trailer"/>
    <x v="8"/>
    <s v="Garbage"/>
    <s v="RockTenn"/>
    <m/>
    <n v="405"/>
    <n v="0.20250000000000001"/>
    <n v="50.02469135802469"/>
    <n v="10.130000000000001"/>
    <n v="0"/>
    <n v="10.130000000000001"/>
    <n v="478676"/>
    <n v="172632"/>
    <d v="2012-03-15T00:00:00"/>
  </r>
  <r>
    <x v="55"/>
    <s v="CC compactor"/>
    <x v="5"/>
    <s v="Single Stream"/>
    <s v="RockTenn"/>
    <m/>
    <n v="6640"/>
    <n v="3.32"/>
    <n v="35"/>
    <n v="116.2"/>
    <n v="0"/>
    <n v="116.2"/>
    <n v="478918"/>
    <n v="179250"/>
    <d v="2012-03-19T00:00:00"/>
  </r>
  <r>
    <x v="56"/>
    <s v="All/Dumpsters"/>
    <x v="5"/>
    <s v="Single Stream"/>
    <s v="RockTenn/Abitibi"/>
    <m/>
    <n v="7347"/>
    <n v="3.6735000000000002"/>
    <m/>
    <m/>
    <m/>
    <m/>
    <m/>
    <m/>
    <m/>
  </r>
  <r>
    <x v="57"/>
    <s v="Warehouse"/>
    <x v="6"/>
    <s v="Glass"/>
    <s v="Ripple"/>
    <m/>
    <n v="9860"/>
    <n v="4.93"/>
    <m/>
    <m/>
    <m/>
    <m/>
    <m/>
    <m/>
    <m/>
  </r>
  <r>
    <x v="57"/>
    <s v="CSB  paper trailer"/>
    <x v="0"/>
    <s v="ow"/>
    <s v="RockTenn"/>
    <m/>
    <n v="600"/>
    <n v="0.3"/>
    <n v="100"/>
    <n v="30"/>
    <n v="0"/>
    <n v="30"/>
    <n v="37123"/>
    <n v="173396"/>
    <d v="2012-05-21T00:00:00"/>
  </r>
  <r>
    <x v="57"/>
    <s v="CSB  paper trailer"/>
    <x v="0"/>
    <s v="ow"/>
    <s v="RockTenn"/>
    <m/>
    <n v="4050"/>
    <n v="2.0249999999999999"/>
    <n v="100"/>
    <n v="202.5"/>
    <n v="0"/>
    <n v="202.5"/>
    <n v="37123"/>
    <n v="173396"/>
    <d v="2012-05-21T00:00:00"/>
  </r>
  <r>
    <x v="57"/>
    <s v="CSB  paper trailer"/>
    <x v="0"/>
    <s v="book stock"/>
    <s v="RockTenn"/>
    <m/>
    <n v="4960"/>
    <n v="2.48"/>
    <n v="80"/>
    <n v="198.4"/>
    <n v="0"/>
    <n v="198.4"/>
    <n v="37123"/>
    <n v="173396"/>
    <d v="2012-05-21T00:00:00"/>
  </r>
  <r>
    <x v="57"/>
    <s v="CSB  paper trailer"/>
    <x v="2"/>
    <s v="LDPE grade a"/>
    <s v="RockTenn"/>
    <m/>
    <n v="80"/>
    <n v="0.04"/>
    <n v="100"/>
    <n v="4"/>
    <n v="0"/>
    <n v="4"/>
    <n v="37123"/>
    <n v="173396"/>
    <d v="2012-05-21T00:00:00"/>
  </r>
  <r>
    <x v="57"/>
    <s v="CC compactor"/>
    <x v="5"/>
    <s v="Single Stream"/>
    <s v="RockTenn"/>
    <m/>
    <n v="6480"/>
    <n v="3.24"/>
    <n v="35"/>
    <n v="113.4"/>
    <n v="0"/>
    <n v="113.4"/>
    <n v="3249913"/>
    <n v="175280"/>
    <d v="2012-05-05T00:00:00"/>
  </r>
  <r>
    <x v="58"/>
    <s v="CC compactor"/>
    <x v="5"/>
    <s v="Single Stream"/>
    <s v="RockTenn"/>
    <m/>
    <n v="5180"/>
    <n v="2.59"/>
    <n v="34.301158301158303"/>
    <n v="88.84"/>
    <n v="0"/>
    <n v="88.84"/>
    <n v="3250348"/>
    <n v="175281"/>
    <d v="2012-05-05T00:00:00"/>
  </r>
  <r>
    <x v="59"/>
    <s v="All/Dumpsters"/>
    <x v="5"/>
    <s v="Single Stream"/>
    <s v="RockTenn/Abitibi"/>
    <m/>
    <n v="5329"/>
    <n v="2.6644999999999999"/>
    <m/>
    <m/>
    <m/>
    <m/>
    <m/>
    <m/>
    <m/>
  </r>
  <r>
    <x v="60"/>
    <s v="CC compactor"/>
    <x v="5"/>
    <s v="Single Stream"/>
    <s v="RockTenn"/>
    <m/>
    <n v="4000"/>
    <n v="2"/>
    <n v="0"/>
    <m/>
    <n v="0"/>
    <m/>
    <m/>
    <m/>
    <m/>
  </r>
  <r>
    <x v="60"/>
    <s v="Student Center compactor"/>
    <x v="5"/>
    <s v="Single Stream"/>
    <s v="RockTenn"/>
    <m/>
    <n v="6000"/>
    <n v="3"/>
    <n v="0"/>
    <m/>
    <n v="0"/>
    <m/>
    <m/>
    <m/>
    <m/>
  </r>
  <r>
    <x v="61"/>
    <s v="CSB Trailer"/>
    <x v="0"/>
    <s v="ow"/>
    <s v="RockTenn"/>
    <m/>
    <n v="4215"/>
    <n v="2.1074999999999999"/>
    <n v="80"/>
    <n v="168.6"/>
    <n v="0"/>
    <n v="168.6"/>
    <n v="479720"/>
    <n v="178260"/>
    <d v="2012-05-23T00:00:00"/>
  </r>
  <r>
    <x v="61"/>
    <s v="CSB Trailer"/>
    <x v="1"/>
    <s v="occ"/>
    <s v="RockTenn"/>
    <m/>
    <n v="185"/>
    <n v="9.2499999999999999E-2"/>
    <n v="40"/>
    <n v="3.7"/>
    <n v="0"/>
    <n v="3.7"/>
    <n v="479720"/>
    <n v="178260"/>
    <d v="2012-05-23T00:00:00"/>
  </r>
  <r>
    <x v="61"/>
    <s v="CSB Trailer"/>
    <x v="0"/>
    <s v="book stock"/>
    <s v="RockTenn"/>
    <m/>
    <n v="1285"/>
    <n v="0.64249999999999996"/>
    <n v="60"/>
    <n v="38.549999999999997"/>
    <n v="0"/>
    <n v="38.549999999999997"/>
    <n v="479720"/>
    <n v="178260"/>
    <d v="2012-05-23T00:00:00"/>
  </r>
  <r>
    <x v="62"/>
    <s v="Warehouse"/>
    <x v="6"/>
    <s v="Glass"/>
    <s v="Ripple"/>
    <m/>
    <n v="10100"/>
    <n v="5.05"/>
    <m/>
    <m/>
    <m/>
    <m/>
    <m/>
    <m/>
    <m/>
  </r>
  <r>
    <x v="63"/>
    <s v="CC compactor"/>
    <x v="5"/>
    <s v="Single Stream"/>
    <s v="RockTenn"/>
    <m/>
    <n v="7760"/>
    <n v="3.88"/>
    <n v="35.000000000000007"/>
    <n v="135.80000000000001"/>
    <n v="0"/>
    <n v="135.80000000000001"/>
    <n v="481609"/>
    <n v="178670"/>
    <d v="2012-05-29T00:00:00"/>
  </r>
  <r>
    <x v="64"/>
    <s v="All/Dumpsters"/>
    <x v="5"/>
    <s v="Single Stream"/>
    <s v="RockTenn/Abitibi"/>
    <m/>
    <n v="5329"/>
    <n v="2.6644999999999999"/>
    <m/>
    <m/>
    <m/>
    <m/>
    <m/>
    <m/>
    <m/>
  </r>
  <r>
    <x v="65"/>
    <s v="Warehouse"/>
    <x v="3"/>
    <s v="e-waste"/>
    <s v="Unicor"/>
    <m/>
    <n v="5000"/>
    <n v="2.5"/>
    <m/>
    <m/>
    <m/>
    <m/>
    <m/>
    <m/>
    <m/>
  </r>
  <r>
    <x v="66"/>
    <s v="CSB Trailer"/>
    <x v="0"/>
    <s v="ow"/>
    <s v="RockTenn"/>
    <m/>
    <n v="8815"/>
    <n v="4.4074999999999998"/>
    <n v="80.000000000000014"/>
    <n v="352.6"/>
    <n v="0"/>
    <n v="352.6"/>
    <n v="481897"/>
    <n v="180424"/>
    <d v="2012-06-11T00:00:00"/>
  </r>
  <r>
    <x v="66"/>
    <s v="CSB Trailer"/>
    <x v="1"/>
    <s v="occ"/>
    <s v="RockTenn"/>
    <m/>
    <n v="55"/>
    <n v="2.75E-2"/>
    <n v="30.18181818181818"/>
    <n v="0.83"/>
    <n v="0"/>
    <n v="0.83"/>
    <n v="481897"/>
    <n v="180424"/>
    <d v="2012-06-11T00:00:00"/>
  </r>
  <r>
    <x v="67"/>
    <s v="Warehouse"/>
    <x v="6"/>
    <s v="Glass"/>
    <s v="Ripple"/>
    <m/>
    <n v="9800"/>
    <n v="4.9000000000000004"/>
    <m/>
    <m/>
    <m/>
    <m/>
    <m/>
    <m/>
    <m/>
  </r>
  <r>
    <x v="68"/>
    <s v="Warehouse"/>
    <x v="3"/>
    <s v="e-waste"/>
    <s v="Unicor"/>
    <m/>
    <n v="4739"/>
    <n v="2.3694999999999999"/>
    <m/>
    <m/>
    <m/>
    <m/>
    <m/>
    <m/>
    <m/>
  </r>
  <r>
    <x v="69"/>
    <s v="CC compactor"/>
    <x v="5"/>
    <s v="Single Stream"/>
    <s v="RockTenn"/>
    <m/>
    <n v="8500"/>
    <n v="4.25"/>
    <n v="25"/>
    <n v="106.25"/>
    <n v="0"/>
    <n v="106.25"/>
    <n v="482439"/>
    <n v="181805"/>
    <d v="2012-07-02T00:00:00"/>
  </r>
  <r>
    <x v="70"/>
    <s v="All/Dumpsters"/>
    <x v="5"/>
    <s v="Single Stream"/>
    <s v="RockTenn/Abitibi"/>
    <m/>
    <n v="5329"/>
    <n v="2.6644999999999999"/>
    <m/>
    <m/>
    <m/>
    <m/>
    <m/>
    <m/>
    <m/>
  </r>
  <r>
    <x v="71"/>
    <s v="CSB Trailer"/>
    <x v="0"/>
    <s v="ow"/>
    <s v="RockTenn"/>
    <m/>
    <n v="8210"/>
    <n v="4.1050000000000004"/>
    <n v="99.999999999999986"/>
    <n v="410.5"/>
    <n v="0"/>
    <n v="410.5"/>
    <n v="482539"/>
    <n v="183355"/>
    <d v="2012-07-20T00:00:00"/>
  </r>
  <r>
    <x v="71"/>
    <s v="CSB Trailer"/>
    <x v="1"/>
    <s v="occ"/>
    <s v="RockTenn"/>
    <m/>
    <n v="60"/>
    <n v="0.03"/>
    <n v="25"/>
    <n v="0.75"/>
    <n v="0"/>
    <n v="0.75"/>
    <n v="482539"/>
    <n v="183355"/>
    <d v="2012-07-20T00:00:00"/>
  </r>
  <r>
    <x v="71"/>
    <s v="CSB Trailer"/>
    <x v="0"/>
    <s v="book stock"/>
    <s v="RockTenn"/>
    <m/>
    <n v="540"/>
    <n v="0.27"/>
    <n v="59.999999999999993"/>
    <n v="16.2"/>
    <n v="0"/>
    <n v="16.2"/>
    <n v="482539"/>
    <n v="183355"/>
    <d v="2012-07-20T00:00:00"/>
  </r>
  <r>
    <x v="72"/>
    <s v="Warehouse"/>
    <x v="6"/>
    <s v="Glass"/>
    <s v="Ripple"/>
    <m/>
    <n v="10100"/>
    <n v="5.05"/>
    <m/>
    <m/>
    <m/>
    <m/>
    <m/>
    <m/>
    <m/>
  </r>
  <r>
    <x v="73"/>
    <s v="CC compactor"/>
    <x v="5"/>
    <s v="Single Stream"/>
    <s v="RockTenn"/>
    <m/>
    <n v="9280"/>
    <n v="4.6399999999999997"/>
    <n v="25"/>
    <n v="116"/>
    <n v="0"/>
    <n v="116"/>
    <n v="483042"/>
    <n v="186265"/>
    <d v="2012-07-30T00:00:00"/>
  </r>
  <r>
    <x v="74"/>
    <s v="All/Dumpsters"/>
    <x v="5"/>
    <s v="Single Stream"/>
    <s v="RockTenn/Abitibi"/>
    <m/>
    <n v="5329"/>
    <n v="2.6644999999999999"/>
    <m/>
    <m/>
    <m/>
    <m/>
    <m/>
    <m/>
    <m/>
  </r>
  <r>
    <x v="75"/>
    <s v="south compound"/>
    <x v="7"/>
    <s v="Shred Iron"/>
    <s v="Advantage Metal"/>
    <m/>
    <n v="8520"/>
    <n v="4.26"/>
    <n v="0.09"/>
    <n v="766.8"/>
    <n v="180"/>
    <n v="586.79999999999995"/>
    <s v="TKXFDD"/>
    <n v="181688"/>
    <m/>
  </r>
  <r>
    <x v="76"/>
    <s v="Warehouse"/>
    <x v="3"/>
    <s v="e-waste"/>
    <s v="Surplus Exchange"/>
    <m/>
    <n v="4500"/>
    <n v="2.25"/>
    <m/>
    <m/>
    <m/>
    <m/>
    <m/>
    <m/>
    <m/>
  </r>
  <r>
    <x v="77"/>
    <s v="CC compactor"/>
    <x v="5"/>
    <s v="Single Stream"/>
    <s v="RockTenn"/>
    <m/>
    <n v="4380"/>
    <n v="2.19"/>
    <n v="25"/>
    <n v="54.75"/>
    <n v="0"/>
    <n v="54.75"/>
    <n v="483398"/>
    <n v="189280"/>
    <d v="2012-11-07T00:00:00"/>
  </r>
  <r>
    <x v="78"/>
    <s v="Warehouse"/>
    <x v="6"/>
    <s v="Glass"/>
    <s v="Ripple"/>
    <m/>
    <n v="10060"/>
    <n v="5.03"/>
    <m/>
    <m/>
    <m/>
    <m/>
    <m/>
    <m/>
    <m/>
  </r>
  <r>
    <x v="79"/>
    <s v="SC compactor"/>
    <x v="5"/>
    <s v="Single Stream"/>
    <s v="RockTenn"/>
    <m/>
    <n v="9540"/>
    <n v="4.7699999999999996"/>
    <n v="25.000000000000004"/>
    <n v="119.25"/>
    <n v="0"/>
    <n v="119.25"/>
    <n v="483423"/>
    <n v="189280"/>
    <d v="2012-11-07T00:00:00"/>
  </r>
  <r>
    <x v="80"/>
    <s v="CSB Trailer"/>
    <x v="0"/>
    <s v="ow"/>
    <s v="RockTenn"/>
    <m/>
    <n v="5935"/>
    <n v="2.9674999999999998"/>
    <n v="100"/>
    <n v="296.75"/>
    <n v="0"/>
    <n v="296.75"/>
    <n v="3253690"/>
    <n v="189280"/>
    <d v="2012-11-07T00:00:00"/>
  </r>
  <r>
    <x v="80"/>
    <s v="CSB Trailer"/>
    <x v="1"/>
    <s v="occ"/>
    <s v="RockTenn"/>
    <m/>
    <n v="5435"/>
    <n v="2.7174999999999998"/>
    <n v="14.999080036798528"/>
    <n v="40.76"/>
    <n v="0"/>
    <n v="40.76"/>
    <n v="3253690"/>
    <n v="189280"/>
    <d v="2012-11-07T00:00:00"/>
  </r>
  <r>
    <x v="80"/>
    <s v="CSB Trailer"/>
    <x v="8"/>
    <s v="Garbage"/>
    <s v="RockTenn"/>
    <m/>
    <n v="400"/>
    <n v="0.2"/>
    <n v="-100"/>
    <n v="-20"/>
    <n v="0"/>
    <n v="-20"/>
    <n v="3253690"/>
    <n v="189280"/>
    <d v="2012-11-07T00:00:00"/>
  </r>
  <r>
    <x v="81"/>
    <s v="Delivered"/>
    <x v="7"/>
    <s v="#2 Copper"/>
    <s v="Advantage Metal"/>
    <m/>
    <n v="96"/>
    <n v="4.8000000000000001E-2"/>
    <n v="2.8"/>
    <n v="268.8"/>
    <n v="0"/>
    <n v="268.8"/>
    <s v="ZHEAAN"/>
    <n v="183200"/>
    <m/>
  </r>
  <r>
    <x v="81"/>
    <s v="Delivered"/>
    <x v="7"/>
    <s v="35% insulated copper"/>
    <s v="Advantage Metal"/>
    <m/>
    <n v="657"/>
    <n v="0.32850000000000001"/>
    <n v="0.25"/>
    <n v="164.25"/>
    <n v="0"/>
    <n v="164.25"/>
    <s v="ZHEAAN"/>
    <n v="183200"/>
    <m/>
  </r>
  <r>
    <x v="81"/>
    <s v="CC compactor"/>
    <x v="5"/>
    <s v="Single Stream"/>
    <s v="RockTenn"/>
    <m/>
    <n v="8440"/>
    <n v="4.22"/>
    <n v="25"/>
    <n v="105.5"/>
    <n v="0"/>
    <n v="105.5"/>
    <n v="3253676"/>
    <n v="189280"/>
    <d v="2012-11-07T00:00:00"/>
  </r>
  <r>
    <x v="82"/>
    <s v="All/Dumpsters"/>
    <x v="5"/>
    <s v="Single Stream"/>
    <s v="RockTenn/Abitibi"/>
    <m/>
    <n v="5329"/>
    <n v="2.6644999999999999"/>
    <m/>
    <m/>
    <m/>
    <m/>
    <m/>
    <m/>
    <m/>
  </r>
  <r>
    <x v="83"/>
    <s v="south compound"/>
    <x v="7"/>
    <s v="Shred Iron"/>
    <s v="Advantage Metal"/>
    <m/>
    <n v="6700"/>
    <n v="3.35"/>
    <n v="9.7500000000000003E-2"/>
    <n v="653.25"/>
    <n v="180"/>
    <n v="473.25"/>
    <m/>
    <m/>
    <m/>
  </r>
  <r>
    <x v="84"/>
    <s v="Warehouse"/>
    <x v="6"/>
    <s v="Glass"/>
    <s v="Ripple"/>
    <m/>
    <n v="336"/>
    <n v="0.16800000000000001"/>
    <m/>
    <m/>
    <m/>
    <m/>
    <m/>
    <m/>
    <m/>
  </r>
  <r>
    <x v="84"/>
    <s v="CSB Trailer"/>
    <x v="0"/>
    <s v="ow"/>
    <s v="RockTenn"/>
    <m/>
    <n v="5635"/>
    <n v="2.8174999999999999"/>
    <n v="90.00177462289264"/>
    <n v="253.58"/>
    <n v="0"/>
    <n v="253.58"/>
    <n v="3254209"/>
    <n v="190079"/>
    <d v="2012-11-19T00:00:00"/>
  </r>
  <r>
    <x v="84"/>
    <s v="CSB Trailer"/>
    <x v="0"/>
    <s v="Mixed paper"/>
    <s v="RockTenn"/>
    <m/>
    <n v="7665"/>
    <n v="3.8325"/>
    <n v="4.9993476842791909"/>
    <n v="19.16"/>
    <n v="0"/>
    <n v="19.16"/>
    <n v="3254209"/>
    <n v="190079"/>
    <d v="2012-11-19T00:00:00"/>
  </r>
  <r>
    <x v="85"/>
    <s v="Abitibi pickup"/>
    <x v="3"/>
    <s v="fees Awaiting adjustment"/>
    <s v="RockTenn"/>
    <m/>
    <m/>
    <n v="0"/>
    <e v="#DIV/0!"/>
    <n v="-680"/>
    <n v="0"/>
    <n v="-680"/>
    <m/>
    <n v="189280"/>
    <d v="2012-11-07T00:00:00"/>
  </r>
  <r>
    <x v="86"/>
    <s v="CC compactor"/>
    <x v="5"/>
    <s v="Single Stream"/>
    <s v="RockTenn"/>
    <m/>
    <n v="8840"/>
    <n v="4.42"/>
    <n v="25"/>
    <n v="110.5"/>
    <n v="0"/>
    <n v="110.5"/>
    <n v="3254510"/>
    <n v="189280"/>
    <d v="2012-11-07T00:00:00"/>
  </r>
  <r>
    <x v="87"/>
    <s v="All/Dumpsters"/>
    <x v="5"/>
    <s v="Single Stream"/>
    <s v="RockTenn/Abitibi"/>
    <m/>
    <n v="5329"/>
    <n v="2.6644999999999999"/>
    <m/>
    <m/>
    <m/>
    <m/>
    <m/>
    <m/>
    <m/>
  </r>
  <r>
    <x v="88"/>
    <s v="south compound"/>
    <x v="7"/>
    <s v="Shred Iron"/>
    <s v="Advantage Metal"/>
    <m/>
    <n v="7220"/>
    <n v="3.61"/>
    <n v="8.5000000000000006E-2"/>
    <n v="613.70000000000005"/>
    <n v="180"/>
    <n v="433.7"/>
    <s v="TLNAEY"/>
    <n v="186931"/>
    <m/>
  </r>
  <r>
    <x v="89"/>
    <s v="CSB Trailer"/>
    <x v="0"/>
    <s v="ow"/>
    <s v="RockTenn"/>
    <m/>
    <n v="4570"/>
    <n v="2.2850000000000001"/>
    <n v="69.999999999999986"/>
    <n v="159.94999999999999"/>
    <n v="0"/>
    <n v="159.94999999999999"/>
    <n v="3254600"/>
    <n v="190757"/>
    <d v="2012-12-03T00:00:00"/>
  </r>
  <r>
    <x v="89"/>
    <s v="CSB Trailer"/>
    <x v="0"/>
    <s v="Mixed paper"/>
    <s v="RockTenn"/>
    <m/>
    <n v="3440"/>
    <n v="1.72"/>
    <n v="5"/>
    <n v="8.6"/>
    <n v="0"/>
    <n v="8.6"/>
    <n v="3254600"/>
    <n v="190757"/>
    <d v="2012-12-03T00:00:00"/>
  </r>
  <r>
    <x v="89"/>
    <s v="CSB Trailer"/>
    <x v="0"/>
    <s v="book stock"/>
    <s v="RockTenn"/>
    <m/>
    <n v="3925"/>
    <n v="1.9624999999999999"/>
    <n v="60"/>
    <n v="117.75"/>
    <n v="0"/>
    <n v="117.75"/>
    <n v="3254600"/>
    <n v="190757"/>
    <d v="2012-12-03T00:00:00"/>
  </r>
  <r>
    <x v="90"/>
    <s v="SC compactor"/>
    <x v="5"/>
    <s v="Single Stream"/>
    <s v="RockTenn"/>
    <m/>
    <n v="6980"/>
    <n v="3.49"/>
    <n v="25"/>
    <n v="87.25"/>
    <n v="0"/>
    <n v="87.25"/>
    <n v="3254715"/>
    <n v="190081"/>
    <d v="2012-11-16T00:00:00"/>
  </r>
  <r>
    <x v="90"/>
    <s v="Unknown"/>
    <x v="8"/>
    <s v="Garbage"/>
    <s v="RockTenn"/>
    <m/>
    <n v="205"/>
    <n v="0.10249999999999999"/>
    <n v="-100"/>
    <n v="-10.25"/>
    <n v="0"/>
    <n v="-10.25"/>
    <n v="3254600"/>
    <n v="190081"/>
    <d v="2012-11-16T00:00:00"/>
  </r>
  <r>
    <x v="91"/>
    <s v="Delivered"/>
    <x v="7"/>
    <s v="#2 Copper"/>
    <s v="Advantage Metal"/>
    <m/>
    <n v="237"/>
    <n v="0.11849999999999999"/>
    <n v="2.95"/>
    <n v="699.15"/>
    <n v="0"/>
    <n v="699.15"/>
    <s v="zhmouw"/>
    <m/>
    <m/>
  </r>
  <r>
    <x v="91"/>
    <s v="Delivered"/>
    <x v="7"/>
    <s v="Alum sheet - clean"/>
    <s v="Advantage Metal"/>
    <m/>
    <n v="355"/>
    <n v="0.17749999999999999"/>
    <n v="0.51"/>
    <n v="181.05"/>
    <n v="0"/>
    <n v="181.05"/>
    <s v="zhmouw"/>
    <m/>
    <m/>
  </r>
  <r>
    <x v="91"/>
    <s v="Delivered"/>
    <x v="7"/>
    <s v="Alum rads"/>
    <s v="Advantage Metal"/>
    <m/>
    <n v="28"/>
    <n v="1.4E-2"/>
    <n v="0.5"/>
    <n v="14"/>
    <n v="0"/>
    <n v="14"/>
    <s v="zhmouw"/>
    <m/>
    <m/>
  </r>
  <r>
    <x v="91"/>
    <s v="Delivered"/>
    <x v="7"/>
    <s v="cu/al rads"/>
    <s v="Advantage Metal"/>
    <m/>
    <n v="169"/>
    <n v="8.4500000000000006E-2"/>
    <n v="1.41"/>
    <n v="238.29"/>
    <n v="0"/>
    <n v="238.29"/>
    <s v="zhmouw"/>
    <m/>
    <m/>
  </r>
  <r>
    <x v="91"/>
    <s v="Delivered"/>
    <x v="7"/>
    <s v="304 stainles"/>
    <s v="Advantage Metal"/>
    <m/>
    <n v="138"/>
    <n v="6.9000000000000006E-2"/>
    <n v="0.55000000000000004"/>
    <n v="75.900000000000006"/>
    <n v="0"/>
    <n v="75.900000000000006"/>
    <s v="zhmouw"/>
    <m/>
    <m/>
  </r>
  <r>
    <x v="91"/>
    <s v="Delivered"/>
    <x v="7"/>
    <s v="al/cu ends"/>
    <s v="Advantage Metal"/>
    <m/>
    <n v="63"/>
    <n v="3.15E-2"/>
    <n v="0.35"/>
    <n v="22.05"/>
    <n v="0"/>
    <n v="22.05"/>
    <s v="zhmouw"/>
    <m/>
    <m/>
  </r>
  <r>
    <x v="91"/>
    <s v="CC compactor"/>
    <x v="5"/>
    <s v="Single Stream"/>
    <s v="RockTenn"/>
    <m/>
    <n v="5900"/>
    <n v="2.95"/>
    <n v="25"/>
    <n v="73.75"/>
    <n v="0"/>
    <n v="73.75"/>
    <n v="3254874"/>
    <n v="190157"/>
    <d v="2012-11-20T00:00:00"/>
  </r>
  <r>
    <x v="91"/>
    <s v="Warehouse"/>
    <x v="6"/>
    <s v="Glass"/>
    <s v="Ripple"/>
    <m/>
    <n v="336"/>
    <n v="0.16800000000000001"/>
    <m/>
    <m/>
    <m/>
    <m/>
    <m/>
    <m/>
    <m/>
  </r>
  <r>
    <x v="92"/>
    <s v="Warehouse"/>
    <x v="3"/>
    <s v="e-waste"/>
    <s v="Unicor"/>
    <m/>
    <n v="10142"/>
    <n v="5.0709999999999997"/>
    <m/>
    <m/>
    <m/>
    <m/>
    <m/>
    <m/>
    <m/>
  </r>
  <r>
    <x v="93"/>
    <s v="All/Dumpsters"/>
    <x v="5"/>
    <s v="Single Stream"/>
    <s v="RockTenn/Abitibi"/>
    <m/>
    <n v="5329"/>
    <n v="2.6644999999999999"/>
    <m/>
    <m/>
    <m/>
    <m/>
    <m/>
    <m/>
    <m/>
  </r>
  <r>
    <x v="94"/>
    <s v="Abitibi Correction"/>
    <x v="3"/>
    <s v="adjustment"/>
    <s v="RockTenn"/>
    <m/>
    <m/>
    <n v="0"/>
    <e v="#DIV/0!"/>
    <n v="486.4"/>
    <n v="0"/>
    <n v="486.4"/>
    <m/>
    <n v="191066"/>
    <d v="2012-12-06T00:00:00"/>
  </r>
  <r>
    <x v="95"/>
    <s v="CC compactor"/>
    <x v="5"/>
    <s v="Single Stream"/>
    <s v="RockTenn"/>
    <m/>
    <n v="1600"/>
    <n v="0.8"/>
    <n v="25"/>
    <n v="20"/>
    <n v="0"/>
    <n v="20"/>
    <n v="3255584"/>
    <n v="194033"/>
    <d v="2013-01-08T00:00:00"/>
  </r>
  <r>
    <x v="96"/>
    <s v="Warehouse"/>
    <x v="6"/>
    <s v="Glass"/>
    <s v="Ripple"/>
    <m/>
    <n v="336"/>
    <n v="0.16800000000000001"/>
    <m/>
    <m/>
    <m/>
    <m/>
    <m/>
    <m/>
    <m/>
  </r>
  <r>
    <x v="96"/>
    <s v="CC compactor"/>
    <x v="5"/>
    <s v="Single Stream"/>
    <s v="RockTenn"/>
    <m/>
    <n v="9680"/>
    <n v="4.84"/>
    <n v="25"/>
    <n v="121"/>
    <n v="0"/>
    <n v="121"/>
    <n v="3255584"/>
    <n v="194033"/>
    <d v="2013-01-08T00:00:00"/>
  </r>
  <r>
    <x v="96"/>
    <s v="CSB Trailer"/>
    <x v="0"/>
    <s v="ow"/>
    <s v="RockTenn"/>
    <m/>
    <n v="8615"/>
    <n v="4.3075000000000001"/>
    <n v="70.001160766105627"/>
    <n v="301.52999999999997"/>
    <n v="0"/>
    <n v="301.52999999999997"/>
    <n v="3255696"/>
    <n v="194823"/>
    <d v="2013-01-07T00:00:00"/>
  </r>
  <r>
    <x v="96"/>
    <s v="CSB Trailer"/>
    <x v="0"/>
    <s v="Mixed paper"/>
    <s v="RockTenn"/>
    <m/>
    <n v="435"/>
    <n v="0.2175"/>
    <n v="5.0114942528735638"/>
    <n v="1.0900000000000001"/>
    <n v="0"/>
    <n v="1.0900000000000001"/>
    <n v="3255696"/>
    <n v="194823"/>
    <d v="2013-01-07T00:00:00"/>
  </r>
  <r>
    <x v="96"/>
    <s v="CSB Trailer"/>
    <x v="0"/>
    <s v="book stock"/>
    <s v="RockTenn"/>
    <m/>
    <n v="3365"/>
    <n v="1.6825000000000001"/>
    <n v="60"/>
    <n v="100.95"/>
    <n v="0"/>
    <n v="100.95"/>
    <n v="3255696"/>
    <n v="194823"/>
    <d v="2013-01-07T00:00:00"/>
  </r>
  <r>
    <x v="97"/>
    <s v="south compactor"/>
    <x v="8"/>
    <s v="Trash"/>
    <s v="Deffenbaugh"/>
    <m/>
    <n v="1925"/>
    <n v="0.96250000000000002"/>
    <m/>
    <m/>
    <m/>
    <n v="-96.25"/>
    <n v="3255696"/>
    <n v="194033"/>
    <d v="2013-01-08T00:00:00"/>
  </r>
  <r>
    <x v="97"/>
    <s v="south compactor"/>
    <x v="8"/>
    <s v="Trash"/>
    <s v="RockTenn"/>
    <m/>
    <n v="1925"/>
    <n v="0.96250000000000002"/>
    <n v="-100"/>
    <n v="-96.25"/>
    <n v="0"/>
    <n v="-96.25"/>
    <n v="3255696"/>
    <n v="194033"/>
    <d v="2013-01-08T00:00:00"/>
  </r>
  <r>
    <x v="98"/>
    <s v="south compound"/>
    <x v="7"/>
    <s v="Shred Iron"/>
    <s v="Advantage Metal"/>
    <m/>
    <n v="3200"/>
    <n v="1.6"/>
    <n v="7.0000000000000007E-2"/>
    <n v="224"/>
    <n v="180"/>
    <n v="44"/>
    <s v="TLXQKL"/>
    <m/>
    <m/>
  </r>
  <r>
    <x v="99"/>
    <s v="All/Dumpsters"/>
    <x v="5"/>
    <s v="Single Stream"/>
    <s v="RockTenn/Abitibi"/>
    <m/>
    <n v="5329"/>
    <n v="2.6644999999999999"/>
    <m/>
    <m/>
    <m/>
    <m/>
    <m/>
    <m/>
    <m/>
  </r>
  <r>
    <x v="100"/>
    <s v="CC compactor"/>
    <x v="5"/>
    <s v="Single Stream"/>
    <s v="RockTenn"/>
    <m/>
    <n v="9740"/>
    <n v="4.87"/>
    <n v="25"/>
    <n v="121.75"/>
    <n v="0"/>
    <n v="121.75"/>
    <n v="3256283"/>
    <m/>
    <d v="2013-02-11T00:00:00"/>
  </r>
  <r>
    <x v="100"/>
    <s v="south compound"/>
    <x v="8"/>
    <s v="Trash"/>
    <s v="RockTenn"/>
    <m/>
    <n v="9500"/>
    <n v="4.75"/>
    <n v="-100"/>
    <n v="-475"/>
    <n v="0"/>
    <n v="-475"/>
    <n v="3256208"/>
    <m/>
    <d v="2013-02-11T00:00:00"/>
  </r>
  <r>
    <x v="100"/>
    <s v="south compound"/>
    <x v="8"/>
    <s v="Trash"/>
    <s v="Deffenbaugh"/>
    <m/>
    <n v="0"/>
    <n v="0"/>
    <m/>
    <m/>
    <m/>
    <n v="510"/>
    <m/>
    <n v="201385"/>
    <m/>
  </r>
  <r>
    <x v="101"/>
    <s v="south compound"/>
    <x v="8"/>
    <s v="Trash"/>
    <s v="RockTenn"/>
    <m/>
    <n v="700"/>
    <n v="0.35"/>
    <n v="-100"/>
    <n v="-35"/>
    <n v="0"/>
    <n v="-35"/>
    <n v="356277"/>
    <m/>
    <d v="2013-02-11T00:00:00"/>
  </r>
  <r>
    <x v="102"/>
    <s v="Warehouse"/>
    <x v="6"/>
    <s v="Glass"/>
    <s v="Ripple"/>
    <m/>
    <n v="336"/>
    <n v="0.16800000000000001"/>
    <m/>
    <m/>
    <m/>
    <m/>
    <m/>
    <m/>
    <m/>
  </r>
  <r>
    <x v="103"/>
    <s v="South Compound 20yd"/>
    <x v="9"/>
    <s v="Wood Waste"/>
    <s v="Missouri Organic"/>
    <m/>
    <n v="3440"/>
    <n v="1.72"/>
    <n v="0"/>
    <n v="0"/>
    <n v="210"/>
    <m/>
    <n v="4263"/>
    <m/>
    <m/>
  </r>
  <r>
    <x v="104"/>
    <s v="CSB Trailer"/>
    <x v="0"/>
    <s v="ow"/>
    <s v="RockTenn"/>
    <m/>
    <n v="8600"/>
    <n v="4.3"/>
    <n v="80"/>
    <n v="344"/>
    <n v="0"/>
    <n v="344"/>
    <n v="486403"/>
    <m/>
    <d v="2013-02-11T00:00:00"/>
  </r>
  <r>
    <x v="104"/>
    <s v="CSB Trailer"/>
    <x v="0"/>
    <s v="Mixed paper"/>
    <s v="RockTenn"/>
    <m/>
    <n v="200"/>
    <n v="0.1"/>
    <n v="5"/>
    <n v="0.5"/>
    <n v="0"/>
    <n v="0.5"/>
    <n v="486403"/>
    <m/>
    <d v="2013-02-11T00:00:00"/>
  </r>
  <r>
    <x v="104"/>
    <s v="CSB Trailer"/>
    <x v="0"/>
    <s v="book stock"/>
    <s v="RockTenn"/>
    <m/>
    <n v="2470"/>
    <n v="1.2350000000000001"/>
    <n v="59.999999999999993"/>
    <n v="74.099999999999994"/>
    <n v="0"/>
    <n v="74.099999999999994"/>
    <n v="486403"/>
    <m/>
    <d v="2013-02-11T00:00:00"/>
  </r>
  <r>
    <x v="105"/>
    <s v="CC compactor"/>
    <x v="5"/>
    <s v="Single Stream"/>
    <s v="RockTenn"/>
    <m/>
    <n v="7920"/>
    <n v="3.96"/>
    <n v="25"/>
    <n v="99"/>
    <n v="0"/>
    <n v="99"/>
    <n v="3256769"/>
    <n v="198300"/>
    <d v="2013-02-25T00:00:00"/>
  </r>
  <r>
    <x v="106"/>
    <s v="All/Dumpsters"/>
    <x v="5"/>
    <s v="Single Stream"/>
    <s v="Deffenbaugh"/>
    <m/>
    <n v="5000"/>
    <n v="2.5"/>
    <m/>
    <m/>
    <m/>
    <m/>
    <m/>
    <m/>
    <m/>
  </r>
  <r>
    <x v="106"/>
    <s v="Warehouse"/>
    <x v="3"/>
    <s v="batteries"/>
    <s v="Call2recycle"/>
    <m/>
    <s v="?"/>
    <s v="?"/>
    <m/>
    <m/>
    <m/>
    <m/>
    <m/>
    <m/>
    <m/>
  </r>
  <r>
    <x v="106"/>
    <s v="Book  Store"/>
    <x v="3"/>
    <s v="Books"/>
    <s v="One Planet books"/>
    <s v="530 boxes"/>
    <n v="21200"/>
    <n v="10.6"/>
    <m/>
    <m/>
    <m/>
    <n v="5300"/>
    <m/>
    <m/>
    <m/>
  </r>
  <r>
    <x v="107"/>
    <s v="south compound"/>
    <x v="7"/>
    <s v="Shred Iron"/>
    <s v="Advantage Metal"/>
    <m/>
    <n v="10780"/>
    <n v="5.39"/>
    <n v="0.10249999999999999"/>
    <n v="1104.95"/>
    <n v="180"/>
    <n v="924.95"/>
    <s v="tmjqtq"/>
    <m/>
    <m/>
  </r>
  <r>
    <x v="108"/>
    <s v="CC compactor"/>
    <x v="5"/>
    <s v="Single Stream"/>
    <s v="Deffenbaugh"/>
    <m/>
    <n v="3100"/>
    <n v="1.55"/>
    <n v="25"/>
    <n v="38.75"/>
    <n v="0"/>
    <n v="38.75"/>
    <n v="3257044"/>
    <n v="199143"/>
    <m/>
  </r>
  <r>
    <x v="108"/>
    <s v="SC compactor"/>
    <x v="5"/>
    <s v="Single Stream"/>
    <s v="Deffenbaugh"/>
    <m/>
    <n v="9520"/>
    <n v="4.76"/>
    <n v="25"/>
    <n v="119"/>
    <n v="0"/>
    <n v="119"/>
    <n v="3257054"/>
    <n v="199143"/>
    <m/>
  </r>
  <r>
    <x v="109"/>
    <s v="Gym"/>
    <x v="9"/>
    <s v="Pallet"/>
    <s v="BCD sales"/>
    <n v="30"/>
    <n v="1110"/>
    <n v="0.55500000000000005"/>
    <m/>
    <m/>
    <m/>
    <n v="72"/>
    <m/>
    <m/>
    <m/>
  </r>
  <r>
    <x v="110"/>
    <s v="CSB Trailer"/>
    <x v="0"/>
    <s v="ow"/>
    <s v="RockTenn"/>
    <m/>
    <n v="7635"/>
    <n v="3.8174999999999999"/>
    <n v="80"/>
    <n v="305.39999999999998"/>
    <n v="0"/>
    <n v="305.39999999999998"/>
    <n v="3257303"/>
    <n v="200210"/>
    <m/>
  </r>
  <r>
    <x v="110"/>
    <s v="CSB Trailer"/>
    <x v="0"/>
    <s v="book stock"/>
    <s v="RockTenn"/>
    <m/>
    <n v="2955"/>
    <n v="1.4775"/>
    <n v="60"/>
    <n v="88.65"/>
    <n v="0"/>
    <n v="88.65"/>
    <n v="3257303"/>
    <n v="200210"/>
    <m/>
  </r>
  <r>
    <x v="111"/>
    <s v="South Compound 20yd"/>
    <x v="9"/>
    <s v="Wood Waste"/>
    <s v="Missouri Organic"/>
    <m/>
    <n v="4420"/>
    <n v="2.21"/>
    <n v="0"/>
    <n v="0"/>
    <n v="210"/>
    <m/>
    <n v="4533"/>
    <m/>
    <m/>
  </r>
  <r>
    <x v="112"/>
    <s v="Warehouse"/>
    <x v="6"/>
    <s v="Glass"/>
    <s v="Ripple"/>
    <m/>
    <n v="336"/>
    <n v="0.16800000000000001"/>
    <m/>
    <m/>
    <m/>
    <m/>
    <m/>
    <m/>
    <m/>
  </r>
  <r>
    <x v="113"/>
    <s v="All/Dumpsters"/>
    <x v="5"/>
    <s v="Single Stream"/>
    <s v="Deffenbaugh"/>
    <m/>
    <n v="5000"/>
    <n v="2.5"/>
    <m/>
    <m/>
    <m/>
    <m/>
    <m/>
    <m/>
    <m/>
  </r>
  <r>
    <x v="114"/>
    <s v="south compound"/>
    <x v="7"/>
    <s v="Shred Iron"/>
    <s v="Advantage Metal"/>
    <m/>
    <n v="4620"/>
    <n v="2.31"/>
    <n v="9.2499999999999999E-2"/>
    <n v="427.35"/>
    <n v="180"/>
    <n v="247.35"/>
    <s v="TMTiHN"/>
    <m/>
    <m/>
  </r>
  <r>
    <x v="115"/>
    <s v="CC compactor"/>
    <x v="5"/>
    <s v="Single Stream"/>
    <s v="Deffenbaugh"/>
    <m/>
    <n v="7000"/>
    <n v="3.5"/>
    <m/>
    <m/>
    <m/>
    <m/>
    <m/>
    <m/>
    <m/>
  </r>
  <r>
    <x v="116"/>
    <s v="SC compactor"/>
    <x v="5"/>
    <s v="Single Stream"/>
    <s v="Town Country"/>
    <m/>
    <n v="5320"/>
    <n v="2.66"/>
    <n v="49"/>
    <n v="130.34"/>
    <n v="85"/>
    <n v="45.34"/>
    <n v="174786"/>
    <n v="200589"/>
    <d v="2013-03-27T00:00:00"/>
  </r>
  <r>
    <x v="117"/>
    <s v="Warehouse"/>
    <x v="3"/>
    <s v="e-waste"/>
    <s v="Unicor"/>
    <m/>
    <n v="4450"/>
    <n v="2.2250000000000001"/>
    <m/>
    <m/>
    <m/>
    <m/>
    <m/>
    <m/>
    <m/>
  </r>
  <r>
    <x v="118"/>
    <s v="South Compound 20yd"/>
    <x v="9"/>
    <s v="Wood Waste"/>
    <s v="Missouri Organic"/>
    <m/>
    <n v="4840"/>
    <n v="2.42"/>
    <n v="0"/>
    <n v="0"/>
    <n v="210"/>
    <m/>
    <n v="4779"/>
    <m/>
    <m/>
  </r>
  <r>
    <x v="119"/>
    <s v="Warehouse"/>
    <x v="6"/>
    <s v="Glass"/>
    <s v="Ripple"/>
    <m/>
    <n v="336"/>
    <n v="0.16800000000000001"/>
    <m/>
    <m/>
    <m/>
    <m/>
    <m/>
    <m/>
    <m/>
  </r>
  <r>
    <x v="119"/>
    <s v="All/Dumpsters"/>
    <x v="5"/>
    <s v="Single Stream"/>
    <s v="Deffenbaugh"/>
    <m/>
    <n v="5000"/>
    <n v="2.5"/>
    <m/>
    <m/>
    <m/>
    <m/>
    <m/>
    <m/>
    <m/>
  </r>
  <r>
    <x v="119"/>
    <s v="Warehouse"/>
    <x v="3"/>
    <s v="e-waste"/>
    <s v="Vintage Tech"/>
    <m/>
    <n v="1825"/>
    <n v="0.91249999999999998"/>
    <m/>
    <m/>
    <m/>
    <m/>
    <m/>
    <m/>
    <m/>
  </r>
  <r>
    <x v="119"/>
    <s v="All/Dumpsters"/>
    <x v="5"/>
    <s v="Single Stream"/>
    <s v="Town Country"/>
    <m/>
    <n v="17347.2"/>
    <n v="8.6736000000000004"/>
    <m/>
    <m/>
    <m/>
    <m/>
    <m/>
    <m/>
    <m/>
  </r>
  <r>
    <x v="120"/>
    <s v="CC compactor"/>
    <x v="5"/>
    <s v="Single Stream"/>
    <s v="Town Country"/>
    <m/>
    <n v="6760"/>
    <n v="3.38"/>
    <n v="38.5"/>
    <n v="130.13"/>
    <n v="85"/>
    <n v="45.13"/>
    <n v="206154"/>
    <n v="230249"/>
    <d v="2014-04-02T00:00:00"/>
  </r>
  <r>
    <x v="121"/>
    <s v="CC compactor"/>
    <x v="5"/>
    <s v="Single Stream"/>
    <s v="Town Country"/>
    <m/>
    <n v="8740"/>
    <n v="4.37"/>
    <n v="49"/>
    <n v="214.13"/>
    <n v="85"/>
    <n v="129.13"/>
    <n v="176689"/>
    <n v="202290"/>
    <d v="2013-04-17T00:00:00"/>
  </r>
  <r>
    <x v="122"/>
    <s v="Gym"/>
    <x v="7"/>
    <s v="Shred Iron"/>
    <s v="Advantage Metal"/>
    <m/>
    <n v="3160"/>
    <n v="1.58"/>
    <n v="9.5200000000000007E-2"/>
    <n v="331.8"/>
    <n v="180"/>
    <n v="151.80000000000001"/>
    <s v="TNDHHC"/>
    <n v="200106"/>
    <d v="2013-03-20T00:00:00"/>
  </r>
  <r>
    <x v="123"/>
    <s v="Gym"/>
    <x v="7"/>
    <s v="Shred Iron"/>
    <s v="Advantage Metal"/>
    <m/>
    <n v="3580"/>
    <n v="1.79"/>
    <n v="0.105"/>
    <n v="375.9"/>
    <n v="180"/>
    <n v="195.9"/>
    <s v="TNDSXQ"/>
    <n v="200338"/>
    <d v="2013-03-25T00:00:00"/>
  </r>
  <r>
    <x v="124"/>
    <s v="Warehouse"/>
    <x v="6"/>
    <s v="Glass"/>
    <s v="Ripple"/>
    <m/>
    <n v="336"/>
    <n v="0.16800000000000001"/>
    <m/>
    <m/>
    <m/>
    <m/>
    <m/>
    <m/>
    <m/>
  </r>
  <r>
    <x v="125"/>
    <s v="CC compactor"/>
    <x v="5"/>
    <s v="Single Stream"/>
    <s v="Town Country"/>
    <m/>
    <n v="9680"/>
    <n v="4.84"/>
    <n v="49"/>
    <n v="237.16"/>
    <n v="85"/>
    <n v="152.16"/>
    <n v="178626"/>
    <n v="202290"/>
    <d v="2013-04-17T00:00:00"/>
  </r>
  <r>
    <x v="125"/>
    <s v="All/Dumpsters"/>
    <x v="5"/>
    <s v="Single Stream"/>
    <s v="Town Country"/>
    <m/>
    <n v="17347.2"/>
    <n v="8.6736000000000004"/>
    <m/>
    <m/>
    <m/>
    <m/>
    <m/>
    <m/>
    <m/>
  </r>
  <r>
    <x v="126"/>
    <s v="CSB Trailer"/>
    <x v="0"/>
    <s v="ow"/>
    <s v="Town Country"/>
    <m/>
    <n v="12192"/>
    <n v="6.0960000000000001"/>
    <n v="126"/>
    <n v="768.1"/>
    <n v="100"/>
    <n v="668.1"/>
    <n v="178827"/>
    <n v="207227"/>
    <d v="2013-06-24T00:00:00"/>
  </r>
  <r>
    <x v="126"/>
    <s v="CSB Trailer"/>
    <x v="1"/>
    <s v="occ"/>
    <s v="Town Country"/>
    <m/>
    <n v="448"/>
    <n v="0.224"/>
    <n v="90"/>
    <n v="20.16"/>
    <n v="0"/>
    <n v="20.16"/>
    <n v="178827"/>
    <n v="207227"/>
    <d v="2013-06-24T00:00:00"/>
  </r>
  <r>
    <x v="126"/>
    <s v="CSB Trailer"/>
    <x v="0"/>
    <s v="book stock"/>
    <s v="Town Country"/>
    <m/>
    <n v="187"/>
    <n v="9.35E-2"/>
    <n v="49.5"/>
    <n v="4.6500000000000004"/>
    <n v="0"/>
    <n v="4.6500000000000004"/>
    <n v="178827"/>
    <n v="207227"/>
    <d v="2013-06-24T00:00:00"/>
  </r>
  <r>
    <x v="126"/>
    <s v="CSB Trailer"/>
    <x v="9"/>
    <s v="Pallet"/>
    <s v="Town Country"/>
    <m/>
    <n v="902"/>
    <n v="0.45100000000000001"/>
    <n v="0"/>
    <m/>
    <m/>
    <m/>
    <n v="178827"/>
    <n v="207227"/>
    <d v="2013-06-24T00:00:00"/>
  </r>
  <r>
    <x v="126"/>
    <s v="CSB Trailer"/>
    <x v="5"/>
    <s v="Commingled"/>
    <s v="Town Country"/>
    <m/>
    <n v="1406"/>
    <n v="0.70299999999999996"/>
    <n v="49.52"/>
    <n v="4.6500000000000004"/>
    <n v="0"/>
    <n v="4.6500000000000004"/>
    <n v="178827"/>
    <n v="207227"/>
    <d v="2013-06-24T00:00:00"/>
  </r>
  <r>
    <x v="127"/>
    <s v="South compound 30yd"/>
    <x v="9"/>
    <s v="Wood Waste"/>
    <s v="Missouri Organic"/>
    <m/>
    <n v="3760"/>
    <n v="1.88"/>
    <m/>
    <m/>
    <n v="230"/>
    <m/>
    <m/>
    <m/>
    <m/>
  </r>
  <r>
    <x v="127"/>
    <s v="south compound"/>
    <x v="7"/>
    <s v="Shred Iron"/>
    <s v="Advantage Metal"/>
    <m/>
    <n v="7560"/>
    <n v="3.78"/>
    <n v="0.1"/>
    <n v="756"/>
    <n v="180"/>
    <n v="576"/>
    <s v="TNJSOP"/>
    <m/>
    <m/>
  </r>
  <r>
    <x v="128"/>
    <s v="SC compactor"/>
    <x v="5"/>
    <s v="Single Stream"/>
    <s v="Town Country"/>
    <m/>
    <n v="5540"/>
    <n v="2.77"/>
    <n v="49"/>
    <n v="135.72999999999999"/>
    <n v="85"/>
    <n v="50.73"/>
    <n v="179724"/>
    <n v="207227"/>
    <d v="2013-06-24T00:00:00"/>
  </r>
  <r>
    <x v="129"/>
    <s v="CC compactor"/>
    <x v="5"/>
    <s v="single Stream"/>
    <s v="Town Country"/>
    <m/>
    <n v="10320"/>
    <n v="5.16"/>
    <n v="49"/>
    <n v="252.84"/>
    <n v="85"/>
    <n v="167.84"/>
    <n v="181018"/>
    <n v="207227"/>
    <d v="2013-06-24T00:00:00"/>
  </r>
  <r>
    <x v="130"/>
    <s v="Warehouse"/>
    <x v="6"/>
    <s v="Glass"/>
    <s v="Ripple"/>
    <m/>
    <n v="336"/>
    <n v="0.16800000000000001"/>
    <m/>
    <m/>
    <m/>
    <m/>
    <m/>
    <m/>
    <m/>
  </r>
  <r>
    <x v="131"/>
    <s v="South compound 30yd"/>
    <x v="9"/>
    <s v="Wood Waste"/>
    <s v="Missouri Organic"/>
    <m/>
    <n v="4740"/>
    <n v="2.37"/>
    <m/>
    <m/>
    <n v="230"/>
    <m/>
    <m/>
    <m/>
    <m/>
  </r>
  <r>
    <x v="131"/>
    <s v="All/Dumpsters"/>
    <x v="5"/>
    <s v="Single Stream"/>
    <s v="Town Country"/>
    <m/>
    <n v="17347.2"/>
    <n v="2.37"/>
    <m/>
    <m/>
    <m/>
    <m/>
    <m/>
    <m/>
    <m/>
  </r>
  <r>
    <x v="132"/>
    <s v="South compound 30yd"/>
    <x v="9"/>
    <s v="Wood Waste"/>
    <s v="Missouri Organic"/>
    <m/>
    <n v="3840"/>
    <n v="1.92"/>
    <m/>
    <m/>
    <n v="230"/>
    <m/>
    <m/>
    <m/>
    <m/>
  </r>
  <r>
    <x v="133"/>
    <s v="south compound"/>
    <x v="7"/>
    <s v="Shred Iron"/>
    <s v="Advantage Metal"/>
    <m/>
    <n v="7000"/>
    <n v="3.5"/>
    <n v="8.5000000000000006E-2"/>
    <n v="595"/>
    <n v="180"/>
    <n v="415"/>
    <s v="TNVQPE"/>
    <n v="205135"/>
    <d v="2013-05-24T00:00:00"/>
  </r>
  <r>
    <x v="133"/>
    <s v="CC compactor"/>
    <x v="5"/>
    <s v="single Stream"/>
    <s v="Town Country"/>
    <m/>
    <n v="15600"/>
    <n v="7.8"/>
    <n v="45.5"/>
    <n v="354.9"/>
    <n v="85"/>
    <n v="269.89999999999998"/>
    <n v="183227"/>
    <n v="208258"/>
    <d v="2013-07-10T00:00:00"/>
  </r>
  <r>
    <x v="134"/>
    <s v="Warehouse"/>
    <x v="6"/>
    <s v="Glass"/>
    <s v="Ripple"/>
    <m/>
    <n v="336"/>
    <n v="0.16800000000000001"/>
    <m/>
    <m/>
    <m/>
    <m/>
    <m/>
    <m/>
    <m/>
  </r>
  <r>
    <x v="135"/>
    <s v="All/Dumpsters"/>
    <x v="5"/>
    <s v="Single Stream"/>
    <s v="Town Country"/>
    <m/>
    <n v="17347.2"/>
    <n v="7.8"/>
    <m/>
    <m/>
    <m/>
    <m/>
    <m/>
    <m/>
    <m/>
  </r>
  <r>
    <x v="136"/>
    <s v="South compound 30yd"/>
    <x v="9"/>
    <s v="Wood Waste"/>
    <s v="Missouri Organic"/>
    <m/>
    <n v="11140"/>
    <n v="5.57"/>
    <m/>
    <m/>
    <n v="230"/>
    <m/>
    <n v="5790"/>
    <m/>
    <m/>
  </r>
  <r>
    <x v="137"/>
    <s v="Warehouse"/>
    <x v="3"/>
    <s v="e-waste"/>
    <s v="MRC"/>
    <n v="3"/>
    <n v="3013"/>
    <n v="1.5065"/>
    <m/>
    <m/>
    <m/>
    <m/>
    <m/>
    <m/>
    <m/>
  </r>
  <r>
    <x v="138"/>
    <s v="Warehouse"/>
    <x v="3"/>
    <s v="e-waste"/>
    <s v="MRC"/>
    <n v="2"/>
    <n v="1854"/>
    <n v="0.92700000000000005"/>
    <m/>
    <m/>
    <m/>
    <m/>
    <m/>
    <m/>
    <m/>
  </r>
  <r>
    <x v="139"/>
    <s v="CSB Trailer"/>
    <x v="0"/>
    <s v="ow"/>
    <s v="Town Country"/>
    <m/>
    <n v="13336"/>
    <n v="6.6680000000000001"/>
    <n v="112.5"/>
    <n v="750.15"/>
    <n v="100"/>
    <n v="650.15"/>
    <n v="185343"/>
    <n v="214007"/>
    <d v="2013-09-05T00:00:00"/>
  </r>
  <r>
    <x v="139"/>
    <s v="CSB Trailer"/>
    <x v="0"/>
    <s v="ow"/>
    <s v="Town Country"/>
    <m/>
    <n v="240"/>
    <n v="0.12"/>
    <n v="81"/>
    <n v="9.7200000000000006"/>
    <n v="0"/>
    <n v="9.7200000000000006"/>
    <n v="185343"/>
    <n v="214007"/>
    <d v="2013-09-05T00:00:00"/>
  </r>
  <r>
    <x v="139"/>
    <s v="CSB Trailer"/>
    <x v="9"/>
    <s v="Pallets"/>
    <s v="Town Country"/>
    <m/>
    <n v="664"/>
    <n v="0.33200000000000002"/>
    <n v="0"/>
    <n v="0"/>
    <n v="0"/>
    <n v="0"/>
    <n v="185343"/>
    <n v="214007"/>
    <d v="2013-09-05T00:00:00"/>
  </r>
  <r>
    <x v="140"/>
    <s v="Delivered"/>
    <x v="7"/>
    <s v="Aluminum Litho"/>
    <s v="Advantage Metal"/>
    <m/>
    <n v="909"/>
    <n v="0.45450000000000002"/>
    <n v="0.65"/>
    <n v="590.85"/>
    <n v="0"/>
    <n v="590.85"/>
    <s v="ZJEHIY"/>
    <n v="206994"/>
    <d v="2013-05-18T00:00:00"/>
  </r>
  <r>
    <x v="140"/>
    <s v="Delivered"/>
    <x v="7"/>
    <s v="Alum sheet - clean"/>
    <s v="Advantage Metal"/>
    <m/>
    <n v="188"/>
    <n v="9.4E-2"/>
    <n v="0.51"/>
    <n v="95.88"/>
    <n v="0"/>
    <n v="95.88"/>
    <s v="ZJEHIY"/>
    <n v="206994"/>
    <d v="2013-05-18T00:00:00"/>
  </r>
  <r>
    <x v="140"/>
    <s v="Delivered"/>
    <x v="7"/>
    <s v="Cast Aluminum"/>
    <s v="Advantage Metal"/>
    <m/>
    <n v="119"/>
    <n v="5.9499999999999997E-2"/>
    <n v="0.5"/>
    <n v="59.5"/>
    <n v="0"/>
    <n v="59.5"/>
    <s v="ZJEHIY"/>
    <n v="206994"/>
    <d v="2013-05-18T00:00:00"/>
  </r>
  <r>
    <x v="140"/>
    <s v="Delivered"/>
    <x v="7"/>
    <s v="cu/al rads"/>
    <s v="Advantage Metal"/>
    <m/>
    <n v="112"/>
    <n v="5.6000000000000001E-2"/>
    <n v="1.47"/>
    <n v="164.64"/>
    <n v="0"/>
    <n v="164.64"/>
    <s v="ZJEHIY"/>
    <n v="206994"/>
    <d v="2013-05-18T00:00:00"/>
  </r>
  <r>
    <x v="140"/>
    <s v="Delivered"/>
    <x v="7"/>
    <s v="Irony 304 stainles"/>
    <s v="Advantage Metal"/>
    <m/>
    <n v="92"/>
    <n v="4.5999999999999999E-2"/>
    <n v="0.35"/>
    <n v="32.200000000000003"/>
    <n v="0"/>
    <n v="32.200000000000003"/>
    <s v="ZJEHIY"/>
    <n v="206994"/>
    <d v="2013-05-18T00:00:00"/>
  </r>
  <r>
    <x v="141"/>
    <s v="CC compactor"/>
    <x v="5"/>
    <s v="single Stream"/>
    <s v="Town Country"/>
    <m/>
    <s v="?"/>
    <m/>
    <m/>
    <m/>
    <m/>
    <m/>
    <m/>
    <m/>
    <m/>
  </r>
  <r>
    <x v="142"/>
    <s v="Warehouse"/>
    <x v="6"/>
    <s v="Glass"/>
    <s v="Ripple"/>
    <m/>
    <n v="336"/>
    <n v="0.16800000000000001"/>
    <m/>
    <m/>
    <m/>
    <m/>
    <m/>
    <m/>
    <m/>
  </r>
  <r>
    <x v="143"/>
    <s v="All/Dumpsters"/>
    <x v="5"/>
    <s v="Single Stream"/>
    <s v="Town Country"/>
    <m/>
    <n v="17347.2"/>
    <n v="8.6736000000000004"/>
    <m/>
    <m/>
    <m/>
    <m/>
    <m/>
    <m/>
    <m/>
  </r>
  <r>
    <x v="144"/>
    <s v="Warehouse"/>
    <x v="3"/>
    <s v="e-waste"/>
    <s v="MRC"/>
    <n v="5"/>
    <n v="2724"/>
    <n v="1.3620000000000001"/>
    <m/>
    <m/>
    <m/>
    <m/>
    <m/>
    <m/>
    <m/>
  </r>
  <r>
    <x v="145"/>
    <s v="South compound 30yd"/>
    <x v="9"/>
    <s v="Wood Waste"/>
    <s v="Missouri Organic"/>
    <m/>
    <n v="4380"/>
    <n v="2.19"/>
    <m/>
    <m/>
    <n v="230"/>
    <m/>
    <m/>
    <m/>
    <m/>
  </r>
  <r>
    <x v="146"/>
    <s v="Warehouse"/>
    <x v="6"/>
    <s v="Glass"/>
    <s v="Ripple"/>
    <m/>
    <n v="336"/>
    <n v="0.16800000000000001"/>
    <m/>
    <m/>
    <m/>
    <m/>
    <m/>
    <m/>
    <m/>
  </r>
  <r>
    <x v="147"/>
    <s v="South compound 30yd"/>
    <x v="9"/>
    <s v="Wood Waste"/>
    <s v="Missouri Organic"/>
    <m/>
    <n v="4000"/>
    <n v="2"/>
    <m/>
    <m/>
    <n v="230"/>
    <m/>
    <m/>
    <m/>
    <m/>
  </r>
  <r>
    <x v="147"/>
    <s v="CC compactor"/>
    <x v="5"/>
    <s v="single Stream"/>
    <s v="Town Country"/>
    <m/>
    <n v="13920"/>
    <n v="6.96"/>
    <n v="38.5"/>
    <n v="267.95999999999998"/>
    <n v="85"/>
    <n v="182.96"/>
    <n v="189503"/>
    <n v="214008"/>
    <d v="2013-09-05T00:00:00"/>
  </r>
  <r>
    <x v="147"/>
    <s v="All/Dumpsters"/>
    <x v="5"/>
    <s v="Single Stream"/>
    <s v="Town Country"/>
    <m/>
    <n v="17347.2"/>
    <n v="8.6736000000000004"/>
    <m/>
    <m/>
    <m/>
    <m/>
    <m/>
    <m/>
    <m/>
  </r>
  <r>
    <x v="148"/>
    <s v="Warehouse"/>
    <x v="3"/>
    <s v="e-waste"/>
    <s v="MRC"/>
    <n v="5"/>
    <n v="2764"/>
    <n v="1.3819999999999999"/>
    <m/>
    <m/>
    <m/>
    <m/>
    <m/>
    <m/>
    <m/>
  </r>
  <r>
    <x v="149"/>
    <s v="south compound"/>
    <x v="7"/>
    <s v="Shred Iron"/>
    <s v="Advantage Metal"/>
    <m/>
    <n v="5880"/>
    <n v="2.94"/>
    <n v="8.5000000000000006E-2"/>
    <n v="499.8"/>
    <n v="180"/>
    <n v="319.8"/>
    <s v="totuhh"/>
    <n v="212215"/>
    <d v="2013-08-16T00:00:00"/>
  </r>
  <r>
    <x v="149"/>
    <s v="Student Center compactor"/>
    <x v="5"/>
    <s v="Single Stream"/>
    <s v="Town Country"/>
    <m/>
    <n v="11740"/>
    <n v="5.87"/>
    <n v="38.5"/>
    <n v="226"/>
    <n v="85"/>
    <n v="141"/>
    <n v="190624"/>
    <n v="216044"/>
    <d v="2013-09-24T00:00:00"/>
  </r>
  <r>
    <x v="150"/>
    <s v="CC compactor"/>
    <x v="5"/>
    <s v="single Stream"/>
    <s v="Deffenbaugh"/>
    <m/>
    <n v="6160"/>
    <n v="3.08"/>
    <m/>
    <m/>
    <m/>
    <m/>
    <m/>
    <m/>
    <m/>
  </r>
  <r>
    <x v="151"/>
    <s v="South compound 30yd"/>
    <x v="9"/>
    <s v="Wood Waste"/>
    <s v="Missouri Organic"/>
    <m/>
    <n v="5820"/>
    <n v="2.91"/>
    <m/>
    <m/>
    <n v="230"/>
    <m/>
    <m/>
    <m/>
    <m/>
  </r>
  <r>
    <x v="152"/>
    <s v="CSB Trailer"/>
    <x v="0"/>
    <s v="ow"/>
    <s v="Town Country"/>
    <m/>
    <n v="15060"/>
    <b v="0"/>
    <n v="112.5"/>
    <n v="847.13"/>
    <n v="100"/>
    <n v="747.13"/>
    <n v="191725"/>
    <n v="216044"/>
    <m/>
  </r>
  <r>
    <x v="153"/>
    <s v="Warehouse"/>
    <x v="3"/>
    <s v="batteries"/>
    <s v="Batteries Solutions"/>
    <m/>
    <n v="8466"/>
    <n v="4.2329999999999997"/>
    <m/>
    <m/>
    <m/>
    <m/>
    <m/>
    <m/>
    <m/>
  </r>
  <r>
    <x v="154"/>
    <s v="CC 8yd"/>
    <x v="5"/>
    <s v="Single stream"/>
    <s v="Deffenbaugh"/>
    <m/>
    <s v="?"/>
    <m/>
    <m/>
    <m/>
    <m/>
    <n v="0"/>
    <m/>
    <m/>
    <m/>
  </r>
  <r>
    <x v="155"/>
    <s v="Warehouse"/>
    <x v="6"/>
    <s v="Glass"/>
    <s v="Ripple"/>
    <m/>
    <n v="336"/>
    <n v="0.16800000000000001"/>
    <m/>
    <m/>
    <m/>
    <m/>
    <m/>
    <m/>
    <m/>
  </r>
  <r>
    <x v="156"/>
    <s v="All/Dumpsters"/>
    <x v="5"/>
    <s v="Single Stream"/>
    <s v="Town Country"/>
    <m/>
    <n v="17347.2"/>
    <n v="8.6736000000000004"/>
    <m/>
    <m/>
    <m/>
    <m/>
    <m/>
    <m/>
    <m/>
  </r>
  <r>
    <x v="157"/>
    <s v="Delivered"/>
    <x v="9"/>
    <s v="Pallets"/>
    <s v="B&amp;T"/>
    <n v="40"/>
    <n v="1480"/>
    <n v="0.74"/>
    <m/>
    <m/>
    <m/>
    <n v="146.5"/>
    <m/>
    <n v="214211"/>
    <d v="2012-09-06T00:00:00"/>
  </r>
  <r>
    <x v="157"/>
    <s v="?"/>
    <x v="10"/>
    <s v="Used Oil"/>
    <s v="Heritage-Crystal clean"/>
    <m/>
    <m/>
    <m/>
    <m/>
    <m/>
    <m/>
    <n v="151.19999999999999"/>
    <s v="00-005tnj6"/>
    <n v="215103"/>
    <d v="2013-09-13T00:00:00"/>
  </r>
  <r>
    <x v="157"/>
    <s v="Student Center compactor"/>
    <x v="5"/>
    <s v="Single Stream"/>
    <s v="Town Country"/>
    <m/>
    <n v="8940"/>
    <n v="4.47"/>
    <n v="38.5"/>
    <n v="172.1"/>
    <n v="85"/>
    <n v="87.1"/>
    <n v="192498"/>
    <n v="218201"/>
    <d v="2013-10-17T00:00:00"/>
  </r>
  <r>
    <x v="158"/>
    <s v="Warehouse"/>
    <x v="3"/>
    <s v="e-waste"/>
    <s v="MRC"/>
    <n v="6"/>
    <n v="3174"/>
    <n v="1.587"/>
    <m/>
    <m/>
    <m/>
    <m/>
    <m/>
    <m/>
    <m/>
  </r>
  <r>
    <x v="159"/>
    <s v="Warehouse"/>
    <x v="6"/>
    <s v="Glass"/>
    <s v="Ripple"/>
    <m/>
    <n v="336"/>
    <n v="0.16800000000000001"/>
    <m/>
    <m/>
    <m/>
    <m/>
    <m/>
    <m/>
    <m/>
  </r>
  <r>
    <x v="160"/>
    <s v="All/Dumpsters"/>
    <x v="5"/>
    <s v="Single Stream"/>
    <s v="Town Country"/>
    <m/>
    <n v="17347.2"/>
    <n v="8.6736000000000004"/>
    <m/>
    <m/>
    <m/>
    <m/>
    <m/>
    <m/>
    <m/>
  </r>
  <r>
    <x v="161"/>
    <s v="South compound 30yd"/>
    <x v="9"/>
    <s v="Wood Waste"/>
    <s v="Missouri Organic"/>
    <m/>
    <n v="4080"/>
    <n v="2.04"/>
    <m/>
    <m/>
    <n v="230"/>
    <m/>
    <m/>
    <m/>
    <m/>
  </r>
  <r>
    <x v="162"/>
    <s v="Student Center compactor"/>
    <x v="5"/>
    <s v="Single stream"/>
    <s v="Town Country"/>
    <m/>
    <n v="8920"/>
    <n v="4.46"/>
    <n v="38.5"/>
    <n v="171.71"/>
    <n v="85"/>
    <n v="86.71"/>
    <n v="196037"/>
    <n v="221330"/>
    <d v="2013-12-09T00:00:00"/>
  </r>
  <r>
    <x v="163"/>
    <s v="CC compactor"/>
    <x v="5"/>
    <s v="Single stream"/>
    <s v="Town Country"/>
    <m/>
    <n v="12140"/>
    <n v="6.07"/>
    <n v="38.5"/>
    <n v="233.7"/>
    <n v="85"/>
    <n v="148.69999999999999"/>
    <n v="196575"/>
    <n v="221330"/>
    <d v="2013-12-09T00:00:00"/>
  </r>
  <r>
    <x v="163"/>
    <s v="CSB Trailer"/>
    <x v="0"/>
    <s v="OW"/>
    <s v="Town Country"/>
    <m/>
    <n v="15280"/>
    <n v="7.64"/>
    <n v="112.5"/>
    <n v="859.5"/>
    <n v="100"/>
    <n v="759.5"/>
    <n v="200456"/>
    <n v="224655"/>
    <d v="2014-01-14T00:00:00"/>
  </r>
  <r>
    <x v="164"/>
    <s v="Warehouse"/>
    <x v="6"/>
    <s v="Glass"/>
    <s v="Ripple"/>
    <m/>
    <n v="336"/>
    <n v="0.16800000000000001"/>
    <m/>
    <m/>
    <m/>
    <m/>
    <m/>
    <m/>
    <m/>
  </r>
  <r>
    <x v="165"/>
    <s v="Delivered"/>
    <x v="9"/>
    <s v="Pallets"/>
    <s v="B&amp;T"/>
    <n v="40"/>
    <n v="1480"/>
    <n v="0.74"/>
    <m/>
    <m/>
    <m/>
    <n v="108.5"/>
    <m/>
    <n v="219248"/>
    <d v="2013-10-31T00:00:00"/>
  </r>
  <r>
    <x v="165"/>
    <s v="All/Dumpsters"/>
    <x v="5"/>
    <s v="Single Stream"/>
    <s v="Town Country"/>
    <m/>
    <n v="17347.2"/>
    <n v="8.6736000000000004"/>
    <m/>
    <m/>
    <m/>
    <m/>
    <m/>
    <m/>
    <m/>
  </r>
  <r>
    <x v="166"/>
    <s v="Delivered"/>
    <x v="7"/>
    <s v="Shred Iron"/>
    <s v="Advantage Metal"/>
    <m/>
    <n v="1259"/>
    <n v="0.62949999999999995"/>
    <n v="8.5000000000000006E-2"/>
    <n v="8.5000000000000006E-2"/>
    <n v="0"/>
    <n v="107.02"/>
    <s v="zkemnw"/>
    <n v="219794"/>
    <d v="2013-11-11T00:00:00"/>
  </r>
  <r>
    <x v="166"/>
    <s v="Delivered"/>
    <x v="7"/>
    <s v="Cast Aluminum"/>
    <s v="Advantage Metal"/>
    <m/>
    <n v="9"/>
    <n v="4.4999999999999997E-3"/>
    <n v="0.2"/>
    <n v="1.8"/>
    <n v="0"/>
    <n v="1.8"/>
    <s v="zkemnw"/>
    <n v="219794"/>
    <d v="2013-11-11T00:00:00"/>
  </r>
  <r>
    <x v="166"/>
    <s v="Delivered"/>
    <x v="7"/>
    <s v="Irony 304 stainles"/>
    <s v="Advantage Metal"/>
    <m/>
    <n v="400"/>
    <n v="0.2"/>
    <n v="0.35"/>
    <n v="140"/>
    <n v="0"/>
    <n v="140"/>
    <s v="ZJEHIY"/>
    <n v="219794"/>
    <d v="2013-11-11T00:00:00"/>
  </r>
  <r>
    <x v="167"/>
    <s v="south compound"/>
    <x v="7"/>
    <s v="Shred Iron"/>
    <s v="Advantage Metal"/>
    <m/>
    <n v="7680"/>
    <n v="3.84"/>
    <n v="0.09"/>
    <n v="710.4"/>
    <n v="180"/>
    <n v="530.4"/>
    <s v="tpskdo"/>
    <n v="220751"/>
    <d v="2013-11-26T00:00:00"/>
  </r>
  <r>
    <x v="168"/>
    <s v="Warehouse"/>
    <x v="3"/>
    <s v="Toners"/>
    <s v="Clover Technologies"/>
    <n v="433"/>
    <m/>
    <m/>
    <m/>
    <m/>
    <m/>
    <n v="496.05"/>
    <s v="POC05365"/>
    <n v="221649"/>
    <d v="2013-12-12T00:00:00"/>
  </r>
  <r>
    <x v="169"/>
    <s v="Warehouse"/>
    <x v="3"/>
    <s v="e-waste"/>
    <s v="MRC"/>
    <n v="5"/>
    <n v="1347"/>
    <n v="0.67349999999999999"/>
    <m/>
    <m/>
    <m/>
    <m/>
    <m/>
    <m/>
    <m/>
  </r>
  <r>
    <x v="170"/>
    <s v="South compound 30yd"/>
    <x v="9"/>
    <s v="Wood Waste"/>
    <s v="Missouri Organic"/>
    <m/>
    <n v="3940"/>
    <n v="1.97"/>
    <m/>
    <m/>
    <n v="230"/>
    <m/>
    <m/>
    <m/>
    <m/>
  </r>
  <r>
    <x v="171"/>
    <s v="Delivered"/>
    <x v="9"/>
    <s v="Pallets"/>
    <s v="B&amp;T"/>
    <n v="40"/>
    <n v="1480"/>
    <n v="0.74"/>
    <m/>
    <m/>
    <m/>
    <n v="135"/>
    <m/>
    <n v="220587"/>
    <d v="2013-11-22T00:00:00"/>
  </r>
  <r>
    <x v="172"/>
    <s v="Warehouse"/>
    <x v="6"/>
    <s v="Glass"/>
    <s v="Ripple"/>
    <m/>
    <n v="336"/>
    <n v="0.16800000000000001"/>
    <m/>
    <m/>
    <m/>
    <m/>
    <m/>
    <m/>
    <m/>
  </r>
  <r>
    <x v="173"/>
    <s v="All/Dumpsters"/>
    <x v="5"/>
    <s v="Single Stream"/>
    <s v="Town Country"/>
    <m/>
    <n v="17347.2"/>
    <n v="8.6736000000000004"/>
    <m/>
    <m/>
    <m/>
    <m/>
    <m/>
    <m/>
    <m/>
  </r>
  <r>
    <x v="174"/>
    <s v="Delivered"/>
    <x v="7"/>
    <s v="Shred Iron"/>
    <s v="Advantage Metal"/>
    <m/>
    <n v="37"/>
    <n v="1.8499999999999999E-2"/>
    <n v="0.1"/>
    <n v="8.5000000000000006E-2"/>
    <n v="0"/>
    <n v="3.7"/>
    <s v="zkisau"/>
    <n v="221244"/>
    <d v="2013-12-06T00:00:00"/>
  </r>
  <r>
    <x v="174"/>
    <s v="Delivered"/>
    <x v="7"/>
    <s v="Alum Sheet - dirty"/>
    <s v="Advantage Metal"/>
    <m/>
    <n v="8"/>
    <n v="4.0000000000000001E-3"/>
    <n v="0.2"/>
    <n v="1.8"/>
    <n v="0"/>
    <n v="1.8"/>
    <s v="zkisau"/>
    <n v="221244"/>
    <d v="2013-12-06T00:00:00"/>
  </r>
  <r>
    <x v="174"/>
    <s v="Delivered"/>
    <x v="7"/>
    <s v="Irony 304 stainles"/>
    <s v="Advantage Metal"/>
    <m/>
    <n v="117"/>
    <n v="5.8500000000000003E-2"/>
    <n v="0.32"/>
    <n v="37.44"/>
    <n v="0"/>
    <n v="37.44"/>
    <s v="zkisau"/>
    <n v="221244"/>
    <d v="2013-12-06T00:00:00"/>
  </r>
  <r>
    <x v="174"/>
    <s v="Delivered"/>
    <x v="7"/>
    <s v="Aluminum Litho"/>
    <s v="Advantage Metal"/>
    <m/>
    <n v="194"/>
    <n v="9.7000000000000003E-2"/>
    <n v="0.48"/>
    <n v="93.12"/>
    <n v="0"/>
    <n v="93.12"/>
    <s v="zkisau"/>
    <n v="221244"/>
    <d v="2013-12-06T00:00:00"/>
  </r>
  <r>
    <x v="174"/>
    <s v="Delivered"/>
    <x v="7"/>
    <s v="6061 Extrusion"/>
    <s v="Advantage Metal"/>
    <m/>
    <n v="1080"/>
    <n v="0.54"/>
    <n v="0.48"/>
    <n v="518.4"/>
    <m/>
    <n v="518.4"/>
    <s v="zkisau"/>
    <n v="221244"/>
    <d v="2013-12-06T00:00:00"/>
  </r>
  <r>
    <x v="174"/>
    <s v="Delivered"/>
    <x v="7"/>
    <s v="45% insulated copper"/>
    <s v="Advantage Metal"/>
    <m/>
    <n v="6"/>
    <n v="3.0000000000000001E-3"/>
    <n v="0.92"/>
    <n v="5.52"/>
    <n v="0"/>
    <n v="5.52"/>
    <s v="zkisau"/>
    <n v="221244"/>
    <d v="2013-12-06T00:00:00"/>
  </r>
  <r>
    <x v="175"/>
    <s v="CSB Trailer"/>
    <x v="0"/>
    <s v="OW"/>
    <s v="Town Country"/>
    <m/>
    <n v="12655"/>
    <n v="6.33"/>
    <n v="112.5"/>
    <n v="712.33"/>
    <n v="100"/>
    <n v="612.33000000000004"/>
    <n v="202395"/>
    <n v="226509"/>
    <d v="2014-02-06T00:00:00"/>
  </r>
  <r>
    <x v="175"/>
    <s v="CSB Trailer"/>
    <x v="1"/>
    <s v="OCC"/>
    <s v="Town Country"/>
    <m/>
    <n v="2625"/>
    <n v="1.3125"/>
    <n v="38.5"/>
    <n v="106.11"/>
    <n v="0"/>
    <n v="106.11"/>
    <n v="202395"/>
    <n v="226509"/>
    <d v="2014-02-06T00:00:00"/>
  </r>
  <r>
    <x v="176"/>
    <s v="CC compactor"/>
    <x v="5"/>
    <s v="Single stream"/>
    <s v="Town Country"/>
    <m/>
    <n v="9620"/>
    <n v="4.8099999999999996"/>
    <n v="38.5"/>
    <n v="185.19"/>
    <n v="85"/>
    <n v="100.19"/>
    <n v="200165"/>
    <n v="226509"/>
    <d v="2014-02-06T00:00:00"/>
  </r>
  <r>
    <x v="177"/>
    <s v="Delivered"/>
    <x v="9"/>
    <s v="Pallets"/>
    <s v="B&amp;T"/>
    <n v="26"/>
    <n v="962"/>
    <n v="0.48099999999999998"/>
    <m/>
    <m/>
    <m/>
    <n v="75"/>
    <m/>
    <n v="221851"/>
    <d v="2013-12-16T00:00:00"/>
  </r>
  <r>
    <x v="178"/>
    <s v="Warehouse"/>
    <x v="6"/>
    <s v="Glass"/>
    <s v="Ripple"/>
    <m/>
    <n v="336"/>
    <n v="0.16800000000000001"/>
    <m/>
    <m/>
    <m/>
    <m/>
    <m/>
    <m/>
    <m/>
  </r>
  <r>
    <x v="179"/>
    <s v="All/Dumpsters"/>
    <x v="5"/>
    <s v="Single Stream"/>
    <s v="Town Country"/>
    <m/>
    <n v="17347.2"/>
    <n v="8.6736000000000004"/>
    <m/>
    <m/>
    <m/>
    <m/>
    <m/>
    <m/>
    <m/>
  </r>
  <r>
    <x v="180"/>
    <s v="Campus"/>
    <x v="0"/>
    <s v="ow"/>
    <s v="Cintas"/>
    <m/>
    <n v="31015"/>
    <n v="15.5075"/>
    <n v="0"/>
    <n v="0"/>
    <n v="0"/>
    <n v="0"/>
    <n v="0"/>
    <n v="0"/>
    <n v="0"/>
  </r>
  <r>
    <x v="180"/>
    <s v="Book  Store"/>
    <x v="4"/>
    <s v="Books"/>
    <s v="One Planet books"/>
    <n v="364"/>
    <n v="21200"/>
    <n v="10.6"/>
    <m/>
    <m/>
    <m/>
    <n v="3640"/>
    <m/>
    <m/>
    <m/>
  </r>
  <r>
    <x v="181"/>
    <s v="Warehouse"/>
    <x v="3"/>
    <s v="e-waste"/>
    <s v="MRC"/>
    <n v="4"/>
    <n v="2175"/>
    <n v="1.0874999999999999"/>
    <m/>
    <m/>
    <m/>
    <m/>
    <m/>
    <m/>
    <m/>
  </r>
  <r>
    <x v="181"/>
    <s v="Delivered"/>
    <x v="9"/>
    <s v="Pallets"/>
    <s v="B&amp;T"/>
    <n v="30"/>
    <n v="1110"/>
    <n v="0.55500000000000005"/>
    <m/>
    <m/>
    <m/>
    <n v="78"/>
    <m/>
    <n v="225221"/>
    <d v="2014-01-17T00:00:00"/>
  </r>
  <r>
    <x v="181"/>
    <s v="CC compactor"/>
    <x v="5"/>
    <s v="Single stream"/>
    <s v="Town Country"/>
    <m/>
    <m/>
    <n v="6.35"/>
    <n v="38.5"/>
    <n v="244.48"/>
    <n v="85"/>
    <n v="159.47999999999999"/>
    <n v="203004"/>
    <n v="227605"/>
    <d v="2014-02-19T00:00:00"/>
  </r>
  <r>
    <x v="182"/>
    <s v="Student Center compactor"/>
    <x v="5"/>
    <s v="Single stream"/>
    <s v="Town Country"/>
    <m/>
    <m/>
    <n v="4.45"/>
    <n v="38.5"/>
    <n v="171.33"/>
    <n v="85"/>
    <n v="88.33"/>
    <n v="203287"/>
    <n v="227605"/>
    <d v="2014-02-19T00:00:00"/>
  </r>
  <r>
    <x v="183"/>
    <s v="South compound 30yd"/>
    <x v="9"/>
    <s v="Wood Waste"/>
    <s v="Missouri Organic"/>
    <m/>
    <n v="2840"/>
    <n v="1.42"/>
    <m/>
    <m/>
    <n v="230"/>
    <m/>
    <m/>
    <m/>
    <m/>
  </r>
  <r>
    <x v="183"/>
    <s v="Warehouse"/>
    <x v="6"/>
    <s v="Glass"/>
    <s v="Ripple"/>
    <m/>
    <n v="336"/>
    <n v="0.16800000000000001"/>
    <m/>
    <m/>
    <m/>
    <m/>
    <m/>
    <m/>
    <m/>
  </r>
  <r>
    <x v="184"/>
    <s v="All/Dumpsters"/>
    <x v="5"/>
    <s v="Single Stream"/>
    <s v="Town Country"/>
    <m/>
    <n v="17347.2"/>
    <n v="8.6736000000000004"/>
    <m/>
    <m/>
    <m/>
    <m/>
    <m/>
    <m/>
    <m/>
  </r>
  <r>
    <x v="185"/>
    <s v="CSB Trailer"/>
    <x v="0"/>
    <s v="OW"/>
    <s v="Town Country"/>
    <m/>
    <n v="14962"/>
    <n v="7.4809999999999999"/>
    <n v="121.5"/>
    <n v="908.94150000000002"/>
    <n v="100"/>
    <n v="808.94150000000002"/>
    <n v="204775"/>
    <n v="229855"/>
    <d v="2014-03-26T00:00:00"/>
  </r>
  <r>
    <x v="185"/>
    <s v="CSB Trailer"/>
    <x v="1"/>
    <s v="OCC"/>
    <s v="Town Country"/>
    <m/>
    <n v="769"/>
    <n v="0.38"/>
    <n v="81"/>
    <n v="30.78"/>
    <n v="0"/>
    <n v="30.78"/>
    <n v="204775"/>
    <n v="229855"/>
    <d v="2014-03-26T00:00:00"/>
  </r>
  <r>
    <x v="185"/>
    <s v="CSB Trailer"/>
    <x v="0"/>
    <s v="OW"/>
    <s v="Town Country"/>
    <m/>
    <n v="1380"/>
    <n v="0.69"/>
    <n v="0"/>
    <n v="0"/>
    <m/>
    <n v="0"/>
    <n v="204775"/>
    <n v="229855"/>
    <d v="2014-03-26T00:00:00"/>
  </r>
  <r>
    <x v="186"/>
    <s v="South compound 30yd"/>
    <x v="9"/>
    <s v="Wood Waste"/>
    <s v="Missouri Organic"/>
    <m/>
    <n v="4100"/>
    <n v="2.0499999999999998"/>
    <m/>
    <m/>
    <n v="230"/>
    <m/>
    <m/>
    <m/>
    <m/>
  </r>
  <r>
    <x v="187"/>
    <s v="Delivered"/>
    <x v="9"/>
    <s v="Pallets"/>
    <s v="B&amp;T"/>
    <n v="40"/>
    <n v="1480"/>
    <n v="0.74"/>
    <m/>
    <m/>
    <m/>
    <n v="95"/>
    <m/>
    <n v="228337"/>
    <d v="2014-02-28T00:00:00"/>
  </r>
  <r>
    <x v="188"/>
    <s v="All/Dumpsters"/>
    <x v="5"/>
    <s v="Single Stream"/>
    <s v="Town Country"/>
    <m/>
    <n v="17347.2"/>
    <n v="8.6736000000000004"/>
    <m/>
    <m/>
    <m/>
    <m/>
    <m/>
    <m/>
    <m/>
  </r>
  <r>
    <x v="188"/>
    <s v="Warehouse"/>
    <x v="6"/>
    <s v="Glass"/>
    <s v="Ripple"/>
    <m/>
    <n v="336"/>
    <n v="0.16800000000000001"/>
    <m/>
    <m/>
    <m/>
    <m/>
    <m/>
    <m/>
    <m/>
  </r>
  <r>
    <x v="189"/>
    <s v="south compound"/>
    <x v="7"/>
    <s v="Shred Iron"/>
    <s v="Advantage Metal"/>
    <m/>
    <n v="6400"/>
    <n v="3.2"/>
    <n v="9.2499999999999999E-2"/>
    <n v="592"/>
    <n v="180"/>
    <n v="412"/>
    <s v="tqtebj"/>
    <n v="228772"/>
    <d v="2014-03-07T00:00:00"/>
  </r>
  <r>
    <x v="190"/>
    <s v="Delivered"/>
    <x v="9"/>
    <s v="Pallets"/>
    <s v="B&amp;T"/>
    <n v="30"/>
    <n v="1110"/>
    <n v="0.55500000000000005"/>
    <m/>
    <m/>
    <m/>
    <n v="61"/>
    <m/>
    <n v="229441"/>
    <d v="2014-03-19T00:00:00"/>
  </r>
  <r>
    <x v="190"/>
    <s v="Delivered"/>
    <x v="7"/>
    <s v="Shred Iron"/>
    <s v="Advantage Metal"/>
    <m/>
    <n v="120"/>
    <n v="0.06"/>
    <n v="9.2499999999999999E-2"/>
    <n v="11.1"/>
    <n v="0"/>
    <n v="11.1"/>
    <s v="zkyevx"/>
    <n v="229442"/>
    <d v="2014-03-19T00:00:00"/>
  </r>
  <r>
    <x v="190"/>
    <s v="Delivered"/>
    <x v="7"/>
    <s v="Irony alum"/>
    <s v="Advantage Metal"/>
    <m/>
    <n v="5"/>
    <n v="2.5000000000000001E-3"/>
    <n v="0.15"/>
    <n v="0.75"/>
    <n v="0"/>
    <n v="0.75"/>
    <s v="zkyevx"/>
    <n v="229442"/>
    <d v="2014-03-19T00:00:00"/>
  </r>
  <r>
    <x v="190"/>
    <s v="Delivered"/>
    <x v="7"/>
    <s v="Alum rads"/>
    <s v="Advantage Metal"/>
    <m/>
    <n v="46"/>
    <n v="2.3E-2"/>
    <n v="0.44"/>
    <n v="20.239999999999998"/>
    <n v="0"/>
    <n v="20.239999999999998"/>
    <s v="zkyevx"/>
    <n v="229442"/>
    <d v="2014-03-19T00:00:00"/>
  </r>
  <r>
    <x v="190"/>
    <s v="Delivered"/>
    <x v="7"/>
    <s v="Irony Sheet"/>
    <s v="Advantage Metal"/>
    <m/>
    <n v="39"/>
    <n v="1.95E-2"/>
    <n v="0.38"/>
    <n v="14.82"/>
    <n v="0"/>
    <n v="14.82"/>
    <s v="zkyevx"/>
    <n v="229442"/>
    <d v="2014-03-19T00:00:00"/>
  </r>
  <r>
    <x v="190"/>
    <s v="Delivered"/>
    <x v="7"/>
    <s v="NLC"/>
    <s v="Advantage Metal"/>
    <m/>
    <n v="6"/>
    <n v="3.0000000000000001E-3"/>
    <n v="0.54"/>
    <n v="3.24"/>
    <n v="0"/>
    <n v="3.24"/>
    <s v="zkyevx"/>
    <n v="229442"/>
    <d v="2014-03-19T00:00:00"/>
  </r>
  <r>
    <x v="191"/>
    <s v="CSB Trailer"/>
    <x v="0"/>
    <s v="OW"/>
    <s v="Town Country"/>
    <m/>
    <n v="16220"/>
    <n v="8.11"/>
    <n v="121.5"/>
    <n v="985.3649999999999"/>
    <n v="100"/>
    <n v="885.3649999999999"/>
    <n v="204775"/>
    <n v="231943"/>
    <d v="2014-04-29T00:00:00"/>
  </r>
  <r>
    <x v="191"/>
    <s v="CSB Trailer"/>
    <x v="1"/>
    <s v="OCC"/>
    <s v="Town Country"/>
    <m/>
    <n v="230"/>
    <n v="0.12"/>
    <n v="90"/>
    <n v="10.799999999999999"/>
    <n v="0"/>
    <n v="10.799999999999999"/>
    <n v="204775"/>
    <n v="231943"/>
    <d v="2014-04-29T00:00:00"/>
  </r>
  <r>
    <x v="191"/>
    <s v="CSB Trailer"/>
    <x v="0"/>
    <s v="ONP"/>
    <s v="Town Country"/>
    <m/>
    <n v="693"/>
    <n v="0.35"/>
    <n v="49.5"/>
    <n v="17.324999999999999"/>
    <m/>
    <n v="17.324999999999999"/>
    <n v="204775"/>
    <n v="231943"/>
    <d v="2014-04-29T00:00:00"/>
  </r>
  <r>
    <x v="191"/>
    <s v="Warehouse"/>
    <x v="6"/>
    <s v="Glass"/>
    <s v="Ripple"/>
    <m/>
    <n v="336"/>
    <n v="0.16800000000000001"/>
    <m/>
    <m/>
    <m/>
    <m/>
    <m/>
    <m/>
    <m/>
  </r>
  <r>
    <x v="191"/>
    <s v="All/Dumpsters"/>
    <x v="5"/>
    <s v="Single Stream"/>
    <s v="Town Country"/>
    <m/>
    <n v="17347.2"/>
    <n v="8.6736000000000004"/>
    <m/>
    <m/>
    <m/>
    <m/>
    <m/>
    <m/>
    <m/>
  </r>
  <r>
    <x v="192"/>
    <s v="Campus"/>
    <x v="0"/>
    <s v="OW"/>
    <s v="Cintas"/>
    <m/>
    <n v="11800"/>
    <n v="5.9"/>
    <m/>
    <m/>
    <m/>
    <m/>
    <m/>
    <m/>
    <m/>
  </r>
  <r>
    <x v="193"/>
    <s v="South compound 30yd"/>
    <x v="9"/>
    <s v="Wood Waste"/>
    <s v="Missouri Organic"/>
    <m/>
    <n v="4200"/>
    <n v="2.1"/>
    <m/>
    <m/>
    <n v="230"/>
    <m/>
    <m/>
    <m/>
    <m/>
  </r>
  <r>
    <x v="193"/>
    <s v="CC compactor"/>
    <x v="5"/>
    <s v="Single stream"/>
    <s v="Town Country"/>
    <m/>
    <n v="11480"/>
    <n v="5.74"/>
    <n v="38.5"/>
    <n v="220.99"/>
    <n v="85"/>
    <n v="135.99"/>
    <n v="209088"/>
    <n v="232243"/>
    <d v="2014-05-05T00:00:00"/>
  </r>
  <r>
    <x v="194"/>
    <s v="Warehouse"/>
    <x v="3"/>
    <s v="Toners"/>
    <s v="Clover Technologies"/>
    <n v="587"/>
    <m/>
    <m/>
    <m/>
    <m/>
    <m/>
    <n v="830.7"/>
    <s v="POC06493"/>
    <n v="231894"/>
    <d v="2014-04-28T00:00:00"/>
  </r>
  <r>
    <x v="195"/>
    <s v="Delivered"/>
    <x v="9"/>
    <s v="Pallets"/>
    <s v="B&amp;T"/>
    <n v="40"/>
    <n v="1480"/>
    <n v="0.74"/>
    <m/>
    <m/>
    <m/>
    <n v="143"/>
    <m/>
    <n v="231941"/>
    <d v="2014-04-29T00:00:00"/>
  </r>
  <r>
    <x v="195"/>
    <s v="Warehouse"/>
    <x v="6"/>
    <s v="Glass"/>
    <s v="Ripple"/>
    <m/>
    <n v="336"/>
    <n v="0.16800000000000001"/>
    <m/>
    <m/>
    <m/>
    <m/>
    <m/>
    <m/>
    <m/>
  </r>
  <r>
    <x v="195"/>
    <s v="All/Dumpsters"/>
    <x v="5"/>
    <s v="Single Stream"/>
    <s v="Town Country"/>
    <m/>
    <n v="17347.2"/>
    <n v="8.6736000000000004"/>
    <m/>
    <m/>
    <m/>
    <m/>
    <m/>
    <m/>
    <m/>
  </r>
  <r>
    <x v="196"/>
    <s v="Warehouse"/>
    <x v="3"/>
    <s v="e-waste"/>
    <s v="MRC"/>
    <n v="4"/>
    <n v="2863"/>
    <n v="1.4315"/>
    <m/>
    <m/>
    <m/>
    <m/>
    <m/>
    <m/>
    <m/>
  </r>
  <r>
    <x v="197"/>
    <s v="South compound 30yd"/>
    <x v="9"/>
    <s v="Wood Waste"/>
    <s v="Missouri Organic"/>
    <m/>
    <n v="5160"/>
    <n v="2.58"/>
    <m/>
    <m/>
    <n v="230"/>
    <m/>
    <m/>
    <m/>
    <m/>
  </r>
  <r>
    <x v="198"/>
    <s v="CC compactor"/>
    <x v="5"/>
    <s v="Single stream"/>
    <s v="Town Country"/>
    <m/>
    <n v="14300"/>
    <n v="7.15"/>
    <n v="38.5"/>
    <n v="289.14"/>
    <n v="85"/>
    <n v="204.14"/>
    <n v="212936"/>
    <n v="236057"/>
    <d v="2014-05-30T00:00:00"/>
  </r>
  <r>
    <x v="199"/>
    <s v="Warehouse"/>
    <x v="6"/>
    <s v="Glass"/>
    <s v="Ripple"/>
    <m/>
    <n v="336"/>
    <n v="0.16800000000000001"/>
    <m/>
    <m/>
    <m/>
    <m/>
    <m/>
    <m/>
    <m/>
  </r>
  <r>
    <x v="199"/>
    <s v="All/Dumpsters"/>
    <x v="5"/>
    <s v="Single Stream"/>
    <s v="Town Country"/>
    <m/>
    <n v="17347.2"/>
    <n v="8.6736000000000004"/>
    <m/>
    <m/>
    <m/>
    <m/>
    <m/>
    <m/>
    <m/>
  </r>
  <r>
    <x v="200"/>
    <s v="south compound"/>
    <x v="7"/>
    <s v="Shred Iron"/>
    <s v="Advantage Metal"/>
    <m/>
    <n v="10500"/>
    <n v="5.25"/>
    <n v="8.7499999999999994E-2"/>
    <n v="918.74999999999989"/>
    <n v="180"/>
    <n v="738.75"/>
    <s v="TRRVMQ"/>
    <n v="234870"/>
    <d v="2014-06-03T00:00:00"/>
  </r>
  <r>
    <x v="201"/>
    <s v="Student Center compactor"/>
    <x v="5"/>
    <s v="Single stream"/>
    <s v="Town Country"/>
    <m/>
    <n v="11420"/>
    <n v="5.71"/>
    <n v="72"/>
    <n v="411.12"/>
    <n v="85"/>
    <n v="326.12"/>
    <n v="21104"/>
    <n v="237009"/>
    <d v="2014-07-22T00:00:00"/>
  </r>
  <r>
    <x v="202"/>
    <s v="Delivered"/>
    <x v="7"/>
    <s v="Irony alum"/>
    <s v="Advantage Metal"/>
    <m/>
    <n v="298"/>
    <n v="0.14899999999999999"/>
    <n v="0.45"/>
    <n v="134.1"/>
    <n v="0"/>
    <n v="134.1"/>
    <s v="zlowml"/>
    <n v="235686"/>
    <d v="2014-06-19T00:00:00"/>
  </r>
  <r>
    <x v="202"/>
    <s v="Delivered"/>
    <x v="7"/>
    <s v="Alum litho"/>
    <s v="Advantage Metal"/>
    <m/>
    <n v="231"/>
    <n v="0.11550000000000001"/>
    <n v="0.57999999999999996"/>
    <n v="133.97999999999999"/>
    <n v="0"/>
    <n v="133.97999999999999"/>
    <s v="zlowml"/>
    <n v="235686"/>
    <d v="2014-06-19T00:00:00"/>
  </r>
  <r>
    <x v="202"/>
    <s v="Delivered"/>
    <x v="7"/>
    <s v="10/10 Extrusion"/>
    <s v="Advantage Metal"/>
    <m/>
    <n v="114"/>
    <n v="5.7000000000000002E-2"/>
    <n v="0.6"/>
    <n v="68.399999999999991"/>
    <n v="0"/>
    <n v="68.399999999999991"/>
    <s v="zlowml"/>
    <n v="235686"/>
    <d v="2014-06-19T00:00:00"/>
  </r>
  <r>
    <x v="202"/>
    <s v="Delivered"/>
    <x v="7"/>
    <s v="Yellow Brass"/>
    <s v="Advantage Metal"/>
    <m/>
    <n v="26"/>
    <n v="1.2999999999999999E-2"/>
    <n v="1.75"/>
    <n v="45.5"/>
    <n v="0"/>
    <n v="45.5"/>
    <s v="zlowml"/>
    <n v="235686"/>
    <d v="2014-06-19T00:00:00"/>
  </r>
  <r>
    <x v="202"/>
    <s v="Delivered"/>
    <x v="7"/>
    <s v="#2 Insulated Copper 45%"/>
    <s v="Advantage Metal"/>
    <m/>
    <n v="953"/>
    <n v="0.47649999999999998"/>
    <n v="0.84"/>
    <n v="800.52"/>
    <n v="0"/>
    <n v="800.52"/>
    <s v="zlowml"/>
    <n v="235686"/>
    <d v="2014-06-19T00:00:00"/>
  </r>
  <r>
    <x v="203"/>
    <s v="CSB Trailer"/>
    <x v="0"/>
    <s v="OW"/>
    <s v="Town Country"/>
    <m/>
    <n v="6840"/>
    <n v="3.42"/>
    <n v="121.5"/>
    <n v="415.53"/>
    <n v="100"/>
    <n v="315.52999999999997"/>
    <n v="22279"/>
    <n v="237009"/>
    <d v="2014-07-22T00:00:00"/>
  </r>
  <r>
    <x v="203"/>
    <s v="CSB Trailer"/>
    <x v="1"/>
    <s v="OCC"/>
    <s v="Town Country"/>
    <m/>
    <n v="269"/>
    <n v="0.13"/>
    <n v="72"/>
    <n v="9.36"/>
    <n v="0"/>
    <n v="9.36"/>
    <n v="22279"/>
    <n v="237009"/>
    <d v="2014-07-22T00:00:00"/>
  </r>
  <r>
    <x v="203"/>
    <s v="CSB Trailer"/>
    <x v="0"/>
    <s v="ONP"/>
    <s v="Town Country"/>
    <m/>
    <n v="8719"/>
    <n v="4.3600000000000003"/>
    <n v="49.5"/>
    <n v="215.82000000000002"/>
    <m/>
    <n v="215.82000000000002"/>
    <n v="22279"/>
    <n v="237009"/>
    <d v="2014-07-22T00:00:00"/>
  </r>
  <r>
    <x v="204"/>
    <s v="Warehouse"/>
    <x v="6"/>
    <s v="Glass"/>
    <s v="Ripple"/>
    <m/>
    <n v="336"/>
    <n v="0.16800000000000001"/>
    <m/>
    <m/>
    <m/>
    <m/>
    <m/>
    <m/>
    <m/>
  </r>
  <r>
    <x v="204"/>
    <s v="All/Dumpsters"/>
    <x v="5"/>
    <s v="Single Stream"/>
    <s v="Town Country"/>
    <m/>
    <n v="17347.2"/>
    <n v="8.6736000000000004"/>
    <m/>
    <m/>
    <m/>
    <m/>
    <m/>
    <m/>
    <m/>
  </r>
  <r>
    <x v="205"/>
    <s v="Campus"/>
    <x v="0"/>
    <s v="OW"/>
    <s v="Cintas"/>
    <m/>
    <n v="24786"/>
    <n v="12.393000000000001"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38">
  <r>
    <n v="5749391"/>
    <x v="0"/>
    <s v="?"/>
    <s v="OT"/>
    <n v="40"/>
    <n v="1.27"/>
    <n v="33.020000000000003"/>
    <n v="115"/>
    <n v="15.96"/>
    <n v="1.27"/>
    <m/>
    <n v="165.25000000000003"/>
    <n v="130.1181102362205"/>
  </r>
  <r>
    <n v="5749391"/>
    <x v="0"/>
    <s v="?"/>
    <s v="OT"/>
    <n v="40"/>
    <n v="4.7699999999999996"/>
    <n v="124.01999999999998"/>
    <n v="115"/>
    <n v="15.96"/>
    <n v="4.7699999999999996"/>
    <m/>
    <n v="259.75"/>
    <n v="54.454926624737951"/>
  </r>
  <r>
    <n v="5749391"/>
    <x v="0"/>
    <s v="?"/>
    <s v="OT"/>
    <n v="30"/>
    <n v="1.7"/>
    <n v="44.199999999999996"/>
    <n v="115"/>
    <n v="15.93"/>
    <n v="1.7"/>
    <m/>
    <n v="176.82999999999998"/>
    <n v="104.01764705882353"/>
  </r>
  <r>
    <n v="5749391"/>
    <x v="1"/>
    <s v="COM"/>
    <s v="SC"/>
    <n v="32"/>
    <n v="1.3"/>
    <n v="33.800000000000004"/>
    <n v="115"/>
    <n v="15.96"/>
    <n v="1.3"/>
    <n v="130.96"/>
    <n v="166.06000000000003"/>
    <n v="127.73846153846156"/>
  </r>
  <r>
    <n v="5749391"/>
    <x v="2"/>
    <s v="CSB"/>
    <s v="OT"/>
    <n v="40"/>
    <n v="3.95"/>
    <n v="102.7"/>
    <n v="115"/>
    <n v="15.86"/>
    <n v="3.95"/>
    <m/>
    <n v="237.51"/>
    <n v="60.129113924050628"/>
  </r>
  <r>
    <n v="5749391"/>
    <x v="2"/>
    <s v="South Compound"/>
    <s v="OT"/>
    <n v="20"/>
    <n v="1.69"/>
    <n v="43.94"/>
    <n v="115"/>
    <n v="15.96"/>
    <n v="1.69"/>
    <m/>
    <n v="176.59"/>
    <n v="104.49112426035504"/>
  </r>
  <r>
    <n v="5749391"/>
    <x v="2"/>
    <s v="South Compound"/>
    <s v="SC"/>
    <n v="34"/>
    <n v="4.68"/>
    <n v="121.67999999999999"/>
    <n v="115"/>
    <n v="12.49"/>
    <n v="4.68"/>
    <m/>
    <n v="253.85000000000002"/>
    <n v="54.241452991453002"/>
  </r>
  <r>
    <n v="5749391"/>
    <x v="3"/>
    <s v="COM"/>
    <s v="SC"/>
    <n v="32"/>
    <n v="2.5099999999999998"/>
    <n v="65.259999999999991"/>
    <n v="115"/>
    <n v="15.93"/>
    <n v="2.5099999999999998"/>
    <n v="130.93"/>
    <n v="198.7"/>
    <n v="79.163346613545812"/>
  </r>
  <r>
    <n v="5749391"/>
    <x v="4"/>
    <s v="OCB"/>
    <s v="SC"/>
    <n v="30"/>
    <n v="4.43"/>
    <n v="115.17999999999999"/>
    <n v="115"/>
    <n v="15.93"/>
    <n v="4.43"/>
    <n v="130.93"/>
    <n v="250.54000000000002"/>
    <n v="56.555304740406328"/>
  </r>
  <r>
    <n v="5749391"/>
    <x v="5"/>
    <s v="CSB"/>
    <s v="OT"/>
    <n v="40"/>
    <n v="3.04"/>
    <n v="79.040000000000006"/>
    <n v="115"/>
    <n v="15.93"/>
    <n v="3.04"/>
    <m/>
    <n v="213.01000000000002"/>
    <n v="70.069078947368425"/>
  </r>
  <r>
    <n v="5749391"/>
    <x v="6"/>
    <s v="COM"/>
    <s v="SC"/>
    <n v="32"/>
    <n v="2.79"/>
    <n v="72.540000000000006"/>
    <n v="115"/>
    <n v="15.93"/>
    <n v="2.79"/>
    <n v="130.93"/>
    <n v="206.26000000000002"/>
    <n v="73.928315412186379"/>
  </r>
  <r>
    <n v="5749391"/>
    <x v="7"/>
    <s v="OCB"/>
    <s v="SC"/>
    <n v="30"/>
    <n v="2.98"/>
    <n v="77.48"/>
    <n v="115"/>
    <n v="15.79"/>
    <n v="2.98"/>
    <n v="130.79"/>
    <n v="211.25"/>
    <n v="70.889261744966447"/>
  </r>
  <r>
    <n v="5749391"/>
    <x v="8"/>
    <s v="CSB"/>
    <s v="OT"/>
    <n v="40"/>
    <n v="3.57"/>
    <n v="92.82"/>
    <n v="115"/>
    <n v="15.79"/>
    <n v="3.57"/>
    <m/>
    <n v="227.17999999999998"/>
    <n v="63.635854341736689"/>
  </r>
  <r>
    <n v="5749391"/>
    <x v="9"/>
    <s v="COM"/>
    <s v="SC"/>
    <n v="32"/>
    <n v="3.04"/>
    <n v="79.040000000000006"/>
    <n v="115"/>
    <n v="15.79"/>
    <n v="3.04"/>
    <n v="130.79"/>
    <n v="212.87"/>
    <n v="70.02302631578948"/>
  </r>
  <r>
    <m/>
    <x v="9"/>
    <s v="HCDC"/>
    <s v="FL"/>
    <n v="6"/>
    <n v="2.34"/>
    <m/>
    <n v="104"/>
    <m/>
    <m/>
    <m/>
    <n v="104"/>
    <n v="44.44444444444445"/>
  </r>
  <r>
    <m/>
    <x v="9"/>
    <s v="ITC"/>
    <s v="FL"/>
    <n v="2"/>
    <n v="0.78"/>
    <m/>
    <n v="65"/>
    <m/>
    <m/>
    <m/>
    <n v="65"/>
    <n v="83.333333333333329"/>
  </r>
  <r>
    <m/>
    <x v="9"/>
    <s v="ITC"/>
    <s v="FL"/>
    <n v="2"/>
    <n v="0.78"/>
    <m/>
    <n v="65"/>
    <m/>
    <m/>
    <m/>
    <n v="65"/>
    <n v="83.333333333333329"/>
  </r>
  <r>
    <m/>
    <x v="9"/>
    <s v="Westpark"/>
    <s v="FL"/>
    <n v="8"/>
    <n v="4.68"/>
    <m/>
    <n v="189"/>
    <m/>
    <m/>
    <m/>
    <n v="189"/>
    <n v="40.384615384615387"/>
  </r>
  <r>
    <m/>
    <x v="9"/>
    <s v="Nerman"/>
    <s v="SC"/>
    <n v="6"/>
    <n v="3.9"/>
    <m/>
    <n v="155.88"/>
    <m/>
    <m/>
    <m/>
    <n v="155.88"/>
    <n v="39.969230769230769"/>
  </r>
  <r>
    <m/>
    <x v="9"/>
    <s v="Olathe Center"/>
    <s v="FL"/>
    <n v="2"/>
    <n v="0.39"/>
    <m/>
    <n v="48"/>
    <m/>
    <m/>
    <m/>
    <n v="48"/>
    <n v="123.07692307692307"/>
  </r>
  <r>
    <n v="5762792"/>
    <x v="10"/>
    <s v="OCB"/>
    <s v="SC"/>
    <n v="30"/>
    <n v="3.43"/>
    <n v="89.18"/>
    <n v="115"/>
    <n v="15.61"/>
    <n v="3.43"/>
    <n v="130.61000000000001"/>
    <n v="223.22000000000003"/>
    <n v="65.078717201166185"/>
  </r>
  <r>
    <n v="5762792"/>
    <x v="11"/>
    <s v="COM"/>
    <s v="SC"/>
    <n v="32"/>
    <n v="3.24"/>
    <n v="84.240000000000009"/>
    <n v="115"/>
    <n v="15.61"/>
    <n v="3.24"/>
    <n v="130.61000000000001"/>
    <n v="218.09000000000003"/>
    <n v="67.311728395061735"/>
  </r>
  <r>
    <n v="5762792"/>
    <x v="12"/>
    <s v="CSB"/>
    <s v="OT"/>
    <n v="40"/>
    <n v="3.86"/>
    <n v="100.36"/>
    <n v="115"/>
    <n v="15.61"/>
    <n v="3.86"/>
    <m/>
    <n v="234.83000000000004"/>
    <n v="60.836787564766851"/>
  </r>
  <r>
    <n v="5762792"/>
    <x v="13"/>
    <s v="OCB"/>
    <s v="SC"/>
    <n v="30"/>
    <n v="3.29"/>
    <n v="85.54"/>
    <n v="115"/>
    <n v="15.61"/>
    <n v="3.29"/>
    <n v="130.61000000000001"/>
    <n v="219.44000000000003"/>
    <n v="66.699088145896667"/>
  </r>
  <r>
    <n v="5762792"/>
    <x v="14"/>
    <s v="South Compound"/>
    <s v="OT"/>
    <n v="20"/>
    <n v="1.44"/>
    <n v="37.44"/>
    <n v="115"/>
    <n v="15.57"/>
    <n v="1.44"/>
    <m/>
    <n v="169.45"/>
    <n v="117.67361111111111"/>
  </r>
  <r>
    <n v="5762792"/>
    <x v="14"/>
    <s v="South Compound"/>
    <s v="SC"/>
    <n v="34"/>
    <n v="6.87"/>
    <n v="178.62"/>
    <n v="115"/>
    <n v="15.57"/>
    <n v="6.87"/>
    <m/>
    <n v="316.06"/>
    <n v="46.005822416302763"/>
  </r>
  <r>
    <n v="5762792"/>
    <x v="15"/>
    <s v="COM"/>
    <s v="SC"/>
    <n v="32"/>
    <n v="3.08"/>
    <n v="80.08"/>
    <n v="115"/>
    <n v="15.57"/>
    <n v="3.08"/>
    <n v="130.57"/>
    <n v="213.73"/>
    <n v="69.392857142857139"/>
  </r>
  <r>
    <n v="5762792"/>
    <x v="16"/>
    <s v="?"/>
    <s v="OT"/>
    <n v="40"/>
    <n v="2.5099999999999998"/>
    <n v="65.259999999999991"/>
    <n v="115"/>
    <n v="15.51"/>
    <n v="2.5099999999999998"/>
    <m/>
    <n v="198.27999999999997"/>
    <n v="78.996015936254977"/>
  </r>
  <r>
    <n v="5762792"/>
    <x v="17"/>
    <s v="OCB"/>
    <s v="SC"/>
    <n v="30"/>
    <n v="3.45"/>
    <n v="89.7"/>
    <n v="115"/>
    <n v="15.51"/>
    <n v="3.45"/>
    <n v="130.51"/>
    <n v="223.65999999999997"/>
    <n v="64.828985507246358"/>
  </r>
  <r>
    <n v="5762792"/>
    <x v="18"/>
    <s v="Bookstore"/>
    <s v="OT"/>
    <n v="40"/>
    <n v="1.89"/>
    <n v="49.14"/>
    <n v="115"/>
    <n v="15.51"/>
    <n v="1.89"/>
    <m/>
    <n v="181.53999999999996"/>
    <n v="96.052910052910036"/>
  </r>
  <r>
    <n v="5762792"/>
    <x v="19"/>
    <s v="CSB"/>
    <s v="OT"/>
    <n v="40"/>
    <n v="4.3600000000000003"/>
    <n v="113.36000000000001"/>
    <n v="115"/>
    <n v="15.77"/>
    <n v="4.3600000000000003"/>
    <m/>
    <n v="248.49000000000004"/>
    <n v="56.993119266055054"/>
  </r>
  <r>
    <n v="5762792"/>
    <x v="19"/>
    <s v="Warehouse"/>
    <s v="OT"/>
    <n v="40"/>
    <n v="4.13"/>
    <n v="107.38"/>
    <n v="115"/>
    <n v="15.77"/>
    <n v="4.13"/>
    <m/>
    <n v="242.28"/>
    <n v="58.663438256658594"/>
  </r>
  <r>
    <n v="5762792"/>
    <x v="20"/>
    <s v="OCB"/>
    <s v="SC"/>
    <n v="30"/>
    <n v="3.15"/>
    <n v="81.899999999999991"/>
    <n v="115"/>
    <n v="15.77"/>
    <n v="3.15"/>
    <n v="130.77000000000001"/>
    <n v="215.82"/>
    <n v="68.51428571428572"/>
  </r>
  <r>
    <n v="5762792"/>
    <x v="20"/>
    <s v="CC"/>
    <s v="SC"/>
    <n v="30"/>
    <n v="8.9600000000000009"/>
    <n v="232.96000000000004"/>
    <n v="115"/>
    <n v="15.77"/>
    <n v="8.9600000000000009"/>
    <m/>
    <n v="372.69"/>
    <n v="41.594866071428569"/>
  </r>
  <r>
    <n v="5762792"/>
    <x v="21"/>
    <s v="COM"/>
    <s v="SC"/>
    <n v="32"/>
    <n v="5.85"/>
    <n v="152.1"/>
    <n v="115"/>
    <n v="15.77"/>
    <n v="5.85"/>
    <n v="130.77000000000001"/>
    <n v="288.72000000000003"/>
    <n v="49.353846153846163"/>
  </r>
  <r>
    <m/>
    <x v="22"/>
    <s v="HCDC"/>
    <s v="FL"/>
    <n v="6"/>
    <n v="2.34"/>
    <m/>
    <n v="104"/>
    <m/>
    <m/>
    <m/>
    <n v="104"/>
    <n v="44.44444444444445"/>
  </r>
  <r>
    <m/>
    <x v="22"/>
    <s v="ITC"/>
    <s v="FL"/>
    <n v="2"/>
    <n v="0.78"/>
    <m/>
    <n v="65"/>
    <m/>
    <m/>
    <m/>
    <n v="65"/>
    <n v="83.333333333333329"/>
  </r>
  <r>
    <m/>
    <x v="22"/>
    <s v="ITC"/>
    <s v="FL"/>
    <n v="2"/>
    <n v="0.78"/>
    <m/>
    <n v="65"/>
    <m/>
    <m/>
    <m/>
    <n v="65"/>
    <n v="83.333333333333329"/>
  </r>
  <r>
    <m/>
    <x v="22"/>
    <s v="Westpark"/>
    <s v="FL"/>
    <n v="8"/>
    <n v="4.68"/>
    <m/>
    <n v="189"/>
    <m/>
    <m/>
    <m/>
    <n v="189"/>
    <n v="40.384615384615387"/>
  </r>
  <r>
    <m/>
    <x v="22"/>
    <s v="Nerman"/>
    <s v="SC"/>
    <n v="6"/>
    <n v="3.9"/>
    <m/>
    <n v="155.88"/>
    <m/>
    <m/>
    <m/>
    <n v="155.88"/>
    <n v="39.969230769230769"/>
  </r>
  <r>
    <m/>
    <x v="22"/>
    <s v="Olathe Center"/>
    <s v="FL"/>
    <n v="2"/>
    <n v="0.39"/>
    <m/>
    <n v="48"/>
    <m/>
    <m/>
    <m/>
    <n v="48"/>
    <n v="123.07692307692307"/>
  </r>
  <r>
    <n v="5780050"/>
    <x v="23"/>
    <s v="CSB"/>
    <s v="OT"/>
    <n v="40"/>
    <n v="2.8"/>
    <n v="72.8"/>
    <n v="115"/>
    <n v="15.86"/>
    <n v="2.8"/>
    <m/>
    <n v="206.46000000000004"/>
    <n v="73.735714285714309"/>
  </r>
  <r>
    <n v="5780050"/>
    <x v="23"/>
    <s v="South Compound"/>
    <s v="OT"/>
    <n v="20"/>
    <n v="0.97"/>
    <n v="25.22"/>
    <n v="115"/>
    <n v="15.86"/>
    <n v="0.97"/>
    <m/>
    <n v="157.04999999999998"/>
    <n v="161.90721649484536"/>
  </r>
  <r>
    <n v="5780050"/>
    <x v="24"/>
    <s v="OCB"/>
    <s v="SC"/>
    <n v="30"/>
    <n v="3.02"/>
    <n v="78.52"/>
    <n v="115"/>
    <n v="16.02"/>
    <n v="3.02"/>
    <n v="131.02000000000001"/>
    <n v="212.56"/>
    <n v="70.384105960264904"/>
  </r>
  <r>
    <n v="5780050"/>
    <x v="25"/>
    <s v="South Compound"/>
    <s v="SC"/>
    <n v="34"/>
    <n v="6.46"/>
    <n v="167.96"/>
    <n v="115"/>
    <n v="16.02"/>
    <n v="6.46"/>
    <m/>
    <n v="305.44"/>
    <n v="47.28173374613003"/>
  </r>
  <r>
    <n v="5780050"/>
    <x v="26"/>
    <s v="COM"/>
    <s v="SC"/>
    <n v="32"/>
    <n v="5.53"/>
    <n v="143.78"/>
    <n v="115"/>
    <n v="16.02"/>
    <n v="5.53"/>
    <n v="131.02000000000001"/>
    <n v="280.32999999999993"/>
    <n v="50.692585895117524"/>
  </r>
  <r>
    <n v="5780050"/>
    <x v="26"/>
    <s v="South Compound"/>
    <s v="OT"/>
    <n v="20"/>
    <n v="1.51"/>
    <n v="39.26"/>
    <n v="115"/>
    <n v="16.02"/>
    <n v="1.51"/>
    <m/>
    <n v="171.79"/>
    <n v="113.76821192052979"/>
  </r>
  <r>
    <n v="5780050"/>
    <x v="27"/>
    <s v="OCB"/>
    <s v="SC"/>
    <n v="30"/>
    <n v="3.28"/>
    <n v="85.28"/>
    <n v="115"/>
    <n v="16.02"/>
    <n v="3.28"/>
    <n v="131.02000000000001"/>
    <n v="219.58"/>
    <n v="66.945121951219519"/>
  </r>
  <r>
    <n v="5780050"/>
    <x v="27"/>
    <s v="?"/>
    <s v="OT"/>
    <n v="40"/>
    <n v="3.16"/>
    <n v="82.16"/>
    <n v="115"/>
    <n v="16.02"/>
    <n v="3.16"/>
    <m/>
    <n v="216.34"/>
    <n v="68.462025316455694"/>
  </r>
  <r>
    <n v="5780050"/>
    <x v="27"/>
    <s v="?"/>
    <s v="OT"/>
    <n v="40"/>
    <n v="1.1499999999999999"/>
    <n v="29.9"/>
    <n v="115"/>
    <n v="16.02"/>
    <n v="1.1499999999999999"/>
    <m/>
    <n v="162.07000000000002"/>
    <n v="140.93043478260873"/>
  </r>
  <r>
    <n v="5780050"/>
    <x v="28"/>
    <s v="COM"/>
    <s v="SC"/>
    <n v="32"/>
    <n v="2.6"/>
    <n v="67.600000000000009"/>
    <n v="115"/>
    <n v="16.12"/>
    <n v="2.6"/>
    <n v="131.12"/>
    <n v="201.32000000000002"/>
    <n v="77.430769230769243"/>
  </r>
  <r>
    <n v="5780050"/>
    <x v="29"/>
    <s v="OCB"/>
    <s v="SC"/>
    <n v="30"/>
    <n v="2.39"/>
    <n v="62.14"/>
    <n v="115"/>
    <n v="16.12"/>
    <n v="2.39"/>
    <n v="131.12"/>
    <n v="195.64999999999998"/>
    <n v="81.861924686192452"/>
  </r>
  <r>
    <n v="5780050"/>
    <x v="30"/>
    <s v="COM"/>
    <s v="SC"/>
    <n v="32"/>
    <n v="1.68"/>
    <n v="43.68"/>
    <n v="115"/>
    <n v="16.190000000000001"/>
    <n v="1.68"/>
    <n v="131.19"/>
    <n v="176.55"/>
    <n v="105.08928571428572"/>
  </r>
  <r>
    <n v="5780050"/>
    <x v="31"/>
    <s v="?"/>
    <s v="OT"/>
    <n v="40"/>
    <n v="5.62"/>
    <n v="146.12"/>
    <n v="115"/>
    <n v="16.190000000000001"/>
    <n v="5.62"/>
    <m/>
    <n v="282.93"/>
    <n v="50.343416370106759"/>
  </r>
  <r>
    <n v="5780050"/>
    <x v="31"/>
    <s v="South Compound"/>
    <s v="OT"/>
    <n v="20"/>
    <n v="2.0099999999999998"/>
    <n v="52.259999999999991"/>
    <n v="115"/>
    <n v="16.190000000000001"/>
    <n v="2.0099999999999998"/>
    <m/>
    <n v="185.45999999999998"/>
    <n v="92.268656716417908"/>
  </r>
  <r>
    <n v="5780050"/>
    <x v="31"/>
    <s v="South Compound"/>
    <s v="OT"/>
    <n v="20"/>
    <n v="6.69"/>
    <n v="173.94"/>
    <n v="115"/>
    <n v="16.190000000000001"/>
    <n v="6.69"/>
    <m/>
    <n v="311.82"/>
    <n v="46.609865470852014"/>
  </r>
  <r>
    <n v="5780050"/>
    <x v="32"/>
    <s v="OCB"/>
    <s v="SC"/>
    <n v="30"/>
    <n v="1.94"/>
    <n v="50.44"/>
    <n v="115"/>
    <n v="16.190000000000001"/>
    <n v="1.94"/>
    <n v="131.19"/>
    <n v="183.57"/>
    <n v="94.623711340206185"/>
  </r>
  <r>
    <n v="5780050"/>
    <x v="33"/>
    <s v="South Compound"/>
    <s v="SC"/>
    <n v="34"/>
    <n v="6.5"/>
    <n v="169"/>
    <n v="115"/>
    <n v="16.190000000000001"/>
    <n v="6.5"/>
    <m/>
    <n v="306.69"/>
    <n v="47.183076923076925"/>
  </r>
  <r>
    <n v="5780050"/>
    <x v="34"/>
    <s v="COM"/>
    <s v="SC"/>
    <n v="32"/>
    <n v="3.3"/>
    <n v="85.8"/>
    <n v="115"/>
    <n v="16.16"/>
    <n v="3.3"/>
    <n v="131.16"/>
    <n v="220.26000000000002"/>
    <n v="66.74545454545455"/>
  </r>
  <r>
    <n v="5492612"/>
    <x v="35"/>
    <s v="HCDC"/>
    <s v="FL"/>
    <n v="6"/>
    <n v="2.34"/>
    <m/>
    <n v="104"/>
    <m/>
    <m/>
    <m/>
    <n v="104"/>
    <n v="44.44444444444445"/>
  </r>
  <r>
    <n v="5492612"/>
    <x v="35"/>
    <s v="ITC"/>
    <s v="FL"/>
    <n v="2"/>
    <n v="0.78"/>
    <m/>
    <n v="65"/>
    <m/>
    <m/>
    <m/>
    <n v="65"/>
    <n v="83.333333333333329"/>
  </r>
  <r>
    <n v="5492612"/>
    <x v="35"/>
    <s v="ITC"/>
    <s v="FL"/>
    <n v="2"/>
    <n v="0.78"/>
    <m/>
    <n v="65"/>
    <m/>
    <m/>
    <m/>
    <n v="65"/>
    <n v="83.333333333333329"/>
  </r>
  <r>
    <n v="5493066"/>
    <x v="35"/>
    <s v="Westpark"/>
    <s v="FL"/>
    <n v="8"/>
    <n v="4.68"/>
    <m/>
    <n v="189"/>
    <m/>
    <m/>
    <m/>
    <n v="189"/>
    <n v="40.384615384615387"/>
  </r>
  <r>
    <n v="5495946"/>
    <x v="35"/>
    <s v="Nerman"/>
    <s v="SC"/>
    <n v="6"/>
    <n v="3.9"/>
    <m/>
    <n v="155.88"/>
    <m/>
    <m/>
    <m/>
    <n v="155.88"/>
    <n v="39.969230769230769"/>
  </r>
  <r>
    <n v="5496313"/>
    <x v="35"/>
    <s v="Olathe Center"/>
    <s v="FL"/>
    <n v="2"/>
    <n v="0.39"/>
    <m/>
    <n v="48"/>
    <m/>
    <m/>
    <m/>
    <n v="48"/>
    <n v="123.07692307692307"/>
  </r>
  <r>
    <n v="5780050"/>
    <x v="35"/>
    <s v="?"/>
    <s v="OT"/>
    <n v="40"/>
    <n v="4.1399999999999997"/>
    <n v="107.63999999999999"/>
    <n v="115"/>
    <n v="16.16"/>
    <n v="4.1399999999999997"/>
    <m/>
    <n v="242.93999999999997"/>
    <n v="58.681159420289852"/>
  </r>
  <r>
    <n v="5799540"/>
    <x v="36"/>
    <s v="OCB"/>
    <s v="SC"/>
    <n v="30"/>
    <n v="3.89"/>
    <n v="101.14"/>
    <n v="115"/>
    <n v="16.420000000000002"/>
    <n v="3.89"/>
    <n v="131.42000000000002"/>
    <n v="236.45"/>
    <n v="60.784061696658092"/>
  </r>
  <r>
    <n v="5799540"/>
    <x v="37"/>
    <s v="COM"/>
    <s v="SC"/>
    <n v="32"/>
    <n v="2.84"/>
    <n v="73.84"/>
    <n v="115"/>
    <n v="16.420000000000002"/>
    <n v="2.84"/>
    <n v="131.42000000000002"/>
    <n v="208.1"/>
    <n v="73.274647887323951"/>
  </r>
  <r>
    <n v="5799540"/>
    <x v="38"/>
    <s v="?"/>
    <s v="OT"/>
    <n v="40"/>
    <n v="3.59"/>
    <n v="93.34"/>
    <n v="115"/>
    <n v="16.420000000000002"/>
    <n v="3.59"/>
    <m/>
    <n v="228.35"/>
    <n v="63.607242339832872"/>
  </r>
  <r>
    <n v="5799540"/>
    <x v="39"/>
    <s v="OCB"/>
    <s v="SC"/>
    <n v="30"/>
    <n v="3.22"/>
    <n v="83.72"/>
    <n v="115"/>
    <n v="16.420000000000002"/>
    <n v="3.22"/>
    <n v="131.42000000000002"/>
    <n v="218.35999999999999"/>
    <n v="67.813664596273284"/>
  </r>
  <r>
    <n v="5799540"/>
    <x v="40"/>
    <s v="COM"/>
    <s v="SC"/>
    <n v="32"/>
    <n v="6.1"/>
    <n v="158.6"/>
    <n v="115"/>
    <n v="16.63"/>
    <n v="6.1"/>
    <n v="131.63"/>
    <n v="296.33000000000004"/>
    <n v="48.57868852459017"/>
  </r>
  <r>
    <n v="5799540"/>
    <x v="41"/>
    <s v="?"/>
    <s v="OT"/>
    <n v="40"/>
    <n v="4.1900000000000004"/>
    <n v="108.94000000000001"/>
    <n v="115"/>
    <n v="16.63"/>
    <n v="4.1900000000000004"/>
    <m/>
    <n v="244.76"/>
    <n v="58.415274463007151"/>
  </r>
  <r>
    <n v="5799540"/>
    <x v="42"/>
    <s v="OCB"/>
    <s v="SC"/>
    <n v="30"/>
    <n v="2.99"/>
    <n v="77.740000000000009"/>
    <n v="115"/>
    <n v="16.63"/>
    <n v="2.99"/>
    <n v="131.63"/>
    <n v="212.36"/>
    <n v="71.023411371237458"/>
  </r>
  <r>
    <n v="5799540"/>
    <x v="42"/>
    <s v="South Compound"/>
    <s v="SC"/>
    <n v="34"/>
    <n v="5.72"/>
    <n v="148.72"/>
    <n v="115"/>
    <n v="16.63"/>
    <n v="5.72"/>
    <m/>
    <n v="286.07000000000005"/>
    <n v="50.012237762237774"/>
  </r>
  <r>
    <n v="5799540"/>
    <x v="43"/>
    <s v="?"/>
    <s v="OT"/>
    <n v="40"/>
    <n v="0.91"/>
    <n v="23.66"/>
    <n v="115"/>
    <n v="16.63"/>
    <n v="0.91"/>
    <m/>
    <n v="156.19999999999999"/>
    <n v="171.64835164835162"/>
  </r>
  <r>
    <n v="5799540"/>
    <x v="44"/>
    <s v="COM"/>
    <s v="SC"/>
    <n v="32"/>
    <n v="7.04"/>
    <n v="183.04"/>
    <n v="115"/>
    <n v="16.63"/>
    <n v="7.04"/>
    <n v="131.63"/>
    <n v="321.70999999999998"/>
    <n v="45.69744318181818"/>
  </r>
  <r>
    <n v="5799540"/>
    <x v="45"/>
    <s v="OCB"/>
    <s v="SC"/>
    <n v="30"/>
    <n v="3.89"/>
    <n v="101.14"/>
    <n v="115"/>
    <n v="16.66"/>
    <n v="3.89"/>
    <n v="131.66"/>
    <n v="236.68999999999997"/>
    <n v="60.845758354755773"/>
  </r>
  <r>
    <n v="5799540"/>
    <x v="46"/>
    <s v="COM"/>
    <s v="SC"/>
    <n v="32"/>
    <n v="3.09"/>
    <n v="80.34"/>
    <n v="115"/>
    <n v="16.66"/>
    <n v="3.09"/>
    <n v="131.66"/>
    <n v="215.09"/>
    <n v="69.608414239482201"/>
  </r>
  <r>
    <n v="5799540"/>
    <x v="47"/>
    <s v="OCB"/>
    <s v="SC"/>
    <n v="30"/>
    <n v="3.34"/>
    <n v="86.84"/>
    <n v="115"/>
    <n v="16.66"/>
    <n v="3.34"/>
    <n v="131.66"/>
    <n v="221.84"/>
    <n v="66.419161676646709"/>
  </r>
  <r>
    <n v="5799540"/>
    <x v="48"/>
    <s v="South Compound"/>
    <s v="SC"/>
    <n v="34"/>
    <n v="5.91"/>
    <n v="153.66"/>
    <n v="115"/>
    <n v="16.66"/>
    <n v="5.91"/>
    <m/>
    <n v="291.23"/>
    <n v="49.277495769881561"/>
  </r>
  <r>
    <n v="5799540"/>
    <x v="48"/>
    <s v="?"/>
    <s v="OT"/>
    <n v="40"/>
    <n v="3.72"/>
    <n v="96.72"/>
    <n v="115"/>
    <n v="16.66"/>
    <n v="3.72"/>
    <m/>
    <n v="232.1"/>
    <n v="62.392473118279568"/>
  </r>
  <r>
    <n v="5503939"/>
    <x v="49"/>
    <s v="HCDC"/>
    <s v="FL"/>
    <n v="6"/>
    <n v="2.34"/>
    <m/>
    <n v="104"/>
    <m/>
    <m/>
    <m/>
    <n v="104"/>
    <n v="44.44444444444445"/>
  </r>
  <r>
    <n v="5503939"/>
    <x v="49"/>
    <s v="ITC"/>
    <s v="FL"/>
    <n v="2"/>
    <n v="0.78"/>
    <m/>
    <n v="65"/>
    <m/>
    <m/>
    <m/>
    <n v="65"/>
    <n v="83.333333333333329"/>
  </r>
  <r>
    <n v="5503939"/>
    <x v="49"/>
    <s v="ITC"/>
    <s v="FL"/>
    <n v="2"/>
    <n v="0.78"/>
    <m/>
    <n v="65"/>
    <m/>
    <m/>
    <m/>
    <n v="65"/>
    <n v="83.333333333333329"/>
  </r>
  <r>
    <n v="5504389"/>
    <x v="49"/>
    <s v="Westpark"/>
    <s v="FL"/>
    <n v="8"/>
    <n v="4.68"/>
    <m/>
    <n v="189"/>
    <m/>
    <m/>
    <m/>
    <n v="189"/>
    <n v="40.384615384615387"/>
  </r>
  <r>
    <n v="5507263"/>
    <x v="49"/>
    <s v="Nerman"/>
    <s v="SC"/>
    <n v="6"/>
    <n v="3.9"/>
    <m/>
    <n v="155.88"/>
    <m/>
    <m/>
    <m/>
    <n v="155.88"/>
    <n v="39.969230769230769"/>
  </r>
  <r>
    <n v="5507606"/>
    <x v="49"/>
    <s v="Olathe Center"/>
    <s v="FL"/>
    <n v="2"/>
    <n v="0.39"/>
    <m/>
    <n v="48"/>
    <m/>
    <m/>
    <m/>
    <n v="48"/>
    <n v="123.07692307692307"/>
  </r>
  <r>
    <n v="5817034"/>
    <x v="50"/>
    <s v="COM"/>
    <s v="SC"/>
    <n v="32"/>
    <n v="4.4800000000000004"/>
    <n v="116.48000000000002"/>
    <n v="115"/>
    <n v="16.8"/>
    <n v="4.4800000000000004"/>
    <n v="131.80000000000001"/>
    <n v="252.76000000000002"/>
    <n v="56.419642857142854"/>
  </r>
  <r>
    <n v="5817034"/>
    <x v="51"/>
    <s v="OCB"/>
    <s v="SC"/>
    <n v="30"/>
    <n v="2.84"/>
    <n v="73.84"/>
    <n v="115"/>
    <n v="16.8"/>
    <n v="2.84"/>
    <n v="131.80000000000001"/>
    <n v="208.48000000000002"/>
    <n v="73.408450704225359"/>
  </r>
  <r>
    <n v="5817034"/>
    <x v="51"/>
    <s v="South Compound"/>
    <s v="OT"/>
    <n v="20"/>
    <n v="6.36"/>
    <n v="165.36"/>
    <n v="115"/>
    <n v="16.8"/>
    <n v="6.36"/>
    <m/>
    <n v="303.52000000000004"/>
    <n v="47.723270440251575"/>
  </r>
  <r>
    <n v="5817034"/>
    <x v="52"/>
    <s v="?"/>
    <s v="OT"/>
    <n v="40"/>
    <n v="3.7"/>
    <n v="96.2"/>
    <n v="115"/>
    <n v="16.850000000000001"/>
    <n v="3.7"/>
    <m/>
    <n v="231.74999999999997"/>
    <n v="62.635135135135123"/>
  </r>
  <r>
    <n v="5817034"/>
    <x v="53"/>
    <s v="COM"/>
    <s v="SC"/>
    <n v="32"/>
    <n v="3.24"/>
    <n v="84.240000000000009"/>
    <n v="115"/>
    <n v="16.850000000000001"/>
    <n v="3.24"/>
    <n v="131.85"/>
    <n v="219.33"/>
    <n v="67.694444444444443"/>
  </r>
  <r>
    <n v="5817034"/>
    <x v="54"/>
    <s v="?"/>
    <s v="SC"/>
    <s v="?"/>
    <n v="4.05"/>
    <n v="105.3"/>
    <n v="115"/>
    <n v="16.850000000000001"/>
    <n v="4.05"/>
    <m/>
    <n v="241.20000000000002"/>
    <n v="59.555555555555564"/>
  </r>
  <r>
    <n v="5817034"/>
    <x v="54"/>
    <s v="South Compound"/>
    <s v="SC"/>
    <n v="34"/>
    <n v="4.43"/>
    <n v="115.17999999999999"/>
    <n v="115"/>
    <n v="16.850000000000001"/>
    <n v="4.43"/>
    <m/>
    <n v="251.46"/>
    <n v="56.762979683972915"/>
  </r>
  <r>
    <n v="5817034"/>
    <x v="55"/>
    <s v="South Compound"/>
    <s v="OT"/>
    <n v="20"/>
    <n v="4.9000000000000004"/>
    <n v="127.4"/>
    <n v="115"/>
    <n v="16.850000000000001"/>
    <n v="4.9000000000000004"/>
    <m/>
    <n v="264.14999999999998"/>
    <n v="53.908163265306115"/>
  </r>
  <r>
    <n v="5817034"/>
    <x v="56"/>
    <s v="?"/>
    <s v="OT"/>
    <n v="40"/>
    <n v="3.46"/>
    <n v="89.96"/>
    <n v="115"/>
    <n v="16.850000000000001"/>
    <n v="3.46"/>
    <m/>
    <n v="225.26999999999998"/>
    <n v="65.106936416184965"/>
  </r>
  <r>
    <n v="5817034"/>
    <x v="57"/>
    <s v="COM"/>
    <s v="SC"/>
    <n v="32"/>
    <n v="4.7"/>
    <n v="122.2"/>
    <n v="115"/>
    <n v="16.7"/>
    <n v="4.7"/>
    <n v="131.69999999999999"/>
    <n v="258.59999999999997"/>
    <n v="55.021276595744673"/>
  </r>
  <r>
    <n v="5817034"/>
    <x v="58"/>
    <s v="?"/>
    <s v="OT"/>
    <n v="40"/>
    <n v="2.39"/>
    <n v="62.14"/>
    <n v="115"/>
    <n v="16.7"/>
    <n v="2.39"/>
    <m/>
    <n v="196.22999999999996"/>
    <n v="82.104602510460225"/>
  </r>
  <r>
    <n v="5817034"/>
    <x v="58"/>
    <s v="South Compound"/>
    <s v="OT"/>
    <n v="20"/>
    <n v="2.4"/>
    <n v="62.4"/>
    <n v="115"/>
    <n v="16.7"/>
    <n v="2.4"/>
    <m/>
    <n v="196.5"/>
    <n v="81.875"/>
  </r>
  <r>
    <n v="5817034"/>
    <x v="58"/>
    <s v="South Compound"/>
    <s v="OT"/>
    <n v="20"/>
    <n v="2.67"/>
    <n v="69.42"/>
    <n v="115"/>
    <n v="16.7"/>
    <n v="2.67"/>
    <m/>
    <n v="203.79"/>
    <n v="76.325842696629209"/>
  </r>
  <r>
    <n v="5817034"/>
    <x v="59"/>
    <s v="OCB"/>
    <s v="SC"/>
    <n v="30"/>
    <n v="3.36"/>
    <n v="87.36"/>
    <n v="115"/>
    <n v="16.420000000000002"/>
    <n v="3.36"/>
    <n v="131.42000000000002"/>
    <n v="222.14000000000004"/>
    <n v="66.113095238095255"/>
  </r>
  <r>
    <n v="5817034"/>
    <x v="60"/>
    <s v="COM"/>
    <s v="SC"/>
    <n v="32"/>
    <n v="3.33"/>
    <n v="86.58"/>
    <n v="115"/>
    <n v="16.420000000000002"/>
    <n v="3.33"/>
    <n v="131.42000000000002"/>
    <n v="221.33"/>
    <n v="66.465465465465471"/>
  </r>
  <r>
    <n v="5817034"/>
    <x v="61"/>
    <s v="?"/>
    <s v="SC"/>
    <s v="?"/>
    <n v="2.41"/>
    <n v="62.660000000000004"/>
    <n v="115"/>
    <n v="16.420000000000002"/>
    <n v="2.41"/>
    <m/>
    <n v="196.48999999999998"/>
    <n v="81.531120331950191"/>
  </r>
  <r>
    <n v="5817034"/>
    <x v="61"/>
    <s v="?"/>
    <s v="OT"/>
    <n v="40"/>
    <n v="3.58"/>
    <n v="93.08"/>
    <n v="115"/>
    <n v="16.420000000000002"/>
    <n v="3.58"/>
    <m/>
    <n v="228.08"/>
    <n v="63.709497206703915"/>
  </r>
  <r>
    <n v="5817034"/>
    <x v="62"/>
    <s v="COM"/>
    <s v="SC"/>
    <n v="32"/>
    <n v="4.99"/>
    <n v="129.74"/>
    <n v="115"/>
    <n v="16.420000000000002"/>
    <n v="4.99"/>
    <n v="131.42000000000002"/>
    <n v="266.15000000000003"/>
    <n v="53.336673346693388"/>
  </r>
  <r>
    <n v="5514135"/>
    <x v="63"/>
    <s v="HCDC"/>
    <s v="FL"/>
    <n v="6"/>
    <n v="2.34"/>
    <m/>
    <n v="104"/>
    <m/>
    <m/>
    <m/>
    <n v="104"/>
    <n v="44.44444444444445"/>
  </r>
  <r>
    <n v="5514135"/>
    <x v="63"/>
    <s v="ITC"/>
    <s v="FL"/>
    <n v="2"/>
    <n v="0.78"/>
    <m/>
    <n v="65"/>
    <m/>
    <m/>
    <m/>
    <n v="65"/>
    <n v="83.333333333333329"/>
  </r>
  <r>
    <n v="5514135"/>
    <x v="63"/>
    <s v="ITC"/>
    <s v="FL"/>
    <n v="2"/>
    <n v="0.78"/>
    <m/>
    <n v="65"/>
    <m/>
    <m/>
    <m/>
    <n v="65"/>
    <n v="83.333333333333329"/>
  </r>
  <r>
    <n v="5514588"/>
    <x v="63"/>
    <s v="Westpark"/>
    <s v="FL"/>
    <n v="8"/>
    <n v="4.68"/>
    <m/>
    <n v="189"/>
    <m/>
    <m/>
    <m/>
    <n v="189"/>
    <n v="40.384615384615387"/>
  </r>
  <r>
    <n v="5517445"/>
    <x v="63"/>
    <s v="Nerman"/>
    <s v="SC"/>
    <n v="6"/>
    <n v="3.9"/>
    <m/>
    <n v="155.88"/>
    <m/>
    <m/>
    <m/>
    <n v="155.88"/>
    <n v="39.969230769230769"/>
  </r>
  <r>
    <n v="5517787"/>
    <x v="63"/>
    <s v="Olathe Center"/>
    <s v="FL"/>
    <n v="2"/>
    <n v="0.39"/>
    <m/>
    <n v="48"/>
    <m/>
    <m/>
    <m/>
    <n v="48"/>
    <n v="123.07692307692307"/>
  </r>
  <r>
    <n v="5838247"/>
    <x v="64"/>
    <s v="OCB"/>
    <s v="SC"/>
    <n v="30"/>
    <n v="1.5"/>
    <n v="39"/>
    <n v="115"/>
    <n v="16.16"/>
    <n v="1.5"/>
    <n v="131.16"/>
    <n v="171.66"/>
    <n v="114.44"/>
  </r>
  <r>
    <n v="5838247"/>
    <x v="65"/>
    <s v="?"/>
    <s v="SC"/>
    <n v="32"/>
    <n v="2"/>
    <n v="52"/>
    <n v="115"/>
    <n v="16.16"/>
    <n v="2"/>
    <m/>
    <n v="185.16"/>
    <n v="92.58"/>
  </r>
  <r>
    <n v="5838247"/>
    <x v="66"/>
    <s v="South Compound"/>
    <s v="OT"/>
    <n v="20"/>
    <n v="2.85"/>
    <n v="74.100000000000009"/>
    <n v="115"/>
    <n v="16.16"/>
    <n v="2.85"/>
    <m/>
    <n v="208.11"/>
    <n v="73.021052631578954"/>
  </r>
  <r>
    <n v="5838247"/>
    <x v="66"/>
    <s v="South Compound"/>
    <s v="OT"/>
    <n v="20"/>
    <n v="3.8"/>
    <n v="98.8"/>
    <n v="115"/>
    <n v="16.16"/>
    <n v="3.8"/>
    <m/>
    <n v="233.76000000000002"/>
    <n v="61.515789473684215"/>
  </r>
  <r>
    <n v="5838247"/>
    <x v="66"/>
    <s v="?"/>
    <s v="OT"/>
    <n v="40"/>
    <n v="5.98"/>
    <n v="155.48000000000002"/>
    <n v="115"/>
    <n v="16.16"/>
    <n v="5.98"/>
    <m/>
    <n v="292.62000000000006"/>
    <n v="48.933110367892986"/>
  </r>
  <r>
    <n v="5838247"/>
    <x v="67"/>
    <s v="OCB"/>
    <s v="SC"/>
    <n v="30"/>
    <n v="3.27"/>
    <n v="85.02"/>
    <n v="115"/>
    <n v="16.16"/>
    <n v="3.27"/>
    <n v="131.16"/>
    <n v="219.45"/>
    <n v="67.110091743119256"/>
  </r>
  <r>
    <n v="5838247"/>
    <x v="68"/>
    <s v="OCB"/>
    <s v="SC"/>
    <n v="30"/>
    <n v="9.69"/>
    <n v="251.94"/>
    <n v="115"/>
    <n v="16.260000000000002"/>
    <n v="9.69"/>
    <n v="131.26"/>
    <n v="392.89"/>
    <n v="40.545923632610936"/>
  </r>
  <r>
    <n v="5838247"/>
    <x v="69"/>
    <s v="COM"/>
    <s v="SC"/>
    <n v="32"/>
    <n v="5.87"/>
    <n v="152.62"/>
    <n v="115"/>
    <n v="16.260000000000002"/>
    <n v="5.87"/>
    <n v="131.26"/>
    <n v="289.75"/>
    <n v="49.361158432708685"/>
  </r>
  <r>
    <n v="5838247"/>
    <x v="70"/>
    <s v="?"/>
    <s v="OT"/>
    <n v="40"/>
    <n v="6.29"/>
    <n v="163.54"/>
    <n v="115"/>
    <n v="16.260000000000002"/>
    <n v="6.29"/>
    <m/>
    <n v="301.08999999999997"/>
    <n v="47.868044515103335"/>
  </r>
  <r>
    <n v="5838247"/>
    <x v="71"/>
    <s v="OCB"/>
    <s v="SC"/>
    <n v="30"/>
    <n v="4.45"/>
    <n v="115.7"/>
    <n v="115"/>
    <n v="16.260000000000002"/>
    <n v="4.45"/>
    <n v="131.26"/>
    <n v="251.40999999999997"/>
    <n v="56.496629213483139"/>
  </r>
  <r>
    <n v="5838247"/>
    <x v="72"/>
    <s v="COM"/>
    <s v="SC"/>
    <n v="32"/>
    <n v="2.2799999999999998"/>
    <n v="59.279999999999994"/>
    <n v="115"/>
    <n v="16.260000000000002"/>
    <n v="2.2799999999999998"/>
    <n v="131.26"/>
    <n v="192.82"/>
    <n v="84.570175438596493"/>
  </r>
  <r>
    <n v="5838247"/>
    <x v="73"/>
    <s v="?"/>
    <s v="OT"/>
    <n v="40"/>
    <n v="1.48"/>
    <n v="38.479999999999997"/>
    <n v="115"/>
    <n v="16.23"/>
    <n v="1.48"/>
    <m/>
    <n v="171.18999999999997"/>
    <n v="115.66891891891891"/>
  </r>
  <r>
    <n v="5522661"/>
    <x v="74"/>
    <s v="HCDC"/>
    <s v="FL"/>
    <n v="6"/>
    <n v="2.34"/>
    <m/>
    <n v="104"/>
    <m/>
    <m/>
    <m/>
    <n v="104"/>
    <n v="44.44444444444445"/>
  </r>
  <r>
    <n v="5522661"/>
    <x v="74"/>
    <s v="ITC"/>
    <s v="FL"/>
    <n v="2"/>
    <n v="0.78"/>
    <m/>
    <n v="65"/>
    <m/>
    <m/>
    <m/>
    <n v="65"/>
    <n v="83.333333333333329"/>
  </r>
  <r>
    <n v="5522661"/>
    <x v="74"/>
    <s v="ITC"/>
    <s v="FL"/>
    <n v="2"/>
    <n v="0.78"/>
    <m/>
    <n v="65"/>
    <m/>
    <m/>
    <m/>
    <n v="65"/>
    <n v="83.333333333333329"/>
  </r>
  <r>
    <n v="5523113"/>
    <x v="74"/>
    <s v="Westpark"/>
    <s v="FL"/>
    <n v="8"/>
    <n v="4.68"/>
    <m/>
    <n v="189"/>
    <m/>
    <m/>
    <m/>
    <n v="189"/>
    <n v="40.384615384615387"/>
  </r>
  <r>
    <n v="5525958"/>
    <x v="74"/>
    <s v="Nerman"/>
    <s v="SC"/>
    <n v="6"/>
    <n v="3.9"/>
    <m/>
    <n v="155.88"/>
    <m/>
    <m/>
    <m/>
    <n v="155.88"/>
    <n v="39.969230769230769"/>
  </r>
  <r>
    <n v="5526298"/>
    <x v="74"/>
    <s v="Olathe Center"/>
    <s v="FL"/>
    <n v="2"/>
    <n v="0.39"/>
    <m/>
    <n v="48"/>
    <m/>
    <m/>
    <m/>
    <n v="48"/>
    <n v="123.07692307692307"/>
  </r>
  <r>
    <n v="5838247"/>
    <x v="74"/>
    <s v="OCB"/>
    <s v="SC"/>
    <n v="30"/>
    <n v="1.7"/>
    <n v="44.199999999999996"/>
    <n v="115"/>
    <n v="16.23"/>
    <n v="1.7"/>
    <n v="131.22999999999999"/>
    <n v="177.12999999999997"/>
    <n v="104.1941176470588"/>
  </r>
  <r>
    <n v="5838247"/>
    <x v="74"/>
    <s v="South Compound"/>
    <s v="OT"/>
    <n v="20"/>
    <n v="0.95"/>
    <n v="24.7"/>
    <n v="115"/>
    <n v="16.23"/>
    <n v="0.95"/>
    <m/>
    <n v="156.87999999999997"/>
    <n v="165.13684210526313"/>
  </r>
  <r>
    <n v="5858085"/>
    <x v="75"/>
    <s v="South Compound"/>
    <s v="OT"/>
    <n v="20"/>
    <n v="0.81"/>
    <n v="21.060000000000002"/>
    <n v="115"/>
    <n v="16.02"/>
    <n v="0.81"/>
    <m/>
    <n v="152.89000000000001"/>
    <n v="188.75308641975309"/>
  </r>
  <r>
    <n v="5858085"/>
    <x v="76"/>
    <s v="COM"/>
    <s v="SC"/>
    <n v="32"/>
    <n v="4.24"/>
    <n v="110.24000000000001"/>
    <n v="115"/>
    <n v="16.02"/>
    <n v="4.24"/>
    <n v="131.02000000000001"/>
    <n v="245.50000000000003"/>
    <n v="57.900943396226417"/>
  </r>
  <r>
    <n v="5858085"/>
    <x v="77"/>
    <s v="OCB"/>
    <s v="SC"/>
    <n v="30"/>
    <n v="0.4"/>
    <n v="10.4"/>
    <n v="115"/>
    <n v="16.02"/>
    <n v="0.4"/>
    <n v="131.02000000000001"/>
    <n v="141.82000000000002"/>
    <n v="354.55"/>
  </r>
  <r>
    <n v="5858085"/>
    <x v="77"/>
    <s v="COM"/>
    <s v="SC"/>
    <n v="32"/>
    <n v="2.87"/>
    <n v="74.62"/>
    <n v="115"/>
    <n v="16.02"/>
    <n v="2.87"/>
    <n v="131.02000000000001"/>
    <n v="208.51000000000002"/>
    <n v="72.651567944250871"/>
  </r>
  <r>
    <n v="5858085"/>
    <x v="78"/>
    <s v="COM"/>
    <s v="SC"/>
    <n v="32"/>
    <n v="1.1599999999999999"/>
    <n v="30.159999999999997"/>
    <n v="115"/>
    <n v="16.02"/>
    <n v="1.1599999999999999"/>
    <n v="131.02000000000001"/>
    <n v="162.34"/>
    <n v="139.94827586206898"/>
  </r>
  <r>
    <n v="5858085"/>
    <x v="79"/>
    <s v="?"/>
    <s v="OT"/>
    <n v="40"/>
    <n v="6.26"/>
    <n v="162.76"/>
    <n v="115"/>
    <n v="16.02"/>
    <n v="6.26"/>
    <m/>
    <n v="300.03999999999996"/>
    <n v="47.929712460063897"/>
  </r>
  <r>
    <n v="5858085"/>
    <x v="79"/>
    <s v="South Compound"/>
    <s v="OT"/>
    <n v="20"/>
    <n v="2.5"/>
    <n v="65"/>
    <n v="115"/>
    <n v="16.02"/>
    <n v="2.5"/>
    <m/>
    <n v="198.52"/>
    <n v="79.408000000000001"/>
  </r>
  <r>
    <n v="5858085"/>
    <x v="79"/>
    <s v="South Compound"/>
    <s v="OT"/>
    <n v="20"/>
    <n v="0.73"/>
    <n v="18.98"/>
    <n v="115"/>
    <n v="16.02"/>
    <n v="0.73"/>
    <m/>
    <n v="150.72999999999999"/>
    <n v="206.47945205479451"/>
  </r>
  <r>
    <n v="5858085"/>
    <x v="79"/>
    <s v="South Compound"/>
    <s v="SC"/>
    <n v="34"/>
    <n v="8.85"/>
    <n v="230.1"/>
    <n v="115"/>
    <n v="16.02"/>
    <n v="8.85"/>
    <m/>
    <n v="369.97"/>
    <n v="41.804519774011304"/>
  </r>
  <r>
    <n v="5858085"/>
    <x v="80"/>
    <s v="OCB"/>
    <s v="SC"/>
    <n v="30"/>
    <n v="1.99"/>
    <n v="51.74"/>
    <n v="115"/>
    <n v="16.02"/>
    <n v="1.99"/>
    <n v="131.02000000000001"/>
    <n v="184.75000000000003"/>
    <n v="92.839195979899515"/>
  </r>
  <r>
    <n v="5858085"/>
    <x v="81"/>
    <s v="COM"/>
    <s v="SC"/>
    <n v="32"/>
    <n v="2.7"/>
    <n v="70.2"/>
    <n v="115"/>
    <n v="16.02"/>
    <n v="2.7"/>
    <n v="131.02000000000001"/>
    <n v="203.92"/>
    <n v="75.525925925925918"/>
  </r>
  <r>
    <n v="5858085"/>
    <x v="82"/>
    <s v="OCB"/>
    <s v="SC"/>
    <n v="30"/>
    <n v="1.5"/>
    <n v="39"/>
    <n v="115"/>
    <n v="16.02"/>
    <n v="1.5"/>
    <n v="131.02000000000001"/>
    <n v="171.52"/>
    <n v="114.34666666666668"/>
  </r>
  <r>
    <n v="5858085"/>
    <x v="83"/>
    <s v="?"/>
    <s v="SC"/>
    <n v="35"/>
    <n v="5.27"/>
    <n v="137.01999999999998"/>
    <n v="115"/>
    <n v="16.02"/>
    <n v="5.27"/>
    <m/>
    <n v="273.30999999999995"/>
    <n v="51.861480075901319"/>
  </r>
  <r>
    <n v="5858085"/>
    <x v="83"/>
    <s v="South Compound"/>
    <s v="OT"/>
    <n v="20"/>
    <n v="1.21"/>
    <n v="31.46"/>
    <n v="115"/>
    <n v="16.02"/>
    <n v="1.21"/>
    <m/>
    <n v="163.69000000000003"/>
    <n v="135.28099173553721"/>
  </r>
  <r>
    <n v="5858085"/>
    <x v="83"/>
    <s v="?"/>
    <s v="OT"/>
    <n v="40"/>
    <n v="5.48"/>
    <n v="142.48000000000002"/>
    <n v="115"/>
    <n v="16.02"/>
    <n v="5.48"/>
    <m/>
    <n v="278.98"/>
    <n v="50.908759124087588"/>
  </r>
  <r>
    <n v="5858085"/>
    <x v="83"/>
    <s v="?"/>
    <s v="OT"/>
    <n v="40"/>
    <n v="3.66"/>
    <n v="95.16"/>
    <n v="115"/>
    <n v="16.02"/>
    <n v="3.66"/>
    <m/>
    <n v="229.84"/>
    <n v="62.797814207650269"/>
  </r>
  <r>
    <n v="5858085"/>
    <x v="84"/>
    <s v="COM"/>
    <s v="SC"/>
    <n v="32"/>
    <n v="2"/>
    <n v="52"/>
    <n v="115"/>
    <n v="16.02"/>
    <n v="2"/>
    <n v="131.02000000000001"/>
    <n v="185.02"/>
    <n v="92.51"/>
  </r>
  <r>
    <n v="5858085"/>
    <x v="85"/>
    <s v="OCB"/>
    <s v="SC"/>
    <n v="30"/>
    <n v="1.9"/>
    <n v="49.4"/>
    <n v="115"/>
    <n v="16.02"/>
    <n v="1.9"/>
    <n v="131.02000000000001"/>
    <n v="182.32000000000002"/>
    <n v="95.957894736842121"/>
  </r>
  <r>
    <n v="5531159"/>
    <x v="86"/>
    <s v="HCDC"/>
    <s v="FL"/>
    <n v="6"/>
    <n v="2.34"/>
    <m/>
    <n v="104"/>
    <m/>
    <m/>
    <m/>
    <n v="104"/>
    <n v="44.44444444444445"/>
  </r>
  <r>
    <n v="5531159"/>
    <x v="86"/>
    <s v="ITC"/>
    <s v="FL"/>
    <n v="2"/>
    <n v="0.78"/>
    <m/>
    <n v="65"/>
    <m/>
    <m/>
    <m/>
    <n v="65"/>
    <n v="83.333333333333329"/>
  </r>
  <r>
    <n v="5531159"/>
    <x v="86"/>
    <s v="ITC"/>
    <s v="FL"/>
    <n v="2"/>
    <n v="0.78"/>
    <m/>
    <n v="65"/>
    <m/>
    <m/>
    <m/>
    <n v="65"/>
    <n v="83.333333333333329"/>
  </r>
  <r>
    <n v="5531606"/>
    <x v="86"/>
    <s v="Westpark"/>
    <s v="FL"/>
    <n v="8"/>
    <n v="4.68"/>
    <m/>
    <n v="189"/>
    <m/>
    <m/>
    <m/>
    <n v="189"/>
    <n v="40.384615384615387"/>
  </r>
  <r>
    <n v="5534453"/>
    <x v="86"/>
    <s v="Nerman"/>
    <s v="SC"/>
    <n v="6"/>
    <n v="3.9"/>
    <m/>
    <n v="155.88"/>
    <m/>
    <m/>
    <m/>
    <n v="155.88"/>
    <n v="39.969230769230769"/>
  </r>
  <r>
    <n v="5534793"/>
    <x v="86"/>
    <s v="Olathe Center"/>
    <s v="FL"/>
    <n v="2"/>
    <n v="0.39"/>
    <m/>
    <n v="48"/>
    <m/>
    <m/>
    <m/>
    <n v="48"/>
    <n v="123.07692307692307"/>
  </r>
  <r>
    <n v="5858085"/>
    <x v="86"/>
    <s v="COM"/>
    <s v="SC"/>
    <n v="32"/>
    <n v="2.16"/>
    <n v="56.160000000000004"/>
    <n v="115"/>
    <n v="16.02"/>
    <n v="2.16"/>
    <n v="131.02000000000001"/>
    <n v="189.34"/>
    <n v="87.657407407407405"/>
  </r>
  <r>
    <n v="5877672"/>
    <x v="87"/>
    <s v="CSB"/>
    <s v="OT"/>
    <n v="40"/>
    <n v="2.4700000000000002"/>
    <n v="64.22"/>
    <n v="115"/>
    <n v="16.02"/>
    <n v="2.4700000000000002"/>
    <m/>
    <n v="197.71"/>
    <n v="80.044534412955457"/>
  </r>
  <r>
    <n v="5877672"/>
    <x v="88"/>
    <s v="?"/>
    <s v="OT"/>
    <n v="40"/>
    <n v="2.97"/>
    <n v="77.22"/>
    <n v="115"/>
    <n v="16.02"/>
    <n v="2.97"/>
    <m/>
    <n v="211.21"/>
    <n v="71.114478114478118"/>
  </r>
  <r>
    <n v="5877672"/>
    <x v="88"/>
    <s v="OCB"/>
    <s v="SC"/>
    <n v="30"/>
    <n v="2.0099999999999998"/>
    <n v="52.259999999999991"/>
    <n v="115"/>
    <n v="16.02"/>
    <n v="2.0099999999999998"/>
    <n v="131.02000000000001"/>
    <n v="185.29"/>
    <n v="92.184079601990049"/>
  </r>
  <r>
    <n v="5877672"/>
    <x v="89"/>
    <s v="COM"/>
    <s v="SC"/>
    <n v="32"/>
    <n v="2.0099999999999998"/>
    <n v="52.259999999999991"/>
    <n v="115"/>
    <n v="16.16"/>
    <n v="2.0099999999999998"/>
    <n v="131.16"/>
    <n v="185.42999999999998"/>
    <n v="92.253731343283576"/>
  </r>
  <r>
    <n v="5877672"/>
    <x v="90"/>
    <s v="OCB"/>
    <s v="SC"/>
    <n v="30"/>
    <n v="0.22"/>
    <n v="5.72"/>
    <n v="115"/>
    <n v="16.02"/>
    <n v="0.22"/>
    <n v="131.02000000000001"/>
    <n v="136.96"/>
    <n v="622.54545454545462"/>
  </r>
  <r>
    <n v="5877672"/>
    <x v="90"/>
    <s v="South Compound"/>
    <s v="OT"/>
    <n v="20"/>
    <n v="1.32"/>
    <n v="34.32"/>
    <n v="115"/>
    <n v="16.02"/>
    <n v="1.32"/>
    <m/>
    <n v="166.66"/>
    <n v="126.25757575757575"/>
  </r>
  <r>
    <n v="5877672"/>
    <x v="90"/>
    <s v="CSB"/>
    <s v="OT"/>
    <n v="40"/>
    <n v="3.49"/>
    <n v="90.740000000000009"/>
    <n v="115"/>
    <n v="16.02"/>
    <n v="3.49"/>
    <m/>
    <n v="225.25000000000003"/>
    <n v="64.541547277936971"/>
  </r>
  <r>
    <n v="5877672"/>
    <x v="91"/>
    <s v="COM"/>
    <s v="SC"/>
    <n v="32"/>
    <n v="2.14"/>
    <n v="55.64"/>
    <n v="115"/>
    <n v="16.02"/>
    <n v="2.14"/>
    <n v="131.02000000000001"/>
    <n v="188.79999999999998"/>
    <n v="88.224299065420553"/>
  </r>
  <r>
    <n v="5877672"/>
    <x v="92"/>
    <s v="South Compound"/>
    <s v="OT"/>
    <n v="20"/>
    <n v="0.61"/>
    <n v="15.86"/>
    <n v="115"/>
    <n v="16.02"/>
    <n v="0.61"/>
    <m/>
    <n v="147.49000000000004"/>
    <n v="241.78688524590171"/>
  </r>
  <r>
    <n v="5877672"/>
    <x v="93"/>
    <s v="OCB"/>
    <s v="SC"/>
    <n v="30"/>
    <n v="2.13"/>
    <n v="55.379999999999995"/>
    <n v="115"/>
    <n v="16.02"/>
    <n v="2.13"/>
    <n v="131.02000000000001"/>
    <n v="188.53"/>
    <n v="88.511737089201887"/>
  </r>
  <r>
    <n v="5877672"/>
    <x v="94"/>
    <s v="CSB"/>
    <s v="OT"/>
    <n v="40"/>
    <n v="1.64"/>
    <n v="42.64"/>
    <n v="115"/>
    <n v="16.02"/>
    <n v="1.64"/>
    <m/>
    <n v="175.29999999999998"/>
    <n v="106.89024390243902"/>
  </r>
  <r>
    <n v="5877672"/>
    <x v="94"/>
    <s v="Warehouse"/>
    <s v="OT"/>
    <n v="40"/>
    <n v="1.06"/>
    <n v="27.560000000000002"/>
    <n v="115"/>
    <n v="16.02"/>
    <n v="1.06"/>
    <m/>
    <n v="159.64000000000001"/>
    <n v="150.60377358490567"/>
  </r>
  <r>
    <n v="5877672"/>
    <x v="95"/>
    <s v="COM"/>
    <s v="SC"/>
    <n v="32"/>
    <n v="2.31"/>
    <n v="60.06"/>
    <n v="115"/>
    <n v="16.02"/>
    <n v="2.31"/>
    <n v="131.02000000000001"/>
    <n v="193.39000000000001"/>
    <n v="83.718614718614717"/>
  </r>
  <r>
    <n v="5877672"/>
    <x v="96"/>
    <s v="South Compound"/>
    <s v="SC"/>
    <n v="35"/>
    <n v="6.4"/>
    <n v="166.4"/>
    <n v="115"/>
    <n v="16.16"/>
    <n v="6.4"/>
    <m/>
    <n v="303.95999999999998"/>
    <n v="47.493749999999991"/>
  </r>
  <r>
    <n v="5877672"/>
    <x v="97"/>
    <s v="OCB"/>
    <s v="SC"/>
    <n v="30"/>
    <n v="2.4700000000000002"/>
    <n v="64.22"/>
    <n v="115"/>
    <n v="16.16"/>
    <n v="2.4700000000000002"/>
    <n v="131.16"/>
    <n v="197.85"/>
    <n v="80.101214574898776"/>
  </r>
  <r>
    <n v="5877672"/>
    <x v="98"/>
    <s v="South Compound"/>
    <s v="OT"/>
    <n v="20"/>
    <n v="1.77"/>
    <n v="46.02"/>
    <n v="115"/>
    <n v="16.16"/>
    <n v="1.77"/>
    <m/>
    <n v="178.95000000000002"/>
    <n v="101.10169491525424"/>
  </r>
  <r>
    <n v="5877672"/>
    <x v="99"/>
    <s v="COM"/>
    <s v="SC"/>
    <n v="32"/>
    <n v="2.0299999999999998"/>
    <n v="52.779999999999994"/>
    <n v="115"/>
    <n v="16.16"/>
    <n v="2.0299999999999998"/>
    <n v="131.16"/>
    <n v="185.97"/>
    <n v="91.610837438423658"/>
  </r>
  <r>
    <n v="5877672"/>
    <x v="100"/>
    <s v="COM"/>
    <s v="SC"/>
    <n v="32"/>
    <n v="4.6100000000000003"/>
    <n v="119.86000000000001"/>
    <n v="115"/>
    <n v="16.16"/>
    <n v="4.6100000000000003"/>
    <n v="131.16"/>
    <n v="255.63000000000002"/>
    <n v="55.451193058568329"/>
  </r>
  <r>
    <n v="5539622"/>
    <x v="101"/>
    <s v="HCDC"/>
    <s v="FL"/>
    <n v="6"/>
    <n v="2.34"/>
    <m/>
    <n v="104"/>
    <n v="0"/>
    <m/>
    <m/>
    <n v="104"/>
    <n v="44.44444444444445"/>
  </r>
  <r>
    <n v="5539622"/>
    <x v="101"/>
    <s v="ITC"/>
    <s v="FL"/>
    <n v="2"/>
    <n v="0.78"/>
    <m/>
    <n v="65"/>
    <n v="0"/>
    <m/>
    <m/>
    <n v="65"/>
    <n v="83.333333333333329"/>
  </r>
  <r>
    <n v="5539622"/>
    <x v="101"/>
    <s v="ITC"/>
    <s v="FL"/>
    <n v="2"/>
    <n v="0.78"/>
    <m/>
    <n v="65"/>
    <n v="0"/>
    <m/>
    <m/>
    <n v="65"/>
    <n v="83.333333333333329"/>
  </r>
  <r>
    <n v="5540071"/>
    <x v="101"/>
    <s v="Westpark"/>
    <s v="FL"/>
    <n v="8"/>
    <n v="4.68"/>
    <m/>
    <n v="189"/>
    <m/>
    <m/>
    <m/>
    <n v="189"/>
    <n v="40.384615384615387"/>
  </r>
  <r>
    <n v="5542884"/>
    <x v="101"/>
    <s v="Nerman"/>
    <s v="SC"/>
    <n v="6"/>
    <n v="3.9"/>
    <m/>
    <n v="155.88"/>
    <n v="0"/>
    <m/>
    <m/>
    <n v="155.88"/>
    <n v="39.969230769230769"/>
  </r>
  <r>
    <n v="5543216"/>
    <x v="101"/>
    <s v="ITC"/>
    <s v="FL"/>
    <n v="2"/>
    <n v="0.78"/>
    <m/>
    <n v="65"/>
    <n v="0"/>
    <m/>
    <m/>
    <n v="65"/>
    <n v="83.333333333333329"/>
  </r>
  <r>
    <n v="5877672"/>
    <x v="101"/>
    <s v="?"/>
    <s v="OT"/>
    <n v="40"/>
    <n v="4.7300000000000004"/>
    <n v="122.98000000000002"/>
    <n v="115"/>
    <n v="16.16"/>
    <n v="4.7300000000000004"/>
    <m/>
    <n v="258.87"/>
    <n v="54.729386892177587"/>
  </r>
  <r>
    <n v="5896053"/>
    <x v="102"/>
    <s v="OCB"/>
    <s v="SC"/>
    <n v="30"/>
    <n v="1.21"/>
    <n v="31.46"/>
    <n v="115"/>
    <n v="16.190000000000001"/>
    <n v="1.21"/>
    <n v="131.19"/>
    <n v="163.86"/>
    <n v="135.42148760330579"/>
  </r>
  <r>
    <n v="5896053"/>
    <x v="102"/>
    <s v="South Compound"/>
    <s v="OT"/>
    <n v="20"/>
    <n v="2.5"/>
    <n v="65"/>
    <n v="115"/>
    <n v="16.190000000000001"/>
    <n v="2.5"/>
    <m/>
    <n v="198.69"/>
    <n v="79.475999999999999"/>
  </r>
  <r>
    <n v="5896053"/>
    <x v="103"/>
    <s v="COM"/>
    <s v="SC"/>
    <n v="32"/>
    <n v="1.47"/>
    <n v="38.22"/>
    <n v="115"/>
    <n v="16.190000000000001"/>
    <n v="1.47"/>
    <n v="131.19"/>
    <n v="170.88"/>
    <n v="116.24489795918367"/>
  </r>
  <r>
    <n v="5896053"/>
    <x v="104"/>
    <s v="CSB"/>
    <s v="OT"/>
    <n v="40"/>
    <n v="4.16"/>
    <n v="108.16"/>
    <n v="115"/>
    <n v="16.190000000000001"/>
    <n v="4.16"/>
    <m/>
    <n v="243.51"/>
    <n v="58.536057692307686"/>
  </r>
  <r>
    <n v="5896053"/>
    <x v="105"/>
    <s v="OCB"/>
    <s v="SC"/>
    <n v="30"/>
    <n v="5.62"/>
    <n v="146.12"/>
    <n v="115"/>
    <n v="16.190000000000001"/>
    <n v="5.62"/>
    <n v="131.19"/>
    <n v="282.93"/>
    <n v="50.343416370106759"/>
  </r>
  <r>
    <n v="5896053"/>
    <x v="105"/>
    <s v="South Compound"/>
    <s v="OT"/>
    <n v="20"/>
    <n v="1.54"/>
    <n v="40.04"/>
    <n v="115"/>
    <n v="16.190000000000001"/>
    <n v="1.54"/>
    <m/>
    <n v="172.76999999999998"/>
    <n v="112.18831168831167"/>
  </r>
  <r>
    <n v="5896053"/>
    <x v="106"/>
    <s v="COM"/>
    <s v="SC"/>
    <n v="32"/>
    <n v="2.37"/>
    <n v="61.620000000000005"/>
    <n v="115"/>
    <n v="16.190000000000001"/>
    <n v="2.37"/>
    <n v="131.19"/>
    <n v="195.18"/>
    <n v="82.35443037974683"/>
  </r>
  <r>
    <n v="5896053"/>
    <x v="107"/>
    <s v="COM"/>
    <s v="SC"/>
    <n v="32"/>
    <n v="6.44"/>
    <n v="167.44"/>
    <n v="115"/>
    <n v="16.190000000000001"/>
    <n v="6.44"/>
    <n v="131.19"/>
    <n v="305.07"/>
    <n v="47.371118012422357"/>
  </r>
  <r>
    <n v="5896053"/>
    <x v="108"/>
    <s v="OCB"/>
    <s v="SC"/>
    <n v="30"/>
    <n v="2.2000000000000002"/>
    <n v="57.2"/>
    <n v="115"/>
    <n v="16.190000000000001"/>
    <n v="2.2000000000000002"/>
    <n v="131.19"/>
    <n v="190.58999999999997"/>
    <n v="86.631818181818161"/>
  </r>
  <r>
    <n v="5896053"/>
    <x v="108"/>
    <s v="CSB"/>
    <s v="OT"/>
    <n v="40"/>
    <n v="3.47"/>
    <n v="90.22"/>
    <n v="115"/>
    <n v="16.190000000000001"/>
    <n v="3.47"/>
    <m/>
    <n v="224.88"/>
    <n v="64.80691642651297"/>
  </r>
  <r>
    <n v="5896053"/>
    <x v="109"/>
    <s v="COM"/>
    <s v="SC"/>
    <n v="32"/>
    <n v="6.61"/>
    <n v="171.86"/>
    <n v="115"/>
    <n v="16.23"/>
    <n v="6.61"/>
    <n v="131.22999999999999"/>
    <n v="309.70000000000005"/>
    <n v="46.853252647503787"/>
  </r>
  <r>
    <n v="5896053"/>
    <x v="110"/>
    <s v="?"/>
    <s v="OT"/>
    <n v="40"/>
    <n v="3.27"/>
    <n v="85.02"/>
    <n v="115"/>
    <n v="16.23"/>
    <n v="3.27"/>
    <m/>
    <n v="219.51999999999998"/>
    <n v="67.131498470948003"/>
  </r>
  <r>
    <n v="5896053"/>
    <x v="111"/>
    <s v="CSB"/>
    <s v="OT"/>
    <n v="40"/>
    <n v="2.93"/>
    <n v="76.180000000000007"/>
    <n v="115"/>
    <n v="16.23"/>
    <n v="2.93"/>
    <m/>
    <n v="210.34"/>
    <n v="71.788395904436854"/>
  </r>
  <r>
    <n v="5896053"/>
    <x v="112"/>
    <s v="OCB"/>
    <s v="SC"/>
    <n v="30"/>
    <n v="4.05"/>
    <n v="105.3"/>
    <n v="115"/>
    <n v="16.23"/>
    <n v="4.05"/>
    <n v="131.22999999999999"/>
    <n v="240.58"/>
    <n v="59.402469135802477"/>
  </r>
  <r>
    <n v="5896053"/>
    <x v="113"/>
    <s v="COM"/>
    <s v="SC"/>
    <n v="32"/>
    <n v="5.77"/>
    <n v="150.01999999999998"/>
    <n v="115"/>
    <n v="16.23"/>
    <n v="5.77"/>
    <n v="131.22999999999999"/>
    <n v="287.02"/>
    <n v="49.74350086655113"/>
  </r>
  <r>
    <n v="5896053"/>
    <x v="114"/>
    <s v="COM"/>
    <s v="SC"/>
    <n v="32"/>
    <n v="1.57"/>
    <n v="40.82"/>
    <n v="115"/>
    <n v="16.23"/>
    <n v="1.57"/>
    <n v="131.22999999999999"/>
    <n v="173.61999999999998"/>
    <n v="110.58598726114647"/>
  </r>
  <r>
    <n v="5896053"/>
    <x v="115"/>
    <s v="OCB"/>
    <s v="SC"/>
    <n v="30"/>
    <n v="1.39"/>
    <n v="36.14"/>
    <n v="115"/>
    <n v="16.23"/>
    <n v="1.39"/>
    <n v="131.22999999999999"/>
    <n v="168.75999999999996"/>
    <n v="121.41007194244602"/>
  </r>
  <r>
    <n v="5896053"/>
    <x v="115"/>
    <s v="?"/>
    <s v="OT"/>
    <n v="40"/>
    <n v="2.11"/>
    <n v="54.86"/>
    <n v="115"/>
    <n v="16.23"/>
    <n v="2.11"/>
    <m/>
    <n v="188.20000000000002"/>
    <n v="89.19431279620855"/>
  </r>
  <r>
    <n v="5896053"/>
    <x v="115"/>
    <s v="?"/>
    <s v="OT"/>
    <n v="20"/>
    <n v="0.97"/>
    <n v="25.22"/>
    <n v="115"/>
    <n v="16.23"/>
    <n v="0.97"/>
    <m/>
    <n v="157.41999999999999"/>
    <n v="162.28865979381442"/>
  </r>
  <r>
    <n v="5896053"/>
    <x v="115"/>
    <s v="?"/>
    <s v="OT"/>
    <n v="20"/>
    <n v="0.91"/>
    <n v="23.66"/>
    <n v="115"/>
    <n v="16.23"/>
    <n v="0.91"/>
    <m/>
    <n v="155.79999999999998"/>
    <n v="171.20879120879118"/>
  </r>
  <r>
    <n v="5547742"/>
    <x v="116"/>
    <s v="HCDC"/>
    <s v="FL"/>
    <n v="6"/>
    <n v="2.34"/>
    <m/>
    <n v="104"/>
    <n v="0"/>
    <m/>
    <m/>
    <n v="104"/>
    <n v="44.44444444444445"/>
  </r>
  <r>
    <n v="5547742"/>
    <x v="116"/>
    <s v="ITC"/>
    <s v="FL"/>
    <n v="2"/>
    <n v="0.78"/>
    <m/>
    <n v="65"/>
    <n v="0"/>
    <m/>
    <m/>
    <n v="65"/>
    <n v="83.333333333333329"/>
  </r>
  <r>
    <n v="5547742"/>
    <x v="116"/>
    <s v="ITC"/>
    <s v="FL"/>
    <n v="2"/>
    <n v="0.78"/>
    <m/>
    <n v="65"/>
    <n v="0"/>
    <m/>
    <m/>
    <n v="65"/>
    <n v="83.333333333333329"/>
  </r>
  <r>
    <n v="5548187"/>
    <x v="116"/>
    <s v="Westpark"/>
    <s v="FL"/>
    <n v="8"/>
    <n v="4.68"/>
    <m/>
    <n v="189"/>
    <n v="0"/>
    <m/>
    <m/>
    <n v="189"/>
    <n v="40.384615384615387"/>
  </r>
  <r>
    <n v="5551005"/>
    <x v="116"/>
    <s v="Nerman"/>
    <s v="SC"/>
    <n v="6"/>
    <n v="3.9"/>
    <m/>
    <n v="155.88"/>
    <n v="0"/>
    <m/>
    <m/>
    <n v="155.88"/>
    <n v="39.969230769230769"/>
  </r>
  <r>
    <n v="5551334"/>
    <x v="116"/>
    <s v="Olathe Center"/>
    <s v="FL"/>
    <n v="2"/>
    <n v="0.39"/>
    <m/>
    <n v="48"/>
    <n v="0"/>
    <m/>
    <m/>
    <n v="48"/>
    <n v="123.07692307692307"/>
  </r>
  <r>
    <n v="5896053"/>
    <x v="116"/>
    <s v="CSB"/>
    <s v="OT"/>
    <n v="40"/>
    <n v="4.68"/>
    <n v="121.67999999999999"/>
    <n v="115"/>
    <n v="16.23"/>
    <n v="4.68"/>
    <m/>
    <n v="257.58999999999997"/>
    <n v="55.04059829059829"/>
  </r>
  <r>
    <n v="5914230"/>
    <x v="117"/>
    <s v="COM"/>
    <s v="SC"/>
    <n v="32"/>
    <n v="2.7"/>
    <n v="70.2"/>
    <n v="115"/>
    <n v="16.66"/>
    <n v="2.7"/>
    <n v="131.66"/>
    <n v="204.55999999999997"/>
    <n v="75.762962962962945"/>
  </r>
  <r>
    <n v="5914230"/>
    <x v="118"/>
    <s v="COM"/>
    <s v="SC"/>
    <n v="32"/>
    <n v="4.32"/>
    <n v="112.32000000000001"/>
    <n v="115"/>
    <n v="16.66"/>
    <n v="4.32"/>
    <n v="131.66"/>
    <n v="248.29999999999998"/>
    <n v="57.476851851851848"/>
  </r>
  <r>
    <n v="5914230"/>
    <x v="119"/>
    <s v="Warehouse"/>
    <s v="OT"/>
    <n v="40"/>
    <n v="3.38"/>
    <n v="87.88"/>
    <n v="115"/>
    <n v="16.66"/>
    <n v="3.38"/>
    <m/>
    <n v="222.92"/>
    <n v="65.952662721893489"/>
  </r>
  <r>
    <n v="5914230"/>
    <x v="120"/>
    <s v="OCB"/>
    <s v="SC"/>
    <n v="30"/>
    <n v="6.43"/>
    <n v="167.18"/>
    <n v="115"/>
    <n v="16.66"/>
    <n v="6.43"/>
    <n v="131.66"/>
    <n v="305.27000000000004"/>
    <n v="47.475894245723183"/>
  </r>
  <r>
    <n v="5914230"/>
    <x v="121"/>
    <s v="CSB"/>
    <s v="OT"/>
    <n v="40"/>
    <n v="5.07"/>
    <n v="131.82"/>
    <n v="115"/>
    <n v="16.66"/>
    <n v="5.07"/>
    <m/>
    <n v="268.55"/>
    <n v="52.968441814595657"/>
  </r>
  <r>
    <n v="5914230"/>
    <x v="122"/>
    <s v="COM"/>
    <s v="SC"/>
    <n v="32"/>
    <n v="3.34"/>
    <n v="86.84"/>
    <n v="115"/>
    <n v="16.66"/>
    <n v="3.34"/>
    <n v="131.66"/>
    <n v="221.84"/>
    <n v="66.419161676646709"/>
  </r>
  <r>
    <n v="5914230"/>
    <x v="123"/>
    <s v="OCB"/>
    <s v="SC"/>
    <n v="30"/>
    <n v="3.11"/>
    <n v="80.86"/>
    <n v="115"/>
    <n v="16.66"/>
    <n v="3.11"/>
    <n v="131.66"/>
    <n v="215.63000000000002"/>
    <n v="69.334405144694543"/>
  </r>
  <r>
    <n v="5914230"/>
    <x v="124"/>
    <s v="CSB"/>
    <s v="OT"/>
    <n v="40"/>
    <n v="2.67"/>
    <n v="69.42"/>
    <n v="115"/>
    <n v="16.66"/>
    <n v="2.67"/>
    <m/>
    <n v="203.75"/>
    <n v="76.31086142322097"/>
  </r>
  <r>
    <n v="5914230"/>
    <x v="125"/>
    <s v="COM"/>
    <s v="SC"/>
    <n v="32"/>
    <n v="4.18"/>
    <n v="108.67999999999999"/>
    <n v="115"/>
    <n v="16.63"/>
    <n v="4.18"/>
    <n v="131.63"/>
    <n v="244.49"/>
    <n v="58.490430622009576"/>
  </r>
  <r>
    <n v="5914230"/>
    <x v="126"/>
    <s v="OCB"/>
    <s v="SC"/>
    <n v="30"/>
    <n v="2.1800000000000002"/>
    <n v="56.680000000000007"/>
    <n v="115"/>
    <n v="16.63"/>
    <n v="2.1800000000000002"/>
    <n v="131.63"/>
    <n v="190.49"/>
    <n v="87.38073394495413"/>
  </r>
  <r>
    <n v="5914230"/>
    <x v="126"/>
    <s v="CSB"/>
    <s v="OT"/>
    <n v="40"/>
    <n v="2.29"/>
    <n v="59.54"/>
    <n v="115"/>
    <n v="16.66"/>
    <n v="2.29"/>
    <m/>
    <n v="193.48999999999998"/>
    <n v="84.493449781659379"/>
  </r>
  <r>
    <n v="5914230"/>
    <x v="127"/>
    <s v="COM"/>
    <s v="SC"/>
    <n v="32"/>
    <n v="2.2000000000000002"/>
    <n v="57.2"/>
    <n v="115"/>
    <n v="16.63"/>
    <n v="2.2000000000000002"/>
    <n v="131.63"/>
    <n v="191.02999999999997"/>
    <n v="86.831818181818164"/>
  </r>
  <r>
    <n v="5914230"/>
    <x v="128"/>
    <s v="COM"/>
    <s v="SC"/>
    <n v="32"/>
    <n v="7.41"/>
    <n v="192.66"/>
    <n v="115"/>
    <n v="16.63"/>
    <n v="7.41"/>
    <n v="131.63"/>
    <n v="331.7"/>
    <n v="44.763832658569498"/>
  </r>
  <r>
    <n v="5914230"/>
    <x v="129"/>
    <s v="OCB"/>
    <s v="SC"/>
    <n v="30"/>
    <n v="3.07"/>
    <n v="79.819999999999993"/>
    <n v="115"/>
    <n v="16.63"/>
    <n v="3.07"/>
    <n v="131.63"/>
    <n v="214.51999999999998"/>
    <n v="69.876221498371336"/>
  </r>
  <r>
    <n v="5914230"/>
    <x v="129"/>
    <s v="South Compound"/>
    <s v="OT"/>
    <n v="20"/>
    <n v="3.54"/>
    <n v="92.04"/>
    <n v="115"/>
    <n v="16.63"/>
    <n v="3.54"/>
    <m/>
    <n v="227.21"/>
    <n v="64.183615819209038"/>
  </r>
  <r>
    <n v="5914230"/>
    <x v="129"/>
    <s v="CSB"/>
    <s v="OT "/>
    <n v="40"/>
    <n v="3.54"/>
    <n v="92.04"/>
    <n v="115"/>
    <n v="16.63"/>
    <n v="3.54"/>
    <m/>
    <n v="227.21"/>
    <n v="64.183615819209038"/>
  </r>
  <r>
    <n v="5556781"/>
    <x v="130"/>
    <s v="HCDC"/>
    <s v="FL"/>
    <n v="6"/>
    <n v="2.34"/>
    <m/>
    <n v="104"/>
    <n v="0"/>
    <m/>
    <m/>
    <n v="104"/>
    <n v="44.44444444444445"/>
  </r>
  <r>
    <n v="5556781"/>
    <x v="130"/>
    <s v="ITC"/>
    <s v="FL"/>
    <n v="6"/>
    <n v="0.78"/>
    <m/>
    <n v="65"/>
    <n v="0"/>
    <m/>
    <m/>
    <n v="65"/>
    <n v="83.333333333333329"/>
  </r>
  <r>
    <n v="5556781"/>
    <x v="130"/>
    <s v="ITC"/>
    <s v="FL"/>
    <n v="6"/>
    <n v="0.78"/>
    <m/>
    <n v="65"/>
    <n v="0"/>
    <m/>
    <m/>
    <n v="65"/>
    <n v="83.333333333333329"/>
  </r>
  <r>
    <n v="5557215"/>
    <x v="130"/>
    <s v="Westpark"/>
    <s v="FL"/>
    <n v="8"/>
    <n v="4.68"/>
    <m/>
    <n v="189"/>
    <n v="0"/>
    <m/>
    <m/>
    <n v="189"/>
    <n v="40.384615384615387"/>
  </r>
  <r>
    <n v="5559970"/>
    <x v="130"/>
    <s v="Nerman"/>
    <s v="SC"/>
    <n v="6"/>
    <n v="3.9"/>
    <m/>
    <n v="155.88"/>
    <n v="0"/>
    <m/>
    <m/>
    <n v="155.88"/>
    <n v="39.969230769230769"/>
  </r>
  <r>
    <n v="5560295"/>
    <x v="130"/>
    <s v="Olathe Center"/>
    <s v="FL"/>
    <n v="2"/>
    <n v="0.39"/>
    <m/>
    <n v="48"/>
    <n v="0"/>
    <m/>
    <m/>
    <n v="48"/>
    <n v="123.07692307692307"/>
  </r>
  <r>
    <n v="5914230"/>
    <x v="130"/>
    <s v="COM"/>
    <s v="SC"/>
    <n v="32"/>
    <n v="2.5099999999999998"/>
    <n v="65.259999999999991"/>
    <n v="115"/>
    <n v="16.63"/>
    <n v="2.5099999999999998"/>
    <n v="131.63"/>
    <n v="199.39999999999998"/>
    <n v="79.442231075697208"/>
  </r>
  <r>
    <n v="5932541"/>
    <x v="131"/>
    <s v="Warehouse"/>
    <s v="OT"/>
    <n v="40"/>
    <n v="1.29"/>
    <n v="33.54"/>
    <n v="115"/>
    <n v="16.63"/>
    <n v="1.29"/>
    <m/>
    <n v="166.45999999999998"/>
    <n v="129.03875968992247"/>
  </r>
  <r>
    <n v="5932541"/>
    <x v="131"/>
    <s v="CSB"/>
    <s v="OT"/>
    <n v="40"/>
    <n v="1.78"/>
    <n v="46.28"/>
    <n v="115"/>
    <n v="16.63"/>
    <n v="1.78"/>
    <m/>
    <n v="179.69"/>
    <n v="100.94943820224719"/>
  </r>
  <r>
    <n v="5932541"/>
    <x v="131"/>
    <s v="South Compound"/>
    <s v="OT"/>
    <n v="20"/>
    <n v="1.04"/>
    <n v="27.04"/>
    <n v="115"/>
    <n v="16.63"/>
    <n v="1.04"/>
    <m/>
    <n v="159.70999999999998"/>
    <n v="153.56730769230768"/>
  </r>
  <r>
    <n v="5932541"/>
    <x v="132"/>
    <s v="OCB"/>
    <s v="SC"/>
    <n v="30"/>
    <n v="2.41"/>
    <n v="62.660000000000004"/>
    <n v="115"/>
    <n v="16.63"/>
    <n v="2.41"/>
    <n v="131.63"/>
    <n v="196.7"/>
    <n v="81.618257261410776"/>
  </r>
  <r>
    <n v="5932541"/>
    <x v="133"/>
    <s v="COM"/>
    <s v="SC"/>
    <n v="32"/>
    <n v="3.11"/>
    <n v="80.86"/>
    <n v="115"/>
    <n v="16.63"/>
    <n v="3.11"/>
    <n v="131.63"/>
    <n v="215.60000000000002"/>
    <n v="69.324758842443742"/>
  </r>
  <r>
    <n v="5932541"/>
    <x v="134"/>
    <s v="OCB"/>
    <s v="SC"/>
    <n v="30"/>
    <n v="2.71"/>
    <n v="70.459999999999994"/>
    <n v="115"/>
    <n v="17.05"/>
    <n v="2.71"/>
    <n v="132.05000000000001"/>
    <n v="205.22"/>
    <n v="75.726937269372698"/>
  </r>
  <r>
    <n v="5932541"/>
    <x v="134"/>
    <s v="CSB"/>
    <s v="OT"/>
    <n v="40"/>
    <n v="4.9400000000000004"/>
    <n v="128.44"/>
    <n v="115"/>
    <n v="17.05"/>
    <n v="4.9400000000000004"/>
    <m/>
    <n v="265.43"/>
    <n v="53.730769230769226"/>
  </r>
  <r>
    <n v="5932541"/>
    <x v="134"/>
    <s v="South Compound"/>
    <s v="OT"/>
    <n v="40"/>
    <n v="2.38"/>
    <n v="61.879999999999995"/>
    <n v="115"/>
    <n v="17.05"/>
    <n v="2.38"/>
    <m/>
    <n v="196.31"/>
    <n v="82.483193277310932"/>
  </r>
  <r>
    <n v="5932541"/>
    <x v="135"/>
    <s v="?"/>
    <s v="OT"/>
    <n v="40"/>
    <n v="0.56000000000000005"/>
    <n v="14.560000000000002"/>
    <n v="115"/>
    <n v="17.05"/>
    <n v="0.56000000000000005"/>
    <m/>
    <n v="147.17000000000002"/>
    <n v="262.80357142857144"/>
  </r>
  <r>
    <n v="5932541"/>
    <x v="135"/>
    <s v="?"/>
    <s v="OT"/>
    <n v="40"/>
    <n v="2.2599999999999998"/>
    <n v="58.759999999999991"/>
    <n v="115"/>
    <n v="17.05"/>
    <n v="2.2599999999999998"/>
    <m/>
    <n v="193.07"/>
    <n v="85.429203539823007"/>
  </r>
  <r>
    <n v="5932541"/>
    <x v="136"/>
    <s v="COM"/>
    <s v="SC"/>
    <n v="32"/>
    <n v="3.8"/>
    <n v="98.8"/>
    <n v="115"/>
    <n v="17.05"/>
    <n v="3.8"/>
    <n v="132.05000000000001"/>
    <n v="234.65000000000003"/>
    <n v="61.750000000000014"/>
  </r>
  <r>
    <n v="5932541"/>
    <x v="137"/>
    <s v="South Compound"/>
    <s v="OT"/>
    <n v="20"/>
    <n v="2.17"/>
    <n v="56.42"/>
    <n v="115"/>
    <n v="17.05"/>
    <n v="2.17"/>
    <m/>
    <n v="190.64000000000001"/>
    <n v="87.852534562211986"/>
  </r>
  <r>
    <n v="5932541"/>
    <x v="137"/>
    <s v="South Compound"/>
    <s v="SC"/>
    <n v="35"/>
    <n v="7.09"/>
    <n v="184.34"/>
    <n v="115"/>
    <n v="17.05"/>
    <n v="7.09"/>
    <m/>
    <n v="323.48"/>
    <n v="45.624823695345562"/>
  </r>
  <r>
    <n v="5932541"/>
    <x v="138"/>
    <s v="OCB "/>
    <s v="SC"/>
    <n v="30"/>
    <n v="2.84"/>
    <n v="73.84"/>
    <n v="115"/>
    <n v="17.05"/>
    <n v="2.84"/>
    <n v="132.05000000000001"/>
    <n v="208.73000000000002"/>
    <n v="73.49647887323944"/>
  </r>
  <r>
    <n v="5932541"/>
    <x v="139"/>
    <s v="?"/>
    <s v="OT"/>
    <n v="40"/>
    <n v="4.05"/>
    <n v="105.3"/>
    <n v="115"/>
    <n v="17.05"/>
    <n v="4.05"/>
    <m/>
    <n v="241.40000000000003"/>
    <n v="59.604938271604951"/>
  </r>
  <r>
    <n v="5932541"/>
    <x v="139"/>
    <s v="?"/>
    <s v="OT"/>
    <n v="40"/>
    <n v="4.8099999999999996"/>
    <n v="125.05999999999999"/>
    <n v="115"/>
    <n v="17.05"/>
    <n v="4.8099999999999996"/>
    <m/>
    <n v="261.92"/>
    <n v="54.453222453222459"/>
  </r>
  <r>
    <n v="5932541"/>
    <x v="139"/>
    <s v="?"/>
    <s v="OT"/>
    <n v="20"/>
    <n v="2.25"/>
    <n v="58.5"/>
    <n v="115"/>
    <n v="17.05"/>
    <n v="2.25"/>
    <m/>
    <n v="192.8"/>
    <n v="85.688888888888897"/>
  </r>
  <r>
    <n v="5932541"/>
    <x v="140"/>
    <s v="COM"/>
    <s v="SC"/>
    <n v="32"/>
    <n v="2.4"/>
    <n v="62.4"/>
    <n v="115"/>
    <n v="17.05"/>
    <n v="2.4"/>
    <n v="132.05000000000001"/>
    <n v="196.85000000000002"/>
    <n v="82.020833333333343"/>
  </r>
  <r>
    <n v="5932541"/>
    <x v="141"/>
    <s v="OCB"/>
    <s v="SC"/>
    <n v="30"/>
    <n v="2.31"/>
    <n v="60.06"/>
    <n v="115"/>
    <n v="16.95"/>
    <n v="2.31"/>
    <n v="131.94999999999999"/>
    <n v="194.32"/>
    <n v="84.12121212121211"/>
  </r>
  <r>
    <n v="5932541"/>
    <x v="142"/>
    <s v="COM"/>
    <s v="SC"/>
    <n v="32"/>
    <n v="7.97"/>
    <n v="207.22"/>
    <n v="115"/>
    <n v="16.95"/>
    <n v="7.97"/>
    <n v="131.94999999999999"/>
    <n v="347.14000000000004"/>
    <n v="43.555834378920963"/>
  </r>
  <r>
    <n v="5565009"/>
    <x v="143"/>
    <s v="HCDC"/>
    <s v="FL"/>
    <n v="6"/>
    <n v="2.34"/>
    <m/>
    <n v="104"/>
    <n v="0"/>
    <m/>
    <m/>
    <n v="104"/>
    <n v="44.44444444444445"/>
  </r>
  <r>
    <n v="5565009"/>
    <x v="143"/>
    <s v="ITC"/>
    <s v="FL"/>
    <n v="6"/>
    <n v="0.78"/>
    <m/>
    <n v="65"/>
    <n v="0"/>
    <m/>
    <m/>
    <n v="65"/>
    <n v="83.333333333333329"/>
  </r>
  <r>
    <n v="5565009"/>
    <x v="143"/>
    <s v="ITC"/>
    <s v="FL"/>
    <n v="6"/>
    <n v="0.78"/>
    <m/>
    <n v="65"/>
    <n v="0"/>
    <m/>
    <m/>
    <n v="65"/>
    <n v="83.333333333333329"/>
  </r>
  <r>
    <n v="5565442"/>
    <x v="143"/>
    <s v="Westpark"/>
    <s v="FL"/>
    <n v="8"/>
    <n v="4.68"/>
    <m/>
    <n v="189"/>
    <n v="0"/>
    <m/>
    <m/>
    <n v="189"/>
    <n v="40.384615384615387"/>
  </r>
  <r>
    <n v="5568192"/>
    <x v="143"/>
    <s v="Nerman"/>
    <s v="SC"/>
    <n v="6"/>
    <n v="3.9"/>
    <m/>
    <n v="155.88"/>
    <n v="0"/>
    <m/>
    <m/>
    <n v="155.88"/>
    <n v="39.969230769230769"/>
  </r>
  <r>
    <n v="5568516"/>
    <x v="143"/>
    <s v="Olathe Center"/>
    <s v="FL"/>
    <n v="2"/>
    <n v="0.39"/>
    <m/>
    <n v="48"/>
    <n v="0"/>
    <m/>
    <m/>
    <n v="48"/>
    <n v="123.07692307692307"/>
  </r>
  <r>
    <n v="5932541"/>
    <x v="143"/>
    <s v="COM"/>
    <s v="SC"/>
    <n v="32"/>
    <n v="6.04"/>
    <n v="157.04"/>
    <n v="115"/>
    <n v="16.95"/>
    <n v="6.04"/>
    <n v="131.94999999999999"/>
    <n v="295.02999999999997"/>
    <n v="48.846026490066222"/>
  </r>
  <r>
    <n v="5948827"/>
    <x v="144"/>
    <s v="OCB"/>
    <s v="SC"/>
    <n v="30"/>
    <n v="3.1"/>
    <n v="80.600000000000009"/>
    <n v="115"/>
    <n v="17.09"/>
    <n v="3.1"/>
    <n v="132.09"/>
    <n v="215.79000000000002"/>
    <n v="69.609677419354838"/>
  </r>
  <r>
    <n v="5948827"/>
    <x v="144"/>
    <s v="South Compound"/>
    <s v="OT"/>
    <n v="20"/>
    <n v="1.2"/>
    <n v="31.2"/>
    <n v="115"/>
    <n v="17.09"/>
    <n v="1.2"/>
    <m/>
    <n v="164.48999999999998"/>
    <n v="137.07499999999999"/>
  </r>
  <r>
    <n v="5948827"/>
    <x v="145"/>
    <s v="COM"/>
    <s v="SC"/>
    <n v="32"/>
    <n v="2.02"/>
    <n v="52.52"/>
    <n v="115"/>
    <n v="17.09"/>
    <n v="2.02"/>
    <n v="132.09"/>
    <n v="186.63000000000002"/>
    <n v="92.391089108910904"/>
  </r>
  <r>
    <n v="5948827"/>
    <x v="146"/>
    <s v="OCB"/>
    <s v="SC"/>
    <n v="30"/>
    <n v="4.7"/>
    <n v="122.2"/>
    <n v="115"/>
    <n v="17.2"/>
    <n v="4.7"/>
    <n v="132.19999999999999"/>
    <n v="259.09999999999997"/>
    <n v="55.127659574468076"/>
  </r>
  <r>
    <n v="5948827"/>
    <x v="147"/>
    <s v="South Compound"/>
    <s v="OT"/>
    <n v="20"/>
    <n v="4.05"/>
    <n v="105.3"/>
    <n v="115"/>
    <n v="17.2"/>
    <n v="4.05"/>
    <m/>
    <n v="241.55"/>
    <n v="59.641975308641982"/>
  </r>
  <r>
    <n v="5948827"/>
    <x v="148"/>
    <s v="South Compound"/>
    <s v="SC"/>
    <n v="35"/>
    <n v="4.9400000000000004"/>
    <n v="128.44"/>
    <n v="115"/>
    <n v="17.2"/>
    <n v="4.9400000000000004"/>
    <m/>
    <n v="265.58"/>
    <n v="53.761133603238861"/>
  </r>
  <r>
    <n v="5948827"/>
    <x v="149"/>
    <s v="COM"/>
    <s v="SC"/>
    <n v="32"/>
    <n v="0.87"/>
    <n v="22.62"/>
    <n v="115"/>
    <n v="17.2"/>
    <n v="0.87"/>
    <n v="132.19999999999999"/>
    <n v="155.69"/>
    <n v="178.95402298850576"/>
  </r>
  <r>
    <n v="5948827"/>
    <x v="150"/>
    <s v="OCB"/>
    <s v="SC"/>
    <n v="30"/>
    <n v="2.33"/>
    <n v="60.58"/>
    <n v="115"/>
    <n v="17.2"/>
    <n v="2.33"/>
    <n v="132.19999999999999"/>
    <n v="195.10999999999999"/>
    <n v="83.738197424892689"/>
  </r>
  <r>
    <n v="5948827"/>
    <x v="150"/>
    <s v="?"/>
    <s v="OT"/>
    <n v="40"/>
    <n v="4.4400000000000004"/>
    <n v="115.44000000000001"/>
    <n v="115"/>
    <n v="17.2"/>
    <n v="4.4400000000000004"/>
    <m/>
    <n v="252.07999999999998"/>
    <n v="56.77477477477477"/>
  </r>
  <r>
    <n v="5948827"/>
    <x v="151"/>
    <s v="COM"/>
    <s v="SC"/>
    <n v="32"/>
    <n v="1.97"/>
    <n v="51.22"/>
    <n v="115"/>
    <n v="17.27"/>
    <n v="1.97"/>
    <n v="132.27000000000001"/>
    <n v="185.46"/>
    <n v="94.142131979695435"/>
  </r>
  <r>
    <n v="5948827"/>
    <x v="152"/>
    <s v="COM"/>
    <s v="SC"/>
    <n v="32"/>
    <n v="5.91"/>
    <n v="153.66"/>
    <n v="115"/>
    <n v="17.27"/>
    <n v="5.91"/>
    <n v="132.27000000000001"/>
    <n v="291.83999999999997"/>
    <n v="49.380710659898469"/>
  </r>
  <r>
    <n v="5948827"/>
    <x v="153"/>
    <s v="OCB"/>
    <s v="SC"/>
    <n v="30"/>
    <n v="2.12"/>
    <n v="55.120000000000005"/>
    <n v="115"/>
    <n v="17.27"/>
    <n v="2.12"/>
    <n v="132.27000000000001"/>
    <n v="189.51000000000002"/>
    <n v="89.39150943396227"/>
  </r>
  <r>
    <n v="5948827"/>
    <x v="153"/>
    <s v="CSB"/>
    <s v="OT"/>
    <n v="40"/>
    <n v="4.2"/>
    <n v="109.2"/>
    <n v="115"/>
    <n v="17.27"/>
    <n v="4.2"/>
    <m/>
    <n v="245.67"/>
    <n v="58.49285714285714"/>
  </r>
  <r>
    <n v="5948827"/>
    <x v="154"/>
    <s v="COM"/>
    <s v="SC"/>
    <n v="32"/>
    <n v="1.46"/>
    <n v="37.96"/>
    <n v="115"/>
    <n v="17.46"/>
    <n v="1.46"/>
    <n v="132.46"/>
    <n v="171.88000000000002"/>
    <n v="117.7260273972603"/>
  </r>
  <r>
    <n v="5572962"/>
    <x v="155"/>
    <s v="HCDC"/>
    <s v="FL"/>
    <n v="6"/>
    <n v="2.34"/>
    <m/>
    <n v="104"/>
    <n v="0"/>
    <m/>
    <m/>
    <n v="104"/>
    <n v="44.44444444444445"/>
  </r>
  <r>
    <n v="5572962"/>
    <x v="155"/>
    <s v="ITC"/>
    <s v="FL"/>
    <n v="6"/>
    <n v="0.78"/>
    <m/>
    <n v="65"/>
    <n v="0"/>
    <m/>
    <m/>
    <n v="65"/>
    <n v="83.333333333333329"/>
  </r>
  <r>
    <n v="5572962"/>
    <x v="155"/>
    <s v="ITC"/>
    <s v="FL"/>
    <n v="6"/>
    <n v="0.78"/>
    <m/>
    <n v="65"/>
    <n v="0"/>
    <m/>
    <m/>
    <n v="65"/>
    <n v="83.333333333333329"/>
  </r>
  <r>
    <n v="5573387"/>
    <x v="155"/>
    <s v="Westpark"/>
    <s v="FL"/>
    <n v="8"/>
    <n v="4.68"/>
    <m/>
    <n v="189"/>
    <n v="0"/>
    <m/>
    <m/>
    <n v="189"/>
    <n v="40.384615384615387"/>
  </r>
  <r>
    <n v="5576102"/>
    <x v="155"/>
    <s v="Nerman"/>
    <s v="SC"/>
    <n v="6"/>
    <n v="3.9"/>
    <m/>
    <n v="155.88"/>
    <n v="0"/>
    <m/>
    <m/>
    <n v="155.88"/>
    <n v="39.969230769230769"/>
  </r>
  <r>
    <n v="5964460"/>
    <x v="156"/>
    <s v="OCB"/>
    <s v="SC"/>
    <n v="30"/>
    <n v="1.1399999999999999"/>
    <n v="29.639999999999997"/>
    <n v="115"/>
    <n v="17.559999999999999"/>
    <n v="1.1399999999999999"/>
    <n v="132.56"/>
    <n v="163.33999999999997"/>
    <n v="143.28070175438594"/>
  </r>
  <r>
    <n v="5964460"/>
    <x v="157"/>
    <s v="CSB"/>
    <s v="OT"/>
    <n v="40"/>
    <n v="3.15"/>
    <n v="81.899999999999991"/>
    <n v="115"/>
    <n v="17.559999999999999"/>
    <n v="3.15"/>
    <m/>
    <n v="217.60999999999999"/>
    <n v="69.082539682539675"/>
  </r>
  <r>
    <n v="5964460"/>
    <x v="158"/>
    <s v="COM"/>
    <s v="SC"/>
    <n v="32"/>
    <n v="1.88"/>
    <n v="48.879999999999995"/>
    <n v="115"/>
    <n v="17.54"/>
    <n v="1.88"/>
    <n v="132.54"/>
    <n v="183.29999999999998"/>
    <n v="97.5"/>
  </r>
  <r>
    <n v="5964460"/>
    <x v="159"/>
    <s v="South Compound"/>
    <s v="SC"/>
    <n v="35"/>
    <n v="3.22"/>
    <n v="83.72"/>
    <n v="115"/>
    <n v="17.54"/>
    <n v="3.22"/>
    <m/>
    <n v="219.48"/>
    <n v="68.1614906832298"/>
  </r>
  <r>
    <n v="5964460"/>
    <x v="160"/>
    <s v="?"/>
    <s v="OT"/>
    <n v="40"/>
    <n v="4.78"/>
    <n v="124.28"/>
    <n v="115"/>
    <n v="17.54"/>
    <n v="4.78"/>
    <m/>
    <n v="261.59999999999997"/>
    <n v="54.72803347280334"/>
  </r>
  <r>
    <n v="5964460"/>
    <x v="161"/>
    <s v="COM"/>
    <s v="SC "/>
    <n v="32"/>
    <n v="1.92"/>
    <n v="49.92"/>
    <n v="115"/>
    <n v="17.87"/>
    <n v="1.92"/>
    <n v="132.87"/>
    <n v="184.71"/>
    <n v="96.203125000000014"/>
  </r>
  <r>
    <n v="5964460"/>
    <x v="162"/>
    <s v="OCB"/>
    <s v="SC"/>
    <n v="30"/>
    <n v="2.27"/>
    <n v="59.02"/>
    <n v="115"/>
    <n v="17.87"/>
    <n v="2.27"/>
    <n v="132.87"/>
    <n v="194.16000000000003"/>
    <n v="85.533039647577098"/>
  </r>
  <r>
    <n v="5964460"/>
    <x v="163"/>
    <s v="COM"/>
    <s v="SC"/>
    <n v="32"/>
    <n v="2.29"/>
    <n v="59.54"/>
    <n v="115"/>
    <n v="17.84"/>
    <n v="2.29"/>
    <n v="132.84"/>
    <n v="194.67"/>
    <n v="85.008733624454138"/>
  </r>
  <r>
    <n v="5964460"/>
    <x v="163"/>
    <s v="CSB"/>
    <s v="OT"/>
    <n v="40"/>
    <n v="5.37"/>
    <n v="139.62"/>
    <n v="115"/>
    <n v="17.84"/>
    <n v="5.37"/>
    <m/>
    <n v="277.83"/>
    <n v="51.737430167597765"/>
  </r>
  <r>
    <n v="5964460"/>
    <x v="164"/>
    <s v="?"/>
    <s v="OT"/>
    <n v="30"/>
    <n v="2.39"/>
    <n v="62.14"/>
    <n v="115"/>
    <n v="17.84"/>
    <n v="2.39"/>
    <m/>
    <n v="197.36999999999998"/>
    <n v="82.581589958158986"/>
  </r>
  <r>
    <n v="5964460"/>
    <x v="165"/>
    <s v="OCB"/>
    <s v="SC"/>
    <n v="30"/>
    <n v="2.27"/>
    <n v="59.02"/>
    <n v="115"/>
    <n v="17.84"/>
    <n v="2.27"/>
    <n v="132.84"/>
    <n v="194.13000000000002"/>
    <n v="85.519823788546262"/>
  </r>
  <r>
    <n v="5580937"/>
    <x v="166"/>
    <s v="HCDC"/>
    <s v="FL"/>
    <n v="6"/>
    <n v="2.34"/>
    <m/>
    <n v="155.88"/>
    <n v="0"/>
    <m/>
    <m/>
    <n v="155.88"/>
    <n v="66.615384615384613"/>
  </r>
  <r>
    <n v="5580937"/>
    <x v="166"/>
    <s v="ITC"/>
    <s v="FL"/>
    <n v="2"/>
    <n v="0.78"/>
    <m/>
    <n v="65"/>
    <n v="0"/>
    <m/>
    <m/>
    <n v="65"/>
    <n v="83.333333333333329"/>
  </r>
  <r>
    <n v="5581361"/>
    <x v="166"/>
    <s v="Westpark"/>
    <s v="FL"/>
    <n v="8"/>
    <n v="3.12"/>
    <m/>
    <n v="189"/>
    <n v="0"/>
    <m/>
    <m/>
    <n v="189"/>
    <n v="60.576923076923073"/>
  </r>
  <r>
    <n v="5584026"/>
    <x v="166"/>
    <s v="Nerman"/>
    <s v="SC"/>
    <n v="8"/>
    <n v="3.9"/>
    <m/>
    <n v="155.88"/>
    <n v="0"/>
    <m/>
    <m/>
    <n v="155.88"/>
    <n v="39.969230769230769"/>
  </r>
  <r>
    <n v="5589055"/>
    <x v="166"/>
    <s v="ITC"/>
    <s v="FL"/>
    <n v="2"/>
    <n v="0.78"/>
    <m/>
    <n v="65"/>
    <n v="0"/>
    <m/>
    <m/>
    <n v="65"/>
    <n v="83.333333333333329"/>
  </r>
  <r>
    <n v="5964460"/>
    <x v="166"/>
    <s v="COM"/>
    <s v="SC"/>
    <n v="32"/>
    <n v="3.56"/>
    <n v="92.56"/>
    <n v="115"/>
    <n v="17.920000000000002"/>
    <n v="3.56"/>
    <n v="132.92000000000002"/>
    <n v="229.04000000000002"/>
    <n v="64.337078651685403"/>
  </r>
  <r>
    <n v="5979068"/>
    <x v="167"/>
    <s v="OCB"/>
    <s v="SC"/>
    <n v="30"/>
    <n v="2.5"/>
    <n v="65"/>
    <n v="115"/>
    <n v="18.23"/>
    <n v="2.5"/>
    <n v="133.22999999999999"/>
    <n v="200.73"/>
    <n v="80.292000000000002"/>
  </r>
  <r>
    <n v="5979068"/>
    <x v="167"/>
    <s v="CSB"/>
    <s v="OT"/>
    <n v="40"/>
    <n v="3.15"/>
    <n v="81.899999999999991"/>
    <n v="115"/>
    <n v="18.23"/>
    <n v="3.15"/>
    <m/>
    <n v="218.27999999999997"/>
    <n v="69.295238095238091"/>
  </r>
  <r>
    <n v="5979068"/>
    <x v="168"/>
    <s v="COM"/>
    <s v="SC"/>
    <n v="32"/>
    <n v="2.2599999999999998"/>
    <n v="58.759999999999991"/>
    <n v="115"/>
    <n v="18.23"/>
    <n v="2.2599999999999998"/>
    <n v="133.22999999999999"/>
    <n v="194.24999999999997"/>
    <n v="85.951327433628308"/>
  </r>
  <r>
    <n v="5979068"/>
    <x v="169"/>
    <s v="South Compound"/>
    <s v="SC"/>
    <n v="35"/>
    <n v="6.15"/>
    <n v="159.9"/>
    <n v="115"/>
    <n v="18.23"/>
    <n v="6.15"/>
    <m/>
    <n v="299.27999999999997"/>
    <n v="48.663414634146335"/>
  </r>
  <r>
    <n v="5979068"/>
    <x v="169"/>
    <s v="?"/>
    <s v="OT"/>
    <n v="40"/>
    <n v="3.13"/>
    <n v="81.38"/>
    <n v="115"/>
    <n v="18.23"/>
    <n v="3.13"/>
    <m/>
    <n v="217.73999999999998"/>
    <n v="69.565495207667723"/>
  </r>
  <r>
    <n v="5979068"/>
    <x v="170"/>
    <s v="OCB"/>
    <s v="SC"/>
    <n v="30"/>
    <n v="2.4500000000000002"/>
    <n v="63.7"/>
    <n v="115"/>
    <n v="18.23"/>
    <n v="2.4500000000000002"/>
    <n v="133.22999999999999"/>
    <n v="199.37999999999997"/>
    <n v="81.379591836734676"/>
  </r>
  <r>
    <n v="5979068"/>
    <x v="171"/>
    <s v="CSB"/>
    <s v="OT"/>
    <n v="40"/>
    <n v="2.67"/>
    <n v="69.42"/>
    <n v="115"/>
    <n v="18.23"/>
    <n v="2.67"/>
    <m/>
    <n v="205.32"/>
    <n v="76.898876404494388"/>
  </r>
  <r>
    <n v="5979068"/>
    <x v="171"/>
    <s v="CC"/>
    <s v="SC"/>
    <n v="30"/>
    <n v="5.71"/>
    <n v="148.46"/>
    <n v="115"/>
    <n v="18.23"/>
    <n v="5.71"/>
    <m/>
    <n v="287.40000000000003"/>
    <n v="50.332749562171635"/>
  </r>
  <r>
    <n v="5979068"/>
    <x v="172"/>
    <s v="COM"/>
    <s v="SC"/>
    <n v="32"/>
    <n v="3.51"/>
    <n v="91.259999999999991"/>
    <n v="115"/>
    <n v="18.23"/>
    <n v="3.51"/>
    <n v="133.22999999999999"/>
    <n v="227.99999999999997"/>
    <n v="64.957264957264954"/>
  </r>
  <r>
    <n v="5979068"/>
    <x v="173"/>
    <s v="OCB"/>
    <s v="SC"/>
    <n v="30"/>
    <n v="3.61"/>
    <n v="93.86"/>
    <n v="115"/>
    <n v="18.23"/>
    <n v="3.61"/>
    <n v="133.22999999999999"/>
    <n v="230.70000000000002"/>
    <n v="63.905817174515242"/>
  </r>
  <r>
    <n v="5979068"/>
    <x v="174"/>
    <s v="CSB"/>
    <s v="OT"/>
    <n v="40"/>
    <n v="2.82"/>
    <n v="73.319999999999993"/>
    <n v="115"/>
    <n v="18.23"/>
    <n v="2.82"/>
    <m/>
    <n v="209.36999999999998"/>
    <n v="74.244680851063819"/>
  </r>
  <r>
    <n v="5979068"/>
    <x v="175"/>
    <s v="COM"/>
    <s v="SC"/>
    <n v="32"/>
    <n v="3.33"/>
    <n v="86.58"/>
    <n v="115"/>
    <n v="18.23"/>
    <n v="3.33"/>
    <n v="133.22999999999999"/>
    <n v="223.14"/>
    <n v="67.009009009009006"/>
  </r>
  <r>
    <n v="5979068"/>
    <x v="176"/>
    <s v="OCB"/>
    <s v="SC"/>
    <n v="30"/>
    <n v="2.95"/>
    <n v="76.7"/>
    <n v="115"/>
    <n v="24.55"/>
    <n v="2.95"/>
    <n v="139.55000000000001"/>
    <n v="219.2"/>
    <n v="74.305084745762699"/>
  </r>
  <r>
    <n v="5589055"/>
    <x v="177"/>
    <s v="ITC"/>
    <s v="FL"/>
    <n v="2"/>
    <n v="0.78"/>
    <m/>
    <n v="65"/>
    <n v="0"/>
    <m/>
    <m/>
    <n v="65"/>
    <n v="83.333333333333329"/>
  </r>
  <r>
    <n v="5589055"/>
    <x v="177"/>
    <s v="ITC"/>
    <s v="FL"/>
    <n v="2"/>
    <n v="0.78"/>
    <m/>
    <n v="65"/>
    <n v="0"/>
    <m/>
    <m/>
    <n v="65"/>
    <n v="83.333333333333329"/>
  </r>
  <r>
    <n v="5589055"/>
    <x v="177"/>
    <s v="HCDC"/>
    <s v="FL"/>
    <n v="6"/>
    <n v="2.34"/>
    <m/>
    <n v="104"/>
    <n v="0"/>
    <m/>
    <m/>
    <n v="104"/>
    <n v="44.44444444444445"/>
  </r>
  <r>
    <n v="5589476"/>
    <x v="177"/>
    <s v="Westpark"/>
    <s v="FL"/>
    <n v="8"/>
    <n v="3.12"/>
    <m/>
    <n v="189"/>
    <n v="0"/>
    <m/>
    <m/>
    <n v="189"/>
    <n v="60.576923076923073"/>
  </r>
  <r>
    <n v="5592158"/>
    <x v="177"/>
    <s v="Nerman"/>
    <s v="SC"/>
    <n v="6"/>
    <n v="3.9"/>
    <m/>
    <n v="155.88"/>
    <n v="0"/>
    <m/>
    <m/>
    <n v="155.88"/>
    <n v="39.969230769230769"/>
  </r>
  <r>
    <n v="5979068"/>
    <x v="177"/>
    <s v="COM"/>
    <s v="SC"/>
    <n v="32"/>
    <n v="3.42"/>
    <n v="88.92"/>
    <n v="115"/>
    <n v="24.55"/>
    <n v="3.42"/>
    <n v="139.55000000000001"/>
    <n v="231.89000000000001"/>
    <n v="67.804093567251471"/>
  </r>
  <r>
    <n v="5997852"/>
    <x v="178"/>
    <s v="CSB"/>
    <s v="OT"/>
    <n v="40"/>
    <n v="5.24"/>
    <n v="136.24"/>
    <n v="115"/>
    <n v="24.55"/>
    <n v="5.24"/>
    <m/>
    <n v="281.03000000000003"/>
    <n v="53.631679389312978"/>
  </r>
  <r>
    <n v="5997852"/>
    <x v="179"/>
    <s v="OCB"/>
    <s v="SC"/>
    <n v="30"/>
    <n v="3.07"/>
    <n v="79.819999999999993"/>
    <n v="115"/>
    <n v="24.55"/>
    <n v="3.07"/>
    <n v="139.55000000000001"/>
    <n v="222.44"/>
    <n v="72.45602605863192"/>
  </r>
  <r>
    <n v="5997852"/>
    <x v="179"/>
    <s v="South Compound"/>
    <s v="SC"/>
    <n v="35"/>
    <n v="5.82"/>
    <n v="151.32"/>
    <n v="115"/>
    <n v="24.55"/>
    <n v="5.82"/>
    <m/>
    <n v="296.69"/>
    <n v="50.977663230240545"/>
  </r>
  <r>
    <n v="5997852"/>
    <x v="180"/>
    <s v="COM"/>
    <s v="SC"/>
    <n v="32"/>
    <n v="3.2"/>
    <n v="83.2"/>
    <n v="115"/>
    <n v="25.47"/>
    <n v="3.2"/>
    <n v="140.47"/>
    <n v="226.86999999999998"/>
    <n v="70.896874999999994"/>
  </r>
  <r>
    <n v="5997852"/>
    <x v="181"/>
    <s v="OCB"/>
    <s v="SC"/>
    <n v="30"/>
    <n v="2.2200000000000002"/>
    <n v="57.720000000000006"/>
    <n v="115"/>
    <n v="25.7"/>
    <n v="2.2200000000000002"/>
    <n v="140.69999999999999"/>
    <n v="200.64"/>
    <n v="90.378378378378358"/>
  </r>
  <r>
    <n v="5997852"/>
    <x v="181"/>
    <s v="CSB"/>
    <s v="OT"/>
    <n v="40"/>
    <n v="2.1"/>
    <n v="54.6"/>
    <n v="115"/>
    <n v="25.7"/>
    <n v="2.1"/>
    <m/>
    <n v="197.39999999999998"/>
    <n v="93.999999999999986"/>
  </r>
  <r>
    <n v="5997852"/>
    <x v="181"/>
    <s v="South Compound"/>
    <s v="OT"/>
    <n v="20"/>
    <n v="3.23"/>
    <n v="83.98"/>
    <n v="115"/>
    <n v="25.7"/>
    <n v="3.23"/>
    <m/>
    <n v="227.91"/>
    <n v="70.56037151702786"/>
  </r>
  <r>
    <n v="5997852"/>
    <x v="181"/>
    <s v="South Compound"/>
    <s v="OT"/>
    <n v="20"/>
    <n v="2.0099999999999998"/>
    <n v="52.259999999999991"/>
    <n v="115"/>
    <n v="25.7"/>
    <n v="2.0099999999999998"/>
    <m/>
    <n v="194.96999999999997"/>
    <n v="97"/>
  </r>
  <r>
    <n v="5997852"/>
    <x v="182"/>
    <s v="COM"/>
    <s v="SC"/>
    <n v="32"/>
    <n v="3.56"/>
    <n v="92.56"/>
    <n v="115"/>
    <n v="25.7"/>
    <n v="3.56"/>
    <n v="140.69999999999999"/>
    <n v="236.82"/>
    <n v="66.522471910112358"/>
  </r>
  <r>
    <n v="5997852"/>
    <x v="183"/>
    <s v="OCB"/>
    <s v="SC"/>
    <n v="30"/>
    <n v="2.2200000000000002"/>
    <n v="57.720000000000006"/>
    <n v="115"/>
    <n v="25.7"/>
    <n v="2.2200000000000002"/>
    <n v="140.69999999999999"/>
    <n v="200.64"/>
    <n v="90.378378378378358"/>
  </r>
  <r>
    <n v="5997852"/>
    <x v="184"/>
    <s v="CSB"/>
    <s v="OT"/>
    <n v="40"/>
    <n v="5.27"/>
    <n v="137.01999999999998"/>
    <n v="115"/>
    <n v="25.7"/>
    <n v="5.27"/>
    <m/>
    <n v="282.98999999999995"/>
    <n v="53.698292220113849"/>
  </r>
  <r>
    <n v="5997852"/>
    <x v="185"/>
    <s v="COM"/>
    <s v="SC"/>
    <n v="32"/>
    <n v="1.98"/>
    <n v="51.48"/>
    <n v="115"/>
    <n v="25.7"/>
    <n v="1.98"/>
    <n v="140.69999999999999"/>
    <n v="194.15999999999997"/>
    <n v="98.060606060606048"/>
  </r>
  <r>
    <n v="5997852"/>
    <x v="186"/>
    <s v="OCB"/>
    <s v="SC"/>
    <n v="30"/>
    <n v="0.93"/>
    <n v="24.18"/>
    <n v="115"/>
    <n v="25.82"/>
    <n v="0.93"/>
    <n v="140.82"/>
    <n v="165.93"/>
    <n v="178.41935483870967"/>
  </r>
  <r>
    <n v="5997852"/>
    <x v="187"/>
    <s v="CSB"/>
    <s v="OT"/>
    <n v="40"/>
    <n v="2.7"/>
    <n v="70.2"/>
    <n v="115"/>
    <n v="25.7"/>
    <n v="2.7"/>
    <m/>
    <n v="213.59999999999997"/>
    <n v="79.1111111111111"/>
  </r>
  <r>
    <n v="5997852"/>
    <x v="187"/>
    <s v="Warehouse"/>
    <s v="OT"/>
    <n v="40"/>
    <n v="3.4"/>
    <n v="88.399999999999991"/>
    <n v="115"/>
    <n v="25.82"/>
    <n v="3.4"/>
    <m/>
    <n v="232.61999999999998"/>
    <n v="68.417647058823519"/>
  </r>
  <r>
    <n v="5997852"/>
    <x v="188"/>
    <s v="COM"/>
    <s v="SC"/>
    <n v="32"/>
    <n v="3.38"/>
    <n v="87.88"/>
    <n v="115"/>
    <n v="25.82"/>
    <n v="3.38"/>
    <n v="140.82"/>
    <n v="232.07999999999998"/>
    <n v="68.662721893491124"/>
  </r>
  <r>
    <n v="5997852"/>
    <x v="189"/>
    <s v="OCB"/>
    <s v="SC"/>
    <n v="30"/>
    <n v="3.19"/>
    <n v="82.94"/>
    <n v="115"/>
    <n v="25.82"/>
    <n v="3.19"/>
    <n v="140.82"/>
    <n v="226.95"/>
    <n v="71.144200626959247"/>
  </r>
  <r>
    <n v="5597154"/>
    <x v="190"/>
    <s v="HCDC"/>
    <s v="FL"/>
    <n v="6"/>
    <n v="2.34"/>
    <m/>
    <n v="104"/>
    <n v="0"/>
    <m/>
    <m/>
    <n v="104"/>
    <n v="44.44444444444445"/>
  </r>
  <r>
    <n v="5597154"/>
    <x v="190"/>
    <s v="ITC"/>
    <s v="FL"/>
    <n v="2"/>
    <n v="0.78"/>
    <m/>
    <n v="65"/>
    <n v="0"/>
    <m/>
    <m/>
    <n v="65"/>
    <n v="83.333333333333329"/>
  </r>
  <r>
    <n v="5597154"/>
    <x v="190"/>
    <s v="ITC"/>
    <s v="FL"/>
    <n v="2"/>
    <n v="0.78"/>
    <m/>
    <n v="65"/>
    <n v="0"/>
    <m/>
    <m/>
    <n v="65"/>
    <n v="83.333333333333329"/>
  </r>
  <r>
    <n v="5597573"/>
    <x v="190"/>
    <s v="Westpark"/>
    <s v="FL"/>
    <n v="8"/>
    <n v="3.12"/>
    <m/>
    <n v="189"/>
    <n v="0"/>
    <m/>
    <m/>
    <n v="189"/>
    <n v="60.576923076923073"/>
  </r>
  <r>
    <n v="5600231"/>
    <x v="190"/>
    <s v="Nerman"/>
    <s v="SC"/>
    <n v="6"/>
    <n v="3.9"/>
    <m/>
    <n v="155.88"/>
    <n v="0"/>
    <m/>
    <m/>
    <n v="155.88"/>
    <n v="39.969230769230769"/>
  </r>
  <r>
    <n v="5600537"/>
    <x v="190"/>
    <s v="Olathe Center"/>
    <s v="FL"/>
    <n v="2"/>
    <n v="0.39"/>
    <m/>
    <n v="48"/>
    <n v="0"/>
    <m/>
    <m/>
    <n v="48"/>
    <n v="123.07692307692307"/>
  </r>
  <r>
    <n v="5997852"/>
    <x v="190"/>
    <s v="South Compound"/>
    <s v="SC"/>
    <n v="35"/>
    <n v="7.73"/>
    <n v="200.98000000000002"/>
    <n v="115"/>
    <n v="25.82"/>
    <n v="7.73"/>
    <m/>
    <n v="349.53000000000003"/>
    <n v="45.217335058214751"/>
  </r>
  <r>
    <n v="6016026"/>
    <x v="191"/>
    <s v="COM"/>
    <s v="SC"/>
    <n v="32"/>
    <n v="3.29"/>
    <n v="85.54"/>
    <n v="115"/>
    <n v="26.05"/>
    <n v="3.29"/>
    <n v="141.05000000000001"/>
    <n v="229.88000000000002"/>
    <n v="69.872340425531917"/>
  </r>
  <r>
    <n v="6016026"/>
    <x v="191"/>
    <s v="?"/>
    <s v="OT"/>
    <n v="40"/>
    <n v="2.52"/>
    <n v="65.52"/>
    <n v="115"/>
    <n v="26.05"/>
    <n v="2.52"/>
    <m/>
    <n v="209.09"/>
    <n v="82.972222222222229"/>
  </r>
  <r>
    <n v="6016026"/>
    <x v="192"/>
    <s v="OCB"/>
    <s v="SC"/>
    <n v="30"/>
    <n v="1.69"/>
    <n v="43.94"/>
    <n v="115"/>
    <n v="26.05"/>
    <n v="1.69"/>
    <n v="141.05000000000001"/>
    <n v="186.68"/>
    <n v="110.46153846153847"/>
  </r>
  <r>
    <n v="6016026"/>
    <x v="192"/>
    <s v="?"/>
    <s v="OT"/>
    <n v="40"/>
    <n v="1.33"/>
    <n v="34.58"/>
    <n v="115"/>
    <n v="26.05"/>
    <n v="1.33"/>
    <m/>
    <n v="176.96"/>
    <n v="133.05263157894737"/>
  </r>
  <r>
    <n v="6016026"/>
    <x v="193"/>
    <s v="Warehouse"/>
    <s v="OT"/>
    <n v="40"/>
    <n v="3.18"/>
    <n v="82.68"/>
    <n v="115"/>
    <n v="26.05"/>
    <n v="3.18"/>
    <m/>
    <n v="226.91000000000003"/>
    <n v="71.355345911949684"/>
  </r>
  <r>
    <n v="6016026"/>
    <x v="194"/>
    <s v="COM"/>
    <s v="SC"/>
    <n v="32"/>
    <n v="3.11"/>
    <n v="80.86"/>
    <n v="115"/>
    <n v="26.74"/>
    <n v="3.11"/>
    <n v="141.74"/>
    <n v="225.71000000000004"/>
    <n v="72.575562700964639"/>
  </r>
  <r>
    <n v="6016026"/>
    <x v="194"/>
    <s v="CC"/>
    <s v="SC"/>
    <n v="30"/>
    <n v="6.87"/>
    <n v="178.62"/>
    <n v="115"/>
    <n v="26.74"/>
    <n v="6.87"/>
    <m/>
    <n v="327.23"/>
    <n v="47.631732168850071"/>
  </r>
  <r>
    <n v="6016026"/>
    <x v="195"/>
    <s v="OCB"/>
    <s v="SC"/>
    <n v="30"/>
    <n v="2.88"/>
    <n v="74.88"/>
    <n v="115"/>
    <n v="26.74"/>
    <n v="2.88"/>
    <n v="141.74"/>
    <n v="219.5"/>
    <n v="76.215277777777786"/>
  </r>
  <r>
    <n v="6016026"/>
    <x v="196"/>
    <s v="?"/>
    <s v="OT"/>
    <n v="40"/>
    <n v="2.4300000000000002"/>
    <n v="63.180000000000007"/>
    <n v="115"/>
    <n v="26.74"/>
    <n v="2.4300000000000002"/>
    <m/>
    <n v="207.35000000000002"/>
    <n v="85.329218106995881"/>
  </r>
  <r>
    <n v="6016026"/>
    <x v="197"/>
    <s v="COM"/>
    <s v="SC"/>
    <n v="32"/>
    <n v="3.1"/>
    <n v="80.600000000000009"/>
    <n v="115"/>
    <n v="26.91"/>
    <n v="3.1"/>
    <n v="141.91"/>
    <n v="225.61"/>
    <n v="72.777419354838713"/>
  </r>
  <r>
    <n v="6016026"/>
    <x v="198"/>
    <s v="?"/>
    <s v="OT"/>
    <n v="40"/>
    <n v="3.38"/>
    <n v="87.88"/>
    <n v="115"/>
    <n v="26.91"/>
    <n v="3.38"/>
    <m/>
    <n v="233.17"/>
    <n v="68.985207100591708"/>
  </r>
  <r>
    <n v="6016026"/>
    <x v="198"/>
    <s v="South Compound"/>
    <s v="OT"/>
    <n v="20"/>
    <n v="1.1000000000000001"/>
    <n v="28.6"/>
    <n v="115"/>
    <n v="26.91"/>
    <n v="1.1000000000000001"/>
    <m/>
    <n v="171.60999999999999"/>
    <n v="156.00909090909087"/>
  </r>
  <r>
    <n v="6016026"/>
    <x v="198"/>
    <s v="South Compound"/>
    <s v="OT"/>
    <n v="20"/>
    <n v="2.95"/>
    <n v="76.7"/>
    <n v="115"/>
    <n v="26.91"/>
    <n v="2.95"/>
    <m/>
    <n v="221.55999999999997"/>
    <n v="75.105084745762696"/>
  </r>
  <r>
    <n v="6016026"/>
    <x v="199"/>
    <s v="OCB"/>
    <s v="SC"/>
    <n v="30"/>
    <n v="2.93"/>
    <n v="76.180000000000007"/>
    <n v="115"/>
    <n v="26.91"/>
    <n v="2.93"/>
    <n v="141.91"/>
    <n v="221.02"/>
    <n v="75.433447098976103"/>
  </r>
  <r>
    <n v="6016026"/>
    <x v="200"/>
    <s v="COM"/>
    <s v="SC"/>
    <n v="32"/>
    <n v="3.23"/>
    <n v="83.98"/>
    <n v="115"/>
    <n v="26.85"/>
    <n v="3.23"/>
    <n v="141.85"/>
    <n v="229.06"/>
    <n v="70.916408668730654"/>
  </r>
  <r>
    <n v="6016026"/>
    <x v="201"/>
    <s v="OCB"/>
    <s v="SC"/>
    <n v="30"/>
    <n v="2.4500000000000002"/>
    <n v="63.7"/>
    <n v="115"/>
    <n v="26.85"/>
    <n v="2.4500000000000002"/>
    <n v="141.85"/>
    <n v="207.99999999999997"/>
    <n v="84.89795918367345"/>
  </r>
  <r>
    <n v="6016026"/>
    <x v="202"/>
    <s v="?"/>
    <s v="OT"/>
    <n v="40"/>
    <n v="3.27"/>
    <n v="85.02"/>
    <n v="115"/>
    <n v="26.85"/>
    <n v="3.27"/>
    <m/>
    <n v="230.14"/>
    <n v="70.379204892966357"/>
  </r>
  <r>
    <n v="5605072"/>
    <x v="203"/>
    <s v="ITC"/>
    <s v="FL"/>
    <n v="2"/>
    <n v="0.78"/>
    <m/>
    <n v="65"/>
    <m/>
    <m/>
    <m/>
    <n v="65"/>
    <n v="83.333333333333329"/>
  </r>
  <r>
    <n v="5605072"/>
    <x v="203"/>
    <s v="ITC"/>
    <s v="FL"/>
    <n v="2"/>
    <n v="0.78"/>
    <m/>
    <n v="65"/>
    <m/>
    <m/>
    <m/>
    <n v="65"/>
    <n v="83.333333333333329"/>
  </r>
  <r>
    <n v="5605072"/>
    <x v="203"/>
    <s v="HCDC"/>
    <s v="FL"/>
    <n v="6"/>
    <n v="1.17"/>
    <m/>
    <n v="104"/>
    <m/>
    <m/>
    <m/>
    <n v="104"/>
    <n v="88.8888888888889"/>
  </r>
  <r>
    <n v="5605490"/>
    <x v="203"/>
    <s v="Westpark"/>
    <s v="FL"/>
    <n v="8"/>
    <n v="3.12"/>
    <m/>
    <n v="189"/>
    <m/>
    <m/>
    <m/>
    <n v="189"/>
    <n v="60.576923076923073"/>
  </r>
  <r>
    <n v="5608098"/>
    <x v="203"/>
    <s v="Nerman"/>
    <s v="SC"/>
    <n v="6"/>
    <n v="3.9"/>
    <m/>
    <n v="155.88"/>
    <m/>
    <m/>
    <m/>
    <n v="155.88"/>
    <n v="39.969230769230769"/>
  </r>
  <r>
    <n v="5608402"/>
    <x v="203"/>
    <s v="Olathe Center"/>
    <s v="FL"/>
    <n v="2"/>
    <n v="0.39"/>
    <m/>
    <n v="48"/>
    <m/>
    <m/>
    <m/>
    <n v="48"/>
    <n v="123.07692307692307"/>
  </r>
  <r>
    <n v="6034641"/>
    <x v="204"/>
    <s v="COM"/>
    <s v="SC"/>
    <n v="32"/>
    <n v="3.35"/>
    <n v="87.100000000000009"/>
    <n v="115"/>
    <n v="27.03"/>
    <n v="3.35"/>
    <n v="142.03"/>
    <n v="232.48000000000002"/>
    <n v="69.397014925373142"/>
  </r>
  <r>
    <n v="6034641"/>
    <x v="205"/>
    <s v="South Compound"/>
    <s v="SC"/>
    <n v="35"/>
    <n v="9.11"/>
    <n v="236.85999999999999"/>
    <n v="115"/>
    <n v="26.91"/>
    <n v="9.11"/>
    <m/>
    <n v="387.88000000000005"/>
    <n v="42.577387486278823"/>
  </r>
  <r>
    <n v="6034641"/>
    <x v="206"/>
    <s v="OCB"/>
    <s v="SC"/>
    <n v="30"/>
    <n v="3.72"/>
    <n v="96.72"/>
    <n v="115"/>
    <n v="27.03"/>
    <n v="3.72"/>
    <n v="142.03"/>
    <n v="242.47"/>
    <n v="65.180107526881713"/>
  </r>
  <r>
    <n v="6034641"/>
    <x v="207"/>
    <s v="?"/>
    <s v="OT"/>
    <n v="40"/>
    <n v="4.8899999999999997"/>
    <n v="127.13999999999999"/>
    <n v="115"/>
    <n v="26.91"/>
    <n v="4.8899999999999997"/>
    <m/>
    <n v="273.94"/>
    <n v="56.020449897750517"/>
  </r>
  <r>
    <n v="6034641"/>
    <x v="207"/>
    <s v="?"/>
    <s v="OT"/>
    <n v="40"/>
    <n v="3.13"/>
    <n v="81.38"/>
    <n v="115"/>
    <n v="26.91"/>
    <n v="3.13"/>
    <m/>
    <n v="226.42"/>
    <n v="72.33865814696486"/>
  </r>
  <r>
    <n v="6034641"/>
    <x v="208"/>
    <s v="?"/>
    <s v="OT"/>
    <n v="40"/>
    <n v="3.26"/>
    <n v="84.759999999999991"/>
    <n v="115"/>
    <n v="26.91"/>
    <n v="3.26"/>
    <m/>
    <n v="229.92999999999998"/>
    <n v="70.530674846625772"/>
  </r>
  <r>
    <n v="6034641"/>
    <x v="208"/>
    <s v="COM"/>
    <s v="SC"/>
    <n v="32"/>
    <n v="3.17"/>
    <n v="82.42"/>
    <n v="115"/>
    <n v="26.91"/>
    <n v="3.17"/>
    <n v="141.91"/>
    <n v="227.5"/>
    <n v="71.766561514195587"/>
  </r>
  <r>
    <n v="6034641"/>
    <x v="209"/>
    <s v="OCB"/>
    <s v="SC"/>
    <n v="30"/>
    <n v="2.2200000000000002"/>
    <n v="57.720000000000006"/>
    <n v="115"/>
    <n v="26.62"/>
    <n v="2.2200000000000002"/>
    <n v="141.62"/>
    <n v="201.56"/>
    <n v="90.792792792792781"/>
  </r>
  <r>
    <n v="6034641"/>
    <x v="210"/>
    <s v="COM"/>
    <s v="SC"/>
    <n v="32"/>
    <n v="2.65"/>
    <n v="68.899999999999991"/>
    <n v="115"/>
    <n v="26.91"/>
    <n v="2.65"/>
    <n v="141.91"/>
    <n v="213.45999999999998"/>
    <n v="80.550943396226415"/>
  </r>
  <r>
    <n v="6034641"/>
    <x v="210"/>
    <s v="CSB"/>
    <s v="OT"/>
    <n v="40"/>
    <n v="5.35"/>
    <n v="139.1"/>
    <n v="115"/>
    <n v="26.62"/>
    <n v="5.35"/>
    <m/>
    <n v="286.07"/>
    <n v="53.471028037383178"/>
  </r>
  <r>
    <n v="6034641"/>
    <x v="211"/>
    <s v="OCB"/>
    <s v="SC"/>
    <n v="30"/>
    <n v="3.46"/>
    <n v="89.96"/>
    <n v="115"/>
    <n v="26.16"/>
    <n v="3.46"/>
    <n v="141.16"/>
    <n v="234.57999999999998"/>
    <n v="67.797687861271669"/>
  </r>
  <r>
    <n v="6034641"/>
    <x v="212"/>
    <s v="COM"/>
    <s v="SC"/>
    <n v="32"/>
    <n v="2.64"/>
    <n v="68.64"/>
    <n v="115"/>
    <n v="26.16"/>
    <n v="2.64"/>
    <n v="141.16"/>
    <n v="212.43999999999997"/>
    <n v="80.469696969696955"/>
  </r>
  <r>
    <n v="6034641"/>
    <x v="213"/>
    <s v="OCB"/>
    <s v="SC"/>
    <n v="30"/>
    <n v="2.0499999999999998"/>
    <n v="53.3"/>
    <n v="115"/>
    <n v="26.16"/>
    <n v="2.0499999999999998"/>
    <n v="141.16"/>
    <n v="196.51000000000002"/>
    <n v="95.858536585365869"/>
  </r>
  <r>
    <n v="5613603"/>
    <x v="214"/>
    <s v="Westpark"/>
    <s v="FL"/>
    <n v="8"/>
    <n v="3.12"/>
    <m/>
    <n v="189"/>
    <m/>
    <m/>
    <m/>
    <n v="189"/>
    <n v="60.576923076923073"/>
  </r>
  <r>
    <n v="5616170"/>
    <x v="214"/>
    <s v="Nerman"/>
    <s v="SC"/>
    <n v="6"/>
    <n v="3.9"/>
    <m/>
    <n v="155.88"/>
    <m/>
    <m/>
    <m/>
    <n v="155.88"/>
    <n v="39.969230769230769"/>
  </r>
  <r>
    <n v="5616471"/>
    <x v="214"/>
    <s v="Olathe Center"/>
    <s v="FL"/>
    <n v="2"/>
    <n v="0.39"/>
    <m/>
    <n v="48"/>
    <m/>
    <m/>
    <m/>
    <n v="48"/>
    <n v="123.07692307692307"/>
  </r>
  <r>
    <n v="6034641"/>
    <x v="214"/>
    <s v="COM"/>
    <s v="SC"/>
    <n v="32"/>
    <n v="1.99"/>
    <n v="51.74"/>
    <n v="115"/>
    <n v="25.93"/>
    <n v="1.99"/>
    <n v="140.93"/>
    <n v="194.66000000000003"/>
    <n v="97.819095477386952"/>
  </r>
  <r>
    <n v="5613184"/>
    <x v="214"/>
    <s v="HCDC"/>
    <s v="FL"/>
    <n v="6"/>
    <n v="1.17"/>
    <m/>
    <n v="104"/>
    <m/>
    <m/>
    <m/>
    <n v="104"/>
    <n v="88.8888888888889"/>
  </r>
  <r>
    <n v="5613184"/>
    <x v="214"/>
    <s v="ITC"/>
    <s v="FL"/>
    <n v="2"/>
    <n v="0.39"/>
    <m/>
    <n v="65"/>
    <m/>
    <m/>
    <m/>
    <n v="65"/>
    <n v="166.66666666666666"/>
  </r>
  <r>
    <n v="5613184"/>
    <x v="214"/>
    <s v="ITC"/>
    <s v="FL"/>
    <n v="2"/>
    <n v="0.39"/>
    <m/>
    <n v="65"/>
    <m/>
    <m/>
    <m/>
    <n v="65"/>
    <n v="166.66666666666666"/>
  </r>
  <r>
    <n v="6055865"/>
    <x v="215"/>
    <s v="OCB"/>
    <s v="SC"/>
    <n v="30"/>
    <n v="1.25"/>
    <n v="32.5"/>
    <n v="115"/>
    <n v="25.93"/>
    <n v="1.25"/>
    <n v="140.93"/>
    <n v="174.68"/>
    <n v="139.744"/>
  </r>
  <r>
    <n v="6055865"/>
    <x v="216"/>
    <s v="South Compound"/>
    <s v="OT"/>
    <n v="20"/>
    <n v="7.52"/>
    <n v="195.51999999999998"/>
    <n v="115"/>
    <n v="25.93"/>
    <n v="7.52"/>
    <m/>
    <n v="343.96999999999997"/>
    <n v="45.740691489361701"/>
  </r>
  <r>
    <n v="6055865"/>
    <x v="216"/>
    <s v="South Compound"/>
    <s v="SC"/>
    <n v="35"/>
    <n v="7.48"/>
    <n v="194.48000000000002"/>
    <n v="115"/>
    <n v="25.93"/>
    <n v="7.48"/>
    <m/>
    <n v="342.89000000000004"/>
    <n v="45.840909090909093"/>
  </r>
  <r>
    <n v="6055865"/>
    <x v="217"/>
    <s v="South Compound"/>
    <s v="OT"/>
    <n v="20"/>
    <n v="3.51"/>
    <n v="91.259999999999991"/>
    <n v="115"/>
    <n v="25.93"/>
    <n v="3.51"/>
    <m/>
    <n v="235.7"/>
    <n v="67.150997150997156"/>
  </r>
  <r>
    <n v="6055865"/>
    <x v="217"/>
    <s v="CSB"/>
    <s v="OT"/>
    <n v="40"/>
    <n v="6.89"/>
    <n v="179.14"/>
    <n v="115"/>
    <n v="25.93"/>
    <n v="6.89"/>
    <m/>
    <n v="326.95999999999998"/>
    <n v="47.454281567489112"/>
  </r>
  <r>
    <n v="6055865"/>
    <x v="218"/>
    <s v="COM"/>
    <s v="SC"/>
    <n v="32"/>
    <n v="1.53"/>
    <n v="39.78"/>
    <n v="115"/>
    <n v="25.93"/>
    <n v="1.53"/>
    <n v="140.93"/>
    <n v="182.24"/>
    <n v="119.11111111111111"/>
  </r>
  <r>
    <n v="6055865"/>
    <x v="219"/>
    <s v="OCB"/>
    <s v="SC"/>
    <n v="30"/>
    <n v="1.18"/>
    <n v="30.68"/>
    <n v="115"/>
    <n v="25.88"/>
    <n v="1.18"/>
    <n v="140.88"/>
    <n v="172.74"/>
    <n v="146.3898305084746"/>
  </r>
  <r>
    <n v="6055865"/>
    <x v="220"/>
    <s v="COM"/>
    <s v="SC"/>
    <n v="32"/>
    <n v="1.95"/>
    <n v="50.699999999999996"/>
    <n v="115"/>
    <n v="25.99"/>
    <n v="1.95"/>
    <n v="140.99"/>
    <n v="193.64"/>
    <n v="99.302564102564091"/>
  </r>
  <r>
    <n v="6055865"/>
    <x v="221"/>
    <s v="OCB"/>
    <s v="SC"/>
    <n v="30"/>
    <n v="1.33"/>
    <n v="34.58"/>
    <n v="115"/>
    <n v="25.99"/>
    <n v="1.33"/>
    <n v="140.99"/>
    <n v="176.9"/>
    <n v="133.00751879699249"/>
  </r>
  <r>
    <n v="6055865"/>
    <x v="222"/>
    <s v="CSB"/>
    <s v="OT"/>
    <n v="40"/>
    <n v="3.15"/>
    <n v="81.899999999999991"/>
    <n v="115"/>
    <n v="25.93"/>
    <n v="3.15"/>
    <m/>
    <n v="225.98"/>
    <n v="71.739682539682534"/>
  </r>
  <r>
    <n v="6055865"/>
    <x v="223"/>
    <s v="Warehouse"/>
    <s v="OT"/>
    <n v="40"/>
    <n v="3.1"/>
    <n v="80.600000000000009"/>
    <n v="115"/>
    <n v="25.93"/>
    <n v="3.1"/>
    <m/>
    <n v="224.63000000000002"/>
    <n v="72.461290322580652"/>
  </r>
  <r>
    <n v="6055865"/>
    <x v="224"/>
    <s v="COM"/>
    <s v="SC"/>
    <n v="32"/>
    <n v="2.48"/>
    <n v="64.48"/>
    <n v="115"/>
    <n v="25.93"/>
    <n v="2.48"/>
    <n v="140.93"/>
    <n v="207.89000000000001"/>
    <n v="83.826612903225808"/>
  </r>
  <r>
    <n v="6055865"/>
    <x v="225"/>
    <s v="OCB"/>
    <s v="SC"/>
    <n v="30"/>
    <n v="1.31"/>
    <n v="34.06"/>
    <n v="115"/>
    <n v="25.93"/>
    <n v="1.31"/>
    <n v="140.93"/>
    <n v="176.3"/>
    <n v="134.58015267175574"/>
  </r>
  <r>
    <n v="6055865"/>
    <x v="226"/>
    <s v="COM"/>
    <s v="SC"/>
    <n v="32"/>
    <n v="1.95"/>
    <n v="50.699999999999996"/>
    <n v="115"/>
    <n v="25.59"/>
    <n v="1.95"/>
    <n v="140.59"/>
    <n v="193.23999999999998"/>
    <n v="99.097435897435886"/>
  </r>
  <r>
    <n v="6055865"/>
    <x v="227"/>
    <s v="OCB"/>
    <s v="SC"/>
    <n v="30"/>
    <n v="1.41"/>
    <n v="36.659999999999997"/>
    <n v="115"/>
    <n v="25.59"/>
    <n v="1.41"/>
    <n v="140.59"/>
    <n v="178.66"/>
    <n v="126.70921985815603"/>
  </r>
  <r>
    <n v="5621698"/>
    <x v="228"/>
    <s v="HCDC"/>
    <s v="FL"/>
    <n v="6"/>
    <n v="1.17"/>
    <m/>
    <n v="104"/>
    <m/>
    <m/>
    <m/>
    <n v="104"/>
    <n v="88.8888888888889"/>
  </r>
  <r>
    <n v="5621698"/>
    <x v="228"/>
    <s v="ITC"/>
    <s v="FL"/>
    <n v="2"/>
    <n v="0.39"/>
    <m/>
    <n v="65"/>
    <m/>
    <m/>
    <m/>
    <n v="65"/>
    <n v="166.66666666666666"/>
  </r>
  <r>
    <n v="5621698"/>
    <x v="228"/>
    <s v="ITC"/>
    <s v="FL"/>
    <n v="2"/>
    <n v="0.39"/>
    <m/>
    <n v="65"/>
    <m/>
    <m/>
    <m/>
    <n v="65"/>
    <n v="166.66666666666666"/>
  </r>
  <r>
    <n v="5622116"/>
    <x v="228"/>
    <s v="Westpark"/>
    <s v="FL"/>
    <n v="8"/>
    <n v="3.12"/>
    <m/>
    <n v="189"/>
    <m/>
    <m/>
    <m/>
    <n v="189"/>
    <n v="60.576923076923073"/>
  </r>
  <r>
    <n v="5624654"/>
    <x v="228"/>
    <s v="Nerman"/>
    <s v="SC"/>
    <n v="6"/>
    <n v="3.9"/>
    <m/>
    <n v="155.88"/>
    <m/>
    <m/>
    <m/>
    <n v="155.88"/>
    <n v="39.969230769230769"/>
  </r>
  <r>
    <n v="6074315"/>
    <x v="229"/>
    <s v="South Compound"/>
    <s v="SC"/>
    <n v="35"/>
    <n v="1.81"/>
    <n v="47.06"/>
    <n v="115"/>
    <n v="25.59"/>
    <n v="1.81"/>
    <m/>
    <n v="189.46"/>
    <n v="104.67403314917127"/>
  </r>
  <r>
    <n v="6074315"/>
    <x v="230"/>
    <s v="CSB"/>
    <s v="OT"/>
    <n v="40"/>
    <n v="5.61"/>
    <n v="145.86000000000001"/>
    <n v="115"/>
    <n v="25.59"/>
    <n v="5.61"/>
    <m/>
    <n v="292.06"/>
    <n v="52.060606060606055"/>
  </r>
  <r>
    <n v="6074315"/>
    <x v="231"/>
    <s v="OCB"/>
    <s v="SC"/>
    <n v="30"/>
    <n v="1.64"/>
    <n v="42.64"/>
    <n v="115"/>
    <n v="25.59"/>
    <n v="1.64"/>
    <n v="140.59"/>
    <n v="184.86999999999998"/>
    <n v="112.72560975609755"/>
  </r>
  <r>
    <n v="6074315"/>
    <x v="232"/>
    <s v="CC"/>
    <s v="SC"/>
    <n v="30"/>
    <n v="7.91"/>
    <n v="205.66"/>
    <n v="115"/>
    <n v="25.59"/>
    <n v="7.91"/>
    <m/>
    <n v="354.15999999999997"/>
    <n v="44.773704171934256"/>
  </r>
  <r>
    <n v="6074315"/>
    <x v="233"/>
    <s v="COM"/>
    <s v="SC"/>
    <n v="32"/>
    <n v="1.32"/>
    <n v="34.32"/>
    <n v="115"/>
    <n v="25.59"/>
    <n v="1.32"/>
    <n v="140.59"/>
    <n v="176.23"/>
    <n v="133.50757575757575"/>
  </r>
  <r>
    <n v="6074315"/>
    <x v="233"/>
    <s v="?"/>
    <s v="OT"/>
    <n v="40"/>
    <n v="6.9"/>
    <n v="179.4"/>
    <n v="115"/>
    <n v="25.59"/>
    <n v="6.9"/>
    <m/>
    <n v="326.88999999999993"/>
    <n v="47.375362318840565"/>
  </r>
  <r>
    <n v="6074315"/>
    <x v="234"/>
    <s v="South Compound"/>
    <s v="SC"/>
    <n v="35"/>
    <n v="9.1999999999999993"/>
    <n v="239.2"/>
    <n v="115"/>
    <n v="25.59"/>
    <n v="9.1999999999999993"/>
    <m/>
    <n v="388.98999999999995"/>
    <n v="42.281521739130433"/>
  </r>
  <r>
    <n v="6074315"/>
    <x v="235"/>
    <s v="OCB"/>
    <s v="SC"/>
    <n v="30"/>
    <n v="2.0499999999999998"/>
    <n v="53.3"/>
    <n v="115"/>
    <n v="25.59"/>
    <n v="2.0499999999999998"/>
    <n v="140.59"/>
    <n v="195.94000000000003"/>
    <n v="95.580487804878075"/>
  </r>
  <r>
    <n v="6074315"/>
    <x v="236"/>
    <s v="COM"/>
    <s v="SC"/>
    <n v="32"/>
    <n v="1.63"/>
    <n v="42.379999999999995"/>
    <n v="115"/>
    <n v="25.93"/>
    <n v="1.63"/>
    <n v="140.93"/>
    <n v="184.94"/>
    <n v="113.4601226993865"/>
  </r>
  <r>
    <n v="6074315"/>
    <x v="237"/>
    <s v="OCB"/>
    <s v="SC"/>
    <n v="30"/>
    <n v="1.69"/>
    <n v="43.94"/>
    <n v="115"/>
    <n v="25.93"/>
    <n v="1.69"/>
    <n v="140.93"/>
    <n v="186.56"/>
    <n v="110.3905325443787"/>
  </r>
  <r>
    <n v="6074315"/>
    <x v="237"/>
    <s v="CSB"/>
    <s v="OT"/>
    <n v="40"/>
    <n v="2.73"/>
    <n v="70.98"/>
    <n v="115"/>
    <n v="25.93"/>
    <n v="2.73"/>
    <m/>
    <n v="214.64000000000001"/>
    <n v="78.622710622710628"/>
  </r>
  <r>
    <n v="6074315"/>
    <x v="238"/>
    <s v="COM"/>
    <s v="SC"/>
    <n v="32"/>
    <n v="1.56"/>
    <n v="40.56"/>
    <n v="115"/>
    <n v="26.11"/>
    <n v="1.56"/>
    <n v="141.11000000000001"/>
    <n v="183.23000000000002"/>
    <n v="117.45512820512822"/>
  </r>
  <r>
    <n v="6074315"/>
    <x v="239"/>
    <s v="OCB"/>
    <s v="SC"/>
    <n v="30"/>
    <n v="0.61"/>
    <n v="15.86"/>
    <n v="115"/>
    <n v="26.11"/>
    <n v="0.61"/>
    <n v="141.11000000000001"/>
    <n v="157.58000000000004"/>
    <n v="258.32786885245906"/>
  </r>
  <r>
    <n v="5629923"/>
    <x v="240"/>
    <s v="HCDC"/>
    <s v="FL"/>
    <n v="6"/>
    <n v="1.17"/>
    <m/>
    <n v="104"/>
    <m/>
    <m/>
    <m/>
    <n v="104"/>
    <n v="88.8888888888889"/>
  </r>
  <r>
    <n v="5629923"/>
    <x v="240"/>
    <s v="ITC"/>
    <s v="FL"/>
    <n v="2"/>
    <n v="0.39"/>
    <m/>
    <n v="65"/>
    <m/>
    <m/>
    <m/>
    <n v="65"/>
    <n v="166.66666666666666"/>
  </r>
  <r>
    <n v="5629923"/>
    <x v="240"/>
    <s v="ITC"/>
    <s v="FL"/>
    <n v="2"/>
    <n v="0.39"/>
    <m/>
    <n v="65"/>
    <m/>
    <m/>
    <m/>
    <n v="65"/>
    <n v="166.66666666666666"/>
  </r>
  <r>
    <n v="5630341"/>
    <x v="240"/>
    <s v="Westpark"/>
    <s v="FL"/>
    <n v="8"/>
    <n v="3.12"/>
    <m/>
    <n v="189"/>
    <m/>
    <m/>
    <m/>
    <n v="189"/>
    <n v="60.576923076923073"/>
  </r>
  <r>
    <n v="5632866"/>
    <x v="240"/>
    <s v="Nerman"/>
    <s v="SC"/>
    <n v="6"/>
    <n v="3.9"/>
    <m/>
    <n v="155.88"/>
    <m/>
    <m/>
    <m/>
    <n v="155.88"/>
    <n v="39.969230769230769"/>
  </r>
  <r>
    <n v="5633169"/>
    <x v="240"/>
    <s v="Olathe Center"/>
    <s v="FL"/>
    <n v="2"/>
    <n v="0.39"/>
    <m/>
    <n v="48"/>
    <m/>
    <m/>
    <m/>
    <n v="48"/>
    <n v="123.07692307692307"/>
  </r>
  <r>
    <n v="6096126"/>
    <x v="241"/>
    <s v="COM"/>
    <s v="SC"/>
    <n v="32"/>
    <n v="2.1"/>
    <n v="54.6"/>
    <n v="115"/>
    <n v="26.05"/>
    <n v="2.1"/>
    <n v="141.05000000000001"/>
    <n v="197.75"/>
    <n v="94.166666666666657"/>
  </r>
  <r>
    <n v="6096126"/>
    <x v="242"/>
    <s v="South Compound"/>
    <s v="OT"/>
    <n v="20"/>
    <n v="1.32"/>
    <n v="34.32"/>
    <n v="115"/>
    <n v="26.05"/>
    <n v="1.32"/>
    <m/>
    <n v="176.69"/>
    <n v="133.85606060606059"/>
  </r>
  <r>
    <n v="6096126"/>
    <x v="242"/>
    <s v="South Compound"/>
    <s v="OT"/>
    <n v="20"/>
    <n v="2.27"/>
    <n v="59.02"/>
    <n v="115"/>
    <n v="26.05"/>
    <n v="2.27"/>
    <m/>
    <n v="202.34000000000003"/>
    <n v="89.136563876651991"/>
  </r>
  <r>
    <m/>
    <x v="242"/>
    <s v="South Compound"/>
    <s v="OT"/>
    <n v="20"/>
    <n v="1.32"/>
    <n v="34.32"/>
    <n v="115"/>
    <n v="25.59"/>
    <n v="1.32"/>
    <m/>
    <n v="176.23"/>
    <n v="133.50757575757575"/>
  </r>
  <r>
    <n v="6096126"/>
    <x v="243"/>
    <s v="OCB"/>
    <s v="SC"/>
    <n v="30"/>
    <n v="1.24"/>
    <n v="32.24"/>
    <n v="115"/>
    <n v="26.05"/>
    <n v="1.24"/>
    <n v="141.05000000000001"/>
    <n v="174.53000000000003"/>
    <n v="140.75000000000003"/>
  </r>
  <r>
    <n v="6096126"/>
    <x v="244"/>
    <s v="?"/>
    <s v="OT"/>
    <n v="40"/>
    <n v="5.33"/>
    <n v="138.58000000000001"/>
    <n v="115"/>
    <n v="26.05"/>
    <n v="5.33"/>
    <m/>
    <n v="284.95999999999998"/>
    <n v="53.463414634146339"/>
  </r>
  <r>
    <n v="6096126"/>
    <x v="245"/>
    <s v="COM"/>
    <s v="SC"/>
    <n v="32"/>
    <n v="1.34"/>
    <n v="34.840000000000003"/>
    <n v="115"/>
    <n v="25.82"/>
    <n v="1.34"/>
    <n v="140.82"/>
    <n v="177"/>
    <n v="132.08955223880596"/>
  </r>
  <r>
    <n v="6096126"/>
    <x v="246"/>
    <s v="OCB"/>
    <s v="SC"/>
    <n v="30"/>
    <n v="0.73"/>
    <n v="18.98"/>
    <n v="115"/>
    <n v="25.82"/>
    <n v="0.73"/>
    <n v="140.82"/>
    <n v="160.52999999999997"/>
    <n v="219.90410958904107"/>
  </r>
  <r>
    <n v="6096126"/>
    <x v="247"/>
    <s v="?"/>
    <s v="OT"/>
    <n v="40"/>
    <n v="7.32"/>
    <n v="190.32"/>
    <n v="115"/>
    <n v="25.82"/>
    <n v="7.32"/>
    <m/>
    <n v="338.46"/>
    <n v="46.237704918032783"/>
  </r>
  <r>
    <n v="6096126"/>
    <x v="248"/>
    <s v="COM"/>
    <s v="SC"/>
    <n v="32"/>
    <n v="2.23"/>
    <n v="57.98"/>
    <n v="115"/>
    <n v="25.47"/>
    <n v="2.23"/>
    <n v="140.47"/>
    <n v="200.67999999999998"/>
    <n v="89.991031390134523"/>
  </r>
  <r>
    <n v="6096126"/>
    <x v="249"/>
    <s v="?"/>
    <s v="OT"/>
    <n v="40"/>
    <n v="5.47"/>
    <n v="142.22"/>
    <n v="115"/>
    <n v="25.59"/>
    <n v="5.47"/>
    <m/>
    <n v="288.28000000000003"/>
    <n v="52.7020109689214"/>
  </r>
  <r>
    <n v="6096126"/>
    <x v="250"/>
    <s v="South Compound"/>
    <s v="SC"/>
    <n v="35"/>
    <n v="7.98"/>
    <n v="207.48000000000002"/>
    <n v="115"/>
    <n v="25.47"/>
    <n v="7.98"/>
    <m/>
    <n v="355.93000000000006"/>
    <n v="44.60275689223058"/>
  </r>
  <r>
    <n v="6096126"/>
    <x v="250"/>
    <s v="OCB"/>
    <s v="SC"/>
    <n v="30"/>
    <n v="0.9"/>
    <n v="23.400000000000002"/>
    <n v="115"/>
    <n v="25.47"/>
    <n v="0.9"/>
    <n v="140.47"/>
    <n v="164.77"/>
    <n v="183.07777777777778"/>
  </r>
  <r>
    <n v="6096126"/>
    <x v="251"/>
    <s v="?"/>
    <s v="OT"/>
    <n v="40"/>
    <n v="3.61"/>
    <n v="93.86"/>
    <n v="115"/>
    <n v="25.59"/>
    <n v="3.61"/>
    <m/>
    <n v="238.06000000000003"/>
    <n v="65.944598337950154"/>
  </r>
  <r>
    <n v="6096126"/>
    <x v="252"/>
    <s v="COM"/>
    <s v="SC"/>
    <n v="32"/>
    <n v="2.2000000000000002"/>
    <n v="57.2"/>
    <n v="115"/>
    <n v="25.3"/>
    <n v="2.2000000000000002"/>
    <n v="140.30000000000001"/>
    <n v="199.7"/>
    <n v="90.772727272727266"/>
  </r>
  <r>
    <n v="6096126"/>
    <x v="253"/>
    <s v="?"/>
    <s v="OT"/>
    <n v="40"/>
    <n v="3.52"/>
    <n v="91.52"/>
    <n v="115"/>
    <n v="25.59"/>
    <n v="3.52"/>
    <m/>
    <n v="235.63"/>
    <n v="66.940340909090907"/>
  </r>
  <r>
    <n v="6096126"/>
    <x v="254"/>
    <s v="CSB"/>
    <s v="OT"/>
    <n v="40"/>
    <n v="5.26"/>
    <n v="136.76"/>
    <n v="115"/>
    <n v="25.59"/>
    <n v="5.26"/>
    <m/>
    <n v="282.60999999999996"/>
    <n v="53.72813688212927"/>
  </r>
  <r>
    <n v="6096126"/>
    <x v="254"/>
    <s v="OCB"/>
    <s v="SC"/>
    <n v="30"/>
    <n v="2.08"/>
    <n v="54.08"/>
    <n v="115"/>
    <n v="25.59"/>
    <n v="2.08"/>
    <n v="140.59"/>
    <n v="196.75"/>
    <n v="94.591346153846146"/>
  </r>
  <r>
    <n v="6096126"/>
    <x v="255"/>
    <s v="COM"/>
    <s v="SC"/>
    <n v="32"/>
    <n v="2.88"/>
    <n v="74.88"/>
    <n v="115"/>
    <n v="25.93"/>
    <n v="2.88"/>
    <n v="140.93"/>
    <n v="218.69"/>
    <n v="75.934027777777786"/>
  </r>
  <r>
    <n v="5638408"/>
    <x v="256"/>
    <s v="HCDC"/>
    <s v="FL"/>
    <n v="6"/>
    <n v="1.17"/>
    <m/>
    <n v="55"/>
    <m/>
    <m/>
    <m/>
    <n v="55"/>
    <n v="47.008547008547012"/>
  </r>
  <r>
    <n v="5638408"/>
    <x v="256"/>
    <s v="ITC"/>
    <s v="FL"/>
    <n v="2"/>
    <n v="0.39"/>
    <m/>
    <n v="65"/>
    <m/>
    <m/>
    <m/>
    <n v="65"/>
    <n v="166.66666666666666"/>
  </r>
  <r>
    <n v="5638408"/>
    <x v="256"/>
    <s v="ITC"/>
    <s v="FL"/>
    <n v="2"/>
    <n v="0.39"/>
    <m/>
    <n v="65"/>
    <m/>
    <m/>
    <m/>
    <n v="65"/>
    <n v="166.66666666666666"/>
  </r>
  <r>
    <n v="5638824"/>
    <x v="256"/>
    <s v="Westpark"/>
    <s v="FL"/>
    <n v="8"/>
    <n v="3.12"/>
    <m/>
    <n v="129"/>
    <m/>
    <m/>
    <m/>
    <n v="129"/>
    <n v="41.346153846153847"/>
  </r>
  <r>
    <n v="5641333"/>
    <x v="256"/>
    <s v="Nerman"/>
    <s v="SC"/>
    <n v="6"/>
    <n v="3.9"/>
    <m/>
    <n v="155.88"/>
    <m/>
    <m/>
    <m/>
    <n v="155.88"/>
    <n v="39.969230769230769"/>
  </r>
  <r>
    <m/>
    <x v="256"/>
    <s v="Olathe Center"/>
    <s v="FL"/>
    <n v="2"/>
    <n v="0.39"/>
    <m/>
    <n v="48"/>
    <m/>
    <m/>
    <m/>
    <n v="48"/>
    <n v="123.07692307692307"/>
  </r>
  <r>
    <n v="6096126"/>
    <x v="256"/>
    <s v="OCB"/>
    <s v="SC"/>
    <n v="30"/>
    <n v="2.91"/>
    <n v="75.66"/>
    <n v="115"/>
    <n v="26.11"/>
    <n v="2.91"/>
    <n v="141.11000000000001"/>
    <n v="219.67999999999998"/>
    <n v="75.491408934707891"/>
  </r>
  <r>
    <n v="5643865"/>
    <x v="256"/>
    <s v="OHEC"/>
    <s v="FL"/>
    <n v="8"/>
    <n v="1.56"/>
    <m/>
    <n v="64.72"/>
    <m/>
    <m/>
    <m/>
    <n v="64.72"/>
    <n v="41.487179487179482"/>
  </r>
  <r>
    <n v="6117681"/>
    <x v="257"/>
    <s v="CSB"/>
    <s v="OT"/>
    <n v="40"/>
    <n v="3.13"/>
    <n v="81.38"/>
    <n v="115"/>
    <n v="0"/>
    <n v="3.13"/>
    <m/>
    <n v="199.51"/>
    <n v="63.741214057507989"/>
  </r>
  <r>
    <n v="6117681"/>
    <x v="258"/>
    <s v="COM"/>
    <s v="SC"/>
    <n v="32"/>
    <n v="2.71"/>
    <n v="70.459999999999994"/>
    <n v="115"/>
    <n v="0"/>
    <n v="2.71"/>
    <n v="115"/>
    <n v="188.17"/>
    <n v="69.435424354243537"/>
  </r>
  <r>
    <n v="6117681"/>
    <x v="259"/>
    <s v="OCB"/>
    <s v="SC"/>
    <n v="30"/>
    <n v="2.31"/>
    <n v="60.06"/>
    <n v="115"/>
    <n v="0"/>
    <n v="2.31"/>
    <n v="115"/>
    <n v="177.37"/>
    <n v="76.783549783549788"/>
  </r>
  <r>
    <n v="6117681"/>
    <x v="260"/>
    <s v="South Compound"/>
    <s v="OT"/>
    <n v="20"/>
    <n v="2.44"/>
    <n v="63.44"/>
    <n v="115"/>
    <n v="0"/>
    <n v="2.44"/>
    <m/>
    <n v="180.88"/>
    <n v="74.131147540983605"/>
  </r>
  <r>
    <n v="6117681"/>
    <x v="261"/>
    <s v="COM"/>
    <s v="SC"/>
    <n v="32"/>
    <n v="2.25"/>
    <n v="58.5"/>
    <n v="115"/>
    <n v="0"/>
    <n v="2.25"/>
    <n v="115"/>
    <n v="175.75"/>
    <n v="78.111111111111114"/>
  </r>
  <r>
    <n v="6117681"/>
    <x v="261"/>
    <s v="South Compound"/>
    <s v="SC"/>
    <n v="35"/>
    <n v="7.39"/>
    <n v="192.14"/>
    <n v="115"/>
    <n v="0"/>
    <n v="7.39"/>
    <m/>
    <n v="314.52999999999997"/>
    <n v="42.561569688768607"/>
  </r>
  <r>
    <n v="6117681"/>
    <x v="261"/>
    <s v="South Compound"/>
    <s v="SC"/>
    <n v="35"/>
    <n v="4.25"/>
    <n v="110.5"/>
    <n v="115"/>
    <n v="0"/>
    <n v="4.25"/>
    <m/>
    <n v="229.75"/>
    <n v="54.058823529411768"/>
  </r>
  <r>
    <n v="6117681"/>
    <x v="262"/>
    <s v="OCB"/>
    <s v="SC"/>
    <n v="30"/>
    <n v="3.16"/>
    <n v="82.16"/>
    <n v="115"/>
    <n v="0"/>
    <n v="3.16"/>
    <n v="115"/>
    <n v="200.32"/>
    <n v="63.392405063291136"/>
  </r>
  <r>
    <n v="6117681"/>
    <x v="262"/>
    <s v="?"/>
    <s v="OT"/>
    <n v="40"/>
    <n v="2.0099999999999998"/>
    <n v="52.259999999999991"/>
    <n v="115"/>
    <n v="0"/>
    <n v="2.0099999999999998"/>
    <m/>
    <n v="169.26999999999998"/>
    <n v="84.2139303482587"/>
  </r>
  <r>
    <n v="6117681"/>
    <x v="263"/>
    <s v="COM"/>
    <s v="SC"/>
    <n v="32"/>
    <n v="2.41"/>
    <n v="62.660000000000004"/>
    <n v="115"/>
    <n v="0"/>
    <n v="2.41"/>
    <n v="115"/>
    <n v="180.07"/>
    <n v="74.717842323651439"/>
  </r>
  <r>
    <n v="6117681"/>
    <x v="264"/>
    <s v="OCB"/>
    <s v="SC"/>
    <n v="30"/>
    <n v="2.99"/>
    <n v="77.740000000000009"/>
    <n v="115"/>
    <n v="0"/>
    <n v="2.99"/>
    <n v="115"/>
    <n v="195.73000000000002"/>
    <n v="65.461538461538467"/>
  </r>
  <r>
    <n v="6117681"/>
    <x v="265"/>
    <s v="?"/>
    <s v="OT"/>
    <n v="40"/>
    <n v="2.56"/>
    <n v="66.56"/>
    <n v="115"/>
    <n v="0"/>
    <n v="2.56"/>
    <m/>
    <n v="184.12"/>
    <n v="71.921875"/>
  </r>
  <r>
    <n v="6117681"/>
    <x v="266"/>
    <s v="COM"/>
    <s v="SC"/>
    <n v="32"/>
    <n v="2.73"/>
    <n v="70.98"/>
    <n v="115"/>
    <n v="0"/>
    <n v="2.73"/>
    <n v="115"/>
    <n v="188.71"/>
    <n v="69.124542124542131"/>
  </r>
  <r>
    <n v="6117681"/>
    <x v="267"/>
    <s v="OCB"/>
    <s v="SC"/>
    <n v="30"/>
    <n v="3.28"/>
    <n v="85.28"/>
    <n v="115"/>
    <n v="0"/>
    <n v="3.28"/>
    <n v="115"/>
    <n v="203.56"/>
    <n v="62.060975609756099"/>
  </r>
  <r>
    <n v="6117681"/>
    <x v="267"/>
    <s v="?"/>
    <s v="OT"/>
    <n v="40"/>
    <n v="2.58"/>
    <n v="67.08"/>
    <n v="115"/>
    <n v="0"/>
    <n v="2.58"/>
    <m/>
    <n v="184.66"/>
    <n v="71.573643410852711"/>
  </r>
  <r>
    <n v="6117681"/>
    <x v="267"/>
    <s v="South Compound"/>
    <s v="OT"/>
    <n v="20"/>
    <n v="3.95"/>
    <n v="102.7"/>
    <n v="115"/>
    <n v="0"/>
    <n v="3.95"/>
    <m/>
    <n v="221.64999999999998"/>
    <n v="56.113924050632903"/>
  </r>
  <r>
    <n v="5646938"/>
    <x v="268"/>
    <s v="HCDC"/>
    <s v="FL"/>
    <n v="6"/>
    <n v="1.17"/>
    <m/>
    <n v="55"/>
    <m/>
    <m/>
    <m/>
    <n v="55"/>
    <n v="47.008547008547012"/>
  </r>
  <r>
    <n v="5646938"/>
    <x v="268"/>
    <s v="ITC"/>
    <s v="FL"/>
    <n v="6"/>
    <n v="1.17"/>
    <m/>
    <n v="65"/>
    <m/>
    <m/>
    <m/>
    <n v="65"/>
    <n v="55.555555555555557"/>
  </r>
  <r>
    <n v="5647347"/>
    <x v="268"/>
    <s v="Westpark"/>
    <s v="FL"/>
    <n v="8"/>
    <n v="3.12"/>
    <m/>
    <n v="129"/>
    <m/>
    <m/>
    <m/>
    <n v="129"/>
    <n v="41.346153846153847"/>
  </r>
  <r>
    <s v="?"/>
    <x v="268"/>
    <s v="Nerman"/>
    <s v="SC"/>
    <n v="6"/>
    <n v="3.9"/>
    <m/>
    <n v="155.88"/>
    <m/>
    <m/>
    <m/>
    <n v="155.88"/>
    <n v="39.969230769230769"/>
  </r>
  <r>
    <n v="5650126"/>
    <x v="268"/>
    <s v="Olathe Center"/>
    <s v="FL"/>
    <n v="2"/>
    <n v="0.39"/>
    <m/>
    <n v="48"/>
    <m/>
    <m/>
    <m/>
    <n v="48"/>
    <n v="123.07692307692307"/>
  </r>
  <r>
    <n v="5652319"/>
    <x v="268"/>
    <s v="OHEC"/>
    <s v="FL"/>
    <n v="8"/>
    <n v="1.56"/>
    <m/>
    <n v="69.28"/>
    <m/>
    <m/>
    <m/>
    <n v="69.28"/>
    <m/>
  </r>
  <r>
    <n v="6136627"/>
    <x v="269"/>
    <s v="COM"/>
    <s v="SC"/>
    <n v="32"/>
    <n v="2.59"/>
    <n v="67.34"/>
    <n v="115"/>
    <n v="0"/>
    <n v="2.59"/>
    <n v="115"/>
    <n v="184.93"/>
    <n v="71.401544401544413"/>
  </r>
  <r>
    <n v="6136627"/>
    <x v="270"/>
    <s v="OCB"/>
    <s v="SC"/>
    <n v="30"/>
    <n v="2.68"/>
    <n v="69.680000000000007"/>
    <n v="115"/>
    <n v="0"/>
    <n v="2.68"/>
    <n v="115"/>
    <n v="187.36"/>
    <n v="69.910447761194035"/>
  </r>
  <r>
    <n v="6136627"/>
    <x v="271"/>
    <s v="?"/>
    <s v="OT"/>
    <n v="40"/>
    <n v="2.14"/>
    <n v="55.64"/>
    <n v="115"/>
    <n v="0"/>
    <n v="2.14"/>
    <m/>
    <n v="172.77999999999997"/>
    <n v="80.738317757009327"/>
  </r>
  <r>
    <n v="6136627"/>
    <x v="272"/>
    <s v="COM"/>
    <s v="SC"/>
    <n v="32"/>
    <n v="2.57"/>
    <n v="66.819999999999993"/>
    <n v="115"/>
    <n v="0"/>
    <n v="2.57"/>
    <n v="115"/>
    <n v="184.39"/>
    <n v="71.747081712062254"/>
  </r>
  <r>
    <n v="6136627"/>
    <x v="273"/>
    <s v="South Compound"/>
    <s v="SC"/>
    <n v="35"/>
    <n v="7.99"/>
    <n v="207.74"/>
    <n v="115"/>
    <n v="0"/>
    <n v="7.99"/>
    <m/>
    <n v="330.73"/>
    <n v="41.392991239048811"/>
  </r>
  <r>
    <n v="6136627"/>
    <x v="273"/>
    <s v="South Compound"/>
    <s v="OT"/>
    <n v="20"/>
    <n v="5.04"/>
    <n v="131.04"/>
    <n v="115"/>
    <n v="0"/>
    <n v="5.04"/>
    <n v="115"/>
    <n v="251.07999999999998"/>
    <n v="49.817460317460316"/>
  </r>
  <r>
    <n v="6136627"/>
    <x v="274"/>
    <s v="OCB"/>
    <s v="SC"/>
    <n v="30"/>
    <n v="2.85"/>
    <n v="74.100000000000009"/>
    <n v="115"/>
    <n v="0"/>
    <n v="2.85"/>
    <n v="115"/>
    <n v="191.95000000000002"/>
    <n v="67.350877192982466"/>
  </r>
  <r>
    <n v="6136627"/>
    <x v="275"/>
    <s v="CSB"/>
    <s v="OT"/>
    <n v="40"/>
    <n v="1.69"/>
    <n v="43.94"/>
    <n v="115"/>
    <n v="0"/>
    <n v="1.69"/>
    <n v="115"/>
    <n v="160.63"/>
    <n v="95.047337278106511"/>
  </r>
  <r>
    <n v="6136627"/>
    <x v="275"/>
    <s v="Warehouse"/>
    <s v="OT"/>
    <n v="40"/>
    <n v="4.18"/>
    <n v="108.67999999999999"/>
    <n v="115"/>
    <m/>
    <n v="4.18"/>
    <n v="115"/>
    <n v="227.86"/>
    <n v="54.511961722488046"/>
  </r>
  <r>
    <n v="6136627"/>
    <x v="276"/>
    <s v="COM"/>
    <s v="SC"/>
    <n v="32"/>
    <n v="2.16"/>
    <n v="56.160000000000004"/>
    <n v="115"/>
    <n v="0"/>
    <n v="2.16"/>
    <n v="115"/>
    <n v="173.32"/>
    <n v="80.240740740740733"/>
  </r>
  <r>
    <n v="6136627"/>
    <x v="277"/>
    <s v="OCB"/>
    <s v="SC"/>
    <n v="30"/>
    <n v="2.96"/>
    <n v="76.959999999999994"/>
    <n v="115"/>
    <n v="0"/>
    <n v="2.96"/>
    <n v="115"/>
    <n v="194.92"/>
    <n v="65.851351351351354"/>
  </r>
  <r>
    <n v="6136627"/>
    <x v="277"/>
    <s v="?"/>
    <s v="OT"/>
    <n v="40"/>
    <n v="1.52"/>
    <n v="39.520000000000003"/>
    <n v="115"/>
    <n v="0"/>
    <n v="1.52"/>
    <n v="115"/>
    <n v="156.04000000000002"/>
    <n v="102.65789473684212"/>
  </r>
  <r>
    <n v="6136627"/>
    <x v="277"/>
    <s v="?"/>
    <s v="OT"/>
    <n v="40"/>
    <n v="0.83"/>
    <n v="21.58"/>
    <n v="115"/>
    <n v="0"/>
    <n v="0.83"/>
    <n v="115"/>
    <n v="137.41"/>
    <n v="165.55421686746988"/>
  </r>
  <r>
    <n v="6136627"/>
    <x v="278"/>
    <s v="?"/>
    <s v="OT"/>
    <n v="40"/>
    <n v="1.89"/>
    <n v="49.14"/>
    <n v="115"/>
    <n v="0"/>
    <n v="1.89"/>
    <n v="115"/>
    <n v="166.02999999999997"/>
    <n v="87.846560846560834"/>
  </r>
  <r>
    <n v="6136627"/>
    <x v="279"/>
    <s v="COM"/>
    <s v="SC"/>
    <n v="32"/>
    <n v="2.4700000000000002"/>
    <n v="64.22"/>
    <n v="115"/>
    <n v="0"/>
    <n v="2.4700000000000002"/>
    <n v="115"/>
    <n v="181.69"/>
    <n v="73.558704453441294"/>
  </r>
  <r>
    <n v="6136627"/>
    <x v="280"/>
    <s v="OCB"/>
    <s v="SC"/>
    <n v="30"/>
    <n v="2.94"/>
    <n v="76.44"/>
    <n v="115"/>
    <n v="0"/>
    <n v="2.94"/>
    <n v="115"/>
    <n v="194.38"/>
    <n v="66.115646258503403"/>
  </r>
  <r>
    <n v="6136627"/>
    <x v="281"/>
    <s v="COM"/>
    <s v="SC"/>
    <n v="32"/>
    <n v="2.35"/>
    <n v="61.1"/>
    <n v="115"/>
    <n v="0"/>
    <n v="2.35"/>
    <n v="115"/>
    <n v="178.45"/>
    <n v="75.936170212765944"/>
  </r>
  <r>
    <n v="5655155"/>
    <x v="281"/>
    <s v="HCDC"/>
    <s v="FL"/>
    <n v="6"/>
    <n v="1.17"/>
    <m/>
    <n v="70.680000000000007"/>
    <m/>
    <m/>
    <m/>
    <n v="70.680000000000007"/>
    <n v="60.410256410256423"/>
  </r>
  <r>
    <n v="5655155"/>
    <x v="281"/>
    <s v="ITC"/>
    <s v="FL"/>
    <n v="6"/>
    <n v="2.34"/>
    <m/>
    <n v="94.32"/>
    <m/>
    <m/>
    <m/>
    <n v="94.32"/>
    <n v="40.307692307692307"/>
  </r>
  <r>
    <n v="5655562"/>
    <x v="281"/>
    <s v="Westpark"/>
    <s v="FL"/>
    <n v="8"/>
    <n v="3.12"/>
    <m/>
    <n v="129"/>
    <m/>
    <m/>
    <m/>
    <n v="129"/>
    <n v="41.346153846153847"/>
  </r>
  <r>
    <n v="5658030"/>
    <x v="281"/>
    <s v="Nerman"/>
    <s v="SC"/>
    <n v="6"/>
    <n v="3.9"/>
    <m/>
    <n v="155.88"/>
    <m/>
    <m/>
    <m/>
    <n v="155.88"/>
    <n v="39.969230769230769"/>
  </r>
  <r>
    <n v="5658310"/>
    <x v="281"/>
    <s v="Olathe Center"/>
    <s v="FL"/>
    <n v="2"/>
    <n v="0.39"/>
    <m/>
    <n v="48"/>
    <m/>
    <m/>
    <m/>
    <n v="48"/>
    <n v="123.07692307692307"/>
  </r>
  <r>
    <n v="5660472"/>
    <x v="281"/>
    <s v="OHEC"/>
    <s v="FL"/>
    <n v="8"/>
    <n v="1.56"/>
    <m/>
    <n v="69.28"/>
    <m/>
    <m/>
    <m/>
    <n v="69.28"/>
    <m/>
  </r>
  <r>
    <n v="6155784"/>
    <x v="282"/>
    <s v="CSB"/>
    <s v="OT"/>
    <n v="40"/>
    <n v="4.18"/>
    <n v="108.67999999999999"/>
    <n v="115"/>
    <n v="0"/>
    <n v="4.18"/>
    <n v="115"/>
    <n v="227.86"/>
    <n v="54.511961722488046"/>
  </r>
  <r>
    <n v="6155784"/>
    <x v="283"/>
    <s v="OCB"/>
    <s v="SC"/>
    <n v="30"/>
    <n v="2.72"/>
    <n v="70.72"/>
    <n v="115"/>
    <n v="0"/>
    <n v="2.72"/>
    <n v="115"/>
    <n v="188.44"/>
    <n v="69.27941176470587"/>
  </r>
  <r>
    <n v="6155784"/>
    <x v="284"/>
    <s v="COM"/>
    <s v="SC"/>
    <n v="32"/>
    <n v="2.48"/>
    <n v="64.48"/>
    <n v="115"/>
    <n v="0"/>
    <n v="2.48"/>
    <n v="115"/>
    <n v="181.96"/>
    <n v="73.370967741935488"/>
  </r>
  <r>
    <n v="6155784"/>
    <x v="285"/>
    <s v="OCB"/>
    <s v="SC"/>
    <n v="30"/>
    <n v="3.42"/>
    <n v="88.92"/>
    <n v="115"/>
    <n v="0"/>
    <n v="3.42"/>
    <n v="115"/>
    <n v="207.34"/>
    <n v="60.62573099415205"/>
  </r>
  <r>
    <n v="6155784"/>
    <x v="285"/>
    <s v="CSB"/>
    <s v="OT"/>
    <n v="40"/>
    <n v="6.04"/>
    <n v="157.04"/>
    <n v="115"/>
    <n v="0"/>
    <n v="6.04"/>
    <n v="115"/>
    <n v="278.08"/>
    <n v="46.039735099337747"/>
  </r>
  <r>
    <n v="6174014"/>
    <x v="286"/>
    <s v="South Compound"/>
    <s v="OT"/>
    <n v="20"/>
    <n v="6.49"/>
    <n v="168.74"/>
    <n v="115"/>
    <n v="0"/>
    <n v="6.49"/>
    <n v="115"/>
    <n v="290.23"/>
    <n v="44.719568567026194"/>
  </r>
  <r>
    <n v="6174014"/>
    <x v="286"/>
    <s v="South Compound"/>
    <s v="OT"/>
    <n v="20"/>
    <n v="8.94"/>
    <n v="232.44"/>
    <n v="115"/>
    <n v="0"/>
    <n v="8.94"/>
    <n v="115"/>
    <n v="356.38"/>
    <n v="39.863534675615213"/>
  </r>
  <r>
    <n v="6155784"/>
    <x v="287"/>
    <s v="COM"/>
    <s v="SC"/>
    <n v="32"/>
    <n v="7.99"/>
    <n v="207.74"/>
    <n v="115"/>
    <n v="0"/>
    <n v="7.99"/>
    <n v="115"/>
    <n v="330.73"/>
    <n v="41.392991239048811"/>
  </r>
  <r>
    <n v="6155784"/>
    <x v="288"/>
    <s v="South Compound"/>
    <s v="OT"/>
    <n v="20"/>
    <n v="3.06"/>
    <n v="79.56"/>
    <n v="115"/>
    <n v="0"/>
    <n v="3.06"/>
    <n v="115"/>
    <n v="197.62"/>
    <n v="64.58169934640523"/>
  </r>
  <r>
    <n v="6155784"/>
    <x v="288"/>
    <s v="South Compound"/>
    <s v="SC"/>
    <n v="35"/>
    <n v="1.78"/>
    <n v="46.28"/>
    <n v="115"/>
    <n v="0"/>
    <n v="1.78"/>
    <n v="115"/>
    <n v="163.06"/>
    <n v="91.606741573033702"/>
  </r>
  <r>
    <n v="6155784"/>
    <x v="289"/>
    <s v="OCB"/>
    <s v="SC"/>
    <n v="30"/>
    <n v="3.51"/>
    <n v="91.259999999999991"/>
    <n v="115"/>
    <n v="0"/>
    <n v="3.51"/>
    <n v="115"/>
    <n v="209.76999999999998"/>
    <n v="59.763532763532758"/>
  </r>
  <r>
    <n v="6155784"/>
    <x v="290"/>
    <s v="CSB"/>
    <s v="OT"/>
    <n v="40"/>
    <n v="3.49"/>
    <n v="90.740000000000009"/>
    <n v="115"/>
    <n v="0"/>
    <n v="3.49"/>
    <n v="115"/>
    <n v="209.23000000000002"/>
    <n v="59.951289398280807"/>
  </r>
  <r>
    <n v="6155784"/>
    <x v="291"/>
    <s v="COM"/>
    <s v="SC"/>
    <n v="32"/>
    <n v="1.91"/>
    <n v="49.66"/>
    <n v="115"/>
    <n v="0"/>
    <n v="1.91"/>
    <n v="115"/>
    <n v="166.57"/>
    <n v="87.209424083769633"/>
  </r>
  <r>
    <n v="6155784"/>
    <x v="292"/>
    <s v="OCB"/>
    <s v="SC"/>
    <n v="30"/>
    <n v="1.92"/>
    <n v="49.92"/>
    <n v="115"/>
    <n v="0"/>
    <n v="1.92"/>
    <n v="115"/>
    <n v="166.84"/>
    <n v="86.895833333333343"/>
  </r>
  <r>
    <n v="6155784"/>
    <x v="293"/>
    <s v="COM"/>
    <s v="SC"/>
    <n v="32"/>
    <n v="0.93"/>
    <n v="24.18"/>
    <n v="115"/>
    <n v="0"/>
    <n v="0.93"/>
    <n v="115"/>
    <n v="140.11000000000001"/>
    <n v="150.65591397849462"/>
  </r>
  <r>
    <n v="6155784"/>
    <x v="294"/>
    <s v="CSB"/>
    <s v="OT"/>
    <n v="40"/>
    <n v="4.03"/>
    <n v="104.78"/>
    <n v="115"/>
    <n v="0"/>
    <n v="4.03"/>
    <n v="115"/>
    <n v="223.81"/>
    <n v="55.535980148883375"/>
  </r>
  <r>
    <n v="5663264"/>
    <x v="295"/>
    <s v="HCDC"/>
    <s v="FL"/>
    <n v="6"/>
    <n v="1.17"/>
    <m/>
    <n v="70.680000000000007"/>
    <m/>
    <m/>
    <m/>
    <n v="70.680000000000007"/>
    <n v="60.410256410256423"/>
  </r>
  <r>
    <n v="5663264"/>
    <x v="295"/>
    <s v="ITC"/>
    <s v="FL"/>
    <n v="6"/>
    <n v="2.34"/>
    <m/>
    <n v="94.32"/>
    <m/>
    <m/>
    <m/>
    <n v="94.32"/>
    <n v="40.307692307692307"/>
  </r>
  <r>
    <n v="5663668"/>
    <x v="295"/>
    <s v="Westpark"/>
    <s v="FL"/>
    <n v="8"/>
    <n v="3.12"/>
    <m/>
    <n v="129"/>
    <m/>
    <m/>
    <m/>
    <n v="129"/>
    <n v="41.346153846153847"/>
  </r>
  <r>
    <n v="5666127"/>
    <x v="295"/>
    <s v="Nerman"/>
    <s v="SC"/>
    <n v="6"/>
    <n v="3.9"/>
    <m/>
    <n v="155.88"/>
    <m/>
    <m/>
    <m/>
    <n v="155.88"/>
    <n v="39.969230769230769"/>
  </r>
  <r>
    <n v="5666404"/>
    <x v="295"/>
    <s v="Olathe Center"/>
    <s v="FL"/>
    <n v="2"/>
    <n v="0.39"/>
    <m/>
    <n v="48"/>
    <m/>
    <m/>
    <m/>
    <n v="48"/>
    <n v="123.07692307692307"/>
  </r>
  <r>
    <n v="5668511"/>
    <x v="295"/>
    <s v="OHEC"/>
    <s v="FL"/>
    <n v="8"/>
    <n v="1.56"/>
    <m/>
    <n v="69.28"/>
    <m/>
    <m/>
    <m/>
    <n v="69.28"/>
    <m/>
  </r>
  <r>
    <n v="6155784"/>
    <x v="295"/>
    <s v="OCB"/>
    <s v="SC"/>
    <n v="30"/>
    <n v="1.52"/>
    <n v="39.520000000000003"/>
    <n v="115"/>
    <n v="0"/>
    <n v="1.52"/>
    <n v="115"/>
    <n v="156.04000000000002"/>
    <n v="102.65789473684212"/>
  </r>
  <r>
    <n v="6174014"/>
    <x v="296"/>
    <s v="COM"/>
    <s v="SC"/>
    <n v="32"/>
    <n v="2.23"/>
    <n v="57.98"/>
    <n v="115"/>
    <n v="0"/>
    <n v="2.23"/>
    <n v="115"/>
    <n v="175.20999999999998"/>
    <n v="78.569506726457391"/>
  </r>
  <r>
    <n v="6174014"/>
    <x v="297"/>
    <s v="OCB"/>
    <s v="SC"/>
    <n v="30"/>
    <n v="3.3"/>
    <n v="85.8"/>
    <n v="115"/>
    <n v="0"/>
    <n v="3.3"/>
    <n v="115"/>
    <n v="204.10000000000002"/>
    <n v="61.848484848484858"/>
  </r>
  <r>
    <n v="6174014"/>
    <x v="298"/>
    <s v="South Compound"/>
    <s v="SC"/>
    <n v="35"/>
    <n v="6.31"/>
    <n v="164.06"/>
    <n v="115"/>
    <n v="0"/>
    <n v="6.31"/>
    <n v="115"/>
    <n v="285.37"/>
    <n v="45.225039619651348"/>
  </r>
  <r>
    <n v="6174014"/>
    <x v="298"/>
    <s v="COM"/>
    <s v="SC"/>
    <n v="32"/>
    <n v="2.5299999999999998"/>
    <n v="65.78"/>
    <n v="115"/>
    <n v="0"/>
    <n v="2.5299999999999998"/>
    <n v="115"/>
    <n v="183.31"/>
    <n v="72.454545454545467"/>
  </r>
  <r>
    <n v="6174014"/>
    <x v="298"/>
    <s v="?"/>
    <s v="OT"/>
    <n v="40"/>
    <n v="2.74"/>
    <n v="71.240000000000009"/>
    <n v="115"/>
    <n v="0"/>
    <n v="2.74"/>
    <n v="115"/>
    <n v="188.98000000000002"/>
    <n v="68.970802919708035"/>
  </r>
  <r>
    <n v="6174014"/>
    <x v="298"/>
    <s v="?"/>
    <s v="OT"/>
    <n v="40"/>
    <n v="3.1"/>
    <n v="80.600000000000009"/>
    <n v="115"/>
    <n v="0"/>
    <n v="3.1"/>
    <n v="115"/>
    <n v="198.70000000000002"/>
    <n v="64.096774193548384"/>
  </r>
  <r>
    <n v="6174014"/>
    <x v="299"/>
    <s v="OCB"/>
    <s v="SC"/>
    <n v="30"/>
    <n v="2.59"/>
    <n v="67.34"/>
    <n v="115"/>
    <n v="0"/>
    <n v="2.59"/>
    <n v="115"/>
    <n v="184.93"/>
    <n v="71.401544401544413"/>
  </r>
  <r>
    <n v="6174014"/>
    <x v="300"/>
    <s v="COM"/>
    <s v="SC"/>
    <n v="32"/>
    <n v="2.2999999999999998"/>
    <n v="59.8"/>
    <n v="115"/>
    <n v="0"/>
    <n v="2.2999999999999998"/>
    <n v="115"/>
    <n v="177.10000000000002"/>
    <n v="77.000000000000014"/>
  </r>
  <r>
    <n v="6174014"/>
    <x v="301"/>
    <s v="CSB"/>
    <s v="OT"/>
    <n v="40"/>
    <n v="4"/>
    <n v="104"/>
    <n v="115"/>
    <n v="0"/>
    <n v="4"/>
    <n v="115"/>
    <n v="223"/>
    <n v="55.75"/>
  </r>
  <r>
    <n v="6174014"/>
    <x v="301"/>
    <s v="OCB"/>
    <s v="SC"/>
    <n v="30"/>
    <n v="2.56"/>
    <n v="66.56"/>
    <n v="115"/>
    <n v="0"/>
    <n v="2.56"/>
    <n v="115"/>
    <n v="184.12"/>
    <n v="71.921875"/>
  </r>
  <r>
    <n v="6174014"/>
    <x v="302"/>
    <s v="COM"/>
    <s v="SC"/>
    <n v="32"/>
    <n v="1.84"/>
    <n v="47.84"/>
    <n v="115"/>
    <n v="0"/>
    <n v="1.84"/>
    <n v="115"/>
    <n v="164.68"/>
    <n v="89.5"/>
  </r>
  <r>
    <n v="6174014"/>
    <x v="303"/>
    <s v="OCB"/>
    <s v="SC"/>
    <n v="30"/>
    <n v="1.1000000000000001"/>
    <n v="28.6"/>
    <n v="115"/>
    <n v="0"/>
    <n v="1.1000000000000001"/>
    <n v="115"/>
    <n v="144.69999999999999"/>
    <n v="131.54545454545453"/>
  </r>
  <r>
    <n v="6174014"/>
    <x v="304"/>
    <s v="? Itc"/>
    <s v="OT"/>
    <n v="20"/>
    <n v="0.86"/>
    <n v="22.36"/>
    <n v="115"/>
    <n v="0"/>
    <n v="0.86"/>
    <n v="115"/>
    <n v="138.22000000000003"/>
    <n v="160.72093023255817"/>
  </r>
  <r>
    <n v="5671317"/>
    <x v="305"/>
    <s v="HCDC"/>
    <s v="FL"/>
    <n v="6"/>
    <n v="1.17"/>
    <m/>
    <n v="70.680000000000007"/>
    <m/>
    <m/>
    <m/>
    <n v="70.680000000000007"/>
    <n v="60.410256410256423"/>
  </r>
  <r>
    <n v="5671317"/>
    <x v="305"/>
    <s v="ITC"/>
    <s v="FL"/>
    <n v="6"/>
    <n v="2.34"/>
    <m/>
    <n v="94.32"/>
    <m/>
    <m/>
    <m/>
    <n v="94.32"/>
    <n v="40.307692307692307"/>
  </r>
  <r>
    <n v="5671718"/>
    <x v="305"/>
    <s v="Westpark"/>
    <s v="FL"/>
    <n v="8"/>
    <n v="3.12"/>
    <m/>
    <n v="129"/>
    <m/>
    <m/>
    <m/>
    <n v="129"/>
    <n v="41.346153846153847"/>
  </r>
  <r>
    <n v="5674164"/>
    <x v="305"/>
    <s v="Nerman"/>
    <s v="SC"/>
    <n v="6"/>
    <n v="3.9"/>
    <m/>
    <n v="155.88"/>
    <m/>
    <m/>
    <m/>
    <n v="155.88"/>
    <n v="39.969230769230769"/>
  </r>
  <r>
    <s v="?"/>
    <x v="305"/>
    <s v="Olathe Center"/>
    <s v="FL"/>
    <n v="2"/>
    <n v="0.39"/>
    <m/>
    <n v="48"/>
    <m/>
    <m/>
    <m/>
    <n v="48"/>
    <n v="123.07692307692307"/>
  </r>
  <r>
    <s v="?"/>
    <x v="305"/>
    <s v="OHEC"/>
    <s v="FL"/>
    <n v="8"/>
    <n v="1.56"/>
    <m/>
    <n v="69.28"/>
    <m/>
    <m/>
    <m/>
    <n v="69.28"/>
    <m/>
  </r>
  <r>
    <n v="6190831"/>
    <x v="306"/>
    <s v="COM"/>
    <s v="SC"/>
    <n v="32"/>
    <n v="0.03"/>
    <n v="0.78"/>
    <n v="115"/>
    <n v="0"/>
    <n v="0.03"/>
    <n v="115"/>
    <n v="115.81"/>
    <n v="3860.3333333333335"/>
  </r>
  <r>
    <n v="6190831"/>
    <x v="307"/>
    <s v="South Compound"/>
    <s v="OT"/>
    <n v="20"/>
    <n v="1.1499999999999999"/>
    <n v="29.9"/>
    <n v="115"/>
    <n v="0"/>
    <n v="1.1499999999999999"/>
    <n v="115"/>
    <n v="146.05000000000001"/>
    <n v="127.00000000000001"/>
  </r>
  <r>
    <n v="6190831"/>
    <x v="308"/>
    <s v="South Compound"/>
    <s v="SC"/>
    <n v="35"/>
    <n v="2.41"/>
    <n v="62.660000000000004"/>
    <n v="115"/>
    <n v="0"/>
    <n v="2.41"/>
    <n v="115"/>
    <n v="180.07"/>
    <n v="74.717842323651439"/>
  </r>
  <r>
    <n v="6190831"/>
    <x v="308"/>
    <s v="OCB"/>
    <s v="SC"/>
    <n v="30"/>
    <n v="0.31"/>
    <n v="8.06"/>
    <n v="115"/>
    <n v="0"/>
    <n v="0.31"/>
    <n v="115"/>
    <n v="123.37"/>
    <n v="397.9677419354839"/>
  </r>
  <r>
    <n v="6190831"/>
    <x v="309"/>
    <s v="CSB"/>
    <s v="OT"/>
    <n v="40"/>
    <n v="2.8"/>
    <n v="72.8"/>
    <n v="115"/>
    <n v="0"/>
    <n v="2.8"/>
    <n v="115"/>
    <n v="190.60000000000002"/>
    <n v="68.071428571428584"/>
  </r>
  <r>
    <n v="6190831"/>
    <x v="310"/>
    <s v="OCB"/>
    <s v="SC"/>
    <n v="30"/>
    <n v="1.49"/>
    <n v="38.74"/>
    <n v="115"/>
    <n v="0"/>
    <n v="1.49"/>
    <n v="115"/>
    <n v="155.23000000000002"/>
    <n v="104.18120805369129"/>
  </r>
  <r>
    <n v="6190831"/>
    <x v="311"/>
    <s v="? Itc"/>
    <s v="OT"/>
    <n v="20"/>
    <n v="1.05"/>
    <n v="27.3"/>
    <n v="115"/>
    <n v="0"/>
    <n v="1.05"/>
    <n v="115"/>
    <n v="143.35000000000002"/>
    <n v="136.52380952380955"/>
  </r>
  <r>
    <n v="6190831"/>
    <x v="312"/>
    <s v="COM"/>
    <s v="SC"/>
    <n v="32"/>
    <n v="3.54"/>
    <n v="92.04"/>
    <n v="115"/>
    <n v="0"/>
    <n v="3.54"/>
    <n v="115"/>
    <n v="210.58"/>
    <n v="59.485875706214692"/>
  </r>
  <r>
    <n v="6190831"/>
    <x v="312"/>
    <s v="CSB"/>
    <s v="OT"/>
    <n v="40"/>
    <n v="3.16"/>
    <n v="82.16"/>
    <n v="115"/>
    <n v="0"/>
    <n v="3.16"/>
    <n v="115"/>
    <n v="200.32"/>
    <n v="63.392405063291136"/>
  </r>
  <r>
    <n v="6190831"/>
    <x v="313"/>
    <s v="OCB"/>
    <s v="SC"/>
    <n v="30"/>
    <n v="0.85"/>
    <n v="22.099999999999998"/>
    <n v="115"/>
    <n v="0"/>
    <n v="0.85"/>
    <n v="115"/>
    <n v="137.94999999999999"/>
    <n v="162.29411764705881"/>
  </r>
  <r>
    <n v="6190831"/>
    <x v="313"/>
    <s v="South Compound"/>
    <s v="SC"/>
    <n v="35"/>
    <n v="2.2000000000000002"/>
    <n v="57.2"/>
    <n v="115"/>
    <n v="0"/>
    <n v="2.2000000000000002"/>
    <n v="115"/>
    <n v="174.39999999999998"/>
    <n v="79.272727272727252"/>
  </r>
  <r>
    <n v="6190831"/>
    <x v="314"/>
    <s v="COM"/>
    <s v="SC"/>
    <n v="32"/>
    <n v="2.12"/>
    <n v="55.120000000000005"/>
    <n v="115"/>
    <n v="0"/>
    <n v="2.12"/>
    <n v="115"/>
    <n v="172.24"/>
    <n v="81.245283018867923"/>
  </r>
  <r>
    <n v="6190831"/>
    <x v="315"/>
    <s v="OCB"/>
    <s v="SC"/>
    <n v="30"/>
    <n v="2.99"/>
    <n v="77.740000000000009"/>
    <n v="115"/>
    <n v="0"/>
    <n v="2.99"/>
    <n v="115"/>
    <n v="195.73000000000002"/>
    <n v="65.461538461538467"/>
  </r>
  <r>
    <n v="6190831"/>
    <x v="315"/>
    <s v="CSB"/>
    <s v="OT"/>
    <n v="40"/>
    <n v="3.06"/>
    <n v="79.56"/>
    <n v="115"/>
    <n v="0"/>
    <n v="3.06"/>
    <n v="115"/>
    <n v="197.62"/>
    <n v="64.58169934640523"/>
  </r>
  <r>
    <n v="6190831"/>
    <x v="315"/>
    <s v="South Compound"/>
    <s v="OT"/>
    <n v="20"/>
    <n v="5.31"/>
    <n v="138.06"/>
    <n v="115"/>
    <n v="0"/>
    <n v="5.31"/>
    <n v="115"/>
    <n v="258.37"/>
    <n v="48.657250470809799"/>
  </r>
  <r>
    <n v="6190831"/>
    <x v="315"/>
    <s v="South Compound"/>
    <s v="OT"/>
    <n v="20"/>
    <n v="0.8"/>
    <n v="20.8"/>
    <n v="115"/>
    <n v="0"/>
    <n v="0.8"/>
    <n v="115"/>
    <n v="136.60000000000002"/>
    <n v="170.75000000000003"/>
  </r>
  <r>
    <n v="6190831"/>
    <x v="316"/>
    <s v="COM"/>
    <s v="SC"/>
    <n v="32"/>
    <n v="2.2799999999999998"/>
    <n v="59.279999999999994"/>
    <n v="115"/>
    <n v="0"/>
    <n v="2.2799999999999998"/>
    <n v="115"/>
    <n v="176.56"/>
    <n v="77.438596491228083"/>
  </r>
  <r>
    <n v="5679114"/>
    <x v="317"/>
    <s v="HCDC"/>
    <s v="FL"/>
    <n v="6"/>
    <n v="1.17"/>
    <m/>
    <n v="70.680000000000007"/>
    <m/>
    <m/>
    <m/>
    <n v="70.680000000000007"/>
    <n v="60.410256410256423"/>
  </r>
  <r>
    <n v="5679114"/>
    <x v="317"/>
    <s v="ITC"/>
    <s v="FL"/>
    <n v="6"/>
    <n v="2.34"/>
    <m/>
    <n v="94.32"/>
    <m/>
    <m/>
    <m/>
    <n v="94.32"/>
    <n v="40.307692307692307"/>
  </r>
  <r>
    <n v="5679509"/>
    <x v="317"/>
    <s v="Westpark"/>
    <s v="FL"/>
    <n v="8"/>
    <n v="3.12"/>
    <m/>
    <n v="129"/>
    <m/>
    <m/>
    <m/>
    <n v="129"/>
    <n v="41.346153846153847"/>
  </r>
  <r>
    <n v="5681928"/>
    <x v="317"/>
    <s v="Nerman"/>
    <s v="SC"/>
    <n v="6"/>
    <n v="3.9"/>
    <m/>
    <n v="155.88"/>
    <m/>
    <m/>
    <m/>
    <n v="155.88"/>
    <n v="39.969230769230769"/>
  </r>
  <r>
    <n v="5682203"/>
    <x v="317"/>
    <s v="Olathe Center"/>
    <s v="FL"/>
    <n v="2"/>
    <n v="0.39"/>
    <m/>
    <n v="48"/>
    <m/>
    <m/>
    <m/>
    <n v="48"/>
    <n v="123.07692307692307"/>
  </r>
  <r>
    <n v="5684231"/>
    <x v="317"/>
    <s v="OHEC"/>
    <s v="FL"/>
    <n v="8"/>
    <n v="1.56"/>
    <m/>
    <n v="69.28"/>
    <m/>
    <m/>
    <m/>
    <n v="69.28"/>
    <m/>
  </r>
  <r>
    <n v="6209110"/>
    <x v="318"/>
    <s v="OCB"/>
    <s v="SC"/>
    <n v="30"/>
    <n v="2.71"/>
    <n v="70.459999999999994"/>
    <n v="115"/>
    <n v="0"/>
    <n v="2.71"/>
    <n v="115"/>
    <n v="188.17"/>
    <n v="69.435424354243537"/>
  </r>
  <r>
    <n v="6209110"/>
    <x v="319"/>
    <s v="South Compound"/>
    <s v="SC"/>
    <n v="35"/>
    <n v="4.4800000000000004"/>
    <n v="116.48000000000002"/>
    <n v="115"/>
    <n v="0"/>
    <n v="4.4800000000000004"/>
    <n v="115"/>
    <n v="235.96"/>
    <n v="52.669642857142854"/>
  </r>
  <r>
    <n v="6209110"/>
    <x v="319"/>
    <s v="CSB"/>
    <s v="OT"/>
    <n v="40"/>
    <n v="5.38"/>
    <n v="139.88"/>
    <n v="115"/>
    <n v="0"/>
    <n v="5.38"/>
    <n v="115"/>
    <n v="260.26"/>
    <n v="48.375464684014872"/>
  </r>
  <r>
    <n v="6209110"/>
    <x v="320"/>
    <s v="COM"/>
    <s v="SC"/>
    <n v="32"/>
    <n v="2.44"/>
    <n v="63.44"/>
    <n v="115"/>
    <n v="0"/>
    <n v="2.44"/>
    <n v="115"/>
    <n v="180.88"/>
    <n v="74.131147540983605"/>
  </r>
  <r>
    <n v="6209110"/>
    <x v="321"/>
    <s v="OCB"/>
    <s v="SC"/>
    <n v="30"/>
    <n v="3.49"/>
    <n v="90.740000000000009"/>
    <n v="115"/>
    <n v="0"/>
    <n v="3.49"/>
    <n v="115"/>
    <n v="209.23000000000002"/>
    <n v="59.951289398280807"/>
  </r>
  <r>
    <n v="6209110"/>
    <x v="322"/>
    <s v="?Warehouse"/>
    <s v="OT"/>
    <n v="40"/>
    <n v="2.36"/>
    <n v="61.36"/>
    <n v="115"/>
    <m/>
    <n v="2.36"/>
    <n v="115"/>
    <n v="178.72000000000003"/>
    <n v="75.728813559322049"/>
  </r>
  <r>
    <n v="6209110"/>
    <x v="323"/>
    <s v="COM"/>
    <s v="SC"/>
    <n v="32"/>
    <n v="2.12"/>
    <n v="55.120000000000005"/>
    <n v="115"/>
    <n v="0"/>
    <n v="2.12"/>
    <n v="115"/>
    <n v="172.24"/>
    <n v="81.245283018867923"/>
  </r>
  <r>
    <n v="6209110"/>
    <x v="324"/>
    <s v="OCB"/>
    <s v="SC"/>
    <n v="30"/>
    <n v="2.7"/>
    <n v="70.2"/>
    <n v="115"/>
    <n v="0"/>
    <n v="2.7"/>
    <n v="115"/>
    <n v="187.89999999999998"/>
    <n v="69.592592592592581"/>
  </r>
  <r>
    <n v="6209110"/>
    <x v="325"/>
    <s v="South Compound"/>
    <s v="OT"/>
    <n v="20"/>
    <n v="2.6"/>
    <n v="67.600000000000009"/>
    <n v="115"/>
    <n v="0"/>
    <n v="2.6"/>
    <n v="115"/>
    <n v="185.20000000000002"/>
    <n v="71.230769230769241"/>
  </r>
  <r>
    <n v="6209110"/>
    <x v="326"/>
    <s v="COM"/>
    <s v="SC"/>
    <n v="32"/>
    <n v="2.2999999999999998"/>
    <n v="59.8"/>
    <n v="115"/>
    <n v="0"/>
    <n v="2.2999999999999998"/>
    <n v="115"/>
    <n v="177.10000000000002"/>
    <n v="77.000000000000014"/>
  </r>
  <r>
    <n v="6209110"/>
    <x v="327"/>
    <s v="?Warehouse"/>
    <s v="OT"/>
    <n v="40"/>
    <n v="4.42"/>
    <n v="114.92"/>
    <n v="115"/>
    <m/>
    <n v="4.42"/>
    <n v="115"/>
    <n v="234.34"/>
    <n v="53.018099547511312"/>
  </r>
  <r>
    <n v="6209110"/>
    <x v="328"/>
    <s v="OCB"/>
    <s v="SC"/>
    <n v="30"/>
    <n v="3.01"/>
    <n v="78.259999999999991"/>
    <n v="115"/>
    <n v="0"/>
    <n v="3.01"/>
    <n v="115"/>
    <n v="196.26999999999998"/>
    <n v="65.205980066445179"/>
  </r>
  <r>
    <n v="6209110"/>
    <x v="329"/>
    <s v="?Warehouse"/>
    <s v="OT"/>
    <n v="40"/>
    <n v="3.07"/>
    <n v="79.819999999999993"/>
    <n v="115"/>
    <m/>
    <n v="3.07"/>
    <n v="115"/>
    <n v="197.89"/>
    <n v="64.45928338762215"/>
  </r>
  <r>
    <n v="6209110"/>
    <x v="330"/>
    <s v="COM"/>
    <s v="SC"/>
    <n v="32"/>
    <n v="2.33"/>
    <n v="60.58"/>
    <n v="115"/>
    <n v="0"/>
    <n v="2.33"/>
    <n v="115"/>
    <n v="177.91"/>
    <n v="76.356223175965667"/>
  </r>
  <r>
    <n v="5687702"/>
    <x v="331"/>
    <s v="HCDC"/>
    <s v="FL"/>
    <n v="6"/>
    <n v="1.17"/>
    <m/>
    <n v="70.680000000000007"/>
    <m/>
    <m/>
    <m/>
    <n v="70.680000000000007"/>
    <n v="60.410256410256423"/>
  </r>
  <r>
    <n v="5687702"/>
    <x v="331"/>
    <s v="ITC"/>
    <s v="FL"/>
    <n v="6"/>
    <n v="2.34"/>
    <m/>
    <n v="94.32"/>
    <m/>
    <m/>
    <m/>
    <n v="94.32"/>
    <n v="40.307692307692307"/>
  </r>
  <r>
    <n v="5688096"/>
    <x v="331"/>
    <s v="Westpark"/>
    <s v="FL"/>
    <n v="8"/>
    <n v="3.12"/>
    <m/>
    <n v="129"/>
    <m/>
    <m/>
    <m/>
    <n v="129"/>
    <n v="41.346153846153847"/>
  </r>
  <r>
    <n v="5690501"/>
    <x v="331"/>
    <s v="Nerman"/>
    <s v="SC"/>
    <n v="6"/>
    <n v="3.9"/>
    <m/>
    <n v="155.88"/>
    <m/>
    <m/>
    <m/>
    <n v="155.88"/>
    <n v="39.969230769230769"/>
  </r>
  <r>
    <n v="5690775"/>
    <x v="331"/>
    <s v="Olathe Center"/>
    <s v="FL"/>
    <n v="2"/>
    <n v="0.39"/>
    <m/>
    <n v="48"/>
    <m/>
    <m/>
    <m/>
    <n v="48"/>
    <n v="123.07692307692307"/>
  </r>
  <r>
    <n v="5692760"/>
    <x v="331"/>
    <s v="OHEC"/>
    <s v="FL"/>
    <n v="8"/>
    <n v="1.56"/>
    <m/>
    <n v="69.28"/>
    <m/>
    <m/>
    <m/>
    <n v="69.28"/>
    <m/>
  </r>
  <r>
    <n v="6209110"/>
    <x v="331"/>
    <s v="OCB"/>
    <s v="SC"/>
    <n v="30"/>
    <n v="3.12"/>
    <n v="81.12"/>
    <n v="115"/>
    <n v="0"/>
    <n v="3.12"/>
    <n v="115"/>
    <n v="199.24"/>
    <n v="63.858974358974358"/>
  </r>
  <r>
    <n v="6227350"/>
    <x v="332"/>
    <s v="CSB"/>
    <s v="OT"/>
    <n v="40"/>
    <n v="1.96"/>
    <n v="50.96"/>
    <n v="115"/>
    <n v="0"/>
    <n v="1.96"/>
    <n v="115"/>
    <n v="167.92000000000002"/>
    <n v="85.673469387755105"/>
  </r>
  <r>
    <n v="6227350"/>
    <x v="333"/>
    <s v="COM"/>
    <s v="SC"/>
    <n v="32"/>
    <n v="2.42"/>
    <n v="62.92"/>
    <n v="115"/>
    <n v="0"/>
    <n v="2.42"/>
    <n v="115"/>
    <n v="180.34"/>
    <n v="74.52066115702479"/>
  </r>
  <r>
    <n v="6227350"/>
    <x v="334"/>
    <s v="OCB"/>
    <s v="SC"/>
    <n v="30"/>
    <n v="2.73"/>
    <n v="70.98"/>
    <n v="115"/>
    <n v="0"/>
    <n v="2.73"/>
    <n v="115"/>
    <n v="188.71"/>
    <n v="69.124542124542131"/>
  </r>
  <r>
    <n v="6227350"/>
    <x v="335"/>
    <s v="South Compound"/>
    <s v="SC"/>
    <n v="35"/>
    <n v="8.2799999999999994"/>
    <n v="215.27999999999997"/>
    <n v="115"/>
    <n v="0"/>
    <n v="8.2799999999999994"/>
    <n v="115"/>
    <n v="338.55999999999995"/>
    <n v="40.888888888888886"/>
  </r>
  <r>
    <n v="6227350"/>
    <x v="335"/>
    <s v="COM"/>
    <s v="SC"/>
    <n v="32"/>
    <n v="2.08"/>
    <n v="54.08"/>
    <n v="115"/>
    <n v="0"/>
    <n v="2.08"/>
    <n v="115"/>
    <n v="171.16"/>
    <n v="82.288461538461533"/>
  </r>
  <r>
    <n v="6227350"/>
    <x v="336"/>
    <s v="?Warehouse"/>
    <s v="OT"/>
    <n v="40"/>
    <n v="4.8600000000000003"/>
    <n v="126.36000000000001"/>
    <n v="115"/>
    <m/>
    <n v="4.8600000000000003"/>
    <n v="115"/>
    <n v="246.22000000000003"/>
    <n v="50.662551440329217"/>
  </r>
  <r>
    <n v="6227350"/>
    <x v="337"/>
    <s v="OCB"/>
    <s v="SC"/>
    <n v="30"/>
    <n v="2.08"/>
    <n v="54.08"/>
    <n v="115"/>
    <n v="0"/>
    <n v="2.08"/>
    <n v="115"/>
    <n v="171.16"/>
    <n v="82.288461538461533"/>
  </r>
  <r>
    <n v="6227350"/>
    <x v="338"/>
    <s v="COM"/>
    <s v="SC"/>
    <n v="32"/>
    <n v="2.16"/>
    <n v="56.160000000000004"/>
    <n v="115"/>
    <n v="0"/>
    <n v="2.16"/>
    <n v="115"/>
    <n v="173.32"/>
    <n v="80.240740740740733"/>
  </r>
  <r>
    <n v="6227350"/>
    <x v="339"/>
    <s v="OCB"/>
    <s v="SC"/>
    <n v="30"/>
    <n v="1.82"/>
    <n v="47.32"/>
    <n v="115"/>
    <n v="0"/>
    <n v="1.82"/>
    <n v="115"/>
    <n v="164.14"/>
    <n v="90.186813186813183"/>
  </r>
  <r>
    <n v="6227350"/>
    <x v="340"/>
    <s v="COM"/>
    <s v="SC"/>
    <n v="32"/>
    <n v="2.66"/>
    <n v="69.16"/>
    <n v="115"/>
    <n v="0"/>
    <n v="2.66"/>
    <n v="115"/>
    <n v="186.82"/>
    <n v="70.233082706766908"/>
  </r>
  <r>
    <n v="6227350"/>
    <x v="341"/>
    <s v="OCB"/>
    <s v="SC"/>
    <n v="30"/>
    <n v="3.02"/>
    <n v="78.52"/>
    <n v="115"/>
    <n v="0"/>
    <n v="3.02"/>
    <n v="115"/>
    <n v="196.54"/>
    <n v="65.079470198675494"/>
  </r>
  <r>
    <n v="6227350"/>
    <x v="341"/>
    <s v="CSB"/>
    <s v="OT"/>
    <n v="40"/>
    <n v="3.02"/>
    <n v="78.52"/>
    <n v="115"/>
    <n v="0"/>
    <n v="3.02"/>
    <n v="115"/>
    <n v="196.54"/>
    <n v="65.079470198675494"/>
  </r>
  <r>
    <n v="5697372"/>
    <x v="342"/>
    <s v="HCDC"/>
    <s v="FL"/>
    <n v="6"/>
    <n v="1.17"/>
    <m/>
    <n v="70.680000000000007"/>
    <m/>
    <m/>
    <m/>
    <n v="70.680000000000007"/>
    <n v="60.410256410256423"/>
  </r>
  <r>
    <n v="5697372"/>
    <x v="342"/>
    <s v="ITC"/>
    <s v="FL"/>
    <n v="6"/>
    <n v="2.34"/>
    <m/>
    <n v="94.32"/>
    <m/>
    <m/>
    <m/>
    <n v="94.32"/>
    <n v="40.307692307692307"/>
  </r>
  <r>
    <n v="5697764"/>
    <x v="342"/>
    <s v="Westpark"/>
    <s v="FL"/>
    <n v="8"/>
    <n v="3.12"/>
    <m/>
    <n v="129"/>
    <m/>
    <m/>
    <m/>
    <n v="129"/>
    <n v="41.346153846153847"/>
  </r>
  <r>
    <n v="5699819"/>
    <x v="342"/>
    <s v="Nerman"/>
    <s v="SC"/>
    <n v="6"/>
    <n v="3.9"/>
    <m/>
    <n v="155.88"/>
    <m/>
    <m/>
    <m/>
    <n v="155.88"/>
    <n v="39.969230769230769"/>
  </r>
  <r>
    <n v="5700087"/>
    <x v="342"/>
    <s v="Olathe Center"/>
    <s v="FL"/>
    <n v="2"/>
    <n v="0.39"/>
    <m/>
    <n v="48"/>
    <m/>
    <m/>
    <m/>
    <n v="48"/>
    <n v="123.07692307692307"/>
  </r>
  <r>
    <n v="5701991"/>
    <x v="342"/>
    <s v="OHEC"/>
    <s v="FL"/>
    <n v="8"/>
    <n v="1.56"/>
    <m/>
    <n v="69.28"/>
    <m/>
    <m/>
    <m/>
    <n v="69.28"/>
    <m/>
  </r>
  <r>
    <n v="6245156"/>
    <x v="343"/>
    <s v="COM"/>
    <s v="SC"/>
    <n v="32"/>
    <n v="2.46"/>
    <n v="63.96"/>
    <n v="115"/>
    <n v="0"/>
    <n v="2.46"/>
    <n v="115"/>
    <n v="181.42000000000002"/>
    <n v="73.747967479674799"/>
  </r>
  <r>
    <n v="6245156"/>
    <x v="344"/>
    <s v="OCB"/>
    <s v="SC"/>
    <n v="30"/>
    <n v="2.57"/>
    <n v="66.819999999999993"/>
    <n v="115"/>
    <n v="0"/>
    <n v="2.57"/>
    <n v="115"/>
    <n v="184.39"/>
    <n v="71.747081712062254"/>
  </r>
  <r>
    <n v="6245156"/>
    <x v="345"/>
    <s v="CSB"/>
    <s v="OT"/>
    <n v="40"/>
    <n v="2.88"/>
    <n v="74.88"/>
    <n v="115"/>
    <n v="0"/>
    <n v="2.88"/>
    <n v="115"/>
    <n v="192.76"/>
    <n v="66.930555555555557"/>
  </r>
  <r>
    <n v="6245156"/>
    <x v="346"/>
    <s v="South Compound"/>
    <s v="OT"/>
    <n v="20"/>
    <n v="1.78"/>
    <n v="46.28"/>
    <n v="115"/>
    <n v="0"/>
    <n v="1.78"/>
    <n v="115"/>
    <n v="163.06"/>
    <n v="91.606741573033702"/>
  </r>
  <r>
    <n v="6245156"/>
    <x v="346"/>
    <s v="South Compound"/>
    <s v="OT"/>
    <n v="20"/>
    <n v="3.47"/>
    <n v="90.22"/>
    <n v="115"/>
    <n v="0"/>
    <n v="3.47"/>
    <n v="115"/>
    <n v="208.69"/>
    <n v="60.141210374639762"/>
  </r>
  <r>
    <n v="6245156"/>
    <x v="347"/>
    <s v="OCB"/>
    <s v="SC"/>
    <n v="30"/>
    <n v="2.21"/>
    <n v="57.46"/>
    <n v="115"/>
    <n v="0"/>
    <n v="2.21"/>
    <n v="115"/>
    <n v="174.67000000000002"/>
    <n v="79.036199095022639"/>
  </r>
  <r>
    <n v="6245156"/>
    <x v="348"/>
    <s v="COM"/>
    <s v="SC"/>
    <n v="32"/>
    <n v="5"/>
    <n v="130"/>
    <n v="115"/>
    <n v="0"/>
    <n v="5"/>
    <n v="115"/>
    <n v="250"/>
    <n v="50"/>
  </r>
  <r>
    <n v="6245156"/>
    <x v="349"/>
    <s v="CSB"/>
    <s v="OT"/>
    <n v="40"/>
    <n v="4.58"/>
    <n v="119.08"/>
    <n v="115"/>
    <n v="0"/>
    <n v="4.58"/>
    <n v="115"/>
    <n v="238.66"/>
    <n v="52.109170305676855"/>
  </r>
  <r>
    <n v="6245156"/>
    <x v="349"/>
    <s v="South Compound"/>
    <s v="SC"/>
    <n v="35"/>
    <n v="8.5500000000000007"/>
    <n v="222.3"/>
    <n v="115"/>
    <n v="0"/>
    <n v="8.5500000000000007"/>
    <n v="115"/>
    <n v="345.85"/>
    <n v="40.450292397660817"/>
  </r>
  <r>
    <n v="6245156"/>
    <x v="350"/>
    <s v="Warehouse"/>
    <s v="OT"/>
    <n v="40"/>
    <n v="2.2799999999999998"/>
    <n v="59.279999999999994"/>
    <n v="115"/>
    <n v="0"/>
    <n v="2.2799999999999998"/>
    <n v="115"/>
    <n v="176.56"/>
    <n v="77.438596491228083"/>
  </r>
  <r>
    <n v="6245156"/>
    <x v="351"/>
    <s v="CSB"/>
    <s v="OT"/>
    <n v="40"/>
    <n v="4.83"/>
    <n v="125.58"/>
    <n v="115"/>
    <n v="0"/>
    <n v="4.83"/>
    <n v="115"/>
    <n v="245.41"/>
    <n v="50.80952380952381"/>
  </r>
  <r>
    <n v="5707009"/>
    <x v="352"/>
    <s v="HCDC"/>
    <s v="FL"/>
    <n v="6"/>
    <n v="1.17"/>
    <m/>
    <n v="70.680000000000007"/>
    <m/>
    <m/>
    <m/>
    <n v="70.680000000000007"/>
    <n v="60.410256410256423"/>
  </r>
  <r>
    <n v="5707009"/>
    <x v="352"/>
    <s v="ITC"/>
    <s v="FL"/>
    <n v="6"/>
    <n v="2.34"/>
    <m/>
    <n v="94.32"/>
    <m/>
    <m/>
    <m/>
    <n v="94.32"/>
    <n v="40.307692307692307"/>
  </r>
  <r>
    <n v="5707396"/>
    <x v="352"/>
    <s v="Westpark"/>
    <s v="FL"/>
    <n v="8"/>
    <n v="3.12"/>
    <m/>
    <n v="129"/>
    <m/>
    <m/>
    <m/>
    <n v="129"/>
    <n v="41.346153846153847"/>
  </r>
  <r>
    <n v="5709446"/>
    <x v="352"/>
    <s v="Nerman"/>
    <s v="SC"/>
    <n v="6"/>
    <n v="3.9"/>
    <m/>
    <n v="155.88"/>
    <m/>
    <m/>
    <m/>
    <n v="155.88"/>
    <n v="39.969230769230769"/>
  </r>
  <r>
    <n v="5709714"/>
    <x v="352"/>
    <s v="Olathe Center"/>
    <s v="FL"/>
    <n v="2"/>
    <n v="0.39"/>
    <m/>
    <n v="48"/>
    <m/>
    <m/>
    <m/>
    <n v="48"/>
    <n v="123.07692307692307"/>
  </r>
  <r>
    <n v="5711606"/>
    <x v="352"/>
    <s v="OHEC"/>
    <s v="FL"/>
    <n v="8"/>
    <n v="1.56"/>
    <m/>
    <n v="69.28"/>
    <m/>
    <m/>
    <m/>
    <n v="69.28"/>
    <m/>
  </r>
  <r>
    <n v="6266457"/>
    <x v="353"/>
    <s v="OCB"/>
    <s v="SC"/>
    <n v="30"/>
    <n v="10.16"/>
    <n v="264.16000000000003"/>
    <n v="115"/>
    <n v="0"/>
    <n v="10.16"/>
    <n v="115"/>
    <n v="389.32000000000005"/>
    <n v="38.318897637795281"/>
  </r>
  <r>
    <n v="6266457"/>
    <x v="353"/>
    <s v="COM"/>
    <s v="SC"/>
    <n v="32"/>
    <n v="8.1300000000000008"/>
    <n v="211.38000000000002"/>
    <n v="115"/>
    <n v="0"/>
    <n v="8.1300000000000008"/>
    <n v="115"/>
    <n v="334.51"/>
    <n v="41.14514145141451"/>
  </r>
  <r>
    <n v="6266457"/>
    <x v="354"/>
    <s v="South Compound"/>
    <s v="SC"/>
    <n v="35"/>
    <n v="4.7699999999999996"/>
    <n v="124.01999999999998"/>
    <n v="115"/>
    <n v="0"/>
    <n v="4.7699999999999996"/>
    <n v="115"/>
    <n v="243.79"/>
    <n v="51.109014675052414"/>
  </r>
  <r>
    <n v="6266457"/>
    <x v="355"/>
    <s v="?"/>
    <s v="OT"/>
    <n v="40"/>
    <n v="4.42"/>
    <n v="114.92"/>
    <n v="115"/>
    <n v="0"/>
    <n v="4.42"/>
    <n v="115"/>
    <n v="234.34"/>
    <n v="53.018099547511312"/>
  </r>
  <r>
    <n v="6266457"/>
    <x v="356"/>
    <s v="CSB"/>
    <s v="OT"/>
    <n v="40"/>
    <n v="3.69"/>
    <n v="95.94"/>
    <n v="115"/>
    <n v="0"/>
    <n v="3.69"/>
    <n v="115"/>
    <n v="214.63"/>
    <n v="58.165311653116532"/>
  </r>
  <r>
    <n v="6266457"/>
    <x v="357"/>
    <s v="?"/>
    <s v="OT"/>
    <n v="40"/>
    <n v="3.69"/>
    <n v="95.94"/>
    <n v="115"/>
    <n v="0"/>
    <n v="3.69"/>
    <n v="115"/>
    <n v="214.63"/>
    <n v="58.165311653116532"/>
  </r>
  <r>
    <n v="6266457"/>
    <x v="357"/>
    <s v="COM"/>
    <s v="SC"/>
    <n v="32"/>
    <n v="4.83"/>
    <n v="125.58"/>
    <n v="115"/>
    <n v="0"/>
    <n v="4.83"/>
    <n v="115"/>
    <n v="245.41"/>
    <n v="50.80952380952381"/>
  </r>
  <r>
    <m/>
    <x v="358"/>
    <s v="HCDC"/>
    <s v="FL"/>
    <n v="6"/>
    <n v="1.17"/>
    <m/>
    <n v="70.680000000000007"/>
    <m/>
    <m/>
    <m/>
    <n v="70.680000000000007"/>
    <n v="60.410256410256423"/>
  </r>
  <r>
    <m/>
    <x v="358"/>
    <s v="ITC"/>
    <s v="FL"/>
    <n v="6"/>
    <n v="2.34"/>
    <m/>
    <n v="94.32"/>
    <m/>
    <m/>
    <m/>
    <n v="94.32"/>
    <n v="40.307692307692307"/>
  </r>
  <r>
    <m/>
    <x v="358"/>
    <s v="Westpark"/>
    <s v="FL"/>
    <n v="8"/>
    <n v="3.12"/>
    <m/>
    <n v="129"/>
    <m/>
    <m/>
    <m/>
    <n v="129"/>
    <n v="41.346153846153847"/>
  </r>
  <r>
    <m/>
    <x v="358"/>
    <s v="Nerman"/>
    <s v="SC"/>
    <n v="6"/>
    <n v="1"/>
    <m/>
    <n v="155.88"/>
    <m/>
    <m/>
    <m/>
    <n v="155.88"/>
    <n v="155.88"/>
  </r>
  <r>
    <m/>
    <x v="358"/>
    <s v="Olathe Center"/>
    <s v="FL"/>
    <n v="2"/>
    <n v="0.39"/>
    <m/>
    <n v="48"/>
    <m/>
    <m/>
    <m/>
    <n v="48"/>
    <n v="123.07692307692307"/>
  </r>
  <r>
    <m/>
    <x v="358"/>
    <s v="OHEC"/>
    <s v="FL"/>
    <n v="8"/>
    <n v="1.56"/>
    <m/>
    <n v="69.28"/>
    <m/>
    <m/>
    <m/>
    <n v="69.28"/>
    <m/>
  </r>
  <r>
    <n v="6284993"/>
    <x v="359"/>
    <s v="CSB"/>
    <s v="OT"/>
    <n v="40"/>
    <n v="3.86"/>
    <n v="100.36"/>
    <n v="115"/>
    <n v="0"/>
    <n v="3.86"/>
    <n v="115"/>
    <n v="219.22000000000003"/>
    <n v="56.792746113989644"/>
  </r>
  <r>
    <n v="6284993"/>
    <x v="360"/>
    <s v="South Compound"/>
    <s v="OT"/>
    <n v="20"/>
    <n v="2.2200000000000002"/>
    <n v="57.720000000000006"/>
    <n v="115"/>
    <n v="0"/>
    <n v="2.2200000000000002"/>
    <n v="115"/>
    <n v="174.94"/>
    <n v="78.801801801801787"/>
  </r>
  <r>
    <n v="6284993"/>
    <x v="360"/>
    <s v="South Compound"/>
    <s v="OT"/>
    <n v="20"/>
    <n v="2.37"/>
    <n v="61.620000000000005"/>
    <n v="115"/>
    <n v="0"/>
    <n v="2.37"/>
    <n v="115"/>
    <n v="178.99"/>
    <n v="75.523206751054857"/>
  </r>
  <r>
    <n v="6284993"/>
    <x v="360"/>
    <s v="?"/>
    <s v="OT"/>
    <n v="20"/>
    <n v="2.2200000000000002"/>
    <n v="57.720000000000006"/>
    <n v="115"/>
    <n v="0"/>
    <n v="2.2200000000000002"/>
    <n v="115"/>
    <n v="174.94"/>
    <n v="78.801801801801787"/>
  </r>
  <r>
    <n v="6284993"/>
    <x v="361"/>
    <s v="?"/>
    <s v="OT"/>
    <n v="40"/>
    <n v="3.09"/>
    <n v="80.34"/>
    <n v="115"/>
    <n v="0"/>
    <n v="3.09"/>
    <n v="115"/>
    <n v="198.43"/>
    <n v="64.216828478964402"/>
  </r>
  <r>
    <n v="6284993"/>
    <x v="362"/>
    <s v="COM"/>
    <s v="SC"/>
    <n v="32"/>
    <n v="3.86"/>
    <n v="100.36"/>
    <n v="115"/>
    <n v="0"/>
    <n v="3.86"/>
    <n v="115"/>
    <n v="219.22000000000003"/>
    <n v="56.792746113989644"/>
  </r>
  <r>
    <n v="6284993"/>
    <x v="362"/>
    <s v="C&amp;D"/>
    <s v="OT"/>
    <n v="40"/>
    <n v="2.2000000000000002"/>
    <n v="57.2"/>
    <n v="115"/>
    <n v="0"/>
    <n v="2.2000000000000002"/>
    <n v="115"/>
    <n v="174.39999999999998"/>
    <n v="79.272727272727252"/>
  </r>
  <r>
    <n v="6284993"/>
    <x v="363"/>
    <s v="?"/>
    <s v="OT"/>
    <n v="40"/>
    <n v="4.46"/>
    <n v="115.96"/>
    <n v="115"/>
    <n v="0"/>
    <n v="4.46"/>
    <n v="115"/>
    <n v="235.42"/>
    <n v="52.784753363228695"/>
  </r>
  <r>
    <n v="6284993"/>
    <x v="364"/>
    <s v="OCB"/>
    <s v="SC"/>
    <n v="30"/>
    <n v="10.62"/>
    <n v="276.12"/>
    <n v="115"/>
    <n v="0"/>
    <n v="10.62"/>
    <n v="115"/>
    <n v="401.74"/>
    <n v="37.8286252354049"/>
  </r>
  <r>
    <n v="6284993"/>
    <x v="365"/>
    <s v="COM"/>
    <s v="SC"/>
    <n v="32"/>
    <n v="3.7"/>
    <n v="96.2"/>
    <n v="115"/>
    <n v="0"/>
    <n v="3.7"/>
    <n v="115"/>
    <n v="214.89999999999998"/>
    <n v="58.081081081081074"/>
  </r>
  <r>
    <m/>
    <x v="366"/>
    <s v="HCDC"/>
    <s v="FL"/>
    <n v="6"/>
    <n v="1.17"/>
    <m/>
    <n v="70.680000000000007"/>
    <m/>
    <m/>
    <m/>
    <n v="70.680000000000007"/>
    <n v="60.410256410256423"/>
  </r>
  <r>
    <m/>
    <x v="366"/>
    <s v="ITC"/>
    <s v="FL"/>
    <n v="6"/>
    <n v="2.34"/>
    <m/>
    <n v="94.32"/>
    <m/>
    <m/>
    <m/>
    <n v="94.32"/>
    <n v="40.307692307692307"/>
  </r>
  <r>
    <m/>
    <x v="366"/>
    <s v="Westpark"/>
    <s v="FL"/>
    <n v="8"/>
    <n v="3.12"/>
    <m/>
    <n v="129"/>
    <m/>
    <m/>
    <m/>
    <n v="129"/>
    <n v="41.346153846153847"/>
  </r>
  <r>
    <m/>
    <x v="366"/>
    <s v="Nerman"/>
    <s v="SC"/>
    <n v="6"/>
    <n v="1"/>
    <m/>
    <n v="155.88"/>
    <m/>
    <m/>
    <m/>
    <n v="155.88"/>
    <n v="155.88"/>
  </r>
  <r>
    <m/>
    <x v="366"/>
    <s v="Olathe Center"/>
    <s v="FL"/>
    <n v="2"/>
    <n v="0.39"/>
    <m/>
    <n v="48"/>
    <m/>
    <m/>
    <m/>
    <n v="48"/>
    <n v="123.07692307692307"/>
  </r>
  <r>
    <m/>
    <x v="366"/>
    <s v="OHEC"/>
    <s v="FL"/>
    <n v="8"/>
    <n v="1.56"/>
    <m/>
    <n v="69.28"/>
    <m/>
    <m/>
    <m/>
    <n v="69.28"/>
    <m/>
  </r>
  <r>
    <n v="6305099"/>
    <x v="367"/>
    <s v="CSB"/>
    <s v="OT"/>
    <n v="40"/>
    <n v="5.04"/>
    <n v="131.04"/>
    <n v="115"/>
    <n v="0"/>
    <n v="5.04"/>
    <n v="115"/>
    <n v="251.07999999999998"/>
    <n v="49.817460317460316"/>
  </r>
  <r>
    <n v="6305099"/>
    <x v="367"/>
    <s v="?"/>
    <s v="OT"/>
    <n v="40"/>
    <n v="1.96"/>
    <n v="50.96"/>
    <n v="115"/>
    <n v="0"/>
    <n v="1.96"/>
    <n v="115"/>
    <n v="167.92000000000002"/>
    <n v="85.673469387755105"/>
  </r>
  <r>
    <n v="6305099"/>
    <x v="367"/>
    <s v="?"/>
    <s v="OT"/>
    <n v="40"/>
    <n v="1.1399999999999999"/>
    <n v="29.639999999999997"/>
    <n v="115"/>
    <n v="0"/>
    <n v="1.1399999999999999"/>
    <n v="115"/>
    <n v="145.77999999999997"/>
    <n v="127.87719298245612"/>
  </r>
  <r>
    <n v="6305099"/>
    <x v="368"/>
    <s v="COM"/>
    <s v="SC"/>
    <n v="32"/>
    <n v="4.22"/>
    <n v="109.72"/>
    <n v="115"/>
    <n v="0"/>
    <n v="4.22"/>
    <n v="115"/>
    <n v="228.94"/>
    <n v="54.251184834123222"/>
  </r>
  <r>
    <n v="6305099"/>
    <x v="369"/>
    <s v="?"/>
    <s v="OT"/>
    <n v="40"/>
    <n v="2.93"/>
    <n v="76.180000000000007"/>
    <n v="115"/>
    <n v="0"/>
    <n v="2.93"/>
    <n v="115"/>
    <n v="194.11"/>
    <n v="66.249146757679185"/>
  </r>
  <r>
    <n v="6305099"/>
    <x v="370"/>
    <s v="South Compound"/>
    <s v="SC"/>
    <n v="35"/>
    <n v="8.4700000000000006"/>
    <n v="220.22000000000003"/>
    <n v="115"/>
    <n v="0"/>
    <n v="8.4700000000000006"/>
    <n v="115"/>
    <n v="343.69000000000005"/>
    <n v="40.577331759149942"/>
  </r>
  <r>
    <n v="6305099"/>
    <x v="370"/>
    <s v="CSB"/>
    <s v="OT"/>
    <n v="40"/>
    <n v="2.2999999999999998"/>
    <n v="59.8"/>
    <n v="115"/>
    <n v="0"/>
    <n v="2.2999999999999998"/>
    <n v="115"/>
    <n v="177.10000000000002"/>
    <n v="77.000000000000014"/>
  </r>
  <r>
    <m/>
    <x v="371"/>
    <s v="HCDC"/>
    <s v="FL"/>
    <n v="6"/>
    <n v="1.17"/>
    <m/>
    <n v="70.680000000000007"/>
    <m/>
    <m/>
    <m/>
    <n v="70.680000000000007"/>
    <n v="60.410256410256423"/>
  </r>
  <r>
    <m/>
    <x v="371"/>
    <s v="ITC"/>
    <s v="FL"/>
    <n v="6"/>
    <n v="2.34"/>
    <m/>
    <n v="94.32"/>
    <m/>
    <m/>
    <m/>
    <n v="94.32"/>
    <n v="40.307692307692307"/>
  </r>
  <r>
    <m/>
    <x v="371"/>
    <s v="Westpark"/>
    <s v="FL"/>
    <n v="8"/>
    <n v="3.12"/>
    <m/>
    <n v="129"/>
    <m/>
    <m/>
    <m/>
    <n v="129"/>
    <n v="41.346153846153847"/>
  </r>
  <r>
    <m/>
    <x v="371"/>
    <s v="Nerman"/>
    <s v="SC"/>
    <n v="6"/>
    <n v="1"/>
    <m/>
    <n v="155.88"/>
    <m/>
    <m/>
    <m/>
    <n v="155.88"/>
    <n v="155.88"/>
  </r>
  <r>
    <m/>
    <x v="371"/>
    <s v="Olathe Center"/>
    <s v="FL"/>
    <n v="2"/>
    <n v="0.39"/>
    <m/>
    <n v="48"/>
    <m/>
    <m/>
    <m/>
    <n v="48"/>
    <n v="123.07692307692307"/>
  </r>
  <r>
    <m/>
    <x v="371"/>
    <s v="OHEC"/>
    <s v="FL"/>
    <n v="8"/>
    <n v="1.56"/>
    <m/>
    <n v="69.28"/>
    <m/>
    <m/>
    <m/>
    <n v="69.28"/>
    <m/>
  </r>
  <r>
    <n v="6326783"/>
    <x v="372"/>
    <s v="Warehouse"/>
    <s v="OT"/>
    <n v="40"/>
    <n v="2.54"/>
    <n v="66.040000000000006"/>
    <n v="115"/>
    <n v="0"/>
    <n v="2.54"/>
    <n v="115"/>
    <n v="183.58"/>
    <n v="72.275590551181111"/>
  </r>
  <r>
    <n v="6326783"/>
    <x v="373"/>
    <s v="South Compound"/>
    <s v="OT"/>
    <n v="20"/>
    <n v="1.72"/>
    <n v="44.72"/>
    <n v="115"/>
    <n v="0"/>
    <n v="1.72"/>
    <n v="115"/>
    <n v="161.44"/>
    <n v="93.860465116279073"/>
  </r>
  <r>
    <n v="6326783"/>
    <x v="373"/>
    <s v="South Compound"/>
    <s v="OT"/>
    <n v="20"/>
    <n v="1.41"/>
    <n v="36.659999999999997"/>
    <n v="115"/>
    <n v="0"/>
    <n v="1.41"/>
    <n v="115"/>
    <n v="153.07"/>
    <n v="108.56028368794327"/>
  </r>
  <r>
    <n v="6326783"/>
    <x v="374"/>
    <s v="CSB"/>
    <s v="OT"/>
    <n v="40"/>
    <n v="5.08"/>
    <n v="132.08000000000001"/>
    <n v="115"/>
    <n v="0"/>
    <n v="5.08"/>
    <n v="115"/>
    <n v="252.16000000000003"/>
    <n v="49.637795275590555"/>
  </r>
  <r>
    <n v="6326783"/>
    <x v="374"/>
    <s v="OCB"/>
    <s v="SC"/>
    <n v="30"/>
    <n v="6.28"/>
    <n v="163.28"/>
    <n v="115"/>
    <n v="0"/>
    <n v="6.28"/>
    <n v="115"/>
    <n v="284.55999999999995"/>
    <n v="45.312101910828012"/>
  </r>
  <r>
    <n v="6326783"/>
    <x v="375"/>
    <s v="COM"/>
    <s v="SC"/>
    <n v="32"/>
    <n v="7.02"/>
    <n v="182.51999999999998"/>
    <n v="115"/>
    <n v="0"/>
    <n v="7.02"/>
    <n v="115"/>
    <n v="304.53999999999996"/>
    <n v="43.381766381766376"/>
  </r>
  <r>
    <n v="6326783"/>
    <x v="376"/>
    <s v="CSB"/>
    <s v="OT"/>
    <n v="40"/>
    <n v="2.2599999999999998"/>
    <n v="58.759999999999991"/>
    <n v="115"/>
    <n v="0"/>
    <n v="2.2599999999999998"/>
    <n v="115"/>
    <n v="176.01999999999998"/>
    <n v="77.884955752212392"/>
  </r>
  <r>
    <n v="6326783"/>
    <x v="376"/>
    <s v="South Compound"/>
    <s v="SC"/>
    <n v="35"/>
    <n v="5.23"/>
    <n v="135.98000000000002"/>
    <n v="115"/>
    <n v="0"/>
    <n v="5.23"/>
    <n v="115"/>
    <n v="256.21000000000004"/>
    <n v="48.988527724665396"/>
  </r>
  <r>
    <m/>
    <x v="377"/>
    <s v="HCDC"/>
    <s v="FL"/>
    <n v="6"/>
    <n v="1.17"/>
    <m/>
    <n v="54"/>
    <m/>
    <m/>
    <m/>
    <n v="54"/>
    <n v="46.153846153846153"/>
  </r>
  <r>
    <m/>
    <x v="378"/>
    <s v="HCDC"/>
    <s v="FL"/>
    <n v="6"/>
    <n v="1.17"/>
    <m/>
    <n v="70.680000000000007"/>
    <m/>
    <m/>
    <m/>
    <n v="70.680000000000007"/>
    <n v="60.410256410256423"/>
  </r>
  <r>
    <m/>
    <x v="378"/>
    <s v="ITC"/>
    <s v="FL"/>
    <n v="6"/>
    <n v="2.34"/>
    <m/>
    <n v="94.32"/>
    <m/>
    <m/>
    <m/>
    <n v="94.32"/>
    <n v="40.307692307692307"/>
  </r>
  <r>
    <m/>
    <x v="378"/>
    <s v="Westpark"/>
    <s v="FL"/>
    <n v="8"/>
    <n v="3.12"/>
    <m/>
    <n v="129"/>
    <m/>
    <m/>
    <m/>
    <n v="129"/>
    <n v="41.346153846153847"/>
  </r>
  <r>
    <m/>
    <x v="378"/>
    <s v="Nerman"/>
    <s v="SC"/>
    <n v="6"/>
    <n v="1"/>
    <m/>
    <n v="155.88"/>
    <m/>
    <m/>
    <m/>
    <n v="155.88"/>
    <n v="155.88"/>
  </r>
  <r>
    <m/>
    <x v="378"/>
    <s v="Olathe Center"/>
    <s v="FL"/>
    <n v="2"/>
    <n v="0.39"/>
    <m/>
    <n v="48"/>
    <m/>
    <m/>
    <m/>
    <n v="48"/>
    <n v="123.07692307692307"/>
  </r>
  <r>
    <m/>
    <x v="378"/>
    <s v="OHEC"/>
    <s v="FL"/>
    <n v="8"/>
    <n v="1.56"/>
    <m/>
    <n v="69.28"/>
    <m/>
    <m/>
    <m/>
    <n v="69.28"/>
    <m/>
  </r>
  <r>
    <n v="6344130"/>
    <x v="379"/>
    <s v="OCB"/>
    <s v="SC"/>
    <n v="30"/>
    <n v="2.39"/>
    <n v="62.14"/>
    <n v="115"/>
    <n v="0"/>
    <n v="2.39"/>
    <n v="115"/>
    <n v="179.52999999999997"/>
    <n v="75.117154811715466"/>
  </r>
  <r>
    <n v="6344130"/>
    <x v="380"/>
    <s v="South Compound"/>
    <s v="SC"/>
    <n v="35"/>
    <n v="4.13"/>
    <n v="107.38"/>
    <n v="115"/>
    <n v="0"/>
    <n v="4.13"/>
    <n v="115"/>
    <n v="226.51"/>
    <n v="54.845036319612589"/>
  </r>
  <r>
    <n v="6344130"/>
    <x v="380"/>
    <s v="CSB"/>
    <s v="OT"/>
    <n v="40"/>
    <n v="3.33"/>
    <n v="86.58"/>
    <n v="115"/>
    <n v="0"/>
    <n v="3.33"/>
    <n v="115"/>
    <n v="204.91"/>
    <n v="61.534534534534529"/>
  </r>
  <r>
    <n v="6344130"/>
    <x v="380"/>
    <s v="OCB"/>
    <s v="SC"/>
    <n v="30"/>
    <n v="9.23"/>
    <n v="239.98000000000002"/>
    <n v="115"/>
    <n v="0"/>
    <n v="9.23"/>
    <n v="115"/>
    <n v="364.21000000000004"/>
    <n v="39.45937161430119"/>
  </r>
  <r>
    <n v="6344130"/>
    <x v="381"/>
    <s v="COM"/>
    <s v="SC"/>
    <n v="32"/>
    <n v="0.7"/>
    <n v="18.2"/>
    <n v="115"/>
    <n v="0"/>
    <n v="0.7"/>
    <n v="115"/>
    <n v="133.89999999999998"/>
    <n v="191.28571428571428"/>
  </r>
  <r>
    <n v="6344130"/>
    <x v="382"/>
    <s v="COM"/>
    <s v="SC"/>
    <n v="32"/>
    <n v="13.92"/>
    <n v="361.92"/>
    <n v="115"/>
    <n v="0"/>
    <n v="13.92"/>
    <n v="115"/>
    <n v="490.84000000000003"/>
    <n v="35.261494252873568"/>
  </r>
  <r>
    <n v="6344130"/>
    <x v="383"/>
    <s v="?"/>
    <s v="OT"/>
    <n v="40"/>
    <n v="4.76"/>
    <n v="123.75999999999999"/>
    <n v="115"/>
    <n v="0"/>
    <n v="4.76"/>
    <n v="115"/>
    <n v="243.51999999999998"/>
    <n v="51.159663865546214"/>
  </r>
  <r>
    <n v="6344130"/>
    <x v="384"/>
    <s v="CSB"/>
    <s v="OT"/>
    <n v="40"/>
    <n v="7.66"/>
    <n v="199.16"/>
    <n v="115"/>
    <n v="0"/>
    <n v="7.66"/>
    <n v="115"/>
    <n v="321.82"/>
    <n v="42.013054830287203"/>
  </r>
  <r>
    <n v="6344130"/>
    <x v="385"/>
    <s v="OCB"/>
    <s v="SC"/>
    <n v="30"/>
    <n v="7.44"/>
    <n v="193.44"/>
    <n v="115"/>
    <n v="0"/>
    <n v="7.44"/>
    <n v="115"/>
    <n v="315.88"/>
    <n v="42.456989247311824"/>
  </r>
  <r>
    <m/>
    <x v="386"/>
    <s v="ITC"/>
    <s v="FL"/>
    <n v="6"/>
    <n v="2.34"/>
    <m/>
    <n v="94.32"/>
    <m/>
    <m/>
    <m/>
    <n v="94.32"/>
    <n v="40.307692307692307"/>
  </r>
  <r>
    <m/>
    <x v="386"/>
    <s v="HCDC"/>
    <s v="FL"/>
    <n v="6"/>
    <n v="1.17"/>
    <m/>
    <n v="54"/>
    <m/>
    <m/>
    <m/>
    <n v="54"/>
    <n v="46.153846153846153"/>
  </r>
  <r>
    <m/>
    <x v="386"/>
    <s v="Westpark"/>
    <s v="FL"/>
    <n v="8"/>
    <n v="3.12"/>
    <m/>
    <n v="129"/>
    <m/>
    <m/>
    <m/>
    <n v="129"/>
    <n v="41.346153846153847"/>
  </r>
  <r>
    <m/>
    <x v="386"/>
    <s v="Nerman"/>
    <s v="SC"/>
    <n v="6"/>
    <n v="1"/>
    <m/>
    <n v="155.88"/>
    <m/>
    <m/>
    <m/>
    <n v="155.88"/>
    <n v="155.88"/>
  </r>
  <r>
    <m/>
    <x v="386"/>
    <s v="Olathe Center"/>
    <s v="FL"/>
    <n v="2"/>
    <n v="0.39"/>
    <m/>
    <n v="48"/>
    <m/>
    <m/>
    <m/>
    <n v="48"/>
    <n v="123.07692307692307"/>
  </r>
  <r>
    <m/>
    <x v="386"/>
    <s v="OHEC"/>
    <s v="FL"/>
    <n v="8"/>
    <n v="1.56"/>
    <m/>
    <n v="69.28"/>
    <m/>
    <m/>
    <m/>
    <n v="69.28"/>
    <m/>
  </r>
  <r>
    <n v="6364610"/>
    <x v="387"/>
    <s v="?"/>
    <s v="OT"/>
    <n v="40"/>
    <n v="2.06"/>
    <n v="53.56"/>
    <n v="115"/>
    <n v="0"/>
    <n v="2.06"/>
    <n v="115"/>
    <n v="170.62"/>
    <n v="82.825242718446603"/>
  </r>
  <r>
    <n v="6364610"/>
    <x v="387"/>
    <s v="South Compound"/>
    <s v="SC"/>
    <n v="35"/>
    <n v="5.4"/>
    <n v="140.4"/>
    <n v="115"/>
    <n v="0"/>
    <n v="5.4"/>
    <n v="115"/>
    <n v="260.8"/>
    <n v="48.296296296296298"/>
  </r>
  <r>
    <n v="6364610"/>
    <x v="388"/>
    <s v="South Compound"/>
    <s v="OT"/>
    <n v="20"/>
    <n v="4.33"/>
    <n v="112.58"/>
    <n v="115"/>
    <n v="0"/>
    <n v="4.33"/>
    <n v="115"/>
    <n v="231.91"/>
    <n v="53.558891454965355"/>
  </r>
  <r>
    <n v="6364610"/>
    <x v="388"/>
    <s v="South Compound"/>
    <s v="OT"/>
    <n v="20"/>
    <n v="2.36"/>
    <n v="61.36"/>
    <n v="115"/>
    <n v="0"/>
    <n v="2.36"/>
    <n v="115"/>
    <n v="178.72000000000003"/>
    <n v="75.728813559322049"/>
  </r>
  <r>
    <m/>
    <x v="389"/>
    <s v="HCDC"/>
    <s v="FL"/>
    <n v="6"/>
    <n v="1.17"/>
    <m/>
    <n v="70.680000000000007"/>
    <m/>
    <m/>
    <m/>
    <n v="70.680000000000007"/>
    <n v="60.410256410256423"/>
  </r>
  <r>
    <m/>
    <x v="389"/>
    <s v="ITC"/>
    <s v="FL"/>
    <n v="6"/>
    <n v="2.34"/>
    <m/>
    <n v="94.32"/>
    <m/>
    <m/>
    <m/>
    <n v="94.32"/>
    <n v="40.307692307692307"/>
  </r>
  <r>
    <m/>
    <x v="389"/>
    <s v="Westpark"/>
    <s v="FL"/>
    <n v="8"/>
    <n v="3.12"/>
    <m/>
    <n v="129"/>
    <m/>
    <m/>
    <m/>
    <n v="129"/>
    <n v="41.346153846153847"/>
  </r>
  <r>
    <m/>
    <x v="389"/>
    <s v="Nerman"/>
    <s v="SC"/>
    <n v="6"/>
    <n v="1"/>
    <m/>
    <n v="155.88"/>
    <m/>
    <m/>
    <m/>
    <n v="155.88"/>
    <n v="155.88"/>
  </r>
  <r>
    <m/>
    <x v="389"/>
    <s v="Olathe Center"/>
    <s v="FL"/>
    <n v="2"/>
    <n v="0.39"/>
    <m/>
    <n v="48"/>
    <m/>
    <m/>
    <m/>
    <n v="48"/>
    <n v="123.07692307692307"/>
  </r>
  <r>
    <m/>
    <x v="389"/>
    <s v="OHEC"/>
    <s v="FL"/>
    <n v="8"/>
    <n v="1.56"/>
    <m/>
    <n v="69.28"/>
    <m/>
    <m/>
    <m/>
    <n v="69.28"/>
    <m/>
  </r>
  <r>
    <n v="6385427"/>
    <x v="390"/>
    <s v="?"/>
    <s v="OT"/>
    <n v="40"/>
    <n v="2.14"/>
    <n v="55.64"/>
    <n v="115"/>
    <n v="0"/>
    <n v="2.14"/>
    <n v="115"/>
    <n v="172.77999999999997"/>
    <n v="80.738317757009327"/>
  </r>
  <r>
    <n v="6385427"/>
    <x v="390"/>
    <s v="?"/>
    <s v="OT"/>
    <n v="40"/>
    <n v="1.95"/>
    <n v="50.699999999999996"/>
    <n v="115"/>
    <n v="0"/>
    <n v="1.95"/>
    <n v="115"/>
    <n v="167.64999999999998"/>
    <n v="85.974358974358964"/>
  </r>
  <r>
    <n v="6385427"/>
    <x v="391"/>
    <s v="OCB"/>
    <s v="SC"/>
    <n v="30"/>
    <n v="1.93"/>
    <n v="50.18"/>
    <n v="115"/>
    <n v="0"/>
    <n v="1.93"/>
    <n v="115"/>
    <n v="167.11"/>
    <n v="86.585492227979287"/>
  </r>
  <r>
    <n v="6385427"/>
    <x v="391"/>
    <s v="COM"/>
    <s v="SC"/>
    <n v="32"/>
    <n v="9.11"/>
    <n v="236.85999999999999"/>
    <n v="115"/>
    <n v="0"/>
    <n v="9.11"/>
    <n v="115"/>
    <n v="360.97"/>
    <n v="39.623490669593856"/>
  </r>
  <r>
    <n v="6385427"/>
    <x v="392"/>
    <s v="OCB"/>
    <s v="SC"/>
    <n v="30"/>
    <n v="8.43"/>
    <n v="219.18"/>
    <n v="115"/>
    <n v="0"/>
    <n v="8.43"/>
    <n v="115"/>
    <n v="342.61"/>
    <n v="40.641755634638201"/>
  </r>
  <r>
    <n v="6385427"/>
    <x v="392"/>
    <s v="South Compound"/>
    <s v="OT"/>
    <n v="20"/>
    <n v="1.83"/>
    <n v="47.58"/>
    <n v="115"/>
    <n v="0"/>
    <n v="1.83"/>
    <n v="115"/>
    <n v="164.41"/>
    <n v="89.841530054644807"/>
  </r>
  <r>
    <n v="6385427"/>
    <x v="392"/>
    <s v="South Compound"/>
    <s v="OT"/>
    <n v="20"/>
    <n v="1.82"/>
    <n v="47.32"/>
    <n v="115"/>
    <n v="0"/>
    <n v="1.82"/>
    <n v="115"/>
    <n v="164.14"/>
    <n v="90.186813186813183"/>
  </r>
  <r>
    <n v="6385427"/>
    <x v="393"/>
    <s v="CSB"/>
    <s v="OT"/>
    <n v="40"/>
    <n v="2.42"/>
    <n v="62.92"/>
    <n v="115"/>
    <n v="0"/>
    <n v="2.42"/>
    <n v="115"/>
    <n v="180.34"/>
    <n v="74.52066115702479"/>
  </r>
  <r>
    <m/>
    <x v="394"/>
    <s v="HCDC"/>
    <s v="FL"/>
    <n v="6"/>
    <n v="1.17"/>
    <m/>
    <n v="70.680000000000007"/>
    <m/>
    <m/>
    <m/>
    <n v="70.680000000000007"/>
    <n v="60.410256410256423"/>
  </r>
  <r>
    <m/>
    <x v="394"/>
    <s v="ITC"/>
    <s v="FL"/>
    <n v="6"/>
    <n v="2.34"/>
    <m/>
    <n v="94.32"/>
    <m/>
    <m/>
    <m/>
    <n v="94.32"/>
    <n v="40.307692307692307"/>
  </r>
  <r>
    <m/>
    <x v="394"/>
    <s v="Westpark"/>
    <s v="FL"/>
    <n v="8"/>
    <n v="3.12"/>
    <m/>
    <n v="129"/>
    <m/>
    <m/>
    <m/>
    <n v="129"/>
    <n v="41.346153846153847"/>
  </r>
  <r>
    <m/>
    <x v="394"/>
    <s v="Nerman"/>
    <s v="SC"/>
    <n v="6"/>
    <n v="1"/>
    <m/>
    <n v="155.88"/>
    <m/>
    <m/>
    <m/>
    <n v="155.88"/>
    <n v="155.88"/>
  </r>
  <r>
    <m/>
    <x v="394"/>
    <s v="Olathe Center"/>
    <s v="FL"/>
    <n v="2"/>
    <n v="0.39"/>
    <m/>
    <n v="48"/>
    <m/>
    <m/>
    <m/>
    <n v="48"/>
    <n v="123.07692307692307"/>
  </r>
  <r>
    <m/>
    <x v="394"/>
    <s v="OHEC"/>
    <s v="FL"/>
    <n v="8"/>
    <n v="1.56"/>
    <m/>
    <n v="69.28"/>
    <m/>
    <m/>
    <m/>
    <n v="69.28"/>
    <m/>
  </r>
  <r>
    <n v="6401050"/>
    <x v="395"/>
    <s v="COM"/>
    <s v="SC"/>
    <n v="32"/>
    <n v="7.42"/>
    <n v="192.92"/>
    <n v="115"/>
    <n v="0"/>
    <n v="7.42"/>
    <n v="115"/>
    <n v="315.33999999999997"/>
    <n v="42.498652291105117"/>
  </r>
  <r>
    <n v="6401050"/>
    <x v="396"/>
    <s v="?"/>
    <s v="OT"/>
    <n v="40"/>
    <n v="4.57"/>
    <n v="118.82000000000001"/>
    <n v="115"/>
    <n v="0"/>
    <n v="4.57"/>
    <n v="115"/>
    <n v="238.39"/>
    <n v="52.16411378555798"/>
  </r>
  <r>
    <n v="6401050"/>
    <x v="396"/>
    <s v="OCB"/>
    <s v="SC"/>
    <n v="30"/>
    <n v="8.2100000000000009"/>
    <n v="213.46000000000004"/>
    <n v="115"/>
    <n v="0"/>
    <n v="8.2100000000000009"/>
    <n v="115"/>
    <n v="336.67"/>
    <n v="41.007308160779537"/>
  </r>
  <r>
    <m/>
    <x v="397"/>
    <s v="HCDC"/>
    <s v="FL"/>
    <n v="6"/>
    <n v="1.17"/>
    <m/>
    <n v="70.680000000000007"/>
    <m/>
    <m/>
    <m/>
    <n v="70.680000000000007"/>
    <n v="60.410256410256423"/>
  </r>
  <r>
    <m/>
    <x v="397"/>
    <s v="ITC"/>
    <s v="FL"/>
    <n v="6"/>
    <n v="2.34"/>
    <m/>
    <n v="94.32"/>
    <m/>
    <m/>
    <m/>
    <n v="94.32"/>
    <n v="40.307692307692307"/>
  </r>
  <r>
    <m/>
    <x v="397"/>
    <s v="Westpark"/>
    <s v="FL"/>
    <n v="8"/>
    <n v="3.12"/>
    <m/>
    <n v="129"/>
    <m/>
    <m/>
    <m/>
    <n v="129"/>
    <n v="41.346153846153847"/>
  </r>
  <r>
    <m/>
    <x v="397"/>
    <s v="Nerman"/>
    <s v="SC"/>
    <n v="6"/>
    <n v="1"/>
    <m/>
    <n v="155.88"/>
    <m/>
    <m/>
    <m/>
    <n v="155.88"/>
    <n v="155.88"/>
  </r>
  <r>
    <m/>
    <x v="397"/>
    <s v="Olathe Center"/>
    <s v="FL"/>
    <n v="2"/>
    <n v="0.39"/>
    <m/>
    <n v="48"/>
    <m/>
    <m/>
    <m/>
    <n v="48"/>
    <n v="123.07692307692307"/>
  </r>
  <r>
    <m/>
    <x v="397"/>
    <s v="OHEC"/>
    <s v="FL"/>
    <n v="8"/>
    <n v="1.56"/>
    <m/>
    <n v="69.28"/>
    <m/>
    <m/>
    <m/>
    <n v="69.28"/>
    <m/>
  </r>
  <r>
    <n v="6419309"/>
    <x v="398"/>
    <s v="COM"/>
    <s v="SC"/>
    <n v="32"/>
    <n v="5.36"/>
    <n v="139.36000000000001"/>
    <n v="115"/>
    <n v="0"/>
    <n v="5.36"/>
    <n v="115"/>
    <n v="259.72000000000003"/>
    <n v="48.455223880597018"/>
  </r>
  <r>
    <n v="6419309"/>
    <x v="399"/>
    <s v="?"/>
    <s v="OT"/>
    <n v="40"/>
    <n v="3.76"/>
    <n v="97.759999999999991"/>
    <n v="115"/>
    <n v="0"/>
    <n v="3.76"/>
    <n v="115"/>
    <n v="216.51999999999998"/>
    <n v="57.585106382978722"/>
  </r>
  <r>
    <n v="6419309"/>
    <x v="399"/>
    <s v="OCB"/>
    <s v="SC"/>
    <n v="30"/>
    <n v="7.5"/>
    <n v="195"/>
    <n v="115"/>
    <n v="0"/>
    <n v="7.5"/>
    <n v="115"/>
    <n v="317.5"/>
    <n v="42.333333333333336"/>
  </r>
  <r>
    <n v="6419309"/>
    <x v="400"/>
    <s v="South Compound"/>
    <s v="SC"/>
    <n v="35"/>
    <n v="5.43"/>
    <n v="141.18"/>
    <n v="115"/>
    <n v="0"/>
    <n v="5.43"/>
    <n v="115"/>
    <n v="261.61"/>
    <n v="48.178637200736652"/>
  </r>
  <r>
    <n v="6419309"/>
    <x v="401"/>
    <s v="CSB"/>
    <s v="OT"/>
    <n v="40"/>
    <n v="3.63"/>
    <n v="94.38"/>
    <n v="115"/>
    <n v="0"/>
    <n v="3.63"/>
    <n v="115"/>
    <n v="213.01"/>
    <n v="58.680440771349865"/>
  </r>
  <r>
    <m/>
    <x v="402"/>
    <s v="HCDC"/>
    <s v="FL"/>
    <n v="6"/>
    <n v="1.17"/>
    <m/>
    <n v="70.680000000000007"/>
    <m/>
    <m/>
    <m/>
    <n v="70.680000000000007"/>
    <n v="60.410256410256423"/>
  </r>
  <r>
    <m/>
    <x v="402"/>
    <s v="ITC"/>
    <s v="FL"/>
    <n v="6"/>
    <n v="2.34"/>
    <m/>
    <n v="94.32"/>
    <m/>
    <m/>
    <m/>
    <n v="94.32"/>
    <n v="40.307692307692307"/>
  </r>
  <r>
    <m/>
    <x v="402"/>
    <s v="Westpark"/>
    <s v="FL"/>
    <n v="8"/>
    <n v="3.12"/>
    <m/>
    <n v="129"/>
    <m/>
    <m/>
    <m/>
    <n v="129"/>
    <n v="41.346153846153847"/>
  </r>
  <r>
    <m/>
    <x v="402"/>
    <s v="Nerman"/>
    <s v="SC"/>
    <n v="6"/>
    <n v="0"/>
    <m/>
    <n v="71.739999999999995"/>
    <m/>
    <m/>
    <m/>
    <n v="71.739999999999995"/>
    <e v="#DIV/0!"/>
  </r>
  <r>
    <m/>
    <x v="402"/>
    <s v="Olathe Center"/>
    <s v="FL"/>
    <n v="2"/>
    <n v="0.39"/>
    <m/>
    <n v="48"/>
    <m/>
    <m/>
    <m/>
    <n v="48"/>
    <n v="123.07692307692307"/>
  </r>
  <r>
    <m/>
    <x v="402"/>
    <s v="OHEC"/>
    <s v="FL"/>
    <n v="8"/>
    <n v="1.56"/>
    <m/>
    <n v="45.28"/>
    <m/>
    <m/>
    <m/>
    <n v="45.28"/>
    <m/>
  </r>
  <r>
    <n v="6435824"/>
    <x v="403"/>
    <s v="COM"/>
    <s v="SC"/>
    <n v="32"/>
    <n v="8.9700000000000006"/>
    <n v="233.22000000000003"/>
    <n v="115"/>
    <n v="0"/>
    <n v="8.9700000000000006"/>
    <n v="115"/>
    <n v="357.19000000000005"/>
    <n v="39.820512820512825"/>
  </r>
  <r>
    <n v="6435824"/>
    <x v="403"/>
    <s v="CSB"/>
    <s v="OT"/>
    <n v="40"/>
    <n v="2.2799999999999998"/>
    <n v="59.279999999999994"/>
    <n v="115"/>
    <n v="0"/>
    <n v="2.2799999999999998"/>
    <n v="115"/>
    <n v="176.56"/>
    <n v="77.438596491228083"/>
  </r>
  <r>
    <n v="6435824"/>
    <x v="404"/>
    <s v="South Compound"/>
    <s v="OT"/>
    <n v="20"/>
    <n v="3.72"/>
    <n v="96.72"/>
    <n v="115"/>
    <n v="0"/>
    <n v="3.72"/>
    <n v="115"/>
    <n v="215.44"/>
    <n v="57.913978494623649"/>
  </r>
  <r>
    <n v="6435824"/>
    <x v="404"/>
    <s v="South Compound"/>
    <s v="OT"/>
    <n v="20"/>
    <n v="3.66"/>
    <n v="95.16"/>
    <n v="115"/>
    <n v="0"/>
    <n v="3.66"/>
    <n v="115"/>
    <n v="213.82"/>
    <n v="58.420765027322403"/>
  </r>
  <r>
    <n v="6435824"/>
    <x v="405"/>
    <s v="OCB"/>
    <s v="SC"/>
    <n v="30"/>
    <n v="9.08"/>
    <n v="236.08"/>
    <n v="115"/>
    <n v="0"/>
    <n v="9.08"/>
    <n v="115"/>
    <n v="360.16"/>
    <n v="39.665198237885463"/>
  </r>
  <r>
    <n v="6435824"/>
    <x v="406"/>
    <s v="CSB"/>
    <s v="OT"/>
    <n v="40"/>
    <n v="2.96"/>
    <n v="76.959999999999994"/>
    <n v="115"/>
    <n v="0"/>
    <n v="2.96"/>
    <n v="115"/>
    <n v="194.92"/>
    <n v="65.851351351351354"/>
  </r>
  <r>
    <n v="6435824"/>
    <x v="407"/>
    <s v="?"/>
    <s v="OT"/>
    <n v="40"/>
    <n v="3.18"/>
    <n v="82.68"/>
    <n v="115"/>
    <n v="0"/>
    <n v="3.18"/>
    <n v="115"/>
    <n v="200.86"/>
    <n v="63.163522012578618"/>
  </r>
  <r>
    <n v="6435824"/>
    <x v="407"/>
    <s v="South Compound"/>
    <s v="SC"/>
    <n v="35"/>
    <n v="7.56"/>
    <n v="196.56"/>
    <n v="115"/>
    <n v="0"/>
    <n v="7.56"/>
    <n v="115"/>
    <n v="319.12"/>
    <n v="42.211640211640216"/>
  </r>
  <r>
    <n v="6435824"/>
    <x v="408"/>
    <s v="CSB"/>
    <s v="OT"/>
    <n v="40"/>
    <n v="4.49"/>
    <n v="116.74000000000001"/>
    <n v="115"/>
    <n v="0"/>
    <n v="4.49"/>
    <n v="115"/>
    <n v="236.23000000000002"/>
    <n v="52.612472160356347"/>
  </r>
  <r>
    <m/>
    <x v="409"/>
    <s v="HCDC"/>
    <s v="FL"/>
    <n v="6"/>
    <n v="0.93599999999999994"/>
    <m/>
    <n v="70.680000000000007"/>
    <m/>
    <m/>
    <m/>
    <n v="70.680000000000007"/>
    <n v="75.512820512820525"/>
  </r>
  <r>
    <m/>
    <x v="409"/>
    <s v="ITC"/>
    <s v="FL"/>
    <n v="6"/>
    <n v="1.8719999999999999"/>
    <m/>
    <n v="94.32"/>
    <m/>
    <m/>
    <m/>
    <n v="94.32"/>
    <n v="50.384615384615387"/>
  </r>
  <r>
    <m/>
    <x v="409"/>
    <s v="Westpark"/>
    <s v="FL"/>
    <n v="8"/>
    <n v="2.4960000000000004"/>
    <m/>
    <n v="129"/>
    <m/>
    <m/>
    <m/>
    <n v="129"/>
    <n v="51.682692307692299"/>
  </r>
  <r>
    <m/>
    <x v="409"/>
    <s v="Olathe Center"/>
    <s v="FL"/>
    <n v="2"/>
    <n v="0.31200000000000006"/>
    <m/>
    <n v="48"/>
    <m/>
    <m/>
    <m/>
    <n v="48"/>
    <n v="153.84615384615381"/>
  </r>
  <r>
    <m/>
    <x v="409"/>
    <s v="OHEC"/>
    <s v="FL"/>
    <n v="8"/>
    <n v="1.2480000000000002"/>
    <m/>
    <n v="45.28"/>
    <m/>
    <m/>
    <m/>
    <n v="45.28"/>
    <m/>
  </r>
  <r>
    <n v="6453847"/>
    <x v="410"/>
    <s v="OCB"/>
    <s v="SC"/>
    <n v="30"/>
    <n v="7.72"/>
    <n v="200.72"/>
    <n v="115"/>
    <n v="0"/>
    <n v="7.72"/>
    <n v="115"/>
    <n v="323.44000000000005"/>
    <n v="41.896373056994825"/>
  </r>
  <r>
    <n v="6453847"/>
    <x v="411"/>
    <s v="COM"/>
    <s v="SC"/>
    <n v="32"/>
    <n v="9.2100000000000009"/>
    <n v="239.46000000000004"/>
    <n v="115"/>
    <n v="0"/>
    <n v="9.2100000000000009"/>
    <n v="115"/>
    <n v="363.67"/>
    <n v="39.48642779587405"/>
  </r>
  <r>
    <n v="6453847"/>
    <x v="412"/>
    <s v="CSB"/>
    <s v="OT"/>
    <n v="40"/>
    <n v="4.78"/>
    <n v="124.28"/>
    <n v="115"/>
    <n v="0"/>
    <n v="4.78"/>
    <n v="115"/>
    <n v="244.06"/>
    <n v="51.05857740585774"/>
  </r>
  <r>
    <n v="6453847"/>
    <x v="413"/>
    <s v="?"/>
    <s v="OT"/>
    <n v="40"/>
    <n v="2.31"/>
    <n v="60.06"/>
    <n v="115"/>
    <n v="0"/>
    <n v="2.31"/>
    <n v="115"/>
    <n v="177.37"/>
    <n v="76.783549783549788"/>
  </r>
  <r>
    <m/>
    <x v="414"/>
    <s v="HCDC"/>
    <s v="FL"/>
    <n v="6"/>
    <n v="0.93599999999999994"/>
    <m/>
    <n v="70.680000000000007"/>
    <m/>
    <m/>
    <m/>
    <n v="70.680000000000007"/>
    <n v="75.512820512820525"/>
  </r>
  <r>
    <m/>
    <x v="414"/>
    <s v="ITC"/>
    <s v="FL"/>
    <n v="6"/>
    <n v="1.8719999999999999"/>
    <m/>
    <n v="94.32"/>
    <m/>
    <m/>
    <m/>
    <n v="94.32"/>
    <n v="50.384615384615387"/>
  </r>
  <r>
    <m/>
    <x v="414"/>
    <s v="Westpark"/>
    <s v="FL"/>
    <n v="8"/>
    <n v="2.4960000000000004"/>
    <m/>
    <n v="129"/>
    <m/>
    <m/>
    <m/>
    <n v="129"/>
    <n v="51.682692307692299"/>
  </r>
  <r>
    <m/>
    <x v="414"/>
    <s v="Olathe Center"/>
    <s v="FL"/>
    <n v="2"/>
    <n v="0.31200000000000006"/>
    <m/>
    <n v="48"/>
    <m/>
    <m/>
    <m/>
    <n v="48"/>
    <n v="153.84615384615381"/>
  </r>
  <r>
    <m/>
    <x v="414"/>
    <s v="OHEC"/>
    <s v="FL"/>
    <n v="8"/>
    <n v="1.2480000000000002"/>
    <m/>
    <n v="45.28"/>
    <m/>
    <m/>
    <m/>
    <n v="45.28"/>
    <m/>
  </r>
  <r>
    <n v="6472282"/>
    <x v="415"/>
    <s v="COM"/>
    <s v="SC"/>
    <n v="32"/>
    <n v="9.7200000000000006"/>
    <n v="252.72000000000003"/>
    <n v="115"/>
    <n v="0"/>
    <n v="9.7200000000000006"/>
    <n v="115"/>
    <n v="377.44000000000005"/>
    <n v="38.831275720164612"/>
  </r>
  <r>
    <n v="6472282"/>
    <x v="415"/>
    <s v="CSB"/>
    <s v="OT"/>
    <n v="40"/>
    <n v="4.6399999999999997"/>
    <n v="120.63999999999999"/>
    <n v="115"/>
    <n v="0"/>
    <n v="4.6399999999999997"/>
    <n v="115"/>
    <n v="240.27999999999997"/>
    <n v="51.78448275862069"/>
  </r>
  <r>
    <n v="6472282"/>
    <x v="416"/>
    <s v="OCB"/>
    <s v="SC"/>
    <n v="30"/>
    <n v="8.81"/>
    <n v="229.06"/>
    <n v="115"/>
    <n v="0"/>
    <n v="8.81"/>
    <n v="115"/>
    <n v="352.87"/>
    <n v="40.053348467650395"/>
  </r>
  <r>
    <n v="6472282"/>
    <x v="417"/>
    <s v="South Compound"/>
    <s v="SC"/>
    <n v="35"/>
    <n v="9.43"/>
    <n v="245.18"/>
    <n v="115"/>
    <n v="0"/>
    <n v="9.43"/>
    <n v="115"/>
    <n v="369.61"/>
    <n v="39.195121951219512"/>
  </r>
  <r>
    <n v="6472282"/>
    <x v="418"/>
    <s v="CSB"/>
    <s v="SC"/>
    <n v="32"/>
    <n v="3.19"/>
    <n v="82.94"/>
    <n v="115"/>
    <n v="0"/>
    <n v="3.19"/>
    <n v="115"/>
    <n v="201.13"/>
    <n v="63.050156739811911"/>
  </r>
  <r>
    <n v="6472282"/>
    <x v="419"/>
    <s v="CSB"/>
    <s v="OT"/>
    <n v="20"/>
    <n v="3.52"/>
    <n v="91.52"/>
    <n v="115"/>
    <n v="0"/>
    <n v="3.52"/>
    <n v="115"/>
    <n v="210.04"/>
    <n v="59.67045454545454"/>
  </r>
  <r>
    <n v="6472282"/>
    <x v="420"/>
    <s v="CSB"/>
    <s v="OT"/>
    <n v="20"/>
    <n v="5.0999999999999996"/>
    <n v="132.6"/>
    <n v="115"/>
    <n v="0"/>
    <n v="5.0999999999999996"/>
    <n v="115"/>
    <n v="252.7"/>
    <n v="49.549019607843135"/>
  </r>
  <r>
    <n v="6472282"/>
    <x v="421"/>
    <s v="OCB"/>
    <s v="SC"/>
    <n v="30"/>
    <n v="4.08"/>
    <n v="106.08"/>
    <n v="115"/>
    <n v="0"/>
    <n v="4.08"/>
    <n v="115"/>
    <n v="225.16"/>
    <n v="55.186274509803923"/>
  </r>
  <r>
    <n v="6472282"/>
    <x v="422"/>
    <s v="Warehouse"/>
    <s v="OT"/>
    <n v="40"/>
    <n v="2.98"/>
    <n v="77.48"/>
    <n v="115"/>
    <n v="0"/>
    <n v="2.98"/>
    <n v="115"/>
    <n v="195.46"/>
    <n v="65.590604026845639"/>
  </r>
  <r>
    <m/>
    <x v="422"/>
    <s v="HCDC"/>
    <s v="FL"/>
    <n v="6"/>
    <n v="0.93599999999999994"/>
    <m/>
    <n v="70.680000000000007"/>
    <m/>
    <m/>
    <m/>
    <n v="70.680000000000007"/>
    <n v="75.512820512820525"/>
  </r>
  <r>
    <m/>
    <x v="422"/>
    <s v="ITC"/>
    <s v="FL"/>
    <n v="6"/>
    <n v="1.8719999999999999"/>
    <m/>
    <n v="94.32"/>
    <m/>
    <m/>
    <m/>
    <n v="94.32"/>
    <n v="50.384615384615387"/>
  </r>
  <r>
    <m/>
    <x v="422"/>
    <s v="Westpark"/>
    <s v="FL"/>
    <n v="8"/>
    <n v="2.4960000000000004"/>
    <m/>
    <n v="129"/>
    <m/>
    <m/>
    <m/>
    <n v="129"/>
    <n v="51.682692307692299"/>
  </r>
  <r>
    <m/>
    <x v="422"/>
    <s v="Olathe Center"/>
    <s v="FL"/>
    <n v="2"/>
    <n v="0.31200000000000006"/>
    <m/>
    <n v="48"/>
    <m/>
    <m/>
    <m/>
    <n v="48"/>
    <n v="153.84615384615381"/>
  </r>
  <r>
    <m/>
    <x v="422"/>
    <s v="OHEC"/>
    <s v="FL"/>
    <n v="8"/>
    <n v="1.2480000000000002"/>
    <m/>
    <n v="45.28"/>
    <m/>
    <m/>
    <m/>
    <n v="45.28"/>
    <m/>
  </r>
  <r>
    <n v="6493410"/>
    <x v="423"/>
    <s v="COM"/>
    <s v="SC"/>
    <n v="32"/>
    <n v="9.66"/>
    <n v="251.16"/>
    <n v="115"/>
    <n v="0"/>
    <n v="9.66"/>
    <n v="115"/>
    <n v="375.82"/>
    <n v="38.904761904761905"/>
  </r>
  <r>
    <n v="6493410"/>
    <x v="424"/>
    <s v="South Compound"/>
    <s v="OT"/>
    <n v="20"/>
    <n v="3.46"/>
    <n v="89.96"/>
    <n v="115"/>
    <n v="0"/>
    <n v="3.46"/>
    <n v="115"/>
    <n v="208.42"/>
    <n v="60.236994219653177"/>
  </r>
  <r>
    <n v="6493410"/>
    <x v="424"/>
    <s v="South Compound"/>
    <s v="OT"/>
    <n v="20"/>
    <n v="6.04"/>
    <n v="157.04"/>
    <n v="115"/>
    <n v="0"/>
    <n v="6.04"/>
    <n v="115"/>
    <n v="278.08"/>
    <n v="46.039735099337747"/>
  </r>
  <r>
    <n v="6493410"/>
    <x v="425"/>
    <s v="?"/>
    <s v="OT"/>
    <n v="40"/>
    <n v="6.78"/>
    <n v="176.28"/>
    <n v="115"/>
    <n v="0"/>
    <n v="6.78"/>
    <n v="115"/>
    <n v="298.05999999999995"/>
    <n v="43.961651917404119"/>
  </r>
  <r>
    <n v="6493410"/>
    <x v="426"/>
    <s v="South Compound"/>
    <s v="SC"/>
    <n v="35"/>
    <n v="5.53"/>
    <n v="143.78"/>
    <n v="115"/>
    <n v="0"/>
    <n v="5.53"/>
    <n v="115"/>
    <n v="264.30999999999995"/>
    <n v="47.795660036166353"/>
  </r>
  <r>
    <n v="6493410"/>
    <x v="427"/>
    <s v="COM"/>
    <s v="SC"/>
    <n v="32"/>
    <n v="9.89"/>
    <n v="257.14"/>
    <n v="115"/>
    <n v="0"/>
    <n v="9.89"/>
    <n v="115"/>
    <n v="382.03"/>
    <n v="38.627906976744178"/>
  </r>
  <r>
    <n v="6493410"/>
    <x v="428"/>
    <s v="CSB"/>
    <s v="OT"/>
    <n v="40"/>
    <n v="3.51"/>
    <n v="91.259999999999991"/>
    <n v="115"/>
    <n v="0"/>
    <n v="3.51"/>
    <n v="115"/>
    <n v="209.76999999999998"/>
    <n v="59.763532763532758"/>
  </r>
  <r>
    <n v="6493410"/>
    <x v="429"/>
    <s v="OCB"/>
    <s v="SC"/>
    <n v="30"/>
    <n v="8.3800000000000008"/>
    <n v="217.88000000000002"/>
    <n v="115"/>
    <n v="0"/>
    <n v="8.3800000000000008"/>
    <n v="115"/>
    <n v="341.26"/>
    <n v="40.723150357995223"/>
  </r>
  <r>
    <m/>
    <x v="430"/>
    <s v="HCDC"/>
    <s v="FL"/>
    <n v="6"/>
    <n v="0.93599999999999994"/>
    <m/>
    <n v="70.680000000000007"/>
    <m/>
    <m/>
    <m/>
    <n v="70.680000000000007"/>
    <n v="75.512820512820525"/>
  </r>
  <r>
    <m/>
    <x v="430"/>
    <s v="ITC"/>
    <s v="FL"/>
    <n v="6"/>
    <n v="1.8719999999999999"/>
    <m/>
    <n v="94.32"/>
    <m/>
    <m/>
    <m/>
    <n v="94.32"/>
    <n v="50.384615384615387"/>
  </r>
  <r>
    <m/>
    <x v="430"/>
    <s v="Westpark"/>
    <s v="FL"/>
    <n v="8"/>
    <n v="2.4960000000000004"/>
    <m/>
    <n v="129"/>
    <m/>
    <m/>
    <m/>
    <n v="129"/>
    <n v="51.682692307692299"/>
  </r>
  <r>
    <m/>
    <x v="430"/>
    <s v="Olathe Center"/>
    <s v="FL"/>
    <n v="2"/>
    <n v="0.31200000000000006"/>
    <m/>
    <n v="48"/>
    <m/>
    <m/>
    <m/>
    <n v="48"/>
    <n v="153.84615384615381"/>
  </r>
  <r>
    <m/>
    <x v="430"/>
    <s v="OHEC"/>
    <s v="FL"/>
    <n v="8"/>
    <n v="1.2480000000000002"/>
    <m/>
    <n v="45.28"/>
    <m/>
    <m/>
    <m/>
    <n v="45.28"/>
    <m/>
  </r>
  <r>
    <n v="6513466"/>
    <x v="431"/>
    <s v="Warehouse"/>
    <s v="OT"/>
    <n v="40"/>
    <n v="2.37"/>
    <n v="61.620000000000005"/>
    <n v="115"/>
    <n v="0"/>
    <n v="2.37"/>
    <n v="115"/>
    <n v="178.99"/>
    <n v="75.523206751054857"/>
  </r>
  <r>
    <n v="6513466"/>
    <x v="432"/>
    <s v="CSB"/>
    <s v="OT"/>
    <n v="40"/>
    <n v="3.88"/>
    <n v="100.88"/>
    <n v="115"/>
    <n v="0"/>
    <n v="3.88"/>
    <n v="115"/>
    <n v="219.76"/>
    <n v="56.639175257731956"/>
  </r>
  <r>
    <n v="6513466"/>
    <x v="433"/>
    <s v="CSB"/>
    <s v="OT"/>
    <n v="40"/>
    <n v="4.2300000000000004"/>
    <n v="109.98000000000002"/>
    <n v="115"/>
    <n v="0"/>
    <n v="4.2300000000000004"/>
    <n v="115"/>
    <n v="229.21"/>
    <n v="54.186761229314421"/>
  </r>
  <r>
    <m/>
    <x v="434"/>
    <s v="HCDC"/>
    <s v="FL"/>
    <n v="6"/>
    <n v="0.93599999999999994"/>
    <m/>
    <n v="70.680000000000007"/>
    <m/>
    <m/>
    <m/>
    <n v="70.680000000000007"/>
    <n v="75.512820512820525"/>
  </r>
  <r>
    <m/>
    <x v="434"/>
    <s v="ITC"/>
    <s v="FL"/>
    <n v="6"/>
    <n v="1.8719999999999999"/>
    <m/>
    <n v="94.32"/>
    <m/>
    <m/>
    <m/>
    <n v="94.32"/>
    <n v="50.384615384615387"/>
  </r>
  <r>
    <m/>
    <x v="434"/>
    <s v="Westpark"/>
    <s v="FL"/>
    <n v="8"/>
    <n v="2.4960000000000004"/>
    <m/>
    <n v="129"/>
    <m/>
    <m/>
    <m/>
    <n v="129"/>
    <n v="51.682692307692299"/>
  </r>
  <r>
    <m/>
    <x v="434"/>
    <s v="Olathe Center"/>
    <s v="FL"/>
    <n v="2"/>
    <n v="0.31200000000000006"/>
    <m/>
    <n v="48"/>
    <m/>
    <m/>
    <m/>
    <n v="48"/>
    <n v="153.84615384615381"/>
  </r>
  <r>
    <m/>
    <x v="434"/>
    <s v="OHEC"/>
    <s v="FL"/>
    <n v="8"/>
    <n v="1.2480000000000002"/>
    <m/>
    <n v="45.28"/>
    <m/>
    <m/>
    <m/>
    <n v="45.28"/>
    <m/>
  </r>
  <r>
    <n v="6533710"/>
    <x v="435"/>
    <s v="COM"/>
    <s v="SC"/>
    <n v="32"/>
    <n v="11.55"/>
    <n v="300.3"/>
    <n v="115"/>
    <n v="0"/>
    <n v="11.55"/>
    <n v="115"/>
    <n v="426.85"/>
    <n v="36.956709956709958"/>
  </r>
  <r>
    <n v="6533710"/>
    <x v="436"/>
    <s v="CSB"/>
    <s v="OT"/>
    <n v="40"/>
    <n v="6.47"/>
    <n v="168.22"/>
    <n v="115"/>
    <n v="0"/>
    <n v="6.47"/>
    <n v="115"/>
    <n v="289.69000000000005"/>
    <n v="44.774343122102017"/>
  </r>
  <r>
    <n v="6533710"/>
    <x v="436"/>
    <s v="OCB"/>
    <s v="SC"/>
    <n v="30"/>
    <n v="7.54"/>
    <n v="196.04"/>
    <n v="115"/>
    <n v="0"/>
    <n v="7.54"/>
    <n v="115"/>
    <n v="318.58"/>
    <n v="42.251989389920425"/>
  </r>
  <r>
    <n v="6533710"/>
    <x v="437"/>
    <s v="?"/>
    <s v="OT"/>
    <n v="40"/>
    <n v="2.96"/>
    <n v="76.959999999999994"/>
    <n v="115"/>
    <n v="0"/>
    <n v="2.96"/>
    <n v="115"/>
    <n v="194.92"/>
    <n v="65.851351351351354"/>
  </r>
  <r>
    <n v="6533710"/>
    <x v="438"/>
    <s v="South Compound"/>
    <s v="SC"/>
    <n v="35"/>
    <n v="9.98"/>
    <n v="259.48"/>
    <n v="115"/>
    <n v="0"/>
    <n v="9.98"/>
    <n v="115"/>
    <n v="384.46000000000004"/>
    <n v="38.523046092184373"/>
  </r>
  <r>
    <n v="6553138"/>
    <x v="438"/>
    <s v="?"/>
    <s v="OT"/>
    <n v="40"/>
    <n v="4.05"/>
    <n v="105.3"/>
    <n v="115"/>
    <n v="0"/>
    <n v="4.05"/>
    <n v="115"/>
    <n v="224.35000000000002"/>
    <n v="55.395061728395071"/>
  </r>
  <r>
    <n v="6533710"/>
    <x v="439"/>
    <s v="?"/>
    <s v="OT"/>
    <n v="40"/>
    <n v="1.3"/>
    <n v="33.800000000000004"/>
    <n v="115"/>
    <n v="0"/>
    <n v="1.3"/>
    <n v="115"/>
    <n v="150.10000000000002"/>
    <n v="115.46153846153848"/>
  </r>
  <r>
    <m/>
    <x v="440"/>
    <s v="HCDC"/>
    <s v="FL"/>
    <n v="6"/>
    <n v="0.93599999999999994"/>
    <m/>
    <n v="70.680000000000007"/>
    <m/>
    <m/>
    <m/>
    <n v="70.680000000000007"/>
    <n v="75.512820512820525"/>
  </r>
  <r>
    <m/>
    <x v="440"/>
    <s v="ITC"/>
    <s v="FL"/>
    <n v="6"/>
    <n v="1.8719999999999999"/>
    <m/>
    <n v="94.32"/>
    <m/>
    <m/>
    <m/>
    <n v="94.32"/>
    <n v="50.384615384615387"/>
  </r>
  <r>
    <m/>
    <x v="440"/>
    <s v="Westpark"/>
    <s v="FL"/>
    <n v="8"/>
    <n v="2.4960000000000004"/>
    <m/>
    <n v="129"/>
    <m/>
    <m/>
    <m/>
    <n v="129"/>
    <n v="51.682692307692299"/>
  </r>
  <r>
    <m/>
    <x v="440"/>
    <s v="Olathe Center"/>
    <s v="FL"/>
    <n v="2"/>
    <n v="0.31200000000000006"/>
    <m/>
    <n v="48"/>
    <m/>
    <m/>
    <m/>
    <n v="48"/>
    <n v="153.84615384615381"/>
  </r>
  <r>
    <m/>
    <x v="440"/>
    <s v="OHEC"/>
    <s v="FL"/>
    <n v="8"/>
    <n v="1.2480000000000002"/>
    <m/>
    <n v="45.28"/>
    <m/>
    <m/>
    <m/>
    <n v="45.28"/>
    <m/>
  </r>
  <r>
    <n v="6553138"/>
    <x v="441"/>
    <s v="?"/>
    <s v="OT"/>
    <n v="40"/>
    <n v="8.0500000000000007"/>
    <n v="209.3"/>
    <n v="115"/>
    <n v="0"/>
    <n v="8.0500000000000007"/>
    <n v="115"/>
    <n v="332.35"/>
    <n v="41.285714285714285"/>
  </r>
  <r>
    <n v="6553138"/>
    <x v="442"/>
    <s v="South Compound"/>
    <s v="OT"/>
    <n v="20"/>
    <n v="7.54"/>
    <n v="196.04"/>
    <n v="115"/>
    <n v="0"/>
    <n v="7.54"/>
    <n v="115"/>
    <n v="318.58"/>
    <n v="42.251989389920425"/>
  </r>
  <r>
    <n v="6553138"/>
    <x v="443"/>
    <s v="South Compound"/>
    <s v="OT"/>
    <n v="20"/>
    <n v="5.46"/>
    <n v="141.96"/>
    <n v="115"/>
    <n v="0"/>
    <n v="5.46"/>
    <n v="115"/>
    <n v="262.42"/>
    <n v="48.062271062271066"/>
  </r>
  <r>
    <n v="6553138"/>
    <x v="443"/>
    <s v="South Compound"/>
    <s v="OT"/>
    <n v="20"/>
    <n v="2.95"/>
    <n v="76.7"/>
    <n v="115"/>
    <n v="0"/>
    <n v="2.95"/>
    <n v="115"/>
    <n v="194.64999999999998"/>
    <n v="65.983050847457619"/>
  </r>
  <r>
    <n v="6553138"/>
    <x v="443"/>
    <s v="?"/>
    <s v="OT"/>
    <n v="40"/>
    <n v="4.1900000000000004"/>
    <n v="108.94000000000001"/>
    <n v="115"/>
    <n v="0"/>
    <n v="4.1900000000000004"/>
    <n v="115"/>
    <n v="228.13"/>
    <n v="54.446300715990446"/>
  </r>
  <r>
    <n v="6553138"/>
    <x v="444"/>
    <s v="COM"/>
    <s v="SC"/>
    <n v="32"/>
    <n v="10.36"/>
    <n v="269.36"/>
    <n v="115"/>
    <n v="0"/>
    <n v="10.36"/>
    <n v="115"/>
    <n v="394.72"/>
    <n v="38.100386100386103"/>
  </r>
  <r>
    <n v="6553138"/>
    <x v="445"/>
    <s v="HCA"/>
    <s v="SC"/>
    <n v="30"/>
    <n v="1.96"/>
    <n v="50.96"/>
    <n v="115"/>
    <n v="0"/>
    <n v="1.96"/>
    <n v="115"/>
    <n v="167.92000000000002"/>
    <n v="85.673469387755105"/>
  </r>
  <r>
    <n v="6553138"/>
    <x v="446"/>
    <s v="OCB"/>
    <s v="SC"/>
    <n v="30"/>
    <n v="1.33"/>
    <n v="34.58"/>
    <n v="115"/>
    <n v="0"/>
    <n v="1.33"/>
    <n v="115"/>
    <n v="150.91"/>
    <n v="113.46616541353383"/>
  </r>
  <r>
    <n v="6553138"/>
    <x v="446"/>
    <s v="OCB"/>
    <s v="SC"/>
    <n v="30"/>
    <n v="8.2200000000000006"/>
    <n v="213.72000000000003"/>
    <n v="115"/>
    <n v="0"/>
    <n v="8.2200000000000006"/>
    <n v="115"/>
    <n v="336.94000000000005"/>
    <n v="40.990267639902683"/>
  </r>
  <r>
    <m/>
    <x v="447"/>
    <s v="HCDC"/>
    <s v="FL"/>
    <n v="6"/>
    <n v="0.93599999999999994"/>
    <m/>
    <n v="70.680000000000007"/>
    <m/>
    <m/>
    <m/>
    <n v="70.680000000000007"/>
    <n v="75.512820512820525"/>
  </r>
  <r>
    <m/>
    <x v="447"/>
    <s v="ITC"/>
    <s v="FL"/>
    <n v="6"/>
    <n v="1.8719999999999999"/>
    <m/>
    <n v="94.32"/>
    <m/>
    <m/>
    <m/>
    <n v="94.32"/>
    <n v="50.384615384615387"/>
  </r>
  <r>
    <m/>
    <x v="447"/>
    <s v="Westpark"/>
    <s v="FL"/>
    <n v="8"/>
    <n v="2.4960000000000004"/>
    <m/>
    <n v="129"/>
    <m/>
    <m/>
    <m/>
    <n v="129"/>
    <n v="51.682692307692299"/>
  </r>
  <r>
    <m/>
    <x v="447"/>
    <s v="Olathe Center"/>
    <s v="FL"/>
    <n v="2"/>
    <n v="0.31200000000000006"/>
    <m/>
    <n v="48"/>
    <m/>
    <m/>
    <m/>
    <n v="48"/>
    <n v="153.84615384615381"/>
  </r>
  <r>
    <m/>
    <x v="447"/>
    <s v="OHEC"/>
    <s v="FL"/>
    <n v="8"/>
    <n v="1.2480000000000002"/>
    <m/>
    <n v="45.28"/>
    <m/>
    <m/>
    <m/>
    <n v="45.28"/>
    <m/>
  </r>
  <r>
    <n v="6571726"/>
    <x v="448"/>
    <s v="CSB"/>
    <s v="OT"/>
    <n v="40"/>
    <n v="4.07"/>
    <n v="105.82000000000001"/>
    <n v="115"/>
    <n v="0"/>
    <n v="4.07"/>
    <n v="115"/>
    <n v="224.89"/>
    <n v="55.255528255528247"/>
  </r>
  <r>
    <n v="6571726"/>
    <x v="449"/>
    <s v="HCA"/>
    <s v="SC"/>
    <n v="30"/>
    <n v="1.51"/>
    <n v="39.26"/>
    <n v="115"/>
    <n v="0"/>
    <n v="1.51"/>
    <n v="115"/>
    <n v="155.76999999999998"/>
    <n v="103.15894039735097"/>
  </r>
  <r>
    <n v="6571726"/>
    <x v="450"/>
    <s v="South Compound"/>
    <s v="SC"/>
    <n v="35"/>
    <n v="9.66"/>
    <n v="251.16"/>
    <n v="115"/>
    <n v="0"/>
    <n v="9.66"/>
    <n v="115"/>
    <n v="375.82"/>
    <n v="38.904761904761905"/>
  </r>
  <r>
    <n v="6571726"/>
    <x v="451"/>
    <s v="?"/>
    <s v="OT"/>
    <n v="40"/>
    <n v="2.98"/>
    <n v="77.48"/>
    <n v="115"/>
    <n v="0"/>
    <n v="2.98"/>
    <n v="115"/>
    <n v="195.46"/>
    <n v="65.590604026845639"/>
  </r>
  <r>
    <n v="6571726"/>
    <x v="452"/>
    <s v="CSB"/>
    <s v="OT"/>
    <n v="40"/>
    <n v="3.74"/>
    <n v="97.240000000000009"/>
    <n v="115"/>
    <n v="0"/>
    <n v="3.74"/>
    <n v="115"/>
    <n v="215.98000000000002"/>
    <n v="57.748663101604279"/>
  </r>
  <r>
    <n v="6571726"/>
    <x v="453"/>
    <s v="OCB"/>
    <s v="SC"/>
    <n v="30"/>
    <n v="7.6"/>
    <n v="197.6"/>
    <n v="115"/>
    <n v="0"/>
    <n v="7.6"/>
    <n v="115"/>
    <n v="320.20000000000005"/>
    <n v="42.131578947368432"/>
  </r>
  <r>
    <n v="6571726"/>
    <x v="454"/>
    <s v="COM"/>
    <s v="SC"/>
    <n v="32"/>
    <n v="10.66"/>
    <n v="277.16000000000003"/>
    <n v="115"/>
    <n v="0"/>
    <n v="10.66"/>
    <n v="115"/>
    <n v="402.82000000000005"/>
    <n v="37.787992495309574"/>
  </r>
  <r>
    <n v="6595313"/>
    <x v="455"/>
    <s v="?"/>
    <s v="OT"/>
    <n v="40"/>
    <n v="4.91"/>
    <n v="127.66"/>
    <n v="115"/>
    <n v="0"/>
    <n v="4.91"/>
    <n v="115"/>
    <n v="247.57"/>
    <n v="50.42158859470468"/>
  </r>
  <r>
    <m/>
    <x v="456"/>
    <s v="HCDC"/>
    <s v="FL"/>
    <n v="6"/>
    <n v="0.93599999999999994"/>
    <m/>
    <n v="70.680000000000007"/>
    <m/>
    <m/>
    <m/>
    <n v="70.680000000000007"/>
    <n v="75.512820512820525"/>
  </r>
  <r>
    <m/>
    <x v="456"/>
    <s v="ITC"/>
    <s v="FL"/>
    <n v="6"/>
    <n v="1.8719999999999999"/>
    <m/>
    <n v="94.32"/>
    <m/>
    <m/>
    <m/>
    <n v="94.32"/>
    <n v="50.384615384615387"/>
  </r>
  <r>
    <m/>
    <x v="456"/>
    <s v="Westpark"/>
    <s v="FL"/>
    <n v="8"/>
    <n v="2.4960000000000004"/>
    <m/>
    <n v="129"/>
    <m/>
    <m/>
    <m/>
    <n v="129"/>
    <n v="51.682692307692299"/>
  </r>
  <r>
    <m/>
    <x v="456"/>
    <s v="Olathe Center"/>
    <s v="FL"/>
    <n v="2"/>
    <n v="0.31200000000000006"/>
    <m/>
    <n v="48"/>
    <m/>
    <m/>
    <m/>
    <n v="48"/>
    <n v="153.84615384615381"/>
  </r>
  <r>
    <m/>
    <x v="456"/>
    <s v="OHEC"/>
    <s v="FL"/>
    <n v="8"/>
    <n v="1.2480000000000002"/>
    <m/>
    <n v="45.28"/>
    <m/>
    <m/>
    <m/>
    <n v="45.28"/>
    <m/>
  </r>
  <r>
    <n v="6595313"/>
    <x v="457"/>
    <s v="Warehouse"/>
    <s v="OT"/>
    <n v="40"/>
    <n v="3.05"/>
    <n v="79.3"/>
    <n v="115"/>
    <n v="0"/>
    <n v="3.05"/>
    <n v="115"/>
    <n v="197.35000000000002"/>
    <n v="64.704918032786892"/>
  </r>
  <r>
    <n v="6595313"/>
    <x v="457"/>
    <s v="Warehouse"/>
    <s v="OT"/>
    <n v="40"/>
    <n v="3.12"/>
    <n v="81.12"/>
    <n v="115"/>
    <n v="0"/>
    <n v="3.12"/>
    <n v="115"/>
    <n v="199.24"/>
    <n v="63.858974358974358"/>
  </r>
  <r>
    <n v="6595313"/>
    <x v="457"/>
    <s v="?"/>
    <s v="OT"/>
    <n v="40"/>
    <n v="3.15"/>
    <n v="81.899999999999991"/>
    <n v="115"/>
    <n v="0"/>
    <n v="3.15"/>
    <n v="115"/>
    <n v="200.04999999999998"/>
    <n v="63.507936507936506"/>
  </r>
  <r>
    <n v="6595313"/>
    <x v="458"/>
    <s v="HCA"/>
    <s v="SC"/>
    <n v="30"/>
    <n v="3.75"/>
    <n v="97.5"/>
    <n v="115"/>
    <n v="0"/>
    <n v="3.75"/>
    <n v="115"/>
    <n v="216.25"/>
    <n v="57.666666666666664"/>
  </r>
  <r>
    <n v="6595313"/>
    <x v="459"/>
    <s v="OCB"/>
    <s v="SC"/>
    <n v="30"/>
    <n v="6.32"/>
    <n v="164.32"/>
    <n v="115"/>
    <n v="0"/>
    <n v="6.32"/>
    <n v="115"/>
    <n v="285.64"/>
    <n v="45.196202531645568"/>
  </r>
  <r>
    <n v="6595313"/>
    <x v="460"/>
    <s v="?"/>
    <s v="OT"/>
    <n v="40"/>
    <n v="4.7300000000000004"/>
    <n v="122.98000000000002"/>
    <n v="115"/>
    <n v="0"/>
    <n v="4.7300000000000004"/>
    <n v="115"/>
    <n v="242.71"/>
    <n v="51.312896405919659"/>
  </r>
  <r>
    <n v="6595313"/>
    <x v="461"/>
    <s v="South Compound"/>
    <s v="SC"/>
    <n v="35"/>
    <n v="5.83"/>
    <n v="151.58000000000001"/>
    <n v="115"/>
    <n v="0"/>
    <n v="5.83"/>
    <n v="115"/>
    <n v="272.41000000000003"/>
    <n v="46.725557461406524"/>
  </r>
  <r>
    <n v="6595313"/>
    <x v="461"/>
    <s v="South Compound"/>
    <s v="OT"/>
    <n v="20"/>
    <n v="8.06"/>
    <n v="209.56"/>
    <n v="115"/>
    <n v="0"/>
    <n v="8.06"/>
    <n v="115"/>
    <n v="332.62"/>
    <n v="41.267990074441684"/>
  </r>
  <r>
    <n v="6595313"/>
    <x v="462"/>
    <s v="COM"/>
    <s v="SC"/>
    <n v="32"/>
    <n v="8.61"/>
    <n v="223.85999999999999"/>
    <n v="115"/>
    <n v="0"/>
    <n v="8.61"/>
    <n v="115"/>
    <n v="347.47"/>
    <n v="40.356562137049949"/>
  </r>
  <r>
    <n v="6595313"/>
    <x v="462"/>
    <s v="?"/>
    <s v="OT"/>
    <n v="40"/>
    <n v="4.62"/>
    <n v="120.12"/>
    <n v="115"/>
    <n v="0"/>
    <n v="4.62"/>
    <n v="115"/>
    <n v="239.74"/>
    <n v="51.891774891774894"/>
  </r>
  <r>
    <n v="6595313"/>
    <x v="463"/>
    <s v="OCB"/>
    <s v="SC"/>
    <n v="30"/>
    <n v="5.72"/>
    <n v="148.72"/>
    <n v="115"/>
    <n v="0"/>
    <n v="5.72"/>
    <n v="115"/>
    <n v="269.44000000000005"/>
    <n v="47.104895104895114"/>
  </r>
  <r>
    <m/>
    <x v="464"/>
    <s v="HCDC"/>
    <s v="FL"/>
    <n v="6"/>
    <n v="0.93599999999999994"/>
    <m/>
    <n v="70.680000000000007"/>
    <m/>
    <m/>
    <m/>
    <n v="70.680000000000007"/>
    <n v="75.512820512820525"/>
  </r>
  <r>
    <m/>
    <x v="464"/>
    <s v="ITC"/>
    <s v="FL"/>
    <n v="6"/>
    <n v="1.8719999999999999"/>
    <m/>
    <n v="94.32"/>
    <m/>
    <m/>
    <m/>
    <n v="94.32"/>
    <n v="50.384615384615387"/>
  </r>
  <r>
    <m/>
    <x v="464"/>
    <s v="Westpark"/>
    <s v="FL"/>
    <n v="8"/>
    <n v="2.4960000000000004"/>
    <m/>
    <n v="129"/>
    <m/>
    <m/>
    <m/>
    <n v="129"/>
    <n v="51.682692307692299"/>
  </r>
  <r>
    <m/>
    <x v="464"/>
    <s v="Olathe Center"/>
    <s v="FL"/>
    <n v="2"/>
    <n v="0.31200000000000006"/>
    <m/>
    <n v="51.68"/>
    <m/>
    <m/>
    <m/>
    <n v="51.68"/>
    <n v="165.64102564102561"/>
  </r>
  <r>
    <m/>
    <x v="464"/>
    <s v="OHEC"/>
    <s v="FL"/>
    <n v="8"/>
    <n v="1.2480000000000002"/>
    <m/>
    <n v="45.28"/>
    <m/>
    <m/>
    <m/>
    <n v="45.28"/>
    <m/>
  </r>
  <r>
    <n v="6614507"/>
    <x v="465"/>
    <s v="?"/>
    <s v="OT"/>
    <n v="40"/>
    <n v="2.36"/>
    <n v="61.36"/>
    <n v="115"/>
    <n v="0"/>
    <n v="2.36"/>
    <n v="115"/>
    <n v="178.72000000000003"/>
    <n v="75.728813559322049"/>
  </r>
  <r>
    <n v="6614507"/>
    <x v="466"/>
    <s v="South Compound"/>
    <s v="SC"/>
    <n v="35"/>
    <n v="5.7"/>
    <n v="148.20000000000002"/>
    <n v="115"/>
    <n v="0"/>
    <n v="5.7"/>
    <n v="115"/>
    <n v="268.90000000000003"/>
    <n v="47.175438596491233"/>
  </r>
  <r>
    <n v="6614507"/>
    <x v="467"/>
    <s v="HCA"/>
    <s v="SC"/>
    <n v="30"/>
    <n v="8.58"/>
    <n v="223.08"/>
    <n v="115"/>
    <n v="0"/>
    <n v="8.58"/>
    <n v="115"/>
    <n v="346.66"/>
    <n v="40.403263403263409"/>
  </r>
  <r>
    <n v="6614507"/>
    <x v="468"/>
    <s v="OCB"/>
    <s v="SC"/>
    <n v="30"/>
    <n v="6.79"/>
    <n v="176.54"/>
    <n v="115"/>
    <n v="0"/>
    <n v="6.79"/>
    <n v="115"/>
    <n v="298.33"/>
    <n v="43.93667157584683"/>
  </r>
  <r>
    <n v="6614507"/>
    <x v="469"/>
    <s v="?"/>
    <s v="OT"/>
    <n v="40"/>
    <n v="3.77"/>
    <n v="98.02"/>
    <n v="115"/>
    <n v="0"/>
    <n v="3.77"/>
    <n v="115"/>
    <n v="216.79"/>
    <n v="57.50397877984085"/>
  </r>
  <r>
    <n v="6614507"/>
    <x v="469"/>
    <s v="?"/>
    <s v="OT"/>
    <n v="40"/>
    <n v="2.58"/>
    <n v="67.08"/>
    <n v="115"/>
    <n v="0"/>
    <n v="2.58"/>
    <n v="115"/>
    <n v="184.66"/>
    <n v="71.573643410852711"/>
  </r>
  <r>
    <n v="6614507"/>
    <x v="469"/>
    <s v="COM"/>
    <s v="SC"/>
    <n v="32"/>
    <n v="2.44"/>
    <n v="63.44"/>
    <n v="115"/>
    <n v="0"/>
    <n v="2.44"/>
    <n v="115"/>
    <n v="180.88"/>
    <n v="74.131147540983605"/>
  </r>
  <r>
    <n v="6614507"/>
    <x v="470"/>
    <s v="COM"/>
    <s v="SC"/>
    <n v="32"/>
    <n v="9.51"/>
    <n v="247.26"/>
    <n v="115"/>
    <n v="0"/>
    <n v="9.51"/>
    <n v="115"/>
    <n v="371.77"/>
    <n v="39.092534174553101"/>
  </r>
  <r>
    <n v="5888848"/>
    <x v="471"/>
    <s v="Nerman"/>
    <s v="SC"/>
    <n v="6"/>
    <n v="0"/>
    <m/>
    <n v="22.85"/>
    <m/>
    <m/>
    <m/>
    <n v="22.85"/>
    <e v="#DIV/0!"/>
  </r>
  <r>
    <m/>
    <x v="471"/>
    <s v="HCDC"/>
    <s v="FL"/>
    <n v="6"/>
    <n v="0.93599999999999994"/>
    <m/>
    <n v="70.680000000000007"/>
    <m/>
    <m/>
    <m/>
    <n v="70.680000000000007"/>
    <n v="75.512820512820525"/>
  </r>
  <r>
    <m/>
    <x v="471"/>
    <s v="ITC"/>
    <s v="FL"/>
    <n v="6"/>
    <n v="1.8719999999999999"/>
    <m/>
    <n v="94.32"/>
    <m/>
    <m/>
    <m/>
    <n v="94.32"/>
    <n v="50.384615384615387"/>
  </r>
  <r>
    <m/>
    <x v="471"/>
    <s v="Westpark"/>
    <s v="FL"/>
    <n v="8"/>
    <n v="2.4960000000000004"/>
    <m/>
    <n v="129"/>
    <m/>
    <m/>
    <m/>
    <n v="129"/>
    <n v="51.682692307692299"/>
  </r>
  <r>
    <m/>
    <x v="471"/>
    <s v="Olathe Center"/>
    <s v="FL"/>
    <n v="2"/>
    <n v="0.31200000000000006"/>
    <m/>
    <n v="48"/>
    <m/>
    <m/>
    <m/>
    <n v="48"/>
    <n v="153.84615384615381"/>
  </r>
  <r>
    <m/>
    <x v="471"/>
    <s v="OHEC"/>
    <s v="FL"/>
    <n v="8"/>
    <n v="1.2480000000000002"/>
    <m/>
    <n v="45.28"/>
    <m/>
    <m/>
    <m/>
    <n v="45.28"/>
    <m/>
  </r>
  <r>
    <n v="6628966"/>
    <x v="472"/>
    <s v="South Compound"/>
    <s v="OT"/>
    <n v="20"/>
    <n v="3.7"/>
    <n v="96.2"/>
    <n v="115"/>
    <n v="0"/>
    <n v="3.7"/>
    <n v="115"/>
    <n v="214.89999999999998"/>
    <n v="58.081081081081074"/>
  </r>
  <r>
    <n v="6628966"/>
    <x v="472"/>
    <s v="South Compound"/>
    <s v="OT"/>
    <n v="20"/>
    <n v="11.11"/>
    <n v="288.86"/>
    <n v="115"/>
    <n v="0"/>
    <n v="11.11"/>
    <n v="115"/>
    <n v="414.97"/>
    <n v="37.351035103510355"/>
  </r>
  <r>
    <n v="5908368"/>
    <x v="473"/>
    <s v="Nerman"/>
    <s v="SC"/>
    <n v="6"/>
    <n v="0"/>
    <m/>
    <n v="36"/>
    <m/>
    <m/>
    <m/>
    <n v="36"/>
    <e v="#DIV/0!"/>
  </r>
  <r>
    <n v="6628966"/>
    <x v="474"/>
    <s v="OCB"/>
    <s v="SC"/>
    <n v="30"/>
    <n v="5.5"/>
    <n v="143"/>
    <n v="115"/>
    <n v="0"/>
    <n v="5.5"/>
    <n v="115"/>
    <n v="263.5"/>
    <n v="47.909090909090907"/>
  </r>
  <r>
    <n v="6628966"/>
    <x v="475"/>
    <s v="?"/>
    <s v="OT"/>
    <n v="40"/>
    <n v="4.42"/>
    <n v="114.92"/>
    <n v="115"/>
    <n v="0"/>
    <n v="4.42"/>
    <n v="115"/>
    <n v="234.34"/>
    <n v="53.018099547511312"/>
  </r>
  <r>
    <m/>
    <x v="476"/>
    <s v="HCDC"/>
    <s v="FL"/>
    <n v="6"/>
    <n v="0.93599999999999994"/>
    <m/>
    <n v="70.680000000000007"/>
    <m/>
    <m/>
    <m/>
    <n v="70.680000000000007"/>
    <n v="75.512820512820525"/>
  </r>
  <r>
    <m/>
    <x v="476"/>
    <s v="ITC"/>
    <s v="FL"/>
    <n v="6"/>
    <n v="1.8719999999999999"/>
    <m/>
    <n v="94.32"/>
    <m/>
    <m/>
    <m/>
    <n v="94.32"/>
    <n v="50.384615384615387"/>
  </r>
  <r>
    <m/>
    <x v="476"/>
    <s v="Westpark"/>
    <s v="FL"/>
    <n v="8"/>
    <n v="2.4960000000000004"/>
    <m/>
    <n v="129"/>
    <m/>
    <m/>
    <m/>
    <n v="129"/>
    <n v="51.682692307692299"/>
  </r>
  <r>
    <m/>
    <x v="476"/>
    <s v="Olathe Center"/>
    <s v="FL"/>
    <n v="2"/>
    <n v="0.31200000000000006"/>
    <m/>
    <n v="48"/>
    <m/>
    <m/>
    <m/>
    <n v="48"/>
    <n v="153.84615384615381"/>
  </r>
  <r>
    <m/>
    <x v="476"/>
    <s v="OHEC"/>
    <s v="FL"/>
    <n v="8"/>
    <n v="1.2480000000000002"/>
    <m/>
    <n v="45.28"/>
    <m/>
    <m/>
    <m/>
    <n v="45.28"/>
    <m/>
  </r>
  <r>
    <n v="6647015"/>
    <x v="477"/>
    <s v="COM"/>
    <s v="SC"/>
    <n v="32"/>
    <n v="6.57"/>
    <n v="170.82"/>
    <n v="115"/>
    <n v="0"/>
    <n v="6.57"/>
    <n v="115"/>
    <n v="292.39"/>
    <n v="44.503805175038046"/>
  </r>
  <r>
    <n v="6647015"/>
    <x v="478"/>
    <s v="South Compound"/>
    <s v="SC"/>
    <n v="35"/>
    <n v="3.15"/>
    <n v="81.899999999999991"/>
    <n v="115"/>
    <n v="0"/>
    <n v="3.15"/>
    <n v="115"/>
    <n v="200.04999999999998"/>
    <n v="63.507936507936506"/>
  </r>
  <r>
    <n v="6647015"/>
    <x v="479"/>
    <s v="HCA?"/>
    <s v="SC"/>
    <n v="30"/>
    <n v="5.0999999999999996"/>
    <n v="132.6"/>
    <n v="115"/>
    <n v="0"/>
    <n v="5.0999999999999996"/>
    <n v="115"/>
    <n v="252.7"/>
    <n v="49.549019607843135"/>
  </r>
  <r>
    <n v="6647015"/>
    <x v="480"/>
    <s v="?"/>
    <s v="OT"/>
    <n v="40"/>
    <n v="7.5"/>
    <n v="195"/>
    <n v="115"/>
    <n v="0"/>
    <n v="7.5"/>
    <n v="115"/>
    <n v="317.5"/>
    <n v="42.333333333333336"/>
  </r>
  <r>
    <n v="6647015"/>
    <x v="481"/>
    <s v="Warehouse"/>
    <s v="OT"/>
    <n v="40"/>
    <n v="2.3199999999999998"/>
    <n v="60.319999999999993"/>
    <n v="115"/>
    <n v="0"/>
    <n v="2.3199999999999998"/>
    <n v="115"/>
    <n v="177.64"/>
    <n v="76.568965517241381"/>
  </r>
  <r>
    <n v="6647015"/>
    <x v="481"/>
    <s v="South Compound"/>
    <s v="OT"/>
    <n v="20"/>
    <n v="2"/>
    <n v="52"/>
    <n v="115"/>
    <n v="0"/>
    <n v="2"/>
    <n v="115"/>
    <n v="169"/>
    <n v="84.5"/>
  </r>
  <r>
    <n v="6647015"/>
    <x v="482"/>
    <s v="HCA"/>
    <s v="SC"/>
    <n v="30"/>
    <n v="1.56"/>
    <n v="40.56"/>
    <n v="115"/>
    <n v="0"/>
    <n v="1.56"/>
    <n v="115"/>
    <n v="157.12"/>
    <n v="100.71794871794872"/>
  </r>
  <r>
    <n v="6647015"/>
    <x v="483"/>
    <s v="CSB"/>
    <s v="OT"/>
    <n v="40"/>
    <n v="3.27"/>
    <n v="85.02"/>
    <n v="115"/>
    <n v="0"/>
    <n v="3.27"/>
    <n v="115"/>
    <n v="203.29"/>
    <n v="62.168195718654431"/>
  </r>
  <r>
    <n v="6647015"/>
    <x v="483"/>
    <s v="COM"/>
    <s v="SC"/>
    <n v="32"/>
    <n v="6.37"/>
    <n v="165.62"/>
    <n v="115"/>
    <n v="0"/>
    <n v="6.37"/>
    <n v="115"/>
    <n v="286.99"/>
    <n v="45.053375196232338"/>
  </r>
  <r>
    <n v="6647015"/>
    <x v="484"/>
    <s v="OCB"/>
    <s v="SC"/>
    <n v="30"/>
    <n v="5.01"/>
    <n v="130.26"/>
    <n v="115"/>
    <n v="0"/>
    <n v="5.01"/>
    <n v="115"/>
    <n v="250.26999999999998"/>
    <n v="49.954091816367267"/>
  </r>
  <r>
    <m/>
    <x v="485"/>
    <s v="HCDC"/>
    <s v="FL"/>
    <n v="6"/>
    <n v="0.93599999999999994"/>
    <m/>
    <n v="70.680000000000007"/>
    <m/>
    <m/>
    <m/>
    <n v="70.680000000000007"/>
    <n v="75.512820512820525"/>
  </r>
  <r>
    <m/>
    <x v="485"/>
    <s v="ITC"/>
    <s v="FL"/>
    <n v="6"/>
    <n v="1.8719999999999999"/>
    <m/>
    <n v="94.32"/>
    <m/>
    <m/>
    <m/>
    <n v="94.32"/>
    <n v="50.384615384615387"/>
  </r>
  <r>
    <m/>
    <x v="485"/>
    <s v="Westpark"/>
    <s v="FL"/>
    <n v="8"/>
    <n v="2.4960000000000004"/>
    <m/>
    <n v="129"/>
    <m/>
    <m/>
    <m/>
    <n v="129"/>
    <n v="51.682692307692299"/>
  </r>
  <r>
    <m/>
    <x v="485"/>
    <s v="Olathe Center"/>
    <s v="FL"/>
    <n v="2"/>
    <n v="0.31200000000000006"/>
    <m/>
    <n v="48"/>
    <m/>
    <m/>
    <m/>
    <n v="48"/>
    <n v="153.84615384615381"/>
  </r>
  <r>
    <m/>
    <x v="485"/>
    <s v="OHEC"/>
    <s v="FL"/>
    <n v="8"/>
    <n v="1.2480000000000002"/>
    <m/>
    <n v="45.28"/>
    <m/>
    <m/>
    <m/>
    <n v="45.28"/>
    <m/>
  </r>
  <r>
    <n v="5918599"/>
    <x v="485"/>
    <s v="Nerman"/>
    <s v="SC"/>
    <n v="6"/>
    <n v="0"/>
    <m/>
    <n v="36"/>
    <m/>
    <m/>
    <m/>
    <n v="36"/>
    <e v="#DIV/0!"/>
  </r>
  <r>
    <n v="6664133"/>
    <x v="486"/>
    <s v="CSB"/>
    <s v="OT"/>
    <n v="40"/>
    <n v="4.18"/>
    <n v="108.67999999999999"/>
    <n v="115"/>
    <n v="0"/>
    <n v="4.18"/>
    <n v="115"/>
    <n v="227.86"/>
    <n v="54.511961722488046"/>
  </r>
  <r>
    <n v="6664133"/>
    <x v="487"/>
    <s v="CSB"/>
    <s v="OT"/>
    <n v="40"/>
    <n v="4.82"/>
    <n v="125.32000000000001"/>
    <n v="115"/>
    <n v="0"/>
    <n v="4.82"/>
    <n v="115"/>
    <n v="245.14"/>
    <n v="50.85892116182572"/>
  </r>
  <r>
    <n v="6664133"/>
    <x v="487"/>
    <s v="COM"/>
    <s v="SC"/>
    <n v="32"/>
    <n v="8.09"/>
    <n v="210.34"/>
    <n v="115"/>
    <n v="0"/>
    <n v="8.09"/>
    <n v="115"/>
    <n v="333.43"/>
    <n v="41.215080346106305"/>
  </r>
  <r>
    <n v="6664133"/>
    <x v="488"/>
    <s v="Warehouse"/>
    <s v="OT"/>
    <n v="40"/>
    <n v="1.88"/>
    <n v="48.879999999999995"/>
    <n v="115"/>
    <n v="0"/>
    <n v="1.88"/>
    <n v="115"/>
    <n v="165.76"/>
    <n v="88.170212765957444"/>
  </r>
  <r>
    <n v="6664133"/>
    <x v="488"/>
    <s v="OCB"/>
    <s v="SC"/>
    <n v="30"/>
    <n v="6.62"/>
    <n v="172.12"/>
    <n v="115"/>
    <n v="0"/>
    <n v="6.62"/>
    <n v="115"/>
    <n v="293.74"/>
    <n v="44.371601208459218"/>
  </r>
  <r>
    <m/>
    <x v="489"/>
    <s v="HCDC"/>
    <s v="FL"/>
    <n v="6"/>
    <n v="0.93599999999999994"/>
    <m/>
    <n v="70.680000000000007"/>
    <m/>
    <m/>
    <m/>
    <n v="70.680000000000007"/>
    <n v="75.512820512820525"/>
  </r>
  <r>
    <m/>
    <x v="489"/>
    <s v="ITC"/>
    <s v="FL"/>
    <n v="6"/>
    <n v="1.8719999999999999"/>
    <m/>
    <n v="94.32"/>
    <m/>
    <m/>
    <m/>
    <n v="94.32"/>
    <n v="50.384615384615387"/>
  </r>
  <r>
    <m/>
    <x v="489"/>
    <s v="Westpark"/>
    <s v="FL"/>
    <n v="8"/>
    <n v="2.4960000000000004"/>
    <m/>
    <n v="129"/>
    <m/>
    <m/>
    <m/>
    <n v="129"/>
    <n v="51.682692307692299"/>
  </r>
  <r>
    <m/>
    <x v="489"/>
    <s v="Olathe Center"/>
    <s v="FL"/>
    <n v="2"/>
    <n v="0.31200000000000006"/>
    <m/>
    <n v="48"/>
    <m/>
    <m/>
    <m/>
    <n v="48"/>
    <n v="153.84615384615381"/>
  </r>
  <r>
    <m/>
    <x v="489"/>
    <s v="OHEC"/>
    <s v="FL"/>
    <n v="8"/>
    <n v="1.2480000000000002"/>
    <m/>
    <n v="45.28"/>
    <m/>
    <m/>
    <m/>
    <n v="45.28"/>
    <m/>
  </r>
  <r>
    <n v="6683924"/>
    <x v="490"/>
    <s v="South Compound"/>
    <s v="SC"/>
    <n v="35"/>
    <n v="6.23"/>
    <n v="161.98000000000002"/>
    <n v="115"/>
    <n v="0"/>
    <n v="6.23"/>
    <n v="115"/>
    <n v="283.21000000000004"/>
    <n v="45.459069020866778"/>
  </r>
  <r>
    <n v="6683924"/>
    <x v="491"/>
    <s v="CSB"/>
    <s v="OT"/>
    <n v="40"/>
    <n v="2.0099999999999998"/>
    <n v="52.259999999999991"/>
    <n v="115"/>
    <n v="0"/>
    <n v="2.0099999999999998"/>
    <n v="115"/>
    <n v="169.26999999999998"/>
    <n v="84.2139303482587"/>
  </r>
  <r>
    <n v="6683924"/>
    <x v="492"/>
    <s v="CSB"/>
    <s v="OT"/>
    <n v="40"/>
    <n v="4.25"/>
    <n v="110.5"/>
    <n v="115"/>
    <n v="0"/>
    <n v="4.25"/>
    <n v="115"/>
    <n v="229.75"/>
    <n v="54.058823529411768"/>
  </r>
  <r>
    <n v="6683924"/>
    <x v="493"/>
    <s v="COM"/>
    <s v="SC"/>
    <n v="32"/>
    <n v="7.7"/>
    <n v="200.20000000000002"/>
    <n v="115"/>
    <n v="0"/>
    <n v="7.7"/>
    <n v="115"/>
    <n v="322.90000000000003"/>
    <n v="41.935064935064936"/>
  </r>
  <r>
    <n v="6683924"/>
    <x v="493"/>
    <s v="OCB"/>
    <s v="SC"/>
    <n v="30"/>
    <n v="6.36"/>
    <n v="165.36"/>
    <n v="115"/>
    <n v="0"/>
    <n v="6.36"/>
    <n v="115"/>
    <n v="286.72000000000003"/>
    <n v="45.081761006289312"/>
  </r>
  <r>
    <n v="6683924"/>
    <x v="494"/>
    <s v="HCA"/>
    <s v="SC"/>
    <n v="32"/>
    <n v="8.7200000000000006"/>
    <n v="226.72000000000003"/>
    <n v="115"/>
    <n v="0"/>
    <n v="8.7200000000000006"/>
    <n v="115"/>
    <n v="350.44000000000005"/>
    <n v="40.188073394495419"/>
  </r>
  <r>
    <n v="593814"/>
    <x v="494"/>
    <s v="Nerman"/>
    <s v="SC"/>
    <n v="6"/>
    <n v="0"/>
    <m/>
    <n v="36"/>
    <m/>
    <m/>
    <m/>
    <n v="36"/>
    <e v="#DIV/0!"/>
  </r>
  <r>
    <m/>
    <x v="495"/>
    <s v="HCDC"/>
    <s v="FL"/>
    <n v="6"/>
    <n v="0.93599999999999994"/>
    <m/>
    <n v="70.680000000000007"/>
    <m/>
    <m/>
    <m/>
    <n v="70.680000000000007"/>
    <n v="75.512820512820525"/>
  </r>
  <r>
    <m/>
    <x v="495"/>
    <s v="ITC"/>
    <s v="FL"/>
    <n v="6"/>
    <n v="1.8719999999999999"/>
    <m/>
    <n v="94.32"/>
    <m/>
    <m/>
    <m/>
    <n v="94.32"/>
    <n v="50.384615384615387"/>
  </r>
  <r>
    <m/>
    <x v="495"/>
    <s v="Westpark"/>
    <s v="FL"/>
    <n v="8"/>
    <n v="2.4960000000000004"/>
    <m/>
    <n v="129"/>
    <m/>
    <m/>
    <m/>
    <n v="129"/>
    <n v="51.682692307692299"/>
  </r>
  <r>
    <m/>
    <x v="495"/>
    <s v="Olathe Center"/>
    <s v="FL"/>
    <n v="2"/>
    <n v="0.31200000000000006"/>
    <m/>
    <n v="48"/>
    <m/>
    <m/>
    <m/>
    <n v="48"/>
    <n v="153.84615384615381"/>
  </r>
  <r>
    <m/>
    <x v="495"/>
    <s v="OHEC"/>
    <s v="FL"/>
    <n v="8"/>
    <n v="1.2480000000000002"/>
    <m/>
    <n v="45.28"/>
    <m/>
    <m/>
    <m/>
    <n v="45.28"/>
    <m/>
  </r>
  <r>
    <n v="6704266"/>
    <x v="496"/>
    <s v="South Compound"/>
    <s v="OT"/>
    <n v="20"/>
    <n v="11.27"/>
    <n v="293.02"/>
    <n v="115"/>
    <n v="0"/>
    <n v="11.27"/>
    <n v="115"/>
    <n v="419.28999999999996"/>
    <n v="37.204081632653057"/>
  </r>
  <r>
    <n v="6704266"/>
    <x v="496"/>
    <s v="South Compound"/>
    <s v="OT"/>
    <n v="20"/>
    <n v="11.14"/>
    <n v="289.64"/>
    <n v="115"/>
    <n v="0"/>
    <n v="11.14"/>
    <n v="115"/>
    <n v="415.78"/>
    <n v="37.32315978456014"/>
  </r>
  <r>
    <n v="6704266"/>
    <x v="496"/>
    <s v="?"/>
    <s v="OT"/>
    <n v="40"/>
    <n v="5.7"/>
    <n v="148.20000000000002"/>
    <n v="115"/>
    <n v="0"/>
    <n v="5.7"/>
    <n v="115"/>
    <n v="268.90000000000003"/>
    <n v="47.175438596491233"/>
  </r>
  <r>
    <n v="6704266"/>
    <x v="497"/>
    <s v="OCB"/>
    <s v="SC"/>
    <n v="30"/>
    <n v="5.59"/>
    <n v="145.34"/>
    <n v="115"/>
    <n v="0"/>
    <n v="5.59"/>
    <n v="115"/>
    <n v="265.93"/>
    <n v="47.572450805008948"/>
  </r>
  <r>
    <n v="6704266"/>
    <x v="498"/>
    <s v="South Compound"/>
    <s v="SC"/>
    <n v="35"/>
    <n v="8.65"/>
    <n v="224.9"/>
    <n v="115"/>
    <n v="0"/>
    <n v="8.65"/>
    <n v="115"/>
    <n v="348.54999999999995"/>
    <n v="40.294797687861262"/>
  </r>
  <r>
    <n v="6704266"/>
    <x v="499"/>
    <s v="CSB"/>
    <s v="OT"/>
    <n v="40"/>
    <n v="2.91"/>
    <n v="75.66"/>
    <n v="115"/>
    <n v="0"/>
    <n v="2.91"/>
    <n v="115"/>
    <n v="193.57"/>
    <n v="66.518900343642599"/>
  </r>
  <r>
    <n v="6704266"/>
    <x v="499"/>
    <s v="Warehouse"/>
    <s v="OT"/>
    <n v="40"/>
    <n v="3.33"/>
    <n v="86.58"/>
    <n v="115"/>
    <n v="0"/>
    <n v="3.33"/>
    <n v="115"/>
    <n v="204.91"/>
    <n v="61.534534534534529"/>
  </r>
  <r>
    <m/>
    <x v="500"/>
    <s v="HCDC"/>
    <s v="FL"/>
    <n v="6"/>
    <n v="0.93599999999999994"/>
    <m/>
    <n v="70.680000000000007"/>
    <m/>
    <m/>
    <m/>
    <n v="70.680000000000007"/>
    <n v="75.512820512820525"/>
  </r>
  <r>
    <m/>
    <x v="500"/>
    <s v="ITC"/>
    <s v="FL"/>
    <n v="6"/>
    <n v="1.8719999999999999"/>
    <m/>
    <n v="94.32"/>
    <m/>
    <m/>
    <m/>
    <n v="94.32"/>
    <n v="50.384615384615387"/>
  </r>
  <r>
    <m/>
    <x v="500"/>
    <s v="Westpark"/>
    <s v="FL"/>
    <n v="8"/>
    <n v="2.4960000000000004"/>
    <m/>
    <n v="129"/>
    <m/>
    <m/>
    <m/>
    <n v="129"/>
    <n v="51.682692307692299"/>
  </r>
  <r>
    <m/>
    <x v="500"/>
    <s v="Olathe Center"/>
    <s v="FL"/>
    <n v="2"/>
    <n v="0.31200000000000006"/>
    <m/>
    <n v="48"/>
    <m/>
    <m/>
    <m/>
    <n v="48"/>
    <n v="153.84615384615381"/>
  </r>
  <r>
    <m/>
    <x v="500"/>
    <s v="OHEC"/>
    <s v="FL"/>
    <n v="8"/>
    <n v="1.2480000000000002"/>
    <m/>
    <n v="45.28"/>
    <m/>
    <m/>
    <m/>
    <n v="45.28"/>
    <m/>
  </r>
  <r>
    <n v="6704266"/>
    <x v="500"/>
    <s v="COM"/>
    <s v="SC"/>
    <n v="32"/>
    <n v="10.35"/>
    <n v="269.09999999999997"/>
    <n v="115"/>
    <n v="0"/>
    <n v="10.35"/>
    <n v="115"/>
    <n v="394.45"/>
    <n v="38.111111111111114"/>
  </r>
  <r>
    <m/>
    <x v="501"/>
    <s v="ITC"/>
    <s v="FL"/>
    <n v="6"/>
    <n v="0.9"/>
    <m/>
    <n v="54"/>
    <m/>
    <m/>
    <m/>
    <n v="54"/>
    <n v="60"/>
  </r>
  <r>
    <n v="6723827"/>
    <x v="502"/>
    <s v="South Compound"/>
    <s v="OT"/>
    <n v="20"/>
    <n v="8.08"/>
    <n v="210.08"/>
    <n v="115"/>
    <n v="0"/>
    <n v="8.08"/>
    <n v="115"/>
    <n v="333.16"/>
    <n v="41.232673267326739"/>
  </r>
  <r>
    <n v="6723827"/>
    <x v="502"/>
    <s v="?"/>
    <s v="OT"/>
    <n v="40"/>
    <n v="7.25"/>
    <n v="188.5"/>
    <n v="115"/>
    <n v="0"/>
    <n v="7.25"/>
    <n v="115"/>
    <n v="310.75"/>
    <n v="42.862068965517238"/>
  </r>
  <r>
    <n v="6723827"/>
    <x v="503"/>
    <s v="OCB?"/>
    <s v="SC"/>
    <n v="30"/>
    <n v="7.23"/>
    <n v="187.98000000000002"/>
    <n v="115"/>
    <n v="0"/>
    <n v="7.23"/>
    <n v="115"/>
    <n v="310.21000000000004"/>
    <n v="42.905947441217151"/>
  </r>
  <r>
    <m/>
    <x v="504"/>
    <s v="HCDC"/>
    <s v="FL"/>
    <n v="6"/>
    <n v="0.93599999999999994"/>
    <m/>
    <n v="70.680000000000007"/>
    <m/>
    <m/>
    <m/>
    <n v="70.680000000000007"/>
    <n v="75.512820512820525"/>
  </r>
  <r>
    <m/>
    <x v="504"/>
    <s v="ITC"/>
    <s v="FL"/>
    <n v="6"/>
    <n v="1.8719999999999999"/>
    <m/>
    <n v="94.32"/>
    <m/>
    <m/>
    <m/>
    <n v="94.32"/>
    <n v="50.384615384615387"/>
  </r>
  <r>
    <m/>
    <x v="504"/>
    <s v="Westpark"/>
    <s v="FL"/>
    <n v="8"/>
    <n v="2.4960000000000004"/>
    <m/>
    <n v="129"/>
    <m/>
    <m/>
    <m/>
    <n v="129"/>
    <n v="51.682692307692299"/>
  </r>
  <r>
    <m/>
    <x v="504"/>
    <s v="Olathe Center"/>
    <s v="FL"/>
    <n v="2"/>
    <n v="0.31200000000000006"/>
    <m/>
    <n v="48"/>
    <m/>
    <m/>
    <m/>
    <n v="48"/>
    <n v="153.84615384615381"/>
  </r>
  <r>
    <m/>
    <x v="504"/>
    <s v="OHEC"/>
    <s v="FL"/>
    <n v="8"/>
    <n v="1.2480000000000002"/>
    <m/>
    <n v="45.28"/>
    <m/>
    <m/>
    <m/>
    <n v="45.28"/>
    <m/>
  </r>
  <r>
    <n v="6743223"/>
    <x v="505"/>
    <s v="Warehouse"/>
    <s v="OT"/>
    <n v="40"/>
    <n v="2.71"/>
    <n v="70.459999999999994"/>
    <n v="115"/>
    <n v="0"/>
    <n v="2.71"/>
    <n v="115"/>
    <n v="188.17"/>
    <n v="69.435424354243537"/>
  </r>
  <r>
    <n v="6743223"/>
    <x v="506"/>
    <s v="CSB"/>
    <s v="OT"/>
    <n v="40"/>
    <n v="6.75"/>
    <n v="175.5"/>
    <n v="115"/>
    <n v="0"/>
    <n v="6.75"/>
    <n v="115"/>
    <n v="297.25"/>
    <n v="44.037037037037038"/>
  </r>
  <r>
    <n v="6743223"/>
    <x v="506"/>
    <s v="HCA"/>
    <s v="SC"/>
    <n v="32"/>
    <n v="9.9700000000000006"/>
    <n v="259.22000000000003"/>
    <n v="115"/>
    <n v="0"/>
    <n v="9.9700000000000006"/>
    <n v="115"/>
    <n v="384.19000000000005"/>
    <n v="38.534603811434309"/>
  </r>
  <r>
    <n v="6743223"/>
    <x v="507"/>
    <s v="OCB"/>
    <s v="SC"/>
    <n v="30"/>
    <n v="1.45"/>
    <n v="37.699999999999996"/>
    <n v="115"/>
    <n v="0"/>
    <n v="1.45"/>
    <n v="115"/>
    <n v="154.14999999999998"/>
    <n v="106.31034482758619"/>
  </r>
  <r>
    <n v="6743223"/>
    <x v="508"/>
    <s v="OCB"/>
    <s v="SC"/>
    <n v="30"/>
    <n v="7.74"/>
    <n v="201.24"/>
    <n v="115"/>
    <n v="0"/>
    <n v="7.74"/>
    <n v="115"/>
    <n v="323.98"/>
    <n v="41.857881136950908"/>
  </r>
  <r>
    <n v="6743223"/>
    <x v="509"/>
    <s v="South Compound"/>
    <s v="SC"/>
    <n v="35"/>
    <n v="9.42"/>
    <n v="244.92"/>
    <n v="115"/>
    <n v="0"/>
    <n v="9.42"/>
    <n v="115"/>
    <n v="369.34"/>
    <n v="39.208067940552013"/>
  </r>
  <r>
    <n v="6743223"/>
    <x v="509"/>
    <s v="CSB"/>
    <s v="OT"/>
    <n v="40"/>
    <n v="3.62"/>
    <n v="94.12"/>
    <n v="115"/>
    <n v="0"/>
    <n v="3.62"/>
    <n v="115"/>
    <n v="212.74"/>
    <n v="58.767955801104975"/>
  </r>
  <r>
    <n v="6743223"/>
    <x v="510"/>
    <s v="COM"/>
    <s v="SC"/>
    <n v="32"/>
    <n v="11.95"/>
    <n v="310.7"/>
    <n v="115"/>
    <n v="0"/>
    <n v="11.95"/>
    <n v="115"/>
    <n v="437.65"/>
    <n v="36.623430962343093"/>
  </r>
  <r>
    <m/>
    <x v="511"/>
    <s v="HCDC"/>
    <s v="FL"/>
    <n v="6"/>
    <n v="0.93599999999999994"/>
    <m/>
    <n v="70.680000000000007"/>
    <m/>
    <m/>
    <m/>
    <n v="70.680000000000007"/>
    <n v="75.512820512820525"/>
  </r>
  <r>
    <m/>
    <x v="511"/>
    <s v="ITC"/>
    <s v="FL"/>
    <n v="6"/>
    <n v="1.8719999999999999"/>
    <m/>
    <n v="94.32"/>
    <m/>
    <m/>
    <m/>
    <n v="94.32"/>
    <n v="50.384615384615387"/>
  </r>
  <r>
    <m/>
    <x v="511"/>
    <s v="Westpark"/>
    <s v="FL"/>
    <n v="8"/>
    <n v="2.4960000000000004"/>
    <m/>
    <n v="129"/>
    <m/>
    <m/>
    <m/>
    <n v="129"/>
    <n v="51.682692307692299"/>
  </r>
  <r>
    <m/>
    <x v="511"/>
    <s v="Olathe Center"/>
    <s v="FL"/>
    <n v="2"/>
    <n v="0.31200000000000006"/>
    <m/>
    <n v="48"/>
    <m/>
    <m/>
    <m/>
    <n v="48"/>
    <n v="153.84615384615381"/>
  </r>
  <r>
    <m/>
    <x v="511"/>
    <s v="OHEC"/>
    <s v="FL"/>
    <n v="8"/>
    <n v="1.2480000000000002"/>
    <m/>
    <n v="45.28"/>
    <m/>
    <m/>
    <m/>
    <n v="45.28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23">
  <r>
    <x v="0"/>
    <s v="CSB  paper trailer"/>
    <x v="0"/>
    <x v="0"/>
    <s v="Batliner"/>
    <m/>
    <n v="3240"/>
    <n v="1.62"/>
    <m/>
    <m/>
    <m/>
    <n v="205.44"/>
    <m/>
    <m/>
    <m/>
  </r>
  <r>
    <x v="0"/>
    <s v="Warehouse"/>
    <x v="1"/>
    <x v="1"/>
    <s v="Batliner"/>
    <m/>
    <n v="4840"/>
    <n v="2.42"/>
    <m/>
    <m/>
    <m/>
    <m/>
    <m/>
    <m/>
    <m/>
  </r>
  <r>
    <x v="0"/>
    <s v="CSB  paper trailer"/>
    <x v="2"/>
    <x v="2"/>
    <s v="Batliner"/>
    <m/>
    <n v="420"/>
    <n v="0.21"/>
    <m/>
    <m/>
    <m/>
    <m/>
    <m/>
    <m/>
    <m/>
  </r>
  <r>
    <x v="1"/>
    <s v="CSB  paper trailer"/>
    <x v="0"/>
    <x v="0"/>
    <s v="Batliner"/>
    <m/>
    <n v="10090"/>
    <n v="5.0449999999999999"/>
    <m/>
    <m/>
    <m/>
    <n v="761.54"/>
    <m/>
    <m/>
    <m/>
  </r>
  <r>
    <x v="1"/>
    <s v="CSB  paper trailer"/>
    <x v="0"/>
    <x v="3"/>
    <s v="Batliner"/>
    <m/>
    <n v="11220"/>
    <n v="5.61"/>
    <m/>
    <m/>
    <m/>
    <m/>
    <m/>
    <m/>
    <m/>
  </r>
  <r>
    <x v="1"/>
    <s v="Warehouse"/>
    <x v="1"/>
    <x v="1"/>
    <s v="Batliner"/>
    <m/>
    <n v="3340"/>
    <n v="1.67"/>
    <m/>
    <m/>
    <m/>
    <m/>
    <m/>
    <m/>
    <m/>
  </r>
  <r>
    <x v="1"/>
    <s v="CSB  paper trailer"/>
    <x v="2"/>
    <x v="2"/>
    <s v="Batliner"/>
    <m/>
    <n v="620"/>
    <n v="0.31"/>
    <m/>
    <m/>
    <m/>
    <m/>
    <m/>
    <m/>
    <m/>
  </r>
  <r>
    <x v="2"/>
    <s v="CSB  paper trailer"/>
    <x v="0"/>
    <x v="4"/>
    <s v="Batliner"/>
    <m/>
    <n v="750"/>
    <n v="0.375"/>
    <m/>
    <m/>
    <m/>
    <m/>
    <m/>
    <m/>
    <m/>
  </r>
  <r>
    <x v="2"/>
    <s v="CSB  paper trailer"/>
    <x v="0"/>
    <x v="5"/>
    <s v="Batliner"/>
    <m/>
    <n v="1260"/>
    <n v="0.63"/>
    <m/>
    <m/>
    <m/>
    <m/>
    <m/>
    <m/>
    <m/>
  </r>
  <r>
    <x v="2"/>
    <s v="CSB  paper trailer"/>
    <x v="0"/>
    <x v="0"/>
    <s v="Batliner"/>
    <m/>
    <n v="8000"/>
    <n v="4"/>
    <m/>
    <m/>
    <m/>
    <n v="941.95"/>
    <m/>
    <m/>
    <m/>
  </r>
  <r>
    <x v="2"/>
    <s v="CSB  paper trailer"/>
    <x v="0"/>
    <x v="3"/>
    <s v="Batliner"/>
    <m/>
    <n v="20660"/>
    <n v="10.33"/>
    <m/>
    <m/>
    <m/>
    <m/>
    <m/>
    <m/>
    <m/>
  </r>
  <r>
    <x v="2"/>
    <s v="CSB  paper trailer"/>
    <x v="0"/>
    <x v="6"/>
    <s v="Batliner"/>
    <m/>
    <n v="800"/>
    <n v="0.4"/>
    <m/>
    <m/>
    <m/>
    <m/>
    <m/>
    <m/>
    <m/>
  </r>
  <r>
    <x v="2"/>
    <s v="Warehouse"/>
    <x v="1"/>
    <x v="1"/>
    <s v="Batliner"/>
    <m/>
    <n v="6150"/>
    <n v="3.0750000000000002"/>
    <m/>
    <m/>
    <m/>
    <m/>
    <m/>
    <m/>
    <m/>
  </r>
  <r>
    <x v="2"/>
    <s v="CSB  paper trailer"/>
    <x v="2"/>
    <x v="2"/>
    <s v="Batliner"/>
    <m/>
    <n v="1720"/>
    <n v="0.86"/>
    <m/>
    <m/>
    <m/>
    <m/>
    <m/>
    <m/>
    <m/>
  </r>
  <r>
    <x v="3"/>
    <s v="CSB  paper trailer"/>
    <x v="0"/>
    <x v="0"/>
    <s v="Batliner"/>
    <m/>
    <n v="2880"/>
    <n v="1.44"/>
    <m/>
    <m/>
    <m/>
    <n v="244.85"/>
    <m/>
    <m/>
    <m/>
  </r>
  <r>
    <x v="3"/>
    <s v="Warehouse"/>
    <x v="1"/>
    <x v="1"/>
    <s v="Batliner"/>
    <m/>
    <n v="6260"/>
    <n v="3.13"/>
    <m/>
    <m/>
    <m/>
    <m/>
    <m/>
    <m/>
    <m/>
  </r>
  <r>
    <x v="3"/>
    <s v="CSB  paper trailer"/>
    <x v="2"/>
    <x v="2"/>
    <s v="Batliner"/>
    <m/>
    <n v="960"/>
    <n v="0.48"/>
    <m/>
    <m/>
    <m/>
    <m/>
    <m/>
    <m/>
    <m/>
  </r>
  <r>
    <x v="4"/>
    <s v="CSB  paper trailer"/>
    <x v="0"/>
    <x v="0"/>
    <s v="Batliner"/>
    <m/>
    <n v="7420"/>
    <n v="3.71"/>
    <m/>
    <m/>
    <m/>
    <n v="413.97"/>
    <m/>
    <m/>
    <m/>
  </r>
  <r>
    <x v="4"/>
    <s v="CSB  paper trailer"/>
    <x v="0"/>
    <x v="7"/>
    <s v="Batliner"/>
    <m/>
    <n v="12410"/>
    <n v="6.2050000000000001"/>
    <m/>
    <m/>
    <m/>
    <m/>
    <m/>
    <m/>
    <m/>
  </r>
  <r>
    <x v="4"/>
    <s v="Warehouse"/>
    <x v="1"/>
    <x v="1"/>
    <s v="Batliner"/>
    <m/>
    <n v="2440"/>
    <n v="1.22"/>
    <m/>
    <m/>
    <m/>
    <m/>
    <m/>
    <m/>
    <m/>
  </r>
  <r>
    <x v="4"/>
    <s v="CSB  paper trailer"/>
    <x v="2"/>
    <x v="2"/>
    <s v="Batliner"/>
    <m/>
    <n v="580"/>
    <n v="0.28999999999999998"/>
    <m/>
    <m/>
    <m/>
    <m/>
    <m/>
    <m/>
    <m/>
  </r>
  <r>
    <x v="4"/>
    <s v="CSB  paper trailer"/>
    <x v="0"/>
    <x v="3"/>
    <s v="Batliner"/>
    <m/>
    <n v="780"/>
    <n v="0.39"/>
    <m/>
    <m/>
    <m/>
    <m/>
    <m/>
    <m/>
    <m/>
  </r>
  <r>
    <x v="5"/>
    <s v="CSB  paper trailer"/>
    <x v="0"/>
    <x v="0"/>
    <s v="Batliner"/>
    <m/>
    <n v="14760"/>
    <n v="7.38"/>
    <m/>
    <m/>
    <m/>
    <n v="728.77"/>
    <m/>
    <m/>
    <m/>
  </r>
  <r>
    <x v="5"/>
    <s v="CSB  paper trailer"/>
    <x v="0"/>
    <x v="3"/>
    <s v="Batliner"/>
    <m/>
    <n v="7970"/>
    <n v="3.9849999999999999"/>
    <m/>
    <m/>
    <m/>
    <m/>
    <m/>
    <m/>
    <m/>
  </r>
  <r>
    <x v="5"/>
    <s v="Warehouse"/>
    <x v="1"/>
    <x v="1"/>
    <s v="Batliner"/>
    <m/>
    <n v="4680"/>
    <n v="2.34"/>
    <m/>
    <m/>
    <m/>
    <m/>
    <m/>
    <m/>
    <m/>
  </r>
  <r>
    <x v="5"/>
    <s v="CSB  paper trailer"/>
    <x v="2"/>
    <x v="2"/>
    <s v="Batliner"/>
    <m/>
    <n v="500"/>
    <n v="0.25"/>
    <m/>
    <m/>
    <m/>
    <m/>
    <m/>
    <m/>
    <m/>
  </r>
  <r>
    <x v="6"/>
    <s v="CSB  paper trailer"/>
    <x v="0"/>
    <x v="0"/>
    <s v="Batliner"/>
    <m/>
    <n v="2000"/>
    <n v="1"/>
    <m/>
    <m/>
    <m/>
    <n v="306.51"/>
    <m/>
    <m/>
    <m/>
  </r>
  <r>
    <x v="6"/>
    <s v="CSB  paper trailer"/>
    <x v="0"/>
    <x v="3"/>
    <s v="Batliner"/>
    <m/>
    <n v="9840"/>
    <n v="4.92"/>
    <m/>
    <m/>
    <m/>
    <m/>
    <m/>
    <m/>
    <m/>
  </r>
  <r>
    <x v="6"/>
    <s v="Warehouse"/>
    <x v="1"/>
    <x v="1"/>
    <s v="Batliner"/>
    <m/>
    <n v="4540"/>
    <n v="2.27"/>
    <m/>
    <m/>
    <m/>
    <m/>
    <m/>
    <m/>
    <m/>
  </r>
  <r>
    <x v="6"/>
    <s v="CSB  paper trailer"/>
    <x v="2"/>
    <x v="2"/>
    <s v="Batliner"/>
    <m/>
    <n v="580"/>
    <n v="0.28999999999999998"/>
    <m/>
    <m/>
    <m/>
    <m/>
    <m/>
    <m/>
    <m/>
  </r>
  <r>
    <x v="7"/>
    <s v="Warehouse"/>
    <x v="0"/>
    <x v="0"/>
    <s v="Batliner"/>
    <m/>
    <n v="4440"/>
    <n v="2.2200000000000002"/>
    <m/>
    <m/>
    <m/>
    <n v="319.48"/>
    <m/>
    <m/>
    <m/>
  </r>
  <r>
    <x v="7"/>
    <s v="Warehouse"/>
    <x v="1"/>
    <x v="1"/>
    <s v="Batliner"/>
    <m/>
    <n v="7880"/>
    <n v="3.94"/>
    <m/>
    <m/>
    <m/>
    <m/>
    <m/>
    <m/>
    <m/>
  </r>
  <r>
    <x v="7"/>
    <s v="CSB  paper trailer"/>
    <x v="2"/>
    <x v="2"/>
    <s v="Batliner"/>
    <m/>
    <n v="1380"/>
    <n v="0.69"/>
    <m/>
    <m/>
    <m/>
    <m/>
    <m/>
    <m/>
    <m/>
  </r>
  <r>
    <x v="8"/>
    <s v="CSB  paper trailer"/>
    <x v="0"/>
    <x v="4"/>
    <s v="Batliner"/>
    <m/>
    <n v="840"/>
    <n v="0.42"/>
    <m/>
    <m/>
    <m/>
    <n v="0"/>
    <m/>
    <m/>
    <m/>
  </r>
  <r>
    <x v="8"/>
    <s v="Warehouse"/>
    <x v="0"/>
    <x v="0"/>
    <s v="Batliner"/>
    <m/>
    <n v="16060"/>
    <n v="8.0299999999999994"/>
    <m/>
    <m/>
    <m/>
    <n v="706.64"/>
    <m/>
    <m/>
    <m/>
  </r>
  <r>
    <x v="8"/>
    <s v="CSB  paper trailer"/>
    <x v="0"/>
    <x v="3"/>
    <s v="Batliner"/>
    <m/>
    <n v="7400"/>
    <n v="3.7"/>
    <m/>
    <m/>
    <m/>
    <n v="55.5"/>
    <m/>
    <m/>
    <m/>
  </r>
  <r>
    <x v="8"/>
    <s v="Warehouse"/>
    <x v="1"/>
    <x v="1"/>
    <s v="Batliner"/>
    <m/>
    <n v="7420"/>
    <n v="3.71"/>
    <m/>
    <m/>
    <m/>
    <n v="116.87"/>
    <m/>
    <m/>
    <m/>
  </r>
  <r>
    <x v="8"/>
    <s v="CSB  paper trailer"/>
    <x v="2"/>
    <x v="2"/>
    <s v="Batliner"/>
    <m/>
    <n v="1000"/>
    <n v="0.5"/>
    <m/>
    <m/>
    <m/>
    <n v="0"/>
    <m/>
    <m/>
    <m/>
  </r>
  <r>
    <x v="9"/>
    <s v="CSB  paper trailer"/>
    <x v="0"/>
    <x v="0"/>
    <s v="Batliner"/>
    <m/>
    <n v="8180"/>
    <n v="4.09"/>
    <m/>
    <m/>
    <m/>
    <n v="359.92"/>
    <m/>
    <m/>
    <m/>
  </r>
  <r>
    <x v="9"/>
    <s v="CSB  paper trailer"/>
    <x v="0"/>
    <x v="3"/>
    <s v="Batliner"/>
    <m/>
    <n v="12730"/>
    <n v="6.3650000000000002"/>
    <m/>
    <m/>
    <m/>
    <n v="318.25"/>
    <m/>
    <m/>
    <m/>
  </r>
  <r>
    <x v="9"/>
    <s v="Warehouse"/>
    <x v="1"/>
    <x v="1"/>
    <s v="Batliner"/>
    <m/>
    <n v="5480"/>
    <n v="2.74"/>
    <m/>
    <m/>
    <m/>
    <n v="102.75"/>
    <m/>
    <m/>
    <m/>
  </r>
  <r>
    <x v="9"/>
    <s v="CSB  paper trailer"/>
    <x v="2"/>
    <x v="2"/>
    <s v="Batliner"/>
    <m/>
    <n v="1440"/>
    <n v="0.72"/>
    <m/>
    <m/>
    <m/>
    <n v="0"/>
    <m/>
    <m/>
    <m/>
  </r>
  <r>
    <x v="10"/>
    <s v="CSB  paper trailer"/>
    <x v="0"/>
    <x v="0"/>
    <s v="Batliner"/>
    <m/>
    <n v="1280"/>
    <n v="0.64"/>
    <m/>
    <m/>
    <m/>
    <n v="53.76"/>
    <m/>
    <m/>
    <m/>
  </r>
  <r>
    <x v="10"/>
    <s v="CSB  paper trailer"/>
    <x v="0"/>
    <x v="3"/>
    <s v="Batliner"/>
    <m/>
    <n v="8820"/>
    <n v="4.41"/>
    <m/>
    <m/>
    <m/>
    <n v="176.4"/>
    <m/>
    <m/>
    <m/>
  </r>
  <r>
    <x v="10"/>
    <s v="Warehouse"/>
    <x v="1"/>
    <x v="1"/>
    <s v="Batliner"/>
    <m/>
    <n v="5500"/>
    <n v="2.75"/>
    <m/>
    <m/>
    <m/>
    <n v="111.38"/>
    <m/>
    <m/>
    <m/>
  </r>
  <r>
    <x v="10"/>
    <s v="CSB  paper trailer"/>
    <x v="2"/>
    <x v="2"/>
    <s v="Batliner"/>
    <m/>
    <n v="560"/>
    <n v="0.28000000000000003"/>
    <m/>
    <m/>
    <m/>
    <n v="0"/>
    <m/>
    <m/>
    <m/>
  </r>
  <r>
    <x v="11"/>
    <s v="Warehouse"/>
    <x v="3"/>
    <x v="8"/>
    <s v="Unicor"/>
    <m/>
    <n v="683"/>
    <n v="0.34150000000000003"/>
    <m/>
    <m/>
    <m/>
    <m/>
    <m/>
    <m/>
    <m/>
  </r>
  <r>
    <x v="12"/>
    <s v="CSB  paper trailer"/>
    <x v="0"/>
    <x v="4"/>
    <s v="Batliner"/>
    <m/>
    <n v="2540"/>
    <n v="1.27"/>
    <m/>
    <m/>
    <m/>
    <n v="0"/>
    <m/>
    <m/>
    <m/>
  </r>
  <r>
    <x v="12"/>
    <s v="CSB  paper trailer"/>
    <x v="0"/>
    <x v="5"/>
    <s v="Batliner"/>
    <m/>
    <n v="9540"/>
    <n v="4.7699999999999996"/>
    <m/>
    <m/>
    <m/>
    <n v="113.53"/>
    <m/>
    <m/>
    <m/>
  </r>
  <r>
    <x v="12"/>
    <s v="CSB  paper trailer"/>
    <x v="0"/>
    <x v="0"/>
    <s v="Batliner"/>
    <m/>
    <n v="6240"/>
    <n v="3.12"/>
    <m/>
    <m/>
    <m/>
    <n v="249.6"/>
    <m/>
    <m/>
    <m/>
  </r>
  <r>
    <x v="12"/>
    <s v="CSB  paper trailer"/>
    <x v="0"/>
    <x v="3"/>
    <s v="Batliner"/>
    <m/>
    <n v="7420"/>
    <n v="3.71"/>
    <m/>
    <m/>
    <m/>
    <n v="111.3"/>
    <m/>
    <m/>
    <m/>
  </r>
  <r>
    <x v="12"/>
    <s v="Warehouse"/>
    <x v="1"/>
    <x v="1"/>
    <s v="Batliner"/>
    <m/>
    <n v="4030"/>
    <n v="2.0150000000000001"/>
    <m/>
    <m/>
    <m/>
    <n v="81.61"/>
    <m/>
    <m/>
    <m/>
  </r>
  <r>
    <x v="12"/>
    <s v="CSB  paper trailer"/>
    <x v="2"/>
    <x v="2"/>
    <s v="Batliner"/>
    <m/>
    <n v="760"/>
    <n v="0.38"/>
    <m/>
    <m/>
    <m/>
    <n v="0"/>
    <m/>
    <m/>
    <m/>
  </r>
  <r>
    <x v="13"/>
    <s v="Warehouse"/>
    <x v="3"/>
    <x v="9"/>
    <s v="Call2recycle"/>
    <m/>
    <n v="866"/>
    <n v="0.433"/>
    <m/>
    <m/>
    <m/>
    <m/>
    <m/>
    <m/>
    <m/>
  </r>
  <r>
    <x v="13"/>
    <s v="Book  Store"/>
    <x v="4"/>
    <x v="10"/>
    <s v="One Planet books"/>
    <s v="316 boxes"/>
    <n v="12640"/>
    <n v="6.32"/>
    <m/>
    <m/>
    <m/>
    <n v="3160"/>
    <m/>
    <m/>
    <m/>
  </r>
  <r>
    <x v="14"/>
    <s v="Warehouse"/>
    <x v="1"/>
    <x v="1"/>
    <s v="Batliner"/>
    <m/>
    <n v="7800"/>
    <n v="3.9"/>
    <m/>
    <m/>
    <m/>
    <n v="157.96"/>
    <m/>
    <m/>
    <m/>
  </r>
  <r>
    <x v="14"/>
    <s v="CSB  paper trailer"/>
    <x v="2"/>
    <x v="2"/>
    <s v="Batliner"/>
    <m/>
    <n v="460"/>
    <n v="0.23"/>
    <m/>
    <m/>
    <m/>
    <n v="0"/>
    <m/>
    <m/>
    <m/>
  </r>
  <r>
    <x v="15"/>
    <s v="CSB  paper trailer"/>
    <x v="0"/>
    <x v="0"/>
    <s v="Batliner"/>
    <m/>
    <n v="11240"/>
    <n v="5.62"/>
    <m/>
    <m/>
    <m/>
    <n v="472.08"/>
    <m/>
    <m/>
    <m/>
  </r>
  <r>
    <x v="15"/>
    <s v="CSB  paper trailer"/>
    <x v="0"/>
    <x v="3"/>
    <s v="Batliner"/>
    <m/>
    <n v="13110"/>
    <n v="6.5549999999999997"/>
    <m/>
    <m/>
    <m/>
    <n v="229.43"/>
    <m/>
    <m/>
    <m/>
  </r>
  <r>
    <x v="15"/>
    <s v="Warehouse"/>
    <x v="1"/>
    <x v="1"/>
    <s v="Batliner"/>
    <m/>
    <n v="3870"/>
    <n v="1.9350000000000001"/>
    <m/>
    <m/>
    <m/>
    <n v="78.37"/>
    <m/>
    <m/>
    <m/>
  </r>
  <r>
    <x v="15"/>
    <s v="CSB  paper trailer"/>
    <x v="2"/>
    <x v="2"/>
    <s v="Batliner"/>
    <m/>
    <n v="1370"/>
    <n v="0.68500000000000005"/>
    <m/>
    <m/>
    <m/>
    <n v="0"/>
    <m/>
    <m/>
    <m/>
  </r>
  <r>
    <x v="16"/>
    <s v="CSB  paper trailer"/>
    <x v="0"/>
    <x v="0"/>
    <s v="Batliner"/>
    <m/>
    <n v="8150"/>
    <n v="4.0750000000000002"/>
    <m/>
    <m/>
    <m/>
    <n v="342.3"/>
    <m/>
    <m/>
    <m/>
  </r>
  <r>
    <x v="16"/>
    <s v="CSB  paper trailer"/>
    <x v="0"/>
    <x v="3"/>
    <s v="Batliner"/>
    <m/>
    <n v="5510"/>
    <n v="2.7549999999999999"/>
    <m/>
    <m/>
    <m/>
    <n v="96.43"/>
    <m/>
    <m/>
    <m/>
  </r>
  <r>
    <x v="16"/>
    <s v="Warehouse"/>
    <x v="1"/>
    <x v="1"/>
    <s v="Batliner"/>
    <m/>
    <n v="8420"/>
    <n v="4.21"/>
    <m/>
    <m/>
    <m/>
    <n v="170.52"/>
    <m/>
    <m/>
    <m/>
  </r>
  <r>
    <x v="16"/>
    <s v="CSB  paper trailer"/>
    <x v="2"/>
    <x v="2"/>
    <s v="Batliner"/>
    <m/>
    <n v="1600"/>
    <n v="0.8"/>
    <m/>
    <m/>
    <m/>
    <n v="0"/>
    <m/>
    <m/>
    <m/>
  </r>
  <r>
    <x v="17"/>
    <s v="CSB  paper trailer"/>
    <x v="0"/>
    <x v="0"/>
    <s v="Batliner"/>
    <m/>
    <n v="5090"/>
    <n v="2.5449999999999999"/>
    <m/>
    <m/>
    <m/>
    <n v="244.32"/>
    <m/>
    <m/>
    <m/>
  </r>
  <r>
    <x v="17"/>
    <s v="CSB  paper trailer"/>
    <x v="0"/>
    <x v="3"/>
    <s v="Batliner"/>
    <m/>
    <n v="6070"/>
    <n v="3.0350000000000001"/>
    <m/>
    <m/>
    <m/>
    <n v="209.18"/>
    <m/>
    <m/>
    <m/>
  </r>
  <r>
    <x v="17"/>
    <s v="Warehouse"/>
    <x v="1"/>
    <x v="1"/>
    <s v="Batliner"/>
    <m/>
    <n v="7240"/>
    <n v="3.62"/>
    <m/>
    <m/>
    <m/>
    <n v="146.62"/>
    <m/>
    <m/>
    <m/>
  </r>
  <r>
    <x v="17"/>
    <s v="CSB  paper trailer"/>
    <x v="2"/>
    <x v="2"/>
    <s v="Batliner"/>
    <m/>
    <n v="2250"/>
    <n v="1.125"/>
    <m/>
    <m/>
    <m/>
    <n v="0"/>
    <m/>
    <m/>
    <m/>
  </r>
  <r>
    <x v="18"/>
    <s v="CSB  paper trailer"/>
    <x v="0"/>
    <x v="5"/>
    <s v="Batliner"/>
    <m/>
    <n v="850"/>
    <n v="0.42499999999999999"/>
    <m/>
    <m/>
    <m/>
    <n v="17.260000000000002"/>
    <m/>
    <m/>
    <m/>
  </r>
  <r>
    <x v="18"/>
    <s v="CSB  paper trailer"/>
    <x v="0"/>
    <x v="0"/>
    <s v="Batliner"/>
    <m/>
    <n v="3500"/>
    <n v="1.75"/>
    <m/>
    <m/>
    <m/>
    <n v="182"/>
    <m/>
    <m/>
    <m/>
  </r>
  <r>
    <x v="18"/>
    <s v="CSB  paper trailer"/>
    <x v="0"/>
    <x v="3"/>
    <s v="Batliner"/>
    <m/>
    <n v="1530"/>
    <n v="0.76500000000000001"/>
    <m/>
    <m/>
    <m/>
    <n v="42.08"/>
    <m/>
    <m/>
    <m/>
  </r>
  <r>
    <x v="18"/>
    <s v="Warehouse"/>
    <x v="1"/>
    <x v="1"/>
    <s v="Batliner"/>
    <m/>
    <n v="5020"/>
    <n v="2.5099999999999998"/>
    <m/>
    <m/>
    <m/>
    <n v="105.42"/>
    <m/>
    <m/>
    <m/>
  </r>
  <r>
    <x v="18"/>
    <s v="CSB  paper trailer"/>
    <x v="2"/>
    <x v="2"/>
    <s v="Batliner"/>
    <m/>
    <n v="720"/>
    <n v="0.36"/>
    <m/>
    <m/>
    <m/>
    <n v="25.6"/>
    <m/>
    <m/>
    <m/>
  </r>
  <r>
    <x v="18"/>
    <s v="CSB  paper trailer"/>
    <x v="0"/>
    <x v="3"/>
    <s v="Batliner"/>
    <m/>
    <n v="1320"/>
    <n v="0.66"/>
    <m/>
    <m/>
    <m/>
    <m/>
    <m/>
    <m/>
    <m/>
  </r>
  <r>
    <x v="19"/>
    <s v="CSB  paper trailer"/>
    <x v="0"/>
    <x v="5"/>
    <s v="Batliner"/>
    <m/>
    <n v="3690"/>
    <n v="1.845"/>
    <m/>
    <m/>
    <m/>
    <n v="71.959999999999994"/>
    <m/>
    <m/>
    <m/>
  </r>
  <r>
    <x v="19"/>
    <s v="CSB  paper trailer"/>
    <x v="0"/>
    <x v="0"/>
    <s v="Batliner"/>
    <m/>
    <n v="21720"/>
    <n v="10.86"/>
    <m/>
    <m/>
    <m/>
    <n v="1129.44"/>
    <m/>
    <m/>
    <m/>
  </r>
  <r>
    <x v="19"/>
    <s v="Warehouse"/>
    <x v="1"/>
    <x v="1"/>
    <s v="Batliner"/>
    <m/>
    <n v="4410"/>
    <n v="2.2050000000000001"/>
    <m/>
    <m/>
    <m/>
    <n v="92.61"/>
    <m/>
    <m/>
    <m/>
  </r>
  <r>
    <x v="19"/>
    <s v="CSB  paper trailer"/>
    <x v="2"/>
    <x v="2"/>
    <s v="Batliner"/>
    <m/>
    <n v="960"/>
    <n v="0.48"/>
    <m/>
    <m/>
    <m/>
    <n v="0"/>
    <m/>
    <m/>
    <m/>
  </r>
  <r>
    <x v="20"/>
    <s v="CC compactor"/>
    <x v="5"/>
    <x v="11"/>
    <s v="RockTenn"/>
    <m/>
    <n v="7600"/>
    <n v="3.8"/>
    <n v="57.894736842105267"/>
    <n v="220"/>
    <n v="0"/>
    <n v="220"/>
    <n v="3243308"/>
    <n v="148606"/>
    <d v="2011-07-25T00:00:00"/>
  </r>
  <r>
    <x v="21"/>
    <s v="CSB  paper trailer"/>
    <x v="0"/>
    <x v="0"/>
    <s v="Batliner"/>
    <m/>
    <n v="1160"/>
    <n v="0.57999999999999996"/>
    <m/>
    <m/>
    <m/>
    <n v="63.8"/>
    <m/>
    <m/>
    <m/>
  </r>
  <r>
    <x v="21"/>
    <s v="Warehouse"/>
    <x v="1"/>
    <x v="1"/>
    <s v="Batliner"/>
    <m/>
    <n v="2200"/>
    <n v="1.1000000000000001"/>
    <m/>
    <m/>
    <m/>
    <n v="51.15"/>
    <m/>
    <m/>
    <m/>
  </r>
  <r>
    <x v="21"/>
    <s v="CSB  paper trailer"/>
    <x v="2"/>
    <x v="2"/>
    <s v="Batliner"/>
    <m/>
    <n v="340"/>
    <n v="0.17"/>
    <m/>
    <m/>
    <m/>
    <n v="0"/>
    <m/>
    <m/>
    <m/>
  </r>
  <r>
    <x v="21"/>
    <s v="CC compactor"/>
    <x v="5"/>
    <x v="11"/>
    <s v="RockTenn"/>
    <m/>
    <n v="7300"/>
    <n v="3.65"/>
    <n v="100"/>
    <n v="365"/>
    <n v="0"/>
    <n v="365"/>
    <n v="3242825"/>
    <n v="148611"/>
    <d v="2011-08-15T00:00:00"/>
  </r>
  <r>
    <x v="22"/>
    <s v="CC compactor"/>
    <x v="5"/>
    <x v="11"/>
    <s v="RockTenn"/>
    <m/>
    <n v="7400"/>
    <n v="3.7"/>
    <n v="100"/>
    <n v="370"/>
    <n v="0"/>
    <n v="370"/>
    <n v="3245837"/>
    <n v="158720"/>
    <d v="2012-10-31T00:00:00"/>
  </r>
  <r>
    <x v="23"/>
    <s v="CC compactor"/>
    <x v="5"/>
    <x v="11"/>
    <s v="RockTenn"/>
    <m/>
    <n v="8220"/>
    <n v="4.1100000000000003"/>
    <n v="99.999999999999986"/>
    <n v="411"/>
    <n v="0"/>
    <n v="411"/>
    <n v="3244752"/>
    <m/>
    <m/>
  </r>
  <r>
    <x v="24"/>
    <s v="CSB  paper trailer"/>
    <x v="0"/>
    <x v="0"/>
    <s v="Batliner"/>
    <m/>
    <n v="4390"/>
    <n v="2.1949999999999998"/>
    <m/>
    <m/>
    <m/>
    <n v="254.62"/>
    <m/>
    <m/>
    <m/>
  </r>
  <r>
    <x v="24"/>
    <s v="Warehouse"/>
    <x v="0"/>
    <x v="3"/>
    <s v="Batliner"/>
    <m/>
    <n v="10045"/>
    <n v="5.0225"/>
    <m/>
    <m/>
    <m/>
    <n v="326.45999999999998"/>
    <m/>
    <m/>
    <m/>
  </r>
  <r>
    <x v="24"/>
    <s v="CSB  paper trailer"/>
    <x v="1"/>
    <x v="1"/>
    <s v="Batliner"/>
    <m/>
    <n v="505"/>
    <n v="0.2525"/>
    <m/>
    <m/>
    <m/>
    <n v="12.5"/>
    <m/>
    <m/>
    <m/>
  </r>
  <r>
    <x v="24"/>
    <s v="CSB  paper trailer"/>
    <x v="2"/>
    <x v="2"/>
    <s v="Batliner"/>
    <m/>
    <n v="50"/>
    <n v="2.5000000000000001E-2"/>
    <m/>
    <m/>
    <m/>
    <n v="0"/>
    <m/>
    <m/>
    <m/>
  </r>
  <r>
    <x v="24"/>
    <s v="All/Dumpsters"/>
    <x v="5"/>
    <x v="11"/>
    <s v="RockTenn/Abitibi"/>
    <m/>
    <n v="2446"/>
    <n v="1.2230000000000001"/>
    <m/>
    <m/>
    <m/>
    <m/>
    <m/>
    <m/>
    <m/>
  </r>
  <r>
    <x v="25"/>
    <s v="CSB  paper trailer"/>
    <x v="0"/>
    <x v="0"/>
    <s v="RockTenn"/>
    <m/>
    <n v="10150"/>
    <n v="5.0750000000000002"/>
    <n v="125.00098522167487"/>
    <n v="634.38"/>
    <n v="0"/>
    <n v="634.38"/>
    <n v="3245832"/>
    <n v="158720"/>
    <d v="2012-10-31T00:00:00"/>
  </r>
  <r>
    <x v="25"/>
    <s v="CSB  paper trailer"/>
    <x v="1"/>
    <x v="1"/>
    <s v="RockTenn"/>
    <m/>
    <n v="200"/>
    <n v="0.1"/>
    <n v="100"/>
    <n v="10"/>
    <n v="0"/>
    <n v="10"/>
    <n v="3245832"/>
    <n v="158720"/>
    <d v="2012-10-31T00:00:00"/>
  </r>
  <r>
    <x v="26"/>
    <s v="CC compactor"/>
    <x v="5"/>
    <x v="11"/>
    <s v="RockTenn"/>
    <m/>
    <n v="8040"/>
    <n v="4.0199999999999996"/>
    <n v="100.00000000000001"/>
    <n v="402"/>
    <n v="0"/>
    <n v="402"/>
    <n v="3245835"/>
    <n v="158720"/>
    <d v="2012-10-31T00:00:00"/>
  </r>
  <r>
    <x v="27"/>
    <s v="All/Dumpsters"/>
    <x v="5"/>
    <x v="11"/>
    <s v="RockTenn/Abitibi"/>
    <m/>
    <n v="2436"/>
    <n v="1.218"/>
    <m/>
    <m/>
    <m/>
    <m/>
    <m/>
    <m/>
    <m/>
  </r>
  <r>
    <x v="28"/>
    <s v="Warehouse"/>
    <x v="6"/>
    <x v="12"/>
    <s v="Ripple"/>
    <m/>
    <n v="8940"/>
    <n v="4.47"/>
    <m/>
    <m/>
    <m/>
    <m/>
    <m/>
    <m/>
    <m/>
  </r>
  <r>
    <x v="29"/>
    <s v="CC compactor"/>
    <x v="5"/>
    <x v="11"/>
    <s v="RockTenn"/>
    <m/>
    <n v="8920"/>
    <n v="4.46"/>
    <n v="100"/>
    <n v="446"/>
    <n v="0"/>
    <n v="446"/>
    <n v="3245834"/>
    <n v="158720"/>
    <d v="2012-10-31T00:00:00"/>
  </r>
  <r>
    <x v="30"/>
    <s v="CSB  paper trailer"/>
    <x v="0"/>
    <x v="0"/>
    <s v="RockTenn"/>
    <m/>
    <n v="12530"/>
    <n v="6.2649999999999997"/>
    <n v="125.00079808459698"/>
    <n v="783.13"/>
    <n v="0"/>
    <n v="783.13"/>
    <n v="3245833"/>
    <n v="158720"/>
    <d v="2012-10-31T00:00:00"/>
  </r>
  <r>
    <x v="30"/>
    <s v="CSB  paper trailer"/>
    <x v="1"/>
    <x v="1"/>
    <s v="RockTenn"/>
    <m/>
    <n v="250"/>
    <n v="0.125"/>
    <n v="100"/>
    <n v="12.5"/>
    <n v="0"/>
    <n v="12.5"/>
    <n v="3245833"/>
    <n v="158720"/>
    <d v="2012-10-31T00:00:00"/>
  </r>
  <r>
    <x v="31"/>
    <s v="CC compactor"/>
    <x v="5"/>
    <x v="11"/>
    <s v="RockTenn"/>
    <m/>
    <n v="2080"/>
    <n v="1.04"/>
    <n v="100"/>
    <n v="104"/>
    <n v="0"/>
    <n v="104"/>
    <n v="3245836"/>
    <n v="158720"/>
    <d v="2012-10-31T00:00:00"/>
  </r>
  <r>
    <x v="32"/>
    <s v="Student Center compactor"/>
    <x v="5"/>
    <x v="11"/>
    <s v="RockTenn"/>
    <m/>
    <n v="8660"/>
    <n v="4.33"/>
    <n v="100"/>
    <n v="433"/>
    <n v="0"/>
    <n v="433"/>
    <n v="3245838"/>
    <n v="158720"/>
    <d v="2012-10-31T00:00:00"/>
  </r>
  <r>
    <x v="33"/>
    <s v="All/Dumpsters"/>
    <x v="5"/>
    <x v="11"/>
    <s v="RockTenn/Abitibi"/>
    <m/>
    <n v="2812"/>
    <n v="1.4059999999999999"/>
    <m/>
    <m/>
    <m/>
    <m/>
    <m/>
    <m/>
    <m/>
  </r>
  <r>
    <x v="34"/>
    <s v="CC compactor"/>
    <x v="5"/>
    <x v="11"/>
    <s v="RockTenn"/>
    <m/>
    <n v="5320"/>
    <n v="2.66"/>
    <n v="59.999999999999993"/>
    <n v="159.6"/>
    <n v="0"/>
    <n v="159.6"/>
    <n v="3246107"/>
    <n v="162991"/>
    <d v="2012-11-10T00:00:00"/>
  </r>
  <r>
    <x v="35"/>
    <s v="CSB  paper trailer"/>
    <x v="0"/>
    <x v="0"/>
    <s v="RockTenn"/>
    <m/>
    <n v="3865"/>
    <n v="1.9325000000000001"/>
    <n v="50.002587322121599"/>
    <n v="96.63"/>
    <n v="0"/>
    <n v="96.63"/>
    <n v="3246455"/>
    <n v="162991"/>
    <d v="2012-11-28T00:00:00"/>
  </r>
  <r>
    <x v="35"/>
    <s v="CSB  paper trailer"/>
    <x v="0"/>
    <x v="3"/>
    <s v="RockTenn"/>
    <m/>
    <n v="4585"/>
    <n v="2.2925"/>
    <n v="50.002181025081789"/>
    <n v="114.63"/>
    <n v="0"/>
    <n v="114.63"/>
    <n v="3246455"/>
    <n v="162991"/>
    <d v="2012-11-28T00:00:00"/>
  </r>
  <r>
    <x v="35"/>
    <s v="CSB  paper trailer"/>
    <x v="1"/>
    <x v="1"/>
    <s v="RockTenn"/>
    <m/>
    <n v="130"/>
    <n v="6.5000000000000002E-2"/>
    <n v="100"/>
    <n v="6.5"/>
    <n v="0"/>
    <n v="6.5"/>
    <n v="3246455"/>
    <n v="162991"/>
    <d v="2012-11-28T00:00:00"/>
  </r>
  <r>
    <x v="36"/>
    <s v="CC compactor"/>
    <x v="5"/>
    <x v="11"/>
    <s v="RockTenn"/>
    <m/>
    <n v="6640"/>
    <n v="3.32"/>
    <n v="60"/>
    <n v="199.2"/>
    <n v="0"/>
    <n v="199.2"/>
    <n v="3246350"/>
    <n v="162991"/>
    <d v="2012-11-21T00:00:00"/>
  </r>
  <r>
    <x v="37"/>
    <s v="Warehouse"/>
    <x v="6"/>
    <x v="12"/>
    <s v="Ripple"/>
    <m/>
    <n v="9640"/>
    <n v="4.82"/>
    <m/>
    <m/>
    <m/>
    <m/>
    <m/>
    <m/>
    <m/>
  </r>
  <r>
    <x v="38"/>
    <s v="All/Dumpsters"/>
    <x v="5"/>
    <x v="11"/>
    <s v="RockTenn/Abitibi"/>
    <m/>
    <n v="3178"/>
    <n v="1.589"/>
    <m/>
    <m/>
    <m/>
    <m/>
    <m/>
    <m/>
    <m/>
  </r>
  <r>
    <x v="39"/>
    <s v="CC compactor"/>
    <x v="5"/>
    <x v="11"/>
    <s v="RockTenn"/>
    <m/>
    <n v="6680"/>
    <n v="3.34"/>
    <n v="45.000000000000007"/>
    <n v="150.30000000000001"/>
    <n v="0"/>
    <n v="150.30000000000001"/>
    <n v="3246881"/>
    <n v="163757"/>
    <d v="2012-12-13T00:00:00"/>
  </r>
  <r>
    <x v="40"/>
    <s v="All/Dumpsters"/>
    <x v="5"/>
    <x v="11"/>
    <s v="RockTenn/Abitibi"/>
    <m/>
    <n v="2030"/>
    <n v="1.0149999999999999"/>
    <m/>
    <m/>
    <m/>
    <m/>
    <m/>
    <m/>
    <m/>
  </r>
  <r>
    <x v="41"/>
    <s v="Warehouse"/>
    <x v="3"/>
    <x v="9"/>
    <s v="Call2recycle"/>
    <m/>
    <n v="1542"/>
    <n v="0.77100000000000002"/>
    <m/>
    <m/>
    <m/>
    <m/>
    <m/>
    <m/>
    <m/>
  </r>
  <r>
    <x v="41"/>
    <s v="Book  Store"/>
    <x v="4"/>
    <x v="10"/>
    <s v="One Planet books"/>
    <s v="569 boxes"/>
    <n v="22760"/>
    <n v="11.38"/>
    <m/>
    <m/>
    <m/>
    <n v="5690"/>
    <m/>
    <m/>
    <m/>
  </r>
  <r>
    <x v="41"/>
    <s v="south Compound"/>
    <x v="7"/>
    <x v="13"/>
    <s v="JCCC"/>
    <n v="111"/>
    <n v="38850"/>
    <n v="19.425000000000001"/>
    <m/>
    <m/>
    <m/>
    <m/>
    <m/>
    <m/>
    <m/>
  </r>
  <r>
    <x v="41"/>
    <s v="south Compound"/>
    <x v="8"/>
    <x v="14"/>
    <s v="JCCC"/>
    <n v="50"/>
    <n v="17500"/>
    <n v="8.75"/>
    <m/>
    <m/>
    <m/>
    <m/>
    <m/>
    <m/>
    <m/>
  </r>
  <r>
    <x v="42"/>
    <s v="Warehouse"/>
    <x v="3"/>
    <x v="8"/>
    <s v="Unicor"/>
    <m/>
    <n v="4293"/>
    <n v="2.1465000000000001"/>
    <m/>
    <m/>
    <m/>
    <m/>
    <m/>
    <m/>
    <m/>
  </r>
  <r>
    <x v="43"/>
    <s v="CSB  paper trailer"/>
    <x v="0"/>
    <x v="4"/>
    <s v="RockTenn"/>
    <m/>
    <n v="860"/>
    <n v="0.43"/>
    <n v="5"/>
    <n v="2.15"/>
    <n v="0"/>
    <n v="2.15"/>
    <n v="3247415"/>
    <n v="167496"/>
    <d v="2012-01-05T00:00:00"/>
  </r>
  <r>
    <x v="43"/>
    <s v="CSB  paper trailer"/>
    <x v="0"/>
    <x v="0"/>
    <s v="RockTenn"/>
    <m/>
    <n v="5355"/>
    <n v="2.6775000000000002"/>
    <n v="30.001867413632116"/>
    <n v="80.33"/>
    <n v="0"/>
    <n v="80.33"/>
    <n v="3247415"/>
    <n v="167496"/>
    <d v="2012-01-05T00:00:00"/>
  </r>
  <r>
    <x v="43"/>
    <s v="CSB  paper trailer"/>
    <x v="0"/>
    <x v="3"/>
    <s v="RockTenn"/>
    <m/>
    <n v="7180"/>
    <n v="3.59"/>
    <n v="20"/>
    <n v="71.8"/>
    <n v="0"/>
    <n v="71.8"/>
    <n v="3247415"/>
    <n v="167496"/>
    <d v="2012-01-05T00:00:00"/>
  </r>
  <r>
    <x v="43"/>
    <s v="CSB  paper trailer"/>
    <x v="1"/>
    <x v="1"/>
    <s v="RockTenn"/>
    <m/>
    <n v="585"/>
    <n v="0.29249999999999998"/>
    <n v="70.017094017094024"/>
    <n v="20.48"/>
    <n v="0"/>
    <n v="20.48"/>
    <n v="3247415"/>
    <n v="167496"/>
    <d v="2012-01-05T00:00:00"/>
  </r>
  <r>
    <x v="44"/>
    <s v="CC compactor"/>
    <x v="5"/>
    <x v="11"/>
    <s v="RockTenn"/>
    <m/>
    <n v="8800"/>
    <n v="4.4000000000000004"/>
    <n v="44.999999999999993"/>
    <n v="198"/>
    <n v="0"/>
    <n v="198"/>
    <n v="3247660"/>
    <n v="168277"/>
    <d v="2012-01-16T00:00:00"/>
  </r>
  <r>
    <x v="45"/>
    <s v="Warehouse"/>
    <x v="6"/>
    <x v="12"/>
    <s v="Ripple"/>
    <m/>
    <n v="11880"/>
    <n v="5.94"/>
    <m/>
    <m/>
    <m/>
    <m/>
    <m/>
    <m/>
    <m/>
  </r>
  <r>
    <x v="46"/>
    <s v="All/Dumpsters"/>
    <x v="5"/>
    <x v="11"/>
    <s v="RockTenn/Abitibi"/>
    <m/>
    <n v="7347"/>
    <n v="3.6735000000000002"/>
    <m/>
    <m/>
    <m/>
    <m/>
    <m/>
    <m/>
    <m/>
  </r>
  <r>
    <x v="46"/>
    <s v="CSB  paper trailer"/>
    <x v="0"/>
    <x v="0"/>
    <s v="RockTenn"/>
    <m/>
    <n v="5480"/>
    <n v="2.74"/>
    <n v="70.003649635036496"/>
    <n v="191.81"/>
    <n v="0"/>
    <n v="191.81"/>
    <n v="3248171"/>
    <n v="169357"/>
    <m/>
  </r>
  <r>
    <x v="46"/>
    <s v="CSB  paper trailer"/>
    <x v="1"/>
    <x v="1"/>
    <s v="RockTenn"/>
    <m/>
    <n v="840"/>
    <n v="0.42"/>
    <n v="60"/>
    <n v="25.2"/>
    <n v="0"/>
    <n v="25.2"/>
    <n v="3248171"/>
    <n v="169357"/>
    <m/>
  </r>
  <r>
    <x v="46"/>
    <s v="CSB  paper trailer"/>
    <x v="0"/>
    <x v="3"/>
    <s v="RockTenn"/>
    <m/>
    <n v="1800"/>
    <n v="0.9"/>
    <n v="50"/>
    <n v="45"/>
    <n v="0"/>
    <n v="45"/>
    <n v="3248171"/>
    <n v="169357"/>
    <m/>
  </r>
  <r>
    <x v="47"/>
    <s v="Student Center compactor"/>
    <x v="5"/>
    <x v="11"/>
    <s v="RockTenn"/>
    <m/>
    <n v="8220"/>
    <n v="4.1100000000000003"/>
    <n v="59.999999999999993"/>
    <n v="246.6"/>
    <n v="0"/>
    <n v="246.6"/>
    <n v="477823"/>
    <n v="169275"/>
    <d v="2012-02-01T00:00:00"/>
  </r>
  <r>
    <x v="48"/>
    <s v="CC compactor"/>
    <x v="5"/>
    <x v="11"/>
    <s v="RockTenn"/>
    <m/>
    <n v="7040"/>
    <n v="3.52"/>
    <n v="60"/>
    <n v="211.2"/>
    <n v="0"/>
    <n v="211.2"/>
    <n v="477824"/>
    <n v="169275"/>
    <d v="2012-02-01T00:00:00"/>
  </r>
  <r>
    <x v="49"/>
    <s v="Aluminum plates with paper"/>
    <x v="9"/>
    <x v="15"/>
    <s v="RockTenn"/>
    <m/>
    <n v="1620"/>
    <n v="0.81"/>
    <n v="499.99999999999994"/>
    <n v="405"/>
    <n v="0"/>
    <n v="405"/>
    <n v="477898"/>
    <n v="171458"/>
    <d v="2012-04-30T00:00:00"/>
  </r>
  <r>
    <x v="49"/>
    <s v="copper cords wires 35%"/>
    <x v="9"/>
    <x v="16"/>
    <s v="RockTenn"/>
    <m/>
    <n v="320"/>
    <n v="0.16"/>
    <n v="1100"/>
    <n v="176"/>
    <n v="0"/>
    <n v="176"/>
    <n v="477898"/>
    <n v="171458"/>
    <d v="2012-04-30T00:00:00"/>
  </r>
  <r>
    <x v="50"/>
    <s v="CSB  paper trailer"/>
    <x v="0"/>
    <x v="0"/>
    <s v="RockTenn"/>
    <m/>
    <n v="6735"/>
    <n v="3.3675000000000002"/>
    <n v="100"/>
    <n v="336.75"/>
    <n v="0"/>
    <n v="336.75"/>
    <n v="478505"/>
    <n v="171820"/>
    <d v="2012-03-06T00:00:00"/>
  </r>
  <r>
    <x v="50"/>
    <s v="CSB  paper trailer"/>
    <x v="1"/>
    <x v="1"/>
    <s v="RockTenn"/>
    <m/>
    <n v="160"/>
    <n v="0.08"/>
    <n v="60"/>
    <n v="4.8"/>
    <n v="0"/>
    <n v="4.8"/>
    <n v="478505"/>
    <n v="171820"/>
    <d v="2012-03-06T00:00:00"/>
  </r>
  <r>
    <x v="50"/>
    <s v="CSB  paper trailer"/>
    <x v="10"/>
    <x v="17"/>
    <s v="RockTenn"/>
    <m/>
    <n v="1405"/>
    <n v="0.70250000000000001"/>
    <n v="-50.035587188612098"/>
    <n v="-35.15"/>
    <n v="0"/>
    <n v="-35.15"/>
    <n v="478505"/>
    <n v="171820"/>
    <d v="2012-03-06T00:00:00"/>
  </r>
  <r>
    <x v="50"/>
    <s v="CSB  paper trailer"/>
    <x v="2"/>
    <x v="18"/>
    <s v="RockTenn"/>
    <m/>
    <n v="40"/>
    <n v="0.02"/>
    <n v="100"/>
    <n v="2"/>
    <n v="0"/>
    <n v="2"/>
    <n v="478505"/>
    <n v="171820"/>
    <d v="2012-03-06T00:00:00"/>
  </r>
  <r>
    <x v="50"/>
    <s v="CSB  paper trailer"/>
    <x v="0"/>
    <x v="3"/>
    <s v="RockTenn"/>
    <m/>
    <n v="760"/>
    <n v="0.38"/>
    <n v="80"/>
    <n v="30.4"/>
    <n v="0"/>
    <n v="30.4"/>
    <n v="478505"/>
    <n v="171820"/>
    <d v="2012-03-06T00:00:00"/>
  </r>
  <r>
    <x v="51"/>
    <s v="CC compactor"/>
    <x v="5"/>
    <x v="11"/>
    <s v="RockTenn"/>
    <m/>
    <n v="7720"/>
    <n v="3.86"/>
    <n v="60"/>
    <n v="231.6"/>
    <n v="0"/>
    <n v="231.6"/>
    <n v="478317"/>
    <n v="171052"/>
    <d v="2012-04-19T00:00:00"/>
  </r>
  <r>
    <x v="52"/>
    <s v="Warehouse"/>
    <x v="6"/>
    <x v="12"/>
    <s v="Ripple"/>
    <m/>
    <n v="9620"/>
    <n v="4.8099999999999996"/>
    <m/>
    <m/>
    <m/>
    <m/>
    <m/>
    <m/>
    <m/>
  </r>
  <r>
    <x v="52"/>
    <s v="All/Dumpsters"/>
    <x v="5"/>
    <x v="11"/>
    <s v="RockTenn/Abitibi"/>
    <m/>
    <n v="7347"/>
    <n v="3.6735000000000002"/>
    <m/>
    <m/>
    <m/>
    <m/>
    <m/>
    <m/>
    <m/>
  </r>
  <r>
    <x v="53"/>
    <s v="CSB  paper trailer"/>
    <x v="0"/>
    <x v="0"/>
    <s v="RockTenn"/>
    <m/>
    <n v="14525"/>
    <n v="7.2625000000000002"/>
    <n v="100"/>
    <n v="726.25"/>
    <n v="0"/>
    <n v="726.25"/>
    <n v="478146"/>
    <n v="171820"/>
    <d v="2012-03-05T00:00:00"/>
  </r>
  <r>
    <x v="53"/>
    <s v="CSB  paper trailer"/>
    <x v="1"/>
    <x v="1"/>
    <s v="RockTenn"/>
    <m/>
    <n v="615"/>
    <n v="0.3075"/>
    <n v="60"/>
    <n v="18.45"/>
    <n v="0"/>
    <n v="18.45"/>
    <n v="478146"/>
    <n v="171820"/>
    <d v="2012-03-05T00:00:00"/>
  </r>
  <r>
    <x v="53"/>
    <s v="CSB  paper trailer"/>
    <x v="0"/>
    <x v="3"/>
    <s v="RockTenn"/>
    <m/>
    <n v="5055"/>
    <n v="2.5274999999999999"/>
    <n v="80"/>
    <n v="202.2"/>
    <n v="0"/>
    <n v="202.2"/>
    <n v="478146"/>
    <n v="171820"/>
    <d v="2012-03-05T00:00:00"/>
  </r>
  <r>
    <x v="53"/>
    <s v="CSB  paper trailer"/>
    <x v="10"/>
    <x v="17"/>
    <s v="RockTenn"/>
    <m/>
    <n v="565"/>
    <n v="0.28249999999999997"/>
    <n v="-50.017699115044252"/>
    <n v="-14.13"/>
    <n v="0"/>
    <n v="-14.13"/>
    <n v="478146"/>
    <n v="171820"/>
    <d v="2012-03-05T00:00:00"/>
  </r>
  <r>
    <x v="53"/>
    <s v="CSB  paper trailer"/>
    <x v="2"/>
    <x v="18"/>
    <s v="RockTenn"/>
    <m/>
    <n v="180"/>
    <n v="0.09"/>
    <n v="100"/>
    <n v="9"/>
    <n v="0"/>
    <n v="9"/>
    <n v="478146"/>
    <n v="171820"/>
    <d v="2012-03-05T00:00:00"/>
  </r>
  <r>
    <x v="54"/>
    <s v="CSB  paper trailer"/>
    <x v="0"/>
    <x v="0"/>
    <s v="RockTenn"/>
    <m/>
    <n v="1255"/>
    <n v="0.62749999999999995"/>
    <n v="100.00000000000001"/>
    <n v="62.75"/>
    <n v="0"/>
    <n v="62.75"/>
    <n v="478676"/>
    <n v="172632"/>
    <d v="2012-03-15T00:00:00"/>
  </r>
  <r>
    <x v="54"/>
    <s v="CSB  paper trailer"/>
    <x v="1"/>
    <x v="1"/>
    <s v="RockTenn"/>
    <m/>
    <n v="185"/>
    <n v="9.2499999999999999E-2"/>
    <n v="60"/>
    <n v="5.55"/>
    <n v="0"/>
    <n v="5.55"/>
    <n v="478676"/>
    <n v="172632"/>
    <d v="2012-03-15T00:00:00"/>
  </r>
  <r>
    <x v="54"/>
    <s v="CSB  paper trailer"/>
    <x v="0"/>
    <x v="3"/>
    <s v="RockTenn"/>
    <m/>
    <n v="1835"/>
    <n v="0.91749999999999998"/>
    <n v="80.000000000000014"/>
    <n v="73.400000000000006"/>
    <n v="0"/>
    <n v="73.400000000000006"/>
    <n v="478676"/>
    <n v="172632"/>
    <d v="2012-03-15T00:00:00"/>
  </r>
  <r>
    <x v="54"/>
    <s v="CSB  paper trailer"/>
    <x v="10"/>
    <x v="17"/>
    <s v="RockTenn"/>
    <m/>
    <n v="405"/>
    <n v="0.20250000000000001"/>
    <n v="50.02469135802469"/>
    <n v="10.130000000000001"/>
    <n v="0"/>
    <n v="10.130000000000001"/>
    <n v="478676"/>
    <n v="172632"/>
    <d v="2012-03-15T00:00:00"/>
  </r>
  <r>
    <x v="55"/>
    <s v="CC compactor"/>
    <x v="5"/>
    <x v="11"/>
    <s v="RockTenn"/>
    <m/>
    <n v="6640"/>
    <n v="3.32"/>
    <n v="35"/>
    <n v="116.2"/>
    <n v="0"/>
    <n v="116.2"/>
    <n v="478918"/>
    <n v="179250"/>
    <d v="2012-03-19T00:00:00"/>
  </r>
  <r>
    <x v="56"/>
    <s v="All/Dumpsters"/>
    <x v="5"/>
    <x v="11"/>
    <s v="RockTenn/Abitibi"/>
    <m/>
    <n v="7347"/>
    <n v="3.6735000000000002"/>
    <m/>
    <m/>
    <m/>
    <m/>
    <m/>
    <m/>
    <m/>
  </r>
  <r>
    <x v="57"/>
    <s v="Warehouse"/>
    <x v="6"/>
    <x v="12"/>
    <s v="Ripple"/>
    <m/>
    <n v="9860"/>
    <n v="4.93"/>
    <m/>
    <m/>
    <m/>
    <m/>
    <m/>
    <m/>
    <m/>
  </r>
  <r>
    <x v="57"/>
    <s v="CSB  paper trailer"/>
    <x v="0"/>
    <x v="0"/>
    <s v="RockTenn"/>
    <m/>
    <n v="600"/>
    <n v="0.3"/>
    <n v="100"/>
    <n v="30"/>
    <n v="0"/>
    <n v="30"/>
    <n v="37123"/>
    <n v="173396"/>
    <d v="2012-05-21T00:00:00"/>
  </r>
  <r>
    <x v="57"/>
    <s v="CSB  paper trailer"/>
    <x v="0"/>
    <x v="0"/>
    <s v="RockTenn"/>
    <m/>
    <n v="4050"/>
    <n v="2.0249999999999999"/>
    <n v="100"/>
    <n v="202.5"/>
    <n v="0"/>
    <n v="202.5"/>
    <n v="37123"/>
    <n v="173396"/>
    <d v="2012-05-21T00:00:00"/>
  </r>
  <r>
    <x v="57"/>
    <s v="CSB  paper trailer"/>
    <x v="0"/>
    <x v="3"/>
    <s v="RockTenn"/>
    <m/>
    <n v="4960"/>
    <n v="2.48"/>
    <n v="80"/>
    <n v="198.4"/>
    <n v="0"/>
    <n v="198.4"/>
    <n v="37123"/>
    <n v="173396"/>
    <d v="2012-05-21T00:00:00"/>
  </r>
  <r>
    <x v="57"/>
    <s v="CSB  paper trailer"/>
    <x v="2"/>
    <x v="18"/>
    <s v="RockTenn"/>
    <m/>
    <n v="80"/>
    <n v="0.04"/>
    <n v="100"/>
    <n v="4"/>
    <n v="0"/>
    <n v="4"/>
    <n v="37123"/>
    <n v="173396"/>
    <d v="2012-05-21T00:00:00"/>
  </r>
  <r>
    <x v="57"/>
    <s v="CC compactor"/>
    <x v="5"/>
    <x v="11"/>
    <s v="RockTenn"/>
    <m/>
    <n v="6480"/>
    <n v="3.24"/>
    <n v="35"/>
    <n v="113.4"/>
    <n v="0"/>
    <n v="113.4"/>
    <n v="3249913"/>
    <n v="175280"/>
    <d v="2012-05-05T00:00:00"/>
  </r>
  <r>
    <x v="58"/>
    <s v="CC compactor"/>
    <x v="5"/>
    <x v="11"/>
    <s v="RockTenn"/>
    <m/>
    <n v="5180"/>
    <n v="2.59"/>
    <n v="34.301158301158303"/>
    <n v="88.84"/>
    <n v="0"/>
    <n v="88.84"/>
    <n v="3250348"/>
    <n v="175281"/>
    <d v="2012-05-05T00:00:00"/>
  </r>
  <r>
    <x v="59"/>
    <s v="All/Dumpsters"/>
    <x v="5"/>
    <x v="11"/>
    <s v="RockTenn/Abitibi"/>
    <m/>
    <n v="5329"/>
    <n v="2.6644999999999999"/>
    <m/>
    <m/>
    <m/>
    <m/>
    <m/>
    <m/>
    <m/>
  </r>
  <r>
    <x v="60"/>
    <s v="CC compactor"/>
    <x v="5"/>
    <x v="11"/>
    <s v="RockTenn"/>
    <m/>
    <n v="4000"/>
    <n v="2"/>
    <n v="0"/>
    <m/>
    <n v="0"/>
    <m/>
    <m/>
    <m/>
    <m/>
  </r>
  <r>
    <x v="60"/>
    <s v="Student Center compactor"/>
    <x v="5"/>
    <x v="11"/>
    <s v="RockTenn"/>
    <m/>
    <n v="6000"/>
    <n v="3"/>
    <n v="0"/>
    <m/>
    <n v="0"/>
    <m/>
    <m/>
    <m/>
    <m/>
  </r>
  <r>
    <x v="61"/>
    <s v="CSB Trailer"/>
    <x v="0"/>
    <x v="0"/>
    <s v="RockTenn"/>
    <m/>
    <n v="4215"/>
    <n v="2.1074999999999999"/>
    <n v="80"/>
    <n v="168.6"/>
    <n v="0"/>
    <n v="168.6"/>
    <n v="479720"/>
    <n v="178260"/>
    <d v="2012-05-23T00:00:00"/>
  </r>
  <r>
    <x v="61"/>
    <s v="CSB Trailer"/>
    <x v="1"/>
    <x v="1"/>
    <s v="RockTenn"/>
    <m/>
    <n v="185"/>
    <n v="9.2499999999999999E-2"/>
    <n v="40"/>
    <n v="3.7"/>
    <n v="0"/>
    <n v="3.7"/>
    <n v="479720"/>
    <n v="178260"/>
    <d v="2012-05-23T00:00:00"/>
  </r>
  <r>
    <x v="61"/>
    <s v="CSB Trailer"/>
    <x v="0"/>
    <x v="3"/>
    <s v="RockTenn"/>
    <m/>
    <n v="1285"/>
    <n v="0.64249999999999996"/>
    <n v="60"/>
    <n v="38.549999999999997"/>
    <n v="0"/>
    <n v="38.549999999999997"/>
    <n v="479720"/>
    <n v="178260"/>
    <d v="2012-05-23T00:00:00"/>
  </r>
  <r>
    <x v="62"/>
    <s v="Warehouse"/>
    <x v="6"/>
    <x v="12"/>
    <s v="Ripple"/>
    <m/>
    <n v="10100"/>
    <n v="5.05"/>
    <m/>
    <m/>
    <m/>
    <m/>
    <m/>
    <m/>
    <m/>
  </r>
  <r>
    <x v="63"/>
    <s v="CC compactor"/>
    <x v="5"/>
    <x v="11"/>
    <s v="RockTenn"/>
    <m/>
    <n v="7760"/>
    <n v="3.88"/>
    <n v="35.000000000000007"/>
    <n v="135.80000000000001"/>
    <n v="0"/>
    <n v="135.80000000000001"/>
    <n v="481609"/>
    <n v="178670"/>
    <d v="2012-05-29T00:00:00"/>
  </r>
  <r>
    <x v="64"/>
    <s v="All/Dumpsters"/>
    <x v="5"/>
    <x v="11"/>
    <s v="RockTenn/Abitibi"/>
    <m/>
    <n v="5329"/>
    <n v="2.6644999999999999"/>
    <m/>
    <m/>
    <m/>
    <m/>
    <m/>
    <m/>
    <m/>
  </r>
  <r>
    <x v="65"/>
    <s v="Warehouse"/>
    <x v="3"/>
    <x v="8"/>
    <s v="Unicor"/>
    <m/>
    <n v="5000"/>
    <n v="2.5"/>
    <m/>
    <m/>
    <m/>
    <m/>
    <m/>
    <m/>
    <m/>
  </r>
  <r>
    <x v="66"/>
    <s v="CSB Trailer"/>
    <x v="0"/>
    <x v="0"/>
    <s v="RockTenn"/>
    <m/>
    <n v="8815"/>
    <n v="4.4074999999999998"/>
    <n v="80.000000000000014"/>
    <n v="352.6"/>
    <n v="0"/>
    <n v="352.6"/>
    <n v="481897"/>
    <n v="180424"/>
    <d v="2012-06-11T00:00:00"/>
  </r>
  <r>
    <x v="66"/>
    <s v="CSB Trailer"/>
    <x v="1"/>
    <x v="1"/>
    <s v="RockTenn"/>
    <m/>
    <n v="55"/>
    <n v="2.75E-2"/>
    <n v="30.18181818181818"/>
    <n v="0.83"/>
    <n v="0"/>
    <n v="0.83"/>
    <n v="481897"/>
    <n v="180424"/>
    <d v="2012-06-11T00:00:00"/>
  </r>
  <r>
    <x v="67"/>
    <s v="Warehouse"/>
    <x v="6"/>
    <x v="12"/>
    <s v="Ripple"/>
    <m/>
    <n v="9800"/>
    <n v="4.9000000000000004"/>
    <m/>
    <m/>
    <m/>
    <m/>
    <m/>
    <m/>
    <m/>
  </r>
  <r>
    <x v="68"/>
    <s v="Warehouse"/>
    <x v="3"/>
    <x v="8"/>
    <s v="Unicor"/>
    <m/>
    <n v="4739"/>
    <n v="2.3694999999999999"/>
    <m/>
    <m/>
    <m/>
    <m/>
    <m/>
    <m/>
    <m/>
  </r>
  <r>
    <x v="69"/>
    <s v="CC compactor"/>
    <x v="5"/>
    <x v="11"/>
    <s v="RockTenn"/>
    <m/>
    <n v="8500"/>
    <n v="4.25"/>
    <n v="25"/>
    <n v="106.25"/>
    <n v="0"/>
    <n v="106.25"/>
    <n v="482439"/>
    <n v="181805"/>
    <d v="2012-07-02T00:00:00"/>
  </r>
  <r>
    <x v="70"/>
    <s v="All/Dumpsters"/>
    <x v="5"/>
    <x v="11"/>
    <s v="RockTenn/Abitibi"/>
    <m/>
    <n v="5329"/>
    <n v="2.6644999999999999"/>
    <m/>
    <m/>
    <m/>
    <m/>
    <m/>
    <m/>
    <m/>
  </r>
  <r>
    <x v="71"/>
    <s v="CSB Trailer"/>
    <x v="0"/>
    <x v="0"/>
    <s v="RockTenn"/>
    <m/>
    <n v="8210"/>
    <n v="4.1050000000000004"/>
    <n v="99.999999999999986"/>
    <n v="410.5"/>
    <n v="0"/>
    <n v="410.5"/>
    <n v="482539"/>
    <n v="183355"/>
    <d v="2012-07-20T00:00:00"/>
  </r>
  <r>
    <x v="71"/>
    <s v="CSB Trailer"/>
    <x v="1"/>
    <x v="1"/>
    <s v="RockTenn"/>
    <m/>
    <n v="60"/>
    <n v="0.03"/>
    <n v="25"/>
    <n v="0.75"/>
    <n v="0"/>
    <n v="0.75"/>
    <n v="482539"/>
    <n v="183355"/>
    <d v="2012-07-20T00:00:00"/>
  </r>
  <r>
    <x v="71"/>
    <s v="CSB Trailer"/>
    <x v="0"/>
    <x v="3"/>
    <s v="RockTenn"/>
    <m/>
    <n v="540"/>
    <n v="0.27"/>
    <n v="59.999999999999993"/>
    <n v="16.2"/>
    <n v="0"/>
    <n v="16.2"/>
    <n v="482539"/>
    <n v="183355"/>
    <d v="2012-07-20T00:00:00"/>
  </r>
  <r>
    <x v="72"/>
    <s v="Warehouse"/>
    <x v="6"/>
    <x v="12"/>
    <s v="Ripple"/>
    <m/>
    <n v="10100"/>
    <n v="5.05"/>
    <m/>
    <m/>
    <m/>
    <m/>
    <m/>
    <m/>
    <m/>
  </r>
  <r>
    <x v="73"/>
    <s v="CC compactor"/>
    <x v="5"/>
    <x v="11"/>
    <s v="RockTenn"/>
    <m/>
    <n v="9280"/>
    <n v="4.6399999999999997"/>
    <n v="25"/>
    <n v="116"/>
    <n v="0"/>
    <n v="116"/>
    <n v="483042"/>
    <n v="186265"/>
    <d v="2012-07-30T00:00:00"/>
  </r>
  <r>
    <x v="74"/>
    <s v="All/Dumpsters"/>
    <x v="5"/>
    <x v="11"/>
    <s v="RockTenn/Abitibi"/>
    <m/>
    <n v="5329"/>
    <n v="2.6644999999999999"/>
    <m/>
    <m/>
    <m/>
    <m/>
    <m/>
    <m/>
    <m/>
  </r>
  <r>
    <x v="75"/>
    <s v="south Compound"/>
    <x v="9"/>
    <x v="19"/>
    <s v="Advantage Metal"/>
    <m/>
    <n v="8520"/>
    <n v="4.26"/>
    <n v="0.09"/>
    <n v="766.8"/>
    <n v="180"/>
    <n v="586.79999999999995"/>
    <s v="TKXFDD"/>
    <n v="181688"/>
    <m/>
  </r>
  <r>
    <x v="76"/>
    <s v="Warehouse"/>
    <x v="3"/>
    <x v="8"/>
    <s v="Surplus Exchange"/>
    <m/>
    <n v="4500"/>
    <n v="2.25"/>
    <m/>
    <m/>
    <m/>
    <m/>
    <m/>
    <m/>
    <m/>
  </r>
  <r>
    <x v="77"/>
    <s v="CC compactor"/>
    <x v="5"/>
    <x v="11"/>
    <s v="RockTenn"/>
    <m/>
    <n v="4380"/>
    <n v="2.19"/>
    <n v="25"/>
    <n v="54.75"/>
    <n v="0"/>
    <n v="54.75"/>
    <n v="483398"/>
    <n v="189280"/>
    <d v="2012-11-07T00:00:00"/>
  </r>
  <r>
    <x v="78"/>
    <s v="Warehouse"/>
    <x v="6"/>
    <x v="12"/>
    <s v="Ripple"/>
    <m/>
    <n v="10060"/>
    <n v="5.03"/>
    <m/>
    <m/>
    <m/>
    <m/>
    <m/>
    <m/>
    <m/>
  </r>
  <r>
    <x v="79"/>
    <s v="SC compactor"/>
    <x v="5"/>
    <x v="11"/>
    <s v="RockTenn"/>
    <m/>
    <n v="9540"/>
    <n v="4.7699999999999996"/>
    <n v="25.000000000000004"/>
    <n v="119.25"/>
    <n v="0"/>
    <n v="119.25"/>
    <n v="483423"/>
    <n v="189280"/>
    <d v="2012-11-07T00:00:00"/>
  </r>
  <r>
    <x v="80"/>
    <s v="CSB Trailer"/>
    <x v="0"/>
    <x v="0"/>
    <s v="RockTenn"/>
    <m/>
    <n v="5935"/>
    <n v="2.9674999999999998"/>
    <n v="100"/>
    <n v="296.75"/>
    <n v="0"/>
    <n v="296.75"/>
    <n v="3253690"/>
    <n v="189280"/>
    <d v="2012-11-07T00:00:00"/>
  </r>
  <r>
    <x v="80"/>
    <s v="CSB Trailer"/>
    <x v="1"/>
    <x v="1"/>
    <s v="RockTenn"/>
    <m/>
    <n v="5435"/>
    <n v="2.7174999999999998"/>
    <n v="14.999080036798528"/>
    <n v="40.76"/>
    <n v="0"/>
    <n v="40.76"/>
    <n v="3253690"/>
    <n v="189280"/>
    <d v="2012-11-07T00:00:00"/>
  </r>
  <r>
    <x v="80"/>
    <s v="CSB Trailer"/>
    <x v="10"/>
    <x v="17"/>
    <s v="RockTenn"/>
    <m/>
    <n v="400"/>
    <n v="0.2"/>
    <n v="-100"/>
    <n v="-20"/>
    <n v="0"/>
    <n v="-20"/>
    <n v="3253690"/>
    <n v="189280"/>
    <d v="2012-11-07T00:00:00"/>
  </r>
  <r>
    <x v="81"/>
    <s v="Delivered"/>
    <x v="9"/>
    <x v="20"/>
    <s v="Advantage Metal"/>
    <m/>
    <n v="96"/>
    <n v="4.8000000000000001E-2"/>
    <n v="2.8"/>
    <n v="268.8"/>
    <n v="0"/>
    <n v="268.8"/>
    <s v="ZHEAAN"/>
    <n v="183200"/>
    <m/>
  </r>
  <r>
    <x v="81"/>
    <s v="Delivered"/>
    <x v="9"/>
    <x v="21"/>
    <s v="Advantage Metal"/>
    <m/>
    <n v="657"/>
    <n v="0.32850000000000001"/>
    <n v="0.25"/>
    <n v="164.25"/>
    <n v="0"/>
    <n v="164.25"/>
    <s v="ZHEAAN"/>
    <n v="183200"/>
    <m/>
  </r>
  <r>
    <x v="81"/>
    <s v="CC compactor"/>
    <x v="5"/>
    <x v="11"/>
    <s v="RockTenn"/>
    <m/>
    <n v="8440"/>
    <n v="4.22"/>
    <n v="25"/>
    <n v="105.5"/>
    <n v="0"/>
    <n v="105.5"/>
    <n v="3253676"/>
    <n v="189280"/>
    <d v="2012-11-07T00:00:00"/>
  </r>
  <r>
    <x v="82"/>
    <s v="All/Dumpsters"/>
    <x v="5"/>
    <x v="11"/>
    <s v="RockTenn/Abitibi"/>
    <m/>
    <n v="5329"/>
    <n v="2.6644999999999999"/>
    <m/>
    <m/>
    <m/>
    <m/>
    <m/>
    <m/>
    <m/>
  </r>
  <r>
    <x v="83"/>
    <s v="south Compound"/>
    <x v="9"/>
    <x v="19"/>
    <s v="Advantage Metal"/>
    <m/>
    <n v="6700"/>
    <n v="3.35"/>
    <n v="9.7500000000000003E-2"/>
    <n v="653.25"/>
    <n v="180"/>
    <n v="473.25"/>
    <m/>
    <m/>
    <m/>
  </r>
  <r>
    <x v="84"/>
    <s v="Warehouse"/>
    <x v="6"/>
    <x v="12"/>
    <s v="Ripple"/>
    <m/>
    <n v="336"/>
    <n v="0.16800000000000001"/>
    <m/>
    <m/>
    <m/>
    <m/>
    <m/>
    <m/>
    <m/>
  </r>
  <r>
    <x v="84"/>
    <s v="CSB Trailer"/>
    <x v="0"/>
    <x v="0"/>
    <s v="RockTenn"/>
    <m/>
    <n v="5635"/>
    <n v="2.8174999999999999"/>
    <n v="90.00177462289264"/>
    <n v="253.58"/>
    <n v="0"/>
    <n v="253.58"/>
    <n v="3254209"/>
    <n v="190079"/>
    <d v="2012-11-19T00:00:00"/>
  </r>
  <r>
    <x v="84"/>
    <s v="CSB Trailer"/>
    <x v="0"/>
    <x v="4"/>
    <s v="RockTenn"/>
    <m/>
    <n v="7665"/>
    <n v="3.8325"/>
    <n v="4.9993476842791909"/>
    <n v="19.16"/>
    <n v="0"/>
    <n v="19.16"/>
    <n v="3254209"/>
    <n v="190079"/>
    <d v="2012-11-19T00:00:00"/>
  </r>
  <r>
    <x v="85"/>
    <s v="Abitibi pickup"/>
    <x v="3"/>
    <x v="22"/>
    <s v="RockTenn"/>
    <m/>
    <m/>
    <n v="0"/>
    <e v="#DIV/0!"/>
    <n v="-680"/>
    <n v="0"/>
    <n v="-680"/>
    <m/>
    <n v="189280"/>
    <d v="2012-11-07T00:00:00"/>
  </r>
  <r>
    <x v="86"/>
    <s v="CC compactor"/>
    <x v="5"/>
    <x v="11"/>
    <s v="RockTenn"/>
    <m/>
    <n v="8840"/>
    <n v="4.42"/>
    <n v="25"/>
    <n v="110.5"/>
    <n v="0"/>
    <n v="110.5"/>
    <n v="3254510"/>
    <n v="189280"/>
    <d v="2012-11-07T00:00:00"/>
  </r>
  <r>
    <x v="87"/>
    <s v="All/Dumpsters"/>
    <x v="5"/>
    <x v="11"/>
    <s v="RockTenn/Abitibi"/>
    <m/>
    <n v="5329"/>
    <n v="2.6644999999999999"/>
    <m/>
    <m/>
    <m/>
    <m/>
    <m/>
    <m/>
    <m/>
  </r>
  <r>
    <x v="88"/>
    <s v="south Compound"/>
    <x v="9"/>
    <x v="19"/>
    <s v="Advantage Metal"/>
    <m/>
    <n v="7220"/>
    <n v="3.61"/>
    <n v="8.5000000000000006E-2"/>
    <n v="613.70000000000005"/>
    <n v="180"/>
    <n v="433.7"/>
    <s v="TLNAEY"/>
    <n v="186931"/>
    <m/>
  </r>
  <r>
    <x v="89"/>
    <s v="CSB Trailer"/>
    <x v="0"/>
    <x v="0"/>
    <s v="RockTenn"/>
    <m/>
    <n v="4570"/>
    <n v="2.2850000000000001"/>
    <n v="69.999999999999986"/>
    <n v="159.94999999999999"/>
    <n v="0"/>
    <n v="159.94999999999999"/>
    <n v="3254600"/>
    <n v="190757"/>
    <d v="2012-12-03T00:00:00"/>
  </r>
  <r>
    <x v="89"/>
    <s v="CSB Trailer"/>
    <x v="0"/>
    <x v="4"/>
    <s v="RockTenn"/>
    <m/>
    <n v="3440"/>
    <n v="1.72"/>
    <n v="5"/>
    <n v="8.6"/>
    <n v="0"/>
    <n v="8.6"/>
    <n v="3254600"/>
    <n v="190757"/>
    <d v="2012-12-03T00:00:00"/>
  </r>
  <r>
    <x v="89"/>
    <s v="CSB Trailer"/>
    <x v="0"/>
    <x v="3"/>
    <s v="RockTenn"/>
    <m/>
    <n v="3925"/>
    <n v="1.9624999999999999"/>
    <n v="60"/>
    <n v="117.75"/>
    <n v="0"/>
    <n v="117.75"/>
    <n v="3254600"/>
    <n v="190757"/>
    <d v="2012-12-03T00:00:00"/>
  </r>
  <r>
    <x v="90"/>
    <s v="SC compactor"/>
    <x v="5"/>
    <x v="11"/>
    <s v="RockTenn"/>
    <m/>
    <n v="6980"/>
    <n v="3.49"/>
    <n v="25"/>
    <n v="87.25"/>
    <n v="0"/>
    <n v="87.25"/>
    <n v="3254715"/>
    <n v="190081"/>
    <d v="2012-11-16T00:00:00"/>
  </r>
  <r>
    <x v="90"/>
    <s v="Unknown"/>
    <x v="10"/>
    <x v="17"/>
    <s v="RockTenn"/>
    <m/>
    <n v="205"/>
    <n v="0.10249999999999999"/>
    <n v="-100"/>
    <n v="-10.25"/>
    <n v="0"/>
    <n v="-10.25"/>
    <n v="3254600"/>
    <n v="190081"/>
    <d v="2012-11-16T00:00:00"/>
  </r>
  <r>
    <x v="91"/>
    <s v="Delivered"/>
    <x v="9"/>
    <x v="20"/>
    <s v="Advantage Metal"/>
    <m/>
    <n v="237"/>
    <n v="0.11849999999999999"/>
    <n v="2.95"/>
    <n v="699.15"/>
    <n v="0"/>
    <n v="699.15"/>
    <s v="zhmouw"/>
    <m/>
    <m/>
  </r>
  <r>
    <x v="91"/>
    <s v="Delivered"/>
    <x v="9"/>
    <x v="23"/>
    <s v="Advantage Metal"/>
    <m/>
    <n v="355"/>
    <n v="0.17749999999999999"/>
    <n v="0.51"/>
    <n v="181.05"/>
    <n v="0"/>
    <n v="181.05"/>
    <s v="zhmouw"/>
    <m/>
    <m/>
  </r>
  <r>
    <x v="91"/>
    <s v="Delivered"/>
    <x v="9"/>
    <x v="24"/>
    <s v="Advantage Metal"/>
    <m/>
    <n v="28"/>
    <n v="1.4E-2"/>
    <n v="0.5"/>
    <n v="14"/>
    <n v="0"/>
    <n v="14"/>
    <s v="zhmouw"/>
    <m/>
    <m/>
  </r>
  <r>
    <x v="91"/>
    <s v="Delivered"/>
    <x v="9"/>
    <x v="25"/>
    <s v="Advantage Metal"/>
    <m/>
    <n v="169"/>
    <n v="8.4500000000000006E-2"/>
    <n v="1.41"/>
    <n v="238.29"/>
    <n v="0"/>
    <n v="238.29"/>
    <s v="zhmouw"/>
    <m/>
    <m/>
  </r>
  <r>
    <x v="91"/>
    <s v="Delivered"/>
    <x v="9"/>
    <x v="26"/>
    <s v="Advantage Metal"/>
    <m/>
    <n v="138"/>
    <n v="6.9000000000000006E-2"/>
    <n v="0.55000000000000004"/>
    <n v="75.900000000000006"/>
    <n v="0"/>
    <n v="75.900000000000006"/>
    <s v="zhmouw"/>
    <m/>
    <m/>
  </r>
  <r>
    <x v="91"/>
    <s v="Delivered"/>
    <x v="9"/>
    <x v="27"/>
    <s v="Advantage Metal"/>
    <m/>
    <n v="63"/>
    <n v="3.15E-2"/>
    <n v="0.35"/>
    <n v="22.05"/>
    <n v="0"/>
    <n v="22.05"/>
    <s v="zhmouw"/>
    <m/>
    <m/>
  </r>
  <r>
    <x v="91"/>
    <s v="CC compactor"/>
    <x v="5"/>
    <x v="11"/>
    <s v="RockTenn"/>
    <m/>
    <n v="5900"/>
    <n v="2.95"/>
    <n v="25"/>
    <n v="73.75"/>
    <n v="0"/>
    <n v="73.75"/>
    <n v="3254874"/>
    <n v="190157"/>
    <d v="2012-11-20T00:00:00"/>
  </r>
  <r>
    <x v="91"/>
    <s v="Warehouse"/>
    <x v="6"/>
    <x v="12"/>
    <s v="Ripple"/>
    <m/>
    <n v="336"/>
    <n v="0.16800000000000001"/>
    <m/>
    <m/>
    <m/>
    <m/>
    <m/>
    <m/>
    <m/>
  </r>
  <r>
    <x v="92"/>
    <s v="Warehouse"/>
    <x v="3"/>
    <x v="8"/>
    <s v="Unicor"/>
    <m/>
    <n v="10142"/>
    <n v="5.0709999999999997"/>
    <m/>
    <m/>
    <m/>
    <m/>
    <m/>
    <m/>
    <m/>
  </r>
  <r>
    <x v="93"/>
    <s v="All/Dumpsters"/>
    <x v="5"/>
    <x v="11"/>
    <s v="RockTenn/Abitibi"/>
    <m/>
    <n v="5329"/>
    <n v="2.6644999999999999"/>
    <m/>
    <m/>
    <m/>
    <m/>
    <m/>
    <m/>
    <m/>
  </r>
  <r>
    <x v="94"/>
    <s v="Abitibi Correction"/>
    <x v="3"/>
    <x v="28"/>
    <s v="RockTenn"/>
    <m/>
    <m/>
    <n v="0"/>
    <e v="#DIV/0!"/>
    <n v="486.4"/>
    <n v="0"/>
    <n v="486.4"/>
    <m/>
    <n v="191066"/>
    <d v="2012-12-06T00:00:00"/>
  </r>
  <r>
    <x v="95"/>
    <s v="CC compactor"/>
    <x v="5"/>
    <x v="11"/>
    <s v="RockTenn"/>
    <m/>
    <n v="1600"/>
    <n v="0.8"/>
    <n v="25"/>
    <n v="20"/>
    <n v="0"/>
    <n v="20"/>
    <n v="3255584"/>
    <n v="194033"/>
    <d v="2013-01-08T00:00:00"/>
  </r>
  <r>
    <x v="96"/>
    <s v="Warehouse"/>
    <x v="6"/>
    <x v="12"/>
    <s v="Ripple"/>
    <m/>
    <n v="336"/>
    <n v="0.16800000000000001"/>
    <m/>
    <m/>
    <m/>
    <m/>
    <m/>
    <m/>
    <m/>
  </r>
  <r>
    <x v="96"/>
    <s v="CC compactor"/>
    <x v="5"/>
    <x v="11"/>
    <s v="RockTenn"/>
    <m/>
    <n v="9680"/>
    <n v="4.84"/>
    <n v="25"/>
    <n v="121"/>
    <n v="0"/>
    <n v="121"/>
    <n v="3255584"/>
    <n v="194033"/>
    <d v="2013-01-08T00:00:00"/>
  </r>
  <r>
    <x v="96"/>
    <s v="CSB Trailer"/>
    <x v="0"/>
    <x v="0"/>
    <s v="RockTenn"/>
    <m/>
    <n v="8615"/>
    <n v="4.3075000000000001"/>
    <n v="70.001160766105627"/>
    <n v="301.52999999999997"/>
    <n v="0"/>
    <n v="301.52999999999997"/>
    <n v="3255696"/>
    <n v="194823"/>
    <d v="2013-01-07T00:00:00"/>
  </r>
  <r>
    <x v="96"/>
    <s v="CSB Trailer"/>
    <x v="0"/>
    <x v="4"/>
    <s v="RockTenn"/>
    <m/>
    <n v="435"/>
    <n v="0.2175"/>
    <n v="5.0114942528735638"/>
    <n v="1.0900000000000001"/>
    <n v="0"/>
    <n v="1.0900000000000001"/>
    <n v="3255696"/>
    <n v="194823"/>
    <d v="2013-01-07T00:00:00"/>
  </r>
  <r>
    <x v="96"/>
    <s v="CSB Trailer"/>
    <x v="0"/>
    <x v="3"/>
    <s v="RockTenn"/>
    <m/>
    <n v="3365"/>
    <n v="1.6825000000000001"/>
    <n v="60"/>
    <n v="100.95"/>
    <n v="0"/>
    <n v="100.95"/>
    <n v="3255696"/>
    <n v="194823"/>
    <d v="2013-01-07T00:00:00"/>
  </r>
  <r>
    <x v="97"/>
    <s v="south compactor"/>
    <x v="10"/>
    <x v="29"/>
    <s v="Deffenbaugh"/>
    <m/>
    <n v="1925"/>
    <n v="0.96250000000000002"/>
    <m/>
    <m/>
    <m/>
    <n v="-96.25"/>
    <n v="3255696"/>
    <n v="194033"/>
    <d v="2013-01-08T00:00:00"/>
  </r>
  <r>
    <x v="97"/>
    <s v="south compactor"/>
    <x v="10"/>
    <x v="29"/>
    <s v="RockTenn"/>
    <m/>
    <n v="1925"/>
    <n v="0.96250000000000002"/>
    <n v="-100"/>
    <n v="-96.25"/>
    <n v="0"/>
    <n v="-96.25"/>
    <n v="3255696"/>
    <n v="194033"/>
    <d v="2013-01-08T00:00:00"/>
  </r>
  <r>
    <x v="98"/>
    <s v="south Compound"/>
    <x v="9"/>
    <x v="19"/>
    <s v="Advantage Metal"/>
    <m/>
    <n v="3200"/>
    <n v="1.6"/>
    <n v="7.0000000000000007E-2"/>
    <n v="224"/>
    <n v="180"/>
    <n v="44"/>
    <s v="TLXQKL"/>
    <m/>
    <m/>
  </r>
  <r>
    <x v="99"/>
    <s v="All/Dumpsters"/>
    <x v="5"/>
    <x v="11"/>
    <s v="RockTenn/Abitibi"/>
    <m/>
    <n v="5329"/>
    <n v="2.6644999999999999"/>
    <m/>
    <m/>
    <m/>
    <m/>
    <m/>
    <m/>
    <m/>
  </r>
  <r>
    <x v="100"/>
    <s v="CC compactor"/>
    <x v="5"/>
    <x v="11"/>
    <s v="RockTenn"/>
    <m/>
    <n v="9740"/>
    <n v="4.87"/>
    <n v="25"/>
    <n v="121.75"/>
    <n v="0"/>
    <n v="121.75"/>
    <n v="3256283"/>
    <m/>
    <d v="2013-02-11T00:00:00"/>
  </r>
  <r>
    <x v="100"/>
    <s v="south Compound"/>
    <x v="10"/>
    <x v="29"/>
    <s v="RockTenn"/>
    <m/>
    <n v="9500"/>
    <n v="4.75"/>
    <n v="-100"/>
    <n v="-475"/>
    <n v="0"/>
    <n v="-475"/>
    <n v="3256208"/>
    <m/>
    <d v="2013-02-11T00:00:00"/>
  </r>
  <r>
    <x v="100"/>
    <s v="south Compound"/>
    <x v="10"/>
    <x v="29"/>
    <s v="Deffenbaugh"/>
    <m/>
    <n v="0"/>
    <n v="0"/>
    <m/>
    <m/>
    <m/>
    <n v="510"/>
    <m/>
    <n v="201385"/>
    <m/>
  </r>
  <r>
    <x v="101"/>
    <s v="south Compound"/>
    <x v="10"/>
    <x v="29"/>
    <s v="RockTenn"/>
    <m/>
    <n v="700"/>
    <n v="0.35"/>
    <n v="-100"/>
    <n v="-35"/>
    <n v="0"/>
    <n v="-35"/>
    <n v="356277"/>
    <m/>
    <d v="2013-02-11T00:00:00"/>
  </r>
  <r>
    <x v="102"/>
    <s v="Warehouse"/>
    <x v="6"/>
    <x v="12"/>
    <s v="Ripple"/>
    <m/>
    <n v="336"/>
    <n v="0.16800000000000001"/>
    <m/>
    <m/>
    <m/>
    <m/>
    <m/>
    <m/>
    <m/>
  </r>
  <r>
    <x v="103"/>
    <s v="South Compound 20yd"/>
    <x v="8"/>
    <x v="30"/>
    <s v="Missouri Organic"/>
    <m/>
    <n v="3440"/>
    <n v="1.72"/>
    <n v="0"/>
    <n v="0"/>
    <n v="210"/>
    <m/>
    <n v="4263"/>
    <m/>
    <m/>
  </r>
  <r>
    <x v="104"/>
    <s v="CSB Trailer"/>
    <x v="0"/>
    <x v="0"/>
    <s v="RockTenn"/>
    <m/>
    <n v="8600"/>
    <n v="4.3"/>
    <n v="80"/>
    <n v="344"/>
    <n v="0"/>
    <n v="344"/>
    <n v="486403"/>
    <m/>
    <d v="2013-02-11T00:00:00"/>
  </r>
  <r>
    <x v="104"/>
    <s v="CSB Trailer"/>
    <x v="0"/>
    <x v="4"/>
    <s v="RockTenn"/>
    <m/>
    <n v="200"/>
    <n v="0.1"/>
    <n v="5"/>
    <n v="0.5"/>
    <n v="0"/>
    <n v="0.5"/>
    <n v="486403"/>
    <m/>
    <d v="2013-02-11T00:00:00"/>
  </r>
  <r>
    <x v="104"/>
    <s v="CSB Trailer"/>
    <x v="0"/>
    <x v="3"/>
    <s v="RockTenn"/>
    <m/>
    <n v="2470"/>
    <n v="1.2350000000000001"/>
    <n v="59.999999999999993"/>
    <n v="74.099999999999994"/>
    <n v="0"/>
    <n v="74.099999999999994"/>
    <n v="486403"/>
    <m/>
    <d v="2013-02-11T00:00:00"/>
  </r>
  <r>
    <x v="105"/>
    <s v="CC compactor"/>
    <x v="5"/>
    <x v="11"/>
    <s v="RockTenn"/>
    <m/>
    <n v="7920"/>
    <n v="3.96"/>
    <n v="25"/>
    <n v="99"/>
    <n v="0"/>
    <n v="99"/>
    <n v="3256769"/>
    <n v="198300"/>
    <d v="2013-02-25T00:00:00"/>
  </r>
  <r>
    <x v="106"/>
    <s v="All/Dumpsters"/>
    <x v="5"/>
    <x v="11"/>
    <s v="Deffenbaugh"/>
    <m/>
    <n v="5000"/>
    <n v="2.5"/>
    <m/>
    <m/>
    <m/>
    <m/>
    <m/>
    <m/>
    <m/>
  </r>
  <r>
    <x v="106"/>
    <s v="Warehouse"/>
    <x v="3"/>
    <x v="9"/>
    <s v="Call2recycle"/>
    <m/>
    <s v="?"/>
    <s v="?"/>
    <m/>
    <m/>
    <m/>
    <m/>
    <m/>
    <m/>
    <m/>
  </r>
  <r>
    <x v="106"/>
    <s v="Book  Store"/>
    <x v="3"/>
    <x v="10"/>
    <s v="One Planet books"/>
    <s v="530 boxes"/>
    <n v="21200"/>
    <n v="10.6"/>
    <m/>
    <m/>
    <m/>
    <n v="5300"/>
    <m/>
    <m/>
    <m/>
  </r>
  <r>
    <x v="106"/>
    <s v="south Compound"/>
    <x v="7"/>
    <x v="13"/>
    <s v="JCCC"/>
    <n v="111"/>
    <n v="38850"/>
    <n v="19.425000000000001"/>
    <m/>
    <m/>
    <m/>
    <m/>
    <m/>
    <m/>
    <m/>
  </r>
  <r>
    <x v="106"/>
    <s v="south Compound"/>
    <x v="8"/>
    <x v="14"/>
    <s v="JCCC"/>
    <n v="50"/>
    <n v="17500"/>
    <n v="8.75"/>
    <m/>
    <m/>
    <m/>
    <m/>
    <m/>
    <m/>
    <m/>
  </r>
  <r>
    <x v="107"/>
    <s v="south Compound"/>
    <x v="9"/>
    <x v="19"/>
    <s v="Advantage Metal"/>
    <m/>
    <n v="10780"/>
    <n v="5.39"/>
    <n v="0.10249999999999999"/>
    <n v="1104.95"/>
    <n v="180"/>
    <n v="924.95"/>
    <s v="tmjqtq"/>
    <m/>
    <m/>
  </r>
  <r>
    <x v="108"/>
    <s v="CC compactor"/>
    <x v="5"/>
    <x v="11"/>
    <s v="Deffenbaugh"/>
    <m/>
    <n v="3100"/>
    <n v="1.55"/>
    <n v="25"/>
    <n v="38.75"/>
    <n v="0"/>
    <n v="38.75"/>
    <n v="3257044"/>
    <n v="199143"/>
    <m/>
  </r>
  <r>
    <x v="108"/>
    <s v="SC compactor"/>
    <x v="5"/>
    <x v="11"/>
    <s v="Deffenbaugh"/>
    <m/>
    <n v="9520"/>
    <n v="4.76"/>
    <n v="25"/>
    <n v="119"/>
    <n v="0"/>
    <n v="119"/>
    <n v="3257054"/>
    <n v="199143"/>
    <m/>
  </r>
  <r>
    <x v="109"/>
    <s v="Gym"/>
    <x v="8"/>
    <x v="31"/>
    <s v="BCD sales"/>
    <n v="30"/>
    <n v="1110"/>
    <n v="0.55500000000000005"/>
    <m/>
    <m/>
    <m/>
    <n v="72"/>
    <m/>
    <m/>
    <m/>
  </r>
  <r>
    <x v="110"/>
    <s v="CSB Trailer"/>
    <x v="0"/>
    <x v="0"/>
    <s v="RockTenn"/>
    <m/>
    <n v="7635"/>
    <n v="3.8174999999999999"/>
    <n v="80"/>
    <n v="305.39999999999998"/>
    <n v="0"/>
    <n v="305.39999999999998"/>
    <n v="3257303"/>
    <n v="200210"/>
    <m/>
  </r>
  <r>
    <x v="110"/>
    <s v="CSB Trailer"/>
    <x v="0"/>
    <x v="3"/>
    <s v="RockTenn"/>
    <m/>
    <n v="2955"/>
    <n v="1.4775"/>
    <n v="60"/>
    <n v="88.65"/>
    <n v="0"/>
    <n v="88.65"/>
    <n v="3257303"/>
    <n v="200210"/>
    <m/>
  </r>
  <r>
    <x v="111"/>
    <s v="South Compound 20yd"/>
    <x v="8"/>
    <x v="30"/>
    <s v="Missouri Organic"/>
    <m/>
    <n v="4420"/>
    <n v="2.21"/>
    <n v="0"/>
    <n v="0"/>
    <n v="210"/>
    <m/>
    <n v="4533"/>
    <m/>
    <m/>
  </r>
  <r>
    <x v="112"/>
    <s v="Warehouse"/>
    <x v="6"/>
    <x v="12"/>
    <s v="Ripple"/>
    <m/>
    <n v="336"/>
    <n v="0.16800000000000001"/>
    <m/>
    <m/>
    <m/>
    <m/>
    <m/>
    <m/>
    <m/>
  </r>
  <r>
    <x v="113"/>
    <s v="All/Dumpsters"/>
    <x v="5"/>
    <x v="11"/>
    <s v="Deffenbaugh"/>
    <m/>
    <n v="5000"/>
    <n v="2.5"/>
    <m/>
    <m/>
    <m/>
    <m/>
    <m/>
    <m/>
    <m/>
  </r>
  <r>
    <x v="114"/>
    <s v="south Compound"/>
    <x v="9"/>
    <x v="19"/>
    <s v="Advantage Metal"/>
    <m/>
    <n v="4620"/>
    <n v="2.31"/>
    <n v="9.2499999999999999E-2"/>
    <n v="427.35"/>
    <n v="180"/>
    <n v="247.35"/>
    <s v="TMTiHN"/>
    <m/>
    <m/>
  </r>
  <r>
    <x v="115"/>
    <s v="CC compactor"/>
    <x v="5"/>
    <x v="11"/>
    <s v="Deffenbaugh"/>
    <m/>
    <n v="7000"/>
    <n v="3.5"/>
    <m/>
    <m/>
    <m/>
    <m/>
    <m/>
    <m/>
    <m/>
  </r>
  <r>
    <x v="116"/>
    <s v="SC compactor"/>
    <x v="5"/>
    <x v="11"/>
    <s v="Town Country"/>
    <m/>
    <n v="5320"/>
    <n v="2.66"/>
    <n v="49"/>
    <n v="130.34"/>
    <n v="85"/>
    <n v="45.34"/>
    <n v="174786"/>
    <n v="200589"/>
    <d v="2013-03-27T00:00:00"/>
  </r>
  <r>
    <x v="117"/>
    <s v="Warehouse"/>
    <x v="3"/>
    <x v="8"/>
    <s v="Unicor"/>
    <m/>
    <n v="4450"/>
    <n v="2.2250000000000001"/>
    <m/>
    <m/>
    <m/>
    <m/>
    <m/>
    <m/>
    <m/>
  </r>
  <r>
    <x v="118"/>
    <s v="South Compound 20yd"/>
    <x v="8"/>
    <x v="30"/>
    <s v="Missouri Organic"/>
    <m/>
    <n v="4840"/>
    <n v="2.42"/>
    <n v="0"/>
    <n v="0"/>
    <n v="210"/>
    <m/>
    <n v="4779"/>
    <m/>
    <m/>
  </r>
  <r>
    <x v="119"/>
    <s v="Warehouse"/>
    <x v="6"/>
    <x v="12"/>
    <s v="Ripple"/>
    <m/>
    <n v="336"/>
    <n v="0.16800000000000001"/>
    <m/>
    <m/>
    <m/>
    <m/>
    <m/>
    <m/>
    <m/>
  </r>
  <r>
    <x v="119"/>
    <s v="All/Dumpsters"/>
    <x v="5"/>
    <x v="11"/>
    <s v="Deffenbaugh"/>
    <m/>
    <n v="5000"/>
    <n v="2.5"/>
    <m/>
    <m/>
    <m/>
    <m/>
    <m/>
    <m/>
    <m/>
  </r>
  <r>
    <x v="119"/>
    <s v="Warehouse"/>
    <x v="3"/>
    <x v="8"/>
    <s v="Vintage Tech"/>
    <m/>
    <n v="1825"/>
    <n v="0.91249999999999998"/>
    <m/>
    <m/>
    <m/>
    <m/>
    <m/>
    <m/>
    <m/>
  </r>
  <r>
    <x v="119"/>
    <s v="All/Dumpsters"/>
    <x v="5"/>
    <x v="11"/>
    <s v="Town Country"/>
    <m/>
    <n v="17347.2"/>
    <n v="8.6736000000000004"/>
    <m/>
    <m/>
    <m/>
    <m/>
    <m/>
    <m/>
    <m/>
  </r>
  <r>
    <x v="120"/>
    <s v="CC compactor"/>
    <x v="5"/>
    <x v="11"/>
    <s v="Town Country"/>
    <m/>
    <n v="6760"/>
    <n v="3.38"/>
    <n v="38.5"/>
    <n v="130.13"/>
    <n v="85"/>
    <n v="45.13"/>
    <n v="206154"/>
    <n v="230249"/>
    <d v="2014-04-02T00:00:00"/>
  </r>
  <r>
    <x v="121"/>
    <s v="CC compactor"/>
    <x v="5"/>
    <x v="11"/>
    <s v="Town Country"/>
    <m/>
    <n v="8740"/>
    <n v="4.37"/>
    <n v="49"/>
    <n v="214.13"/>
    <n v="85"/>
    <n v="129.13"/>
    <n v="176689"/>
    <n v="202290"/>
    <d v="2013-04-17T00:00:00"/>
  </r>
  <r>
    <x v="122"/>
    <s v="Gym"/>
    <x v="9"/>
    <x v="19"/>
    <s v="Advantage Metal"/>
    <m/>
    <n v="3160"/>
    <n v="1.58"/>
    <n v="9.5200000000000007E-2"/>
    <n v="331.8"/>
    <n v="180"/>
    <n v="151.80000000000001"/>
    <s v="TNDHHC"/>
    <n v="200106"/>
    <d v="2013-03-20T00:00:00"/>
  </r>
  <r>
    <x v="123"/>
    <s v="Gym"/>
    <x v="9"/>
    <x v="19"/>
    <s v="Advantage Metal"/>
    <m/>
    <n v="3580"/>
    <n v="1.79"/>
    <n v="0.105"/>
    <n v="375.9"/>
    <n v="180"/>
    <n v="195.9"/>
    <s v="TNDSXQ"/>
    <n v="200338"/>
    <d v="2013-03-25T00:00:00"/>
  </r>
  <r>
    <x v="124"/>
    <s v="Warehouse"/>
    <x v="6"/>
    <x v="12"/>
    <s v="Ripple"/>
    <m/>
    <n v="336"/>
    <n v="0.16800000000000001"/>
    <m/>
    <m/>
    <m/>
    <m/>
    <m/>
    <m/>
    <m/>
  </r>
  <r>
    <x v="125"/>
    <s v="CC compactor"/>
    <x v="5"/>
    <x v="11"/>
    <s v="Town Country"/>
    <m/>
    <n v="9680"/>
    <n v="4.84"/>
    <n v="49"/>
    <n v="237.16"/>
    <n v="85"/>
    <n v="152.16"/>
    <n v="178626"/>
    <n v="202290"/>
    <d v="2013-04-17T00:00:00"/>
  </r>
  <r>
    <x v="125"/>
    <s v="All/Dumpsters"/>
    <x v="5"/>
    <x v="11"/>
    <s v="Town Country"/>
    <m/>
    <n v="17347.2"/>
    <n v="8.6736000000000004"/>
    <m/>
    <m/>
    <m/>
    <m/>
    <m/>
    <m/>
    <m/>
  </r>
  <r>
    <x v="126"/>
    <s v="CSB Trailer"/>
    <x v="0"/>
    <x v="0"/>
    <s v="Town Country"/>
    <m/>
    <n v="12192"/>
    <n v="6.0960000000000001"/>
    <n v="126"/>
    <n v="768.1"/>
    <n v="100"/>
    <n v="668.1"/>
    <n v="178827"/>
    <n v="207227"/>
    <d v="2013-06-24T00:00:00"/>
  </r>
  <r>
    <x v="126"/>
    <s v="CSB Trailer"/>
    <x v="1"/>
    <x v="1"/>
    <s v="Town Country"/>
    <m/>
    <n v="448"/>
    <n v="0.224"/>
    <n v="90"/>
    <n v="20.16"/>
    <n v="0"/>
    <n v="20.16"/>
    <n v="178827"/>
    <n v="207227"/>
    <d v="2013-06-24T00:00:00"/>
  </r>
  <r>
    <x v="126"/>
    <s v="CSB Trailer"/>
    <x v="0"/>
    <x v="3"/>
    <s v="Town Country"/>
    <m/>
    <n v="187"/>
    <n v="9.35E-2"/>
    <n v="49.5"/>
    <n v="4.6500000000000004"/>
    <n v="0"/>
    <n v="4.6500000000000004"/>
    <n v="178827"/>
    <n v="207227"/>
    <d v="2013-06-24T00:00:00"/>
  </r>
  <r>
    <x v="126"/>
    <s v="CSB Trailer"/>
    <x v="8"/>
    <x v="31"/>
    <s v="Town Country"/>
    <m/>
    <n v="902"/>
    <n v="0.45100000000000001"/>
    <n v="0"/>
    <m/>
    <m/>
    <m/>
    <n v="178827"/>
    <n v="207227"/>
    <d v="2013-06-24T00:00:00"/>
  </r>
  <r>
    <x v="126"/>
    <s v="CSB Trailer"/>
    <x v="5"/>
    <x v="32"/>
    <s v="Town Country"/>
    <m/>
    <n v="1406"/>
    <n v="0.70299999999999996"/>
    <n v="49.52"/>
    <n v="4.6500000000000004"/>
    <n v="0"/>
    <n v="4.6500000000000004"/>
    <n v="178827"/>
    <n v="207227"/>
    <d v="2013-06-24T00:00:00"/>
  </r>
  <r>
    <x v="127"/>
    <s v="South compound 30yd"/>
    <x v="8"/>
    <x v="30"/>
    <s v="Missouri Organic"/>
    <m/>
    <n v="3760"/>
    <n v="1.88"/>
    <m/>
    <m/>
    <n v="230"/>
    <m/>
    <m/>
    <m/>
    <m/>
  </r>
  <r>
    <x v="127"/>
    <s v="south Compound"/>
    <x v="9"/>
    <x v="19"/>
    <s v="Advantage Metal"/>
    <m/>
    <n v="7560"/>
    <n v="3.78"/>
    <n v="0.1"/>
    <n v="756"/>
    <n v="180"/>
    <n v="576"/>
    <s v="TNJSOP"/>
    <m/>
    <m/>
  </r>
  <r>
    <x v="128"/>
    <s v="SC compactor"/>
    <x v="5"/>
    <x v="11"/>
    <s v="Town Country"/>
    <m/>
    <n v="5540"/>
    <n v="2.77"/>
    <n v="49"/>
    <n v="135.72999999999999"/>
    <n v="85"/>
    <n v="50.73"/>
    <n v="179724"/>
    <n v="207227"/>
    <d v="2013-06-24T00:00:00"/>
  </r>
  <r>
    <x v="129"/>
    <s v="CC compactor"/>
    <x v="5"/>
    <x v="11"/>
    <s v="Town Country"/>
    <m/>
    <n v="10320"/>
    <n v="5.16"/>
    <n v="49"/>
    <n v="252.84"/>
    <n v="85"/>
    <n v="167.84"/>
    <n v="181018"/>
    <n v="207227"/>
    <d v="2013-06-24T00:00:00"/>
  </r>
  <r>
    <x v="130"/>
    <s v="Warehouse"/>
    <x v="6"/>
    <x v="12"/>
    <s v="Ripple"/>
    <m/>
    <n v="336"/>
    <n v="0.16800000000000001"/>
    <m/>
    <m/>
    <m/>
    <m/>
    <m/>
    <m/>
    <m/>
  </r>
  <r>
    <x v="131"/>
    <s v="South compound 30yd"/>
    <x v="8"/>
    <x v="30"/>
    <s v="Missouri Organic"/>
    <m/>
    <n v="4740"/>
    <n v="2.37"/>
    <m/>
    <m/>
    <n v="230"/>
    <m/>
    <m/>
    <m/>
    <m/>
  </r>
  <r>
    <x v="131"/>
    <s v="All/Dumpsters"/>
    <x v="5"/>
    <x v="11"/>
    <s v="Town Country"/>
    <m/>
    <n v="17347.2"/>
    <n v="2.37"/>
    <m/>
    <m/>
    <m/>
    <m/>
    <m/>
    <m/>
    <m/>
  </r>
  <r>
    <x v="132"/>
    <s v="South compound 30yd"/>
    <x v="8"/>
    <x v="30"/>
    <s v="Missouri Organic"/>
    <m/>
    <n v="3840"/>
    <n v="1.92"/>
    <m/>
    <m/>
    <n v="230"/>
    <m/>
    <m/>
    <m/>
    <m/>
  </r>
  <r>
    <x v="133"/>
    <s v="south Compound"/>
    <x v="9"/>
    <x v="19"/>
    <s v="Advantage Metal"/>
    <m/>
    <n v="7000"/>
    <n v="3.5"/>
    <n v="8.5000000000000006E-2"/>
    <n v="595"/>
    <n v="180"/>
    <n v="415"/>
    <s v="TNVQPE"/>
    <n v="205135"/>
    <d v="2013-05-24T00:00:00"/>
  </r>
  <r>
    <x v="133"/>
    <s v="CC compactor"/>
    <x v="5"/>
    <x v="11"/>
    <s v="Town Country"/>
    <m/>
    <n v="15600"/>
    <n v="7.8"/>
    <n v="45.5"/>
    <n v="354.9"/>
    <n v="85"/>
    <n v="269.89999999999998"/>
    <n v="183227"/>
    <n v="208258"/>
    <d v="2013-07-10T00:00:00"/>
  </r>
  <r>
    <x v="134"/>
    <s v="Warehouse"/>
    <x v="6"/>
    <x v="12"/>
    <s v="Ripple"/>
    <m/>
    <n v="336"/>
    <n v="0.16800000000000001"/>
    <m/>
    <m/>
    <m/>
    <m/>
    <m/>
    <m/>
    <m/>
  </r>
  <r>
    <x v="135"/>
    <s v="All/Dumpsters"/>
    <x v="5"/>
    <x v="11"/>
    <s v="Town Country"/>
    <m/>
    <n v="17347.2"/>
    <n v="7.8"/>
    <m/>
    <m/>
    <m/>
    <m/>
    <m/>
    <m/>
    <m/>
  </r>
  <r>
    <x v="136"/>
    <s v="South compound 30yd"/>
    <x v="8"/>
    <x v="30"/>
    <s v="Missouri Organic"/>
    <m/>
    <n v="11140"/>
    <n v="5.57"/>
    <m/>
    <m/>
    <n v="230"/>
    <m/>
    <n v="5790"/>
    <m/>
    <m/>
  </r>
  <r>
    <x v="137"/>
    <s v="Warehouse"/>
    <x v="3"/>
    <x v="8"/>
    <s v="MRC"/>
    <n v="3"/>
    <n v="3013"/>
    <n v="1.5065"/>
    <m/>
    <m/>
    <m/>
    <m/>
    <m/>
    <m/>
    <m/>
  </r>
  <r>
    <x v="138"/>
    <s v="Warehouse"/>
    <x v="3"/>
    <x v="8"/>
    <s v="MRC"/>
    <n v="2"/>
    <n v="1854"/>
    <n v="0.92700000000000005"/>
    <m/>
    <m/>
    <m/>
    <m/>
    <m/>
    <m/>
    <m/>
  </r>
  <r>
    <x v="139"/>
    <s v="CSB Trailer"/>
    <x v="0"/>
    <x v="0"/>
    <s v="Town Country"/>
    <m/>
    <n v="13336"/>
    <n v="6.6680000000000001"/>
    <n v="112.5"/>
    <n v="750.15"/>
    <n v="100"/>
    <n v="650.15"/>
    <n v="185343"/>
    <n v="214007"/>
    <d v="2013-09-05T00:00:00"/>
  </r>
  <r>
    <x v="139"/>
    <s v="CSB Trailer"/>
    <x v="0"/>
    <x v="0"/>
    <s v="Town Country"/>
    <m/>
    <n v="240"/>
    <n v="0.12"/>
    <n v="81"/>
    <n v="9.7200000000000006"/>
    <n v="0"/>
    <n v="9.7200000000000006"/>
    <n v="185343"/>
    <n v="214007"/>
    <d v="2013-09-05T00:00:00"/>
  </r>
  <r>
    <x v="139"/>
    <s v="CSB Trailer"/>
    <x v="8"/>
    <x v="31"/>
    <s v="Town Country"/>
    <m/>
    <n v="664"/>
    <n v="0.33200000000000002"/>
    <n v="0"/>
    <n v="0"/>
    <n v="0"/>
    <n v="0"/>
    <n v="185343"/>
    <n v="214007"/>
    <d v="2013-09-05T00:00:00"/>
  </r>
  <r>
    <x v="140"/>
    <s v="Delivered"/>
    <x v="9"/>
    <x v="15"/>
    <s v="Advantage Metal"/>
    <m/>
    <n v="909"/>
    <n v="0.45450000000000002"/>
    <n v="0.65"/>
    <n v="590.85"/>
    <n v="0"/>
    <n v="590.85"/>
    <s v="ZJEHIY"/>
    <n v="206994"/>
    <d v="2013-05-18T00:00:00"/>
  </r>
  <r>
    <x v="140"/>
    <s v="Delivered"/>
    <x v="9"/>
    <x v="23"/>
    <s v="Advantage Metal"/>
    <m/>
    <n v="188"/>
    <n v="9.4E-2"/>
    <n v="0.51"/>
    <n v="95.88"/>
    <n v="0"/>
    <n v="95.88"/>
    <s v="ZJEHIY"/>
    <n v="206994"/>
    <d v="2013-05-18T00:00:00"/>
  </r>
  <r>
    <x v="140"/>
    <s v="Delivered"/>
    <x v="9"/>
    <x v="33"/>
    <s v="Advantage Metal"/>
    <m/>
    <n v="119"/>
    <n v="5.9499999999999997E-2"/>
    <n v="0.5"/>
    <n v="59.5"/>
    <n v="0"/>
    <n v="59.5"/>
    <s v="ZJEHIY"/>
    <n v="206994"/>
    <d v="2013-05-18T00:00:00"/>
  </r>
  <r>
    <x v="140"/>
    <s v="Delivered"/>
    <x v="9"/>
    <x v="25"/>
    <s v="Advantage Metal"/>
    <m/>
    <n v="112"/>
    <n v="5.6000000000000001E-2"/>
    <n v="1.47"/>
    <n v="164.64"/>
    <n v="0"/>
    <n v="164.64"/>
    <s v="ZJEHIY"/>
    <n v="206994"/>
    <d v="2013-05-18T00:00:00"/>
  </r>
  <r>
    <x v="140"/>
    <s v="Delivered"/>
    <x v="9"/>
    <x v="34"/>
    <s v="Advantage Metal"/>
    <m/>
    <n v="92"/>
    <n v="4.5999999999999999E-2"/>
    <n v="0.35"/>
    <n v="32.200000000000003"/>
    <n v="0"/>
    <n v="32.200000000000003"/>
    <s v="ZJEHIY"/>
    <n v="206994"/>
    <d v="2013-05-18T00:00:00"/>
  </r>
  <r>
    <x v="141"/>
    <s v="CC compactor"/>
    <x v="5"/>
    <x v="11"/>
    <s v="Town Country"/>
    <m/>
    <s v="?"/>
    <m/>
    <m/>
    <m/>
    <m/>
    <m/>
    <m/>
    <m/>
    <m/>
  </r>
  <r>
    <x v="142"/>
    <s v="Warehouse"/>
    <x v="6"/>
    <x v="12"/>
    <s v="Ripple"/>
    <m/>
    <n v="336"/>
    <n v="0.16800000000000001"/>
    <m/>
    <m/>
    <m/>
    <m/>
    <m/>
    <m/>
    <m/>
  </r>
  <r>
    <x v="143"/>
    <s v="All/Dumpsters"/>
    <x v="5"/>
    <x v="11"/>
    <s v="Town Country"/>
    <m/>
    <n v="17347.2"/>
    <n v="8.6736000000000004"/>
    <m/>
    <m/>
    <m/>
    <m/>
    <m/>
    <m/>
    <m/>
  </r>
  <r>
    <x v="144"/>
    <s v="Warehouse"/>
    <x v="3"/>
    <x v="8"/>
    <s v="MRC"/>
    <n v="5"/>
    <n v="2724"/>
    <n v="1.3620000000000001"/>
    <m/>
    <m/>
    <m/>
    <m/>
    <m/>
    <m/>
    <m/>
  </r>
  <r>
    <x v="145"/>
    <s v="South compound 30yd"/>
    <x v="8"/>
    <x v="30"/>
    <s v="Missouri Organic"/>
    <m/>
    <n v="4380"/>
    <n v="2.19"/>
    <m/>
    <m/>
    <n v="230"/>
    <m/>
    <m/>
    <m/>
    <m/>
  </r>
  <r>
    <x v="146"/>
    <s v="Warehouse"/>
    <x v="6"/>
    <x v="12"/>
    <s v="Ripple"/>
    <m/>
    <n v="336"/>
    <n v="0.16800000000000001"/>
    <m/>
    <m/>
    <m/>
    <m/>
    <m/>
    <m/>
    <m/>
  </r>
  <r>
    <x v="147"/>
    <s v="South compound 30yd"/>
    <x v="8"/>
    <x v="30"/>
    <s v="Missouri Organic"/>
    <m/>
    <n v="4000"/>
    <n v="2"/>
    <m/>
    <m/>
    <n v="230"/>
    <m/>
    <m/>
    <m/>
    <m/>
  </r>
  <r>
    <x v="147"/>
    <s v="CC compactor"/>
    <x v="5"/>
    <x v="11"/>
    <s v="Town Country"/>
    <m/>
    <n v="13920"/>
    <n v="6.96"/>
    <n v="38.5"/>
    <n v="267.95999999999998"/>
    <n v="85"/>
    <n v="182.96"/>
    <n v="189503"/>
    <n v="214008"/>
    <d v="2013-09-05T00:00:00"/>
  </r>
  <r>
    <x v="147"/>
    <s v="All/Dumpsters"/>
    <x v="5"/>
    <x v="11"/>
    <s v="Town Country"/>
    <m/>
    <n v="17347.2"/>
    <n v="8.6736000000000004"/>
    <m/>
    <m/>
    <m/>
    <m/>
    <m/>
    <m/>
    <m/>
  </r>
  <r>
    <x v="148"/>
    <s v="Warehouse"/>
    <x v="3"/>
    <x v="8"/>
    <s v="MRC"/>
    <n v="5"/>
    <n v="2764"/>
    <n v="1.3819999999999999"/>
    <m/>
    <m/>
    <m/>
    <m/>
    <m/>
    <m/>
    <m/>
  </r>
  <r>
    <x v="149"/>
    <s v="south Compound"/>
    <x v="9"/>
    <x v="19"/>
    <s v="Advantage Metal"/>
    <m/>
    <n v="5880"/>
    <n v="2.94"/>
    <n v="8.5000000000000006E-2"/>
    <n v="499.8"/>
    <n v="180"/>
    <n v="319.8"/>
    <s v="totuhh"/>
    <n v="212215"/>
    <d v="2013-08-16T00:00:00"/>
  </r>
  <r>
    <x v="149"/>
    <s v="Student Center compactor"/>
    <x v="5"/>
    <x v="11"/>
    <s v="Town Country"/>
    <m/>
    <n v="11740"/>
    <n v="5.87"/>
    <n v="38.5"/>
    <n v="226"/>
    <n v="85"/>
    <n v="141"/>
    <n v="190624"/>
    <n v="216044"/>
    <d v="2013-09-24T00:00:00"/>
  </r>
  <r>
    <x v="150"/>
    <s v="CC compactor"/>
    <x v="5"/>
    <x v="11"/>
    <s v="Deffenbaugh"/>
    <m/>
    <n v="6160"/>
    <n v="3.08"/>
    <m/>
    <m/>
    <m/>
    <m/>
    <m/>
    <m/>
    <m/>
  </r>
  <r>
    <x v="151"/>
    <s v="South compound 30yd"/>
    <x v="8"/>
    <x v="30"/>
    <s v="Missouri Organic"/>
    <m/>
    <n v="5820"/>
    <n v="2.91"/>
    <m/>
    <m/>
    <n v="230"/>
    <m/>
    <m/>
    <m/>
    <m/>
  </r>
  <r>
    <x v="152"/>
    <s v="CSB Trailer"/>
    <x v="0"/>
    <x v="0"/>
    <s v="Town Country"/>
    <m/>
    <n v="15060"/>
    <b v="0"/>
    <n v="112.5"/>
    <n v="847.13"/>
    <n v="100"/>
    <n v="747.13"/>
    <n v="191725"/>
    <n v="216044"/>
    <m/>
  </r>
  <r>
    <x v="153"/>
    <s v="Warehouse"/>
    <x v="3"/>
    <x v="9"/>
    <s v="Batteries Solutions"/>
    <m/>
    <n v="8466"/>
    <n v="4.2329999999999997"/>
    <m/>
    <m/>
    <m/>
    <m/>
    <m/>
    <m/>
    <m/>
  </r>
  <r>
    <x v="154"/>
    <s v="CC 8yd"/>
    <x v="5"/>
    <x v="11"/>
    <s v="Deffenbaugh"/>
    <m/>
    <s v="?"/>
    <m/>
    <m/>
    <m/>
    <m/>
    <n v="0"/>
    <m/>
    <m/>
    <m/>
  </r>
  <r>
    <x v="155"/>
    <s v="Warehouse"/>
    <x v="6"/>
    <x v="12"/>
    <s v="Ripple"/>
    <m/>
    <n v="336"/>
    <n v="0.16800000000000001"/>
    <m/>
    <m/>
    <m/>
    <m/>
    <m/>
    <m/>
    <m/>
  </r>
  <r>
    <x v="156"/>
    <s v="All/Dumpsters"/>
    <x v="5"/>
    <x v="11"/>
    <s v="Town Country"/>
    <m/>
    <n v="17347.2"/>
    <n v="8.6736000000000004"/>
    <m/>
    <m/>
    <m/>
    <m/>
    <m/>
    <m/>
    <m/>
  </r>
  <r>
    <x v="157"/>
    <s v="Delivered"/>
    <x v="8"/>
    <x v="31"/>
    <s v="B&amp;T"/>
    <n v="40"/>
    <n v="1480"/>
    <n v="0.74"/>
    <m/>
    <m/>
    <m/>
    <n v="146.5"/>
    <m/>
    <n v="214211"/>
    <d v="2012-09-06T00:00:00"/>
  </r>
  <r>
    <x v="157"/>
    <s v="?"/>
    <x v="11"/>
    <x v="35"/>
    <s v="Heritage-Crystal clean"/>
    <m/>
    <m/>
    <m/>
    <m/>
    <m/>
    <m/>
    <n v="151.19999999999999"/>
    <s v="00-005tnj6"/>
    <n v="215103"/>
    <d v="2013-09-13T00:00:00"/>
  </r>
  <r>
    <x v="157"/>
    <s v="Student Center compactor"/>
    <x v="5"/>
    <x v="11"/>
    <s v="Town Country"/>
    <m/>
    <n v="8940"/>
    <n v="4.47"/>
    <n v="38.5"/>
    <n v="172.1"/>
    <n v="85"/>
    <n v="87.1"/>
    <n v="192498"/>
    <n v="218201"/>
    <d v="2013-10-17T00:00:00"/>
  </r>
  <r>
    <x v="158"/>
    <s v="Warehouse"/>
    <x v="3"/>
    <x v="8"/>
    <s v="MRC"/>
    <n v="6"/>
    <n v="3174"/>
    <n v="1.587"/>
    <m/>
    <m/>
    <m/>
    <m/>
    <m/>
    <m/>
    <m/>
  </r>
  <r>
    <x v="159"/>
    <s v="Warehouse"/>
    <x v="6"/>
    <x v="12"/>
    <s v="Ripple"/>
    <m/>
    <n v="336"/>
    <n v="0.16800000000000001"/>
    <m/>
    <m/>
    <m/>
    <m/>
    <m/>
    <m/>
    <m/>
  </r>
  <r>
    <x v="160"/>
    <s v="All/Dumpsters"/>
    <x v="5"/>
    <x v="11"/>
    <s v="Town Country"/>
    <m/>
    <n v="17347.2"/>
    <n v="8.6736000000000004"/>
    <m/>
    <m/>
    <m/>
    <m/>
    <m/>
    <m/>
    <m/>
  </r>
  <r>
    <x v="161"/>
    <s v="South compound 30yd"/>
    <x v="8"/>
    <x v="30"/>
    <s v="Missouri Organic"/>
    <m/>
    <n v="4080"/>
    <n v="2.04"/>
    <m/>
    <m/>
    <n v="230"/>
    <m/>
    <m/>
    <m/>
    <m/>
  </r>
  <r>
    <x v="162"/>
    <s v="Student Center compactor"/>
    <x v="5"/>
    <x v="11"/>
    <s v="Town Country"/>
    <m/>
    <n v="8920"/>
    <n v="4.46"/>
    <n v="38.5"/>
    <n v="171.71"/>
    <n v="85"/>
    <n v="86.71"/>
    <n v="196037"/>
    <n v="221330"/>
    <d v="2013-12-09T00:00:00"/>
  </r>
  <r>
    <x v="163"/>
    <s v="CC compactor"/>
    <x v="5"/>
    <x v="11"/>
    <s v="Town Country"/>
    <m/>
    <n v="12140"/>
    <n v="6.07"/>
    <n v="38.5"/>
    <n v="233.7"/>
    <n v="85"/>
    <n v="148.69999999999999"/>
    <n v="196575"/>
    <n v="221330"/>
    <d v="2013-12-09T00:00:00"/>
  </r>
  <r>
    <x v="163"/>
    <s v="CSB Trailer"/>
    <x v="0"/>
    <x v="0"/>
    <s v="Town Country"/>
    <m/>
    <n v="15280"/>
    <n v="7.64"/>
    <n v="112.5"/>
    <n v="859.5"/>
    <n v="100"/>
    <n v="759.5"/>
    <n v="200456"/>
    <n v="224655"/>
    <d v="2014-01-14T00:00:00"/>
  </r>
  <r>
    <x v="164"/>
    <s v="Warehouse"/>
    <x v="6"/>
    <x v="12"/>
    <s v="Ripple"/>
    <m/>
    <n v="336"/>
    <n v="0.16800000000000001"/>
    <m/>
    <m/>
    <m/>
    <m/>
    <m/>
    <m/>
    <m/>
  </r>
  <r>
    <x v="165"/>
    <s v="Delivered"/>
    <x v="8"/>
    <x v="31"/>
    <s v="B&amp;T"/>
    <n v="40"/>
    <n v="1480"/>
    <n v="0.74"/>
    <m/>
    <m/>
    <m/>
    <n v="108.5"/>
    <m/>
    <n v="219248"/>
    <d v="2013-10-31T00:00:00"/>
  </r>
  <r>
    <x v="165"/>
    <s v="All/Dumpsters"/>
    <x v="5"/>
    <x v="11"/>
    <s v="Town Country"/>
    <m/>
    <n v="17347.2"/>
    <n v="8.6736000000000004"/>
    <m/>
    <m/>
    <m/>
    <m/>
    <m/>
    <m/>
    <m/>
  </r>
  <r>
    <x v="166"/>
    <s v="Delivered"/>
    <x v="9"/>
    <x v="19"/>
    <s v="Advantage Metal"/>
    <m/>
    <n v="1259"/>
    <n v="0.62949999999999995"/>
    <n v="8.5000000000000006E-2"/>
    <n v="8.5000000000000006E-2"/>
    <n v="0"/>
    <n v="107.02"/>
    <s v="zkemnw"/>
    <n v="219794"/>
    <d v="2013-11-11T00:00:00"/>
  </r>
  <r>
    <x v="166"/>
    <s v="Delivered"/>
    <x v="9"/>
    <x v="33"/>
    <s v="Advantage Metal"/>
    <m/>
    <n v="9"/>
    <n v="4.4999999999999997E-3"/>
    <n v="0.2"/>
    <n v="1.8"/>
    <n v="0"/>
    <n v="1.8"/>
    <s v="zkemnw"/>
    <n v="219794"/>
    <d v="2013-11-11T00:00:00"/>
  </r>
  <r>
    <x v="166"/>
    <s v="Delivered"/>
    <x v="9"/>
    <x v="34"/>
    <s v="Advantage Metal"/>
    <m/>
    <n v="400"/>
    <n v="0.2"/>
    <n v="0.35"/>
    <n v="140"/>
    <n v="0"/>
    <n v="140"/>
    <s v="ZJEHIY"/>
    <n v="219794"/>
    <d v="2013-11-11T00:00:00"/>
  </r>
  <r>
    <x v="167"/>
    <s v="south Compound"/>
    <x v="9"/>
    <x v="19"/>
    <s v="Advantage Metal"/>
    <m/>
    <n v="7680"/>
    <n v="3.84"/>
    <n v="0.09"/>
    <n v="710.4"/>
    <n v="180"/>
    <n v="530.4"/>
    <s v="tpskdo"/>
    <n v="220751"/>
    <d v="2013-11-26T00:00:00"/>
  </r>
  <r>
    <x v="168"/>
    <s v="Warehouse"/>
    <x v="3"/>
    <x v="36"/>
    <s v="Clover Technologies"/>
    <n v="433"/>
    <m/>
    <m/>
    <m/>
    <m/>
    <m/>
    <n v="496.05"/>
    <s v="POC05365"/>
    <n v="221649"/>
    <d v="2013-12-12T00:00:00"/>
  </r>
  <r>
    <x v="169"/>
    <s v="Warehouse"/>
    <x v="3"/>
    <x v="8"/>
    <s v="MRC"/>
    <n v="5"/>
    <n v="1347"/>
    <n v="0.67349999999999999"/>
    <m/>
    <m/>
    <m/>
    <m/>
    <m/>
    <m/>
    <m/>
  </r>
  <r>
    <x v="170"/>
    <s v="South compound 30yd"/>
    <x v="8"/>
    <x v="30"/>
    <s v="Missouri Organic"/>
    <m/>
    <n v="3940"/>
    <n v="1.97"/>
    <m/>
    <m/>
    <n v="230"/>
    <m/>
    <m/>
    <m/>
    <m/>
  </r>
  <r>
    <x v="171"/>
    <s v="Delivered"/>
    <x v="8"/>
    <x v="31"/>
    <s v="B&amp;T"/>
    <n v="40"/>
    <n v="1480"/>
    <n v="0.74"/>
    <m/>
    <m/>
    <m/>
    <n v="135"/>
    <m/>
    <n v="220587"/>
    <d v="2013-11-22T00:00:00"/>
  </r>
  <r>
    <x v="172"/>
    <s v="Warehouse"/>
    <x v="6"/>
    <x v="12"/>
    <s v="Ripple"/>
    <m/>
    <n v="336"/>
    <n v="0.16800000000000001"/>
    <m/>
    <m/>
    <m/>
    <m/>
    <m/>
    <m/>
    <m/>
  </r>
  <r>
    <x v="173"/>
    <s v="All/Dumpsters"/>
    <x v="5"/>
    <x v="11"/>
    <s v="Town Country"/>
    <m/>
    <n v="17347.2"/>
    <n v="8.6736000000000004"/>
    <m/>
    <m/>
    <m/>
    <m/>
    <m/>
    <m/>
    <m/>
  </r>
  <r>
    <x v="174"/>
    <s v="Delivered"/>
    <x v="9"/>
    <x v="19"/>
    <s v="Advantage Metal"/>
    <m/>
    <n v="37"/>
    <n v="1.8499999999999999E-2"/>
    <n v="0.1"/>
    <n v="8.5000000000000006E-2"/>
    <n v="0"/>
    <n v="3.7"/>
    <s v="zkisau"/>
    <n v="221244"/>
    <d v="2013-12-06T00:00:00"/>
  </r>
  <r>
    <x v="174"/>
    <s v="Delivered"/>
    <x v="9"/>
    <x v="37"/>
    <s v="Advantage Metal"/>
    <m/>
    <n v="8"/>
    <n v="4.0000000000000001E-3"/>
    <n v="0.2"/>
    <n v="1.8"/>
    <n v="0"/>
    <n v="1.8"/>
    <s v="zkisau"/>
    <n v="221244"/>
    <d v="2013-12-06T00:00:00"/>
  </r>
  <r>
    <x v="174"/>
    <s v="Delivered"/>
    <x v="9"/>
    <x v="34"/>
    <s v="Advantage Metal"/>
    <m/>
    <n v="117"/>
    <n v="5.8500000000000003E-2"/>
    <n v="0.32"/>
    <n v="37.44"/>
    <n v="0"/>
    <n v="37.44"/>
    <s v="zkisau"/>
    <n v="221244"/>
    <d v="2013-12-06T00:00:00"/>
  </r>
  <r>
    <x v="174"/>
    <s v="Delivered"/>
    <x v="9"/>
    <x v="15"/>
    <s v="Advantage Metal"/>
    <m/>
    <n v="194"/>
    <n v="9.7000000000000003E-2"/>
    <n v="0.48"/>
    <n v="93.12"/>
    <n v="0"/>
    <n v="93.12"/>
    <s v="zkisau"/>
    <n v="221244"/>
    <d v="2013-12-06T00:00:00"/>
  </r>
  <r>
    <x v="174"/>
    <s v="Delivered"/>
    <x v="9"/>
    <x v="38"/>
    <s v="Advantage Metal"/>
    <m/>
    <n v="1080"/>
    <n v="0.54"/>
    <n v="0.48"/>
    <n v="518.4"/>
    <m/>
    <n v="518.4"/>
    <s v="zkisau"/>
    <n v="221244"/>
    <d v="2013-12-06T00:00:00"/>
  </r>
  <r>
    <x v="174"/>
    <s v="Delivered"/>
    <x v="9"/>
    <x v="39"/>
    <s v="Advantage Metal"/>
    <m/>
    <n v="6"/>
    <n v="3.0000000000000001E-3"/>
    <n v="0.92"/>
    <n v="5.52"/>
    <n v="0"/>
    <n v="5.52"/>
    <s v="zkisau"/>
    <n v="221244"/>
    <d v="2013-12-06T00:00:00"/>
  </r>
  <r>
    <x v="175"/>
    <s v="CSB Trailer"/>
    <x v="0"/>
    <x v="0"/>
    <s v="Town Country"/>
    <m/>
    <n v="12655"/>
    <n v="6.33"/>
    <n v="112.5"/>
    <n v="712.33"/>
    <n v="100"/>
    <n v="612.33000000000004"/>
    <n v="202395"/>
    <n v="226509"/>
    <d v="2014-02-06T00:00:00"/>
  </r>
  <r>
    <x v="175"/>
    <s v="CSB Trailer"/>
    <x v="1"/>
    <x v="1"/>
    <s v="Town Country"/>
    <m/>
    <n v="2625"/>
    <n v="1.3125"/>
    <n v="38.5"/>
    <n v="106.11"/>
    <n v="0"/>
    <n v="106.11"/>
    <n v="202395"/>
    <n v="226509"/>
    <d v="2014-02-06T00:00:00"/>
  </r>
  <r>
    <x v="176"/>
    <s v="CC compactor"/>
    <x v="5"/>
    <x v="11"/>
    <s v="Town Country"/>
    <m/>
    <n v="9620"/>
    <n v="4.8099999999999996"/>
    <n v="38.5"/>
    <n v="185.19"/>
    <n v="85"/>
    <n v="100.19"/>
    <n v="200165"/>
    <n v="226509"/>
    <d v="2014-02-06T00:00:00"/>
  </r>
  <r>
    <x v="177"/>
    <s v="Delivered"/>
    <x v="8"/>
    <x v="31"/>
    <s v="B&amp;T"/>
    <n v="26"/>
    <n v="962"/>
    <n v="0.48099999999999998"/>
    <m/>
    <m/>
    <m/>
    <n v="75"/>
    <m/>
    <n v="221851"/>
    <d v="2013-12-16T00:00:00"/>
  </r>
  <r>
    <x v="178"/>
    <s v="Warehouse"/>
    <x v="6"/>
    <x v="12"/>
    <s v="Ripple"/>
    <m/>
    <n v="336"/>
    <n v="0.16800000000000001"/>
    <m/>
    <m/>
    <m/>
    <m/>
    <m/>
    <m/>
    <m/>
  </r>
  <r>
    <x v="179"/>
    <s v="All/Dumpsters"/>
    <x v="5"/>
    <x v="11"/>
    <s v="Town Country"/>
    <m/>
    <n v="17347.2"/>
    <n v="8.6736000000000004"/>
    <m/>
    <m/>
    <m/>
    <m/>
    <m/>
    <m/>
    <m/>
  </r>
  <r>
    <x v="180"/>
    <s v="Campus"/>
    <x v="0"/>
    <x v="0"/>
    <s v="Cintas"/>
    <m/>
    <n v="31015"/>
    <n v="15.5075"/>
    <n v="0"/>
    <n v="0"/>
    <n v="0"/>
    <n v="0"/>
    <n v="0"/>
    <n v="0"/>
    <n v="0"/>
  </r>
  <r>
    <x v="180"/>
    <s v="Book  Store"/>
    <x v="4"/>
    <x v="10"/>
    <s v="One Planet books"/>
    <n v="364"/>
    <n v="21200"/>
    <n v="10.6"/>
    <m/>
    <m/>
    <m/>
    <n v="3640"/>
    <m/>
    <m/>
    <m/>
  </r>
  <r>
    <x v="180"/>
    <s v="south Compound"/>
    <x v="7"/>
    <x v="13"/>
    <s v="JCCC"/>
    <n v="111"/>
    <n v="38850"/>
    <n v="19.425000000000001"/>
    <m/>
    <m/>
    <m/>
    <m/>
    <m/>
    <m/>
    <m/>
  </r>
  <r>
    <x v="180"/>
    <s v="south Compound"/>
    <x v="8"/>
    <x v="14"/>
    <s v="JCCC"/>
    <n v="50"/>
    <n v="17500"/>
    <n v="8.75"/>
    <m/>
    <m/>
    <m/>
    <m/>
    <m/>
    <m/>
    <m/>
  </r>
  <r>
    <x v="181"/>
    <s v="Warehouse"/>
    <x v="3"/>
    <x v="8"/>
    <s v="MRC"/>
    <n v="4"/>
    <n v="2175"/>
    <n v="1.0874999999999999"/>
    <m/>
    <m/>
    <m/>
    <m/>
    <m/>
    <m/>
    <m/>
  </r>
  <r>
    <x v="181"/>
    <s v="Delivered"/>
    <x v="8"/>
    <x v="31"/>
    <s v="B&amp;T"/>
    <n v="30"/>
    <n v="1110"/>
    <n v="0.55500000000000005"/>
    <m/>
    <m/>
    <m/>
    <n v="78"/>
    <m/>
    <n v="225221"/>
    <d v="2014-01-17T00:00:00"/>
  </r>
  <r>
    <x v="181"/>
    <s v="CC compactor"/>
    <x v="5"/>
    <x v="11"/>
    <s v="Town Country"/>
    <m/>
    <m/>
    <n v="6.35"/>
    <n v="38.5"/>
    <n v="244.48"/>
    <n v="85"/>
    <n v="159.47999999999999"/>
    <n v="203004"/>
    <n v="227605"/>
    <d v="2014-02-19T00:00:00"/>
  </r>
  <r>
    <x v="182"/>
    <s v="Student Center compactor"/>
    <x v="5"/>
    <x v="11"/>
    <s v="Town Country"/>
    <m/>
    <m/>
    <n v="4.45"/>
    <n v="38.5"/>
    <n v="171.33"/>
    <n v="85"/>
    <n v="88.33"/>
    <n v="203287"/>
    <n v="227605"/>
    <d v="2014-02-19T00:00:00"/>
  </r>
  <r>
    <x v="183"/>
    <s v="South compound 30yd"/>
    <x v="8"/>
    <x v="30"/>
    <s v="Missouri Organic"/>
    <m/>
    <n v="2840"/>
    <n v="1.42"/>
    <m/>
    <m/>
    <n v="230"/>
    <m/>
    <m/>
    <m/>
    <m/>
  </r>
  <r>
    <x v="183"/>
    <s v="Warehouse"/>
    <x v="6"/>
    <x v="12"/>
    <s v="Ripple"/>
    <m/>
    <n v="336"/>
    <n v="0.16800000000000001"/>
    <m/>
    <m/>
    <m/>
    <m/>
    <m/>
    <m/>
    <m/>
  </r>
  <r>
    <x v="184"/>
    <s v="All/Dumpsters"/>
    <x v="5"/>
    <x v="11"/>
    <s v="Town Country"/>
    <m/>
    <n v="17347.2"/>
    <n v="8.6736000000000004"/>
    <m/>
    <m/>
    <m/>
    <m/>
    <m/>
    <m/>
    <m/>
  </r>
  <r>
    <x v="185"/>
    <s v="CSB Trailer"/>
    <x v="0"/>
    <x v="0"/>
    <s v="Town Country"/>
    <m/>
    <n v="14962"/>
    <n v="7.4809999999999999"/>
    <n v="121.5"/>
    <n v="908.94150000000002"/>
    <n v="100"/>
    <n v="808.94150000000002"/>
    <n v="204775"/>
    <n v="229855"/>
    <d v="2014-03-26T00:00:00"/>
  </r>
  <r>
    <x v="185"/>
    <s v="CSB Trailer"/>
    <x v="1"/>
    <x v="1"/>
    <s v="Town Country"/>
    <m/>
    <n v="769"/>
    <n v="0.38"/>
    <n v="81"/>
    <n v="30.78"/>
    <n v="0"/>
    <n v="30.78"/>
    <n v="204775"/>
    <n v="229855"/>
    <d v="2014-03-26T00:00:00"/>
  </r>
  <r>
    <x v="185"/>
    <s v="CSB Trailer"/>
    <x v="0"/>
    <x v="0"/>
    <s v="Town Country"/>
    <m/>
    <n v="1380"/>
    <n v="0.69"/>
    <n v="0"/>
    <n v="0"/>
    <m/>
    <n v="0"/>
    <n v="204775"/>
    <n v="229855"/>
    <d v="2014-03-26T00:00:00"/>
  </r>
  <r>
    <x v="186"/>
    <s v="South compound 30yd"/>
    <x v="8"/>
    <x v="30"/>
    <s v="Missouri Organic"/>
    <m/>
    <n v="4100"/>
    <n v="2.0499999999999998"/>
    <m/>
    <m/>
    <n v="230"/>
    <m/>
    <m/>
    <m/>
    <m/>
  </r>
  <r>
    <x v="187"/>
    <s v="Delivered"/>
    <x v="8"/>
    <x v="31"/>
    <s v="B&amp;T"/>
    <n v="40"/>
    <n v="1480"/>
    <n v="0.74"/>
    <m/>
    <m/>
    <m/>
    <n v="95"/>
    <m/>
    <n v="228337"/>
    <d v="2014-02-28T00:00:00"/>
  </r>
  <r>
    <x v="188"/>
    <s v="All/Dumpsters"/>
    <x v="5"/>
    <x v="11"/>
    <s v="Town Country"/>
    <m/>
    <n v="17347.2"/>
    <n v="8.6736000000000004"/>
    <m/>
    <m/>
    <m/>
    <m/>
    <m/>
    <m/>
    <m/>
  </r>
  <r>
    <x v="188"/>
    <s v="Warehouse"/>
    <x v="6"/>
    <x v="12"/>
    <s v="Ripple"/>
    <m/>
    <n v="336"/>
    <n v="0.16800000000000001"/>
    <m/>
    <m/>
    <m/>
    <m/>
    <m/>
    <m/>
    <m/>
  </r>
  <r>
    <x v="189"/>
    <s v="south Compound"/>
    <x v="9"/>
    <x v="19"/>
    <s v="Advantage Metal"/>
    <m/>
    <n v="6400"/>
    <n v="3.2"/>
    <n v="9.2499999999999999E-2"/>
    <n v="592"/>
    <n v="180"/>
    <n v="412"/>
    <s v="tqtebj"/>
    <n v="228772"/>
    <d v="2014-03-07T00:00:00"/>
  </r>
  <r>
    <x v="190"/>
    <s v="Delivered"/>
    <x v="8"/>
    <x v="31"/>
    <s v="B&amp;T"/>
    <n v="30"/>
    <n v="1110"/>
    <n v="0.55500000000000005"/>
    <m/>
    <m/>
    <m/>
    <n v="61"/>
    <m/>
    <n v="229441"/>
    <d v="2014-03-19T00:00:00"/>
  </r>
  <r>
    <x v="190"/>
    <s v="Delivered"/>
    <x v="9"/>
    <x v="19"/>
    <s v="Advantage Metal"/>
    <m/>
    <n v="120"/>
    <n v="0.06"/>
    <n v="9.2499999999999999E-2"/>
    <n v="11.1"/>
    <n v="0"/>
    <n v="11.1"/>
    <s v="zkyevx"/>
    <n v="229442"/>
    <d v="2014-03-19T00:00:00"/>
  </r>
  <r>
    <x v="190"/>
    <s v="Delivered"/>
    <x v="9"/>
    <x v="40"/>
    <s v="Advantage Metal"/>
    <m/>
    <n v="5"/>
    <n v="2.5000000000000001E-3"/>
    <n v="0.15"/>
    <n v="0.75"/>
    <n v="0"/>
    <n v="0.75"/>
    <s v="zkyevx"/>
    <n v="229442"/>
    <d v="2014-03-19T00:00:00"/>
  </r>
  <r>
    <x v="190"/>
    <s v="Delivered"/>
    <x v="9"/>
    <x v="24"/>
    <s v="Advantage Metal"/>
    <m/>
    <n v="46"/>
    <n v="2.3E-2"/>
    <n v="0.44"/>
    <n v="20.239999999999998"/>
    <n v="0"/>
    <n v="20.239999999999998"/>
    <s v="zkyevx"/>
    <n v="229442"/>
    <d v="2014-03-19T00:00:00"/>
  </r>
  <r>
    <x v="190"/>
    <s v="Delivered"/>
    <x v="9"/>
    <x v="41"/>
    <s v="Advantage Metal"/>
    <m/>
    <n v="39"/>
    <n v="1.95E-2"/>
    <n v="0.38"/>
    <n v="14.82"/>
    <n v="0"/>
    <n v="14.82"/>
    <s v="zkyevx"/>
    <n v="229442"/>
    <d v="2014-03-19T00:00:00"/>
  </r>
  <r>
    <x v="190"/>
    <s v="Delivered"/>
    <x v="9"/>
    <x v="42"/>
    <s v="Advantage Metal"/>
    <m/>
    <n v="6"/>
    <n v="3.0000000000000001E-3"/>
    <n v="0.54"/>
    <n v="3.24"/>
    <n v="0"/>
    <n v="3.24"/>
    <s v="zkyevx"/>
    <n v="229442"/>
    <d v="2014-03-19T00:00:00"/>
  </r>
  <r>
    <x v="191"/>
    <s v="CSB Trailer"/>
    <x v="0"/>
    <x v="0"/>
    <s v="Town Country"/>
    <m/>
    <n v="16220"/>
    <n v="8.11"/>
    <n v="121.5"/>
    <n v="985.3649999999999"/>
    <n v="100"/>
    <n v="885.3649999999999"/>
    <n v="204775"/>
    <n v="231943"/>
    <d v="2014-04-29T00:00:00"/>
  </r>
  <r>
    <x v="191"/>
    <s v="CSB Trailer"/>
    <x v="1"/>
    <x v="1"/>
    <s v="Town Country"/>
    <m/>
    <n v="230"/>
    <n v="0.12"/>
    <n v="90"/>
    <n v="10.799999999999999"/>
    <n v="0"/>
    <n v="10.799999999999999"/>
    <n v="204775"/>
    <n v="231943"/>
    <d v="2014-04-29T00:00:00"/>
  </r>
  <r>
    <x v="191"/>
    <s v="CSB Trailer"/>
    <x v="0"/>
    <x v="43"/>
    <s v="Town Country"/>
    <m/>
    <n v="693"/>
    <n v="0.35"/>
    <n v="49.5"/>
    <n v="17.324999999999999"/>
    <m/>
    <n v="17.324999999999999"/>
    <n v="204775"/>
    <n v="231943"/>
    <d v="2014-04-29T00:00:00"/>
  </r>
  <r>
    <x v="191"/>
    <s v="Warehouse"/>
    <x v="6"/>
    <x v="12"/>
    <s v="Ripple"/>
    <m/>
    <n v="336"/>
    <n v="0.16800000000000001"/>
    <m/>
    <m/>
    <m/>
    <m/>
    <m/>
    <m/>
    <m/>
  </r>
  <r>
    <x v="191"/>
    <s v="All/Dumpsters"/>
    <x v="5"/>
    <x v="11"/>
    <s v="Town Country"/>
    <m/>
    <n v="17347.2"/>
    <n v="8.6736000000000004"/>
    <m/>
    <m/>
    <m/>
    <m/>
    <m/>
    <m/>
    <m/>
  </r>
  <r>
    <x v="192"/>
    <s v="Campus"/>
    <x v="0"/>
    <x v="0"/>
    <s v="Cintas"/>
    <m/>
    <n v="11800"/>
    <n v="5.9"/>
    <m/>
    <m/>
    <m/>
    <m/>
    <m/>
    <m/>
    <m/>
  </r>
  <r>
    <x v="193"/>
    <s v="South compound 30yd"/>
    <x v="8"/>
    <x v="30"/>
    <s v="Missouri Organic"/>
    <m/>
    <n v="4200"/>
    <n v="2.1"/>
    <m/>
    <m/>
    <n v="230"/>
    <m/>
    <m/>
    <m/>
    <m/>
  </r>
  <r>
    <x v="193"/>
    <s v="CC compactor"/>
    <x v="5"/>
    <x v="11"/>
    <s v="Town Country"/>
    <m/>
    <n v="11480"/>
    <n v="5.74"/>
    <n v="38.5"/>
    <n v="220.99"/>
    <n v="85"/>
    <n v="135.99"/>
    <n v="209088"/>
    <n v="232243"/>
    <d v="2014-05-05T00:00:00"/>
  </r>
  <r>
    <x v="194"/>
    <s v="Warehouse"/>
    <x v="3"/>
    <x v="36"/>
    <s v="Clover Technologies"/>
    <n v="587"/>
    <m/>
    <m/>
    <m/>
    <m/>
    <m/>
    <n v="830.7"/>
    <s v="POC06493"/>
    <n v="231894"/>
    <d v="2014-04-28T00:00:00"/>
  </r>
  <r>
    <x v="195"/>
    <s v="Delivered"/>
    <x v="8"/>
    <x v="31"/>
    <s v="B&amp;T"/>
    <n v="40"/>
    <n v="1480"/>
    <n v="0.74"/>
    <m/>
    <m/>
    <m/>
    <n v="143"/>
    <m/>
    <n v="231941"/>
    <d v="2014-04-29T00:00:00"/>
  </r>
  <r>
    <x v="195"/>
    <s v="Warehouse"/>
    <x v="6"/>
    <x v="12"/>
    <s v="Ripple"/>
    <m/>
    <n v="336"/>
    <n v="0.16800000000000001"/>
    <m/>
    <m/>
    <m/>
    <m/>
    <m/>
    <m/>
    <m/>
  </r>
  <r>
    <x v="195"/>
    <s v="All/Dumpsters"/>
    <x v="5"/>
    <x v="11"/>
    <s v="Town Country"/>
    <m/>
    <n v="17347.2"/>
    <n v="8.6736000000000004"/>
    <m/>
    <m/>
    <m/>
    <m/>
    <m/>
    <m/>
    <m/>
  </r>
  <r>
    <x v="196"/>
    <s v="Warehouse"/>
    <x v="3"/>
    <x v="8"/>
    <s v="MRC"/>
    <n v="4"/>
    <n v="2863"/>
    <n v="1.4315"/>
    <m/>
    <m/>
    <m/>
    <m/>
    <m/>
    <m/>
    <m/>
  </r>
  <r>
    <x v="197"/>
    <s v="South compound 30yd"/>
    <x v="8"/>
    <x v="30"/>
    <s v="Missouri Organic"/>
    <m/>
    <n v="5160"/>
    <n v="2.58"/>
    <m/>
    <m/>
    <n v="230"/>
    <m/>
    <m/>
    <m/>
    <m/>
  </r>
  <r>
    <x v="198"/>
    <s v="CC compactor"/>
    <x v="5"/>
    <x v="11"/>
    <s v="Town Country"/>
    <m/>
    <n v="14300"/>
    <n v="7.15"/>
    <n v="38.5"/>
    <n v="289.14"/>
    <n v="85"/>
    <n v="204.14"/>
    <n v="212936"/>
    <n v="236057"/>
    <d v="2014-05-30T00:00:00"/>
  </r>
  <r>
    <x v="199"/>
    <s v="Warehouse"/>
    <x v="6"/>
    <x v="12"/>
    <s v="Ripple"/>
    <m/>
    <n v="336"/>
    <n v="0.16800000000000001"/>
    <m/>
    <m/>
    <m/>
    <m/>
    <m/>
    <m/>
    <m/>
  </r>
  <r>
    <x v="199"/>
    <s v="All/Dumpsters"/>
    <x v="5"/>
    <x v="11"/>
    <s v="Town Country"/>
    <m/>
    <n v="17347.2"/>
    <n v="8.6736000000000004"/>
    <m/>
    <m/>
    <m/>
    <m/>
    <m/>
    <m/>
    <m/>
  </r>
  <r>
    <x v="200"/>
    <s v="south Compound"/>
    <x v="9"/>
    <x v="19"/>
    <s v="Advantage Metal"/>
    <m/>
    <n v="10500"/>
    <n v="5.25"/>
    <n v="8.7499999999999994E-2"/>
    <n v="918.74999999999989"/>
    <n v="180"/>
    <n v="738.75"/>
    <s v="TRRVMQ"/>
    <n v="234870"/>
    <d v="2014-06-03T00:00:00"/>
  </r>
  <r>
    <x v="201"/>
    <s v="Student Center compactor"/>
    <x v="5"/>
    <x v="11"/>
    <s v="Town Country"/>
    <m/>
    <n v="11420"/>
    <n v="5.71"/>
    <n v="72"/>
    <n v="411.12"/>
    <n v="85"/>
    <n v="326.12"/>
    <n v="21104"/>
    <n v="237009"/>
    <d v="2014-07-22T00:00:00"/>
  </r>
  <r>
    <x v="202"/>
    <s v="Delivered"/>
    <x v="9"/>
    <x v="40"/>
    <s v="Advantage Metal"/>
    <m/>
    <n v="298"/>
    <n v="0.14899999999999999"/>
    <n v="0.45"/>
    <n v="134.1"/>
    <n v="0"/>
    <n v="134.1"/>
    <s v="zlowml"/>
    <n v="235686"/>
    <d v="2014-06-19T00:00:00"/>
  </r>
  <r>
    <x v="202"/>
    <s v="Delivered"/>
    <x v="9"/>
    <x v="44"/>
    <s v="Advantage Metal"/>
    <m/>
    <n v="231"/>
    <n v="0.11550000000000001"/>
    <n v="0.57999999999999996"/>
    <n v="133.97999999999999"/>
    <n v="0"/>
    <n v="133.97999999999999"/>
    <s v="zlowml"/>
    <n v="235686"/>
    <d v="2014-06-19T00:00:00"/>
  </r>
  <r>
    <x v="202"/>
    <s v="Delivered"/>
    <x v="9"/>
    <x v="45"/>
    <s v="Advantage Metal"/>
    <m/>
    <n v="114"/>
    <n v="5.7000000000000002E-2"/>
    <n v="0.6"/>
    <n v="68.399999999999991"/>
    <n v="0"/>
    <n v="68.399999999999991"/>
    <s v="zlowml"/>
    <n v="235686"/>
    <d v="2014-06-19T00:00:00"/>
  </r>
  <r>
    <x v="202"/>
    <s v="Delivered"/>
    <x v="9"/>
    <x v="46"/>
    <s v="Advantage Metal"/>
    <m/>
    <n v="26"/>
    <n v="1.2999999999999999E-2"/>
    <n v="1.75"/>
    <n v="45.5"/>
    <n v="0"/>
    <n v="45.5"/>
    <s v="zlowml"/>
    <n v="235686"/>
    <d v="2014-06-19T00:00:00"/>
  </r>
  <r>
    <x v="202"/>
    <s v="Delivered"/>
    <x v="9"/>
    <x v="47"/>
    <s v="Advantage Metal"/>
    <m/>
    <n v="953"/>
    <n v="0.47649999999999998"/>
    <n v="0.84"/>
    <n v="800.52"/>
    <n v="0"/>
    <n v="800.52"/>
    <s v="zlowml"/>
    <n v="235686"/>
    <d v="2014-06-19T00:00:00"/>
  </r>
  <r>
    <x v="203"/>
    <s v="CSB Trailer"/>
    <x v="0"/>
    <x v="0"/>
    <s v="Town Country"/>
    <m/>
    <n v="6840"/>
    <n v="3.42"/>
    <n v="121.5"/>
    <n v="415.53"/>
    <n v="100"/>
    <n v="315.52999999999997"/>
    <n v="22279"/>
    <n v="237009"/>
    <d v="2014-07-22T00:00:00"/>
  </r>
  <r>
    <x v="203"/>
    <s v="CSB Trailer"/>
    <x v="1"/>
    <x v="1"/>
    <s v="Town Country"/>
    <m/>
    <n v="269"/>
    <n v="0.13"/>
    <n v="72"/>
    <n v="9.36"/>
    <n v="0"/>
    <n v="9.36"/>
    <n v="22279"/>
    <n v="237009"/>
    <d v="2014-07-22T00:00:00"/>
  </r>
  <r>
    <x v="203"/>
    <s v="CSB Trailer"/>
    <x v="0"/>
    <x v="43"/>
    <s v="Town Country"/>
    <m/>
    <n v="8719"/>
    <n v="4.3600000000000003"/>
    <n v="49.5"/>
    <n v="215.82000000000002"/>
    <m/>
    <n v="215.82000000000002"/>
    <n v="22279"/>
    <n v="237009"/>
    <d v="2014-07-22T00:00:00"/>
  </r>
  <r>
    <x v="204"/>
    <s v="Warehouse"/>
    <x v="6"/>
    <x v="12"/>
    <s v="Ripple"/>
    <m/>
    <n v="336"/>
    <n v="0.16800000000000001"/>
    <m/>
    <m/>
    <m/>
    <m/>
    <m/>
    <m/>
    <m/>
  </r>
  <r>
    <x v="204"/>
    <s v="All/Dumpsters"/>
    <x v="5"/>
    <x v="11"/>
    <s v="Town Country"/>
    <m/>
    <n v="17347.2"/>
    <n v="8.6736000000000004"/>
    <m/>
    <m/>
    <m/>
    <m/>
    <m/>
    <m/>
    <m/>
  </r>
  <r>
    <x v="205"/>
    <s v="Campus"/>
    <x v="0"/>
    <x v="0"/>
    <s v="Cintas"/>
    <m/>
    <n v="24786"/>
    <n v="12.393000000000001"/>
    <m/>
    <m/>
    <m/>
    <m/>
    <m/>
    <m/>
    <m/>
  </r>
  <r>
    <x v="206"/>
    <s v="CC compactor"/>
    <x v="5"/>
    <x v="11"/>
    <s v="Town Country"/>
    <m/>
    <n v="13260"/>
    <n v="6.63"/>
    <n v="38.5"/>
    <n v="255.26"/>
    <n v="85"/>
    <n v="170.26"/>
    <n v="212936"/>
    <n v="243680"/>
    <d v="2014-10-10T00:00:00"/>
  </r>
  <r>
    <x v="207"/>
    <s v="CSB Trailer"/>
    <x v="0"/>
    <x v="1"/>
    <s v="Town Country"/>
    <m/>
    <n v="90"/>
    <n v="0.05"/>
    <n v="72"/>
    <n v="3.6"/>
    <n v="100"/>
    <n v="-96.4"/>
    <m/>
    <n v="243680"/>
    <d v="2014-10-10T00:00:00"/>
  </r>
  <r>
    <x v="207"/>
    <s v="CSB Trailer"/>
    <x v="0"/>
    <x v="43"/>
    <s v="Town Country"/>
    <m/>
    <n v="12659"/>
    <n v="6.33"/>
    <n v="49.5"/>
    <n v="313.33499999999998"/>
    <m/>
    <n v="313.33499999999998"/>
    <m/>
    <n v="243680"/>
    <d v="2014-10-10T00:00:00"/>
  </r>
  <r>
    <x v="208"/>
    <s v="Warehouse"/>
    <x v="6"/>
    <x v="12"/>
    <s v="Ripple"/>
    <m/>
    <n v="336"/>
    <n v="0.16800000000000001"/>
    <m/>
    <m/>
    <m/>
    <m/>
    <m/>
    <m/>
    <m/>
  </r>
  <r>
    <x v="208"/>
    <s v="All/Dumpsters"/>
    <x v="5"/>
    <x v="11"/>
    <s v="Town Country"/>
    <m/>
    <n v="17347.2"/>
    <n v="8.6736000000000004"/>
    <m/>
    <m/>
    <m/>
    <m/>
    <m/>
    <m/>
    <m/>
  </r>
  <r>
    <x v="209"/>
    <s v="South compound 30yd"/>
    <x v="8"/>
    <x v="30"/>
    <s v="Missouri Organic"/>
    <m/>
    <n v="3360"/>
    <n v="1.68"/>
    <m/>
    <m/>
    <n v="230"/>
    <m/>
    <n v="8899"/>
    <m/>
    <m/>
  </r>
  <r>
    <x v="210"/>
    <s v="Warehouse"/>
    <x v="3"/>
    <x v="8"/>
    <s v="MRC"/>
    <n v="5"/>
    <n v="1500"/>
    <n v="0.75"/>
    <m/>
    <m/>
    <m/>
    <m/>
    <m/>
    <m/>
    <m/>
  </r>
  <r>
    <x v="211"/>
    <s v="CC compactor"/>
    <x v="5"/>
    <x v="11"/>
    <s v="Town Country"/>
    <m/>
    <n v="4600"/>
    <n v="2.2999999999999998"/>
    <n v="38.5"/>
    <n v="88.55"/>
    <n v="85"/>
    <n v="3.55"/>
    <n v="212936"/>
    <n v="243680"/>
    <d v="2014-10-10T00:00:00"/>
  </r>
  <r>
    <x v="212"/>
    <s v="Warehouse"/>
    <x v="3"/>
    <x v="8"/>
    <s v="MRC"/>
    <n v="9"/>
    <n v="3538"/>
    <n v="1.7689999999999999"/>
    <m/>
    <m/>
    <m/>
    <m/>
    <m/>
    <m/>
    <m/>
  </r>
  <r>
    <x v="212"/>
    <s v="CC compactor"/>
    <x v="5"/>
    <x v="11"/>
    <s v="Town Country"/>
    <m/>
    <n v="8160"/>
    <n v="4.08"/>
    <n v="38.5"/>
    <n v="157.08000000000001"/>
    <n v="85"/>
    <n v="72.08"/>
    <n v="212936"/>
    <n v="243680"/>
    <d v="2014-10-10T00:00:00"/>
  </r>
  <r>
    <x v="212"/>
    <s v="All/Dumpsters"/>
    <x v="5"/>
    <x v="11"/>
    <s v="Town Country"/>
    <m/>
    <n v="17347.2"/>
    <n v="8.6736000000000004"/>
    <m/>
    <m/>
    <m/>
    <m/>
    <m/>
    <m/>
    <m/>
  </r>
  <r>
    <x v="213"/>
    <s v="Warehouse"/>
    <x v="3"/>
    <x v="36"/>
    <s v="Clover Technologies"/>
    <n v="351"/>
    <m/>
    <m/>
    <m/>
    <m/>
    <m/>
    <n v="448.85"/>
    <s v="POC07829"/>
    <n v="243441"/>
    <d v="2014-10-07T00:00:00"/>
  </r>
  <r>
    <x v="214"/>
    <s v="SC compactor"/>
    <x v="5"/>
    <x v="11"/>
    <s v="Town Country"/>
    <m/>
    <n v="11080"/>
    <n v="5.54"/>
    <n v="38.5"/>
    <n v="213.29"/>
    <n v="85"/>
    <n v="128.29"/>
    <n v="212936"/>
    <n v="243680"/>
    <d v="2014-10-10T00:00:00"/>
  </r>
  <r>
    <x v="215"/>
    <s v="South compound 30yd"/>
    <x v="8"/>
    <x v="30"/>
    <s v="Missouri Organic"/>
    <m/>
    <n v="5180"/>
    <n v="2.59"/>
    <m/>
    <m/>
    <n v="230"/>
    <m/>
    <m/>
    <m/>
    <m/>
  </r>
  <r>
    <x v="216"/>
    <s v="All/Dumpsters"/>
    <x v="5"/>
    <x v="11"/>
    <s v="Town Country"/>
    <m/>
    <n v="17347.2"/>
    <n v="8.6736000000000004"/>
    <m/>
    <m/>
    <m/>
    <m/>
    <m/>
    <m/>
    <m/>
  </r>
  <r>
    <x v="217"/>
    <s v="CC compactor"/>
    <x v="5"/>
    <x v="11"/>
    <s v="Town Country"/>
    <m/>
    <n v="17347.2"/>
    <n v="6.27"/>
    <n v="38.5"/>
    <n v="241.4"/>
    <n v="85"/>
    <n v="156.4"/>
    <n v="33278"/>
    <n v="245792"/>
    <d v="2014-12-02T00:00:00"/>
  </r>
  <r>
    <x v="218"/>
    <s v="Delivered"/>
    <x v="8"/>
    <x v="31"/>
    <s v="KC pallets"/>
    <n v="80"/>
    <n v="2960"/>
    <n v="1.48"/>
    <m/>
    <m/>
    <m/>
    <n v="52.5"/>
    <m/>
    <n v="243771"/>
    <d v="2014-10-13T00:00:00"/>
  </r>
  <r>
    <x v="219"/>
    <s v="Warehouse"/>
    <x v="3"/>
    <x v="8"/>
    <s v="MRC"/>
    <n v="2"/>
    <n v="1200"/>
    <n v="0.6"/>
    <m/>
    <m/>
    <m/>
    <m/>
    <m/>
    <m/>
    <m/>
  </r>
  <r>
    <x v="220"/>
    <s v="Delivered"/>
    <x v="8"/>
    <x v="31"/>
    <s v="KC pallets"/>
    <n v="70"/>
    <n v="2590"/>
    <n v="1.2949999999999999"/>
    <m/>
    <m/>
    <m/>
    <n v="40"/>
    <m/>
    <n v="245006"/>
    <d v="2014-11-10T00:00:00"/>
  </r>
  <r>
    <x v="221"/>
    <s v="south Compound"/>
    <x v="9"/>
    <x v="19"/>
    <s v="Advantage Metal"/>
    <m/>
    <n v="7900"/>
    <n v="3.95"/>
    <n v="8.2500000000000004E-2"/>
    <n v="651.75"/>
    <n v="180"/>
    <n v="471.75"/>
    <s v="TTPHIU"/>
    <n v="245322"/>
    <d v="2014-11-17T00:00:00"/>
  </r>
  <r>
    <x v="222"/>
    <s v="south Compound"/>
    <x v="7"/>
    <x v="13"/>
    <s v="JCCC"/>
    <n v="111"/>
    <n v="38850"/>
    <n v="19.425000000000001"/>
    <m/>
    <m/>
    <m/>
    <m/>
    <m/>
    <m/>
    <m/>
  </r>
  <r>
    <x v="222"/>
    <s v="south Compound"/>
    <x v="8"/>
    <x v="14"/>
    <s v="JCCC"/>
    <n v="50"/>
    <n v="17500"/>
    <n v="8.75"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28">
  <r>
    <x v="0"/>
    <s v="CSB  paper trailer"/>
    <s v="Paper"/>
    <x v="0"/>
    <s v="Batliner"/>
    <m/>
    <n v="3240"/>
    <n v="1.62"/>
    <m/>
    <m/>
    <m/>
    <n v="205.44"/>
    <m/>
    <m/>
    <m/>
  </r>
  <r>
    <x v="0"/>
    <s v="Warehouse"/>
    <s v="Cardboard"/>
    <x v="1"/>
    <s v="Batliner"/>
    <m/>
    <n v="4840"/>
    <n v="2.42"/>
    <m/>
    <m/>
    <m/>
    <m/>
    <m/>
    <m/>
    <m/>
  </r>
  <r>
    <x v="0"/>
    <s v="CSB  paper trailer"/>
    <s v="Plastic"/>
    <x v="2"/>
    <s v="Batliner"/>
    <m/>
    <n v="420"/>
    <n v="0.21"/>
    <m/>
    <m/>
    <m/>
    <m/>
    <m/>
    <m/>
    <m/>
  </r>
  <r>
    <x v="1"/>
    <s v="CSB  paper trailer"/>
    <s v="Paper"/>
    <x v="0"/>
    <s v="Batliner"/>
    <m/>
    <n v="10090"/>
    <n v="5.0449999999999999"/>
    <m/>
    <m/>
    <m/>
    <n v="761.54"/>
    <m/>
    <m/>
    <m/>
  </r>
  <r>
    <x v="1"/>
    <s v="CSB  paper trailer"/>
    <s v="Paper"/>
    <x v="3"/>
    <s v="Batliner"/>
    <m/>
    <n v="11220"/>
    <n v="5.61"/>
    <m/>
    <m/>
    <m/>
    <m/>
    <m/>
    <m/>
    <m/>
  </r>
  <r>
    <x v="1"/>
    <s v="Warehouse"/>
    <s v="Cardboard"/>
    <x v="1"/>
    <s v="Batliner"/>
    <m/>
    <n v="3340"/>
    <n v="1.67"/>
    <m/>
    <m/>
    <m/>
    <m/>
    <m/>
    <m/>
    <m/>
  </r>
  <r>
    <x v="1"/>
    <s v="CSB  paper trailer"/>
    <s v="Plastic"/>
    <x v="2"/>
    <s v="Batliner"/>
    <m/>
    <n v="620"/>
    <n v="0.31"/>
    <m/>
    <m/>
    <m/>
    <m/>
    <m/>
    <m/>
    <m/>
  </r>
  <r>
    <x v="2"/>
    <s v="CSB  paper trailer"/>
    <s v="Paper"/>
    <x v="4"/>
    <s v="Batliner"/>
    <m/>
    <n v="750"/>
    <n v="0.375"/>
    <m/>
    <m/>
    <m/>
    <m/>
    <m/>
    <m/>
    <m/>
  </r>
  <r>
    <x v="2"/>
    <s v="CSB  paper trailer"/>
    <s v="Paper"/>
    <x v="5"/>
    <s v="Batliner"/>
    <m/>
    <n v="1260"/>
    <n v="0.63"/>
    <m/>
    <m/>
    <m/>
    <m/>
    <m/>
    <m/>
    <m/>
  </r>
  <r>
    <x v="2"/>
    <s v="CSB  paper trailer"/>
    <s v="Paper"/>
    <x v="0"/>
    <s v="Batliner"/>
    <m/>
    <n v="8000"/>
    <n v="4"/>
    <m/>
    <m/>
    <m/>
    <n v="941.95"/>
    <m/>
    <m/>
    <m/>
  </r>
  <r>
    <x v="2"/>
    <s v="CSB  paper trailer"/>
    <s v="Paper"/>
    <x v="3"/>
    <s v="Batliner"/>
    <m/>
    <n v="20660"/>
    <n v="10.33"/>
    <m/>
    <m/>
    <m/>
    <m/>
    <m/>
    <m/>
    <m/>
  </r>
  <r>
    <x v="2"/>
    <s v="CSB  paper trailer"/>
    <s v="Paper"/>
    <x v="6"/>
    <s v="Batliner"/>
    <m/>
    <n v="800"/>
    <n v="0.4"/>
    <m/>
    <m/>
    <m/>
    <m/>
    <m/>
    <m/>
    <m/>
  </r>
  <r>
    <x v="2"/>
    <s v="Warehouse"/>
    <s v="Cardboard"/>
    <x v="1"/>
    <s v="Batliner"/>
    <m/>
    <n v="6150"/>
    <n v="3.0750000000000002"/>
    <m/>
    <m/>
    <m/>
    <m/>
    <m/>
    <m/>
    <m/>
  </r>
  <r>
    <x v="2"/>
    <s v="CSB  paper trailer"/>
    <s v="Plastic"/>
    <x v="2"/>
    <s v="Batliner"/>
    <m/>
    <n v="1720"/>
    <n v="0.86"/>
    <m/>
    <m/>
    <m/>
    <m/>
    <m/>
    <m/>
    <m/>
  </r>
  <r>
    <x v="3"/>
    <s v="CSB  paper trailer"/>
    <s v="Paper"/>
    <x v="0"/>
    <s v="Batliner"/>
    <m/>
    <n v="2880"/>
    <n v="1.44"/>
    <m/>
    <m/>
    <m/>
    <n v="244.85"/>
    <m/>
    <m/>
    <m/>
  </r>
  <r>
    <x v="3"/>
    <s v="Warehouse"/>
    <s v="Cardboard"/>
    <x v="1"/>
    <s v="Batliner"/>
    <m/>
    <n v="6260"/>
    <n v="3.13"/>
    <m/>
    <m/>
    <m/>
    <m/>
    <m/>
    <m/>
    <m/>
  </r>
  <r>
    <x v="3"/>
    <s v="CSB  paper trailer"/>
    <s v="Plastic"/>
    <x v="2"/>
    <s v="Batliner"/>
    <m/>
    <n v="960"/>
    <n v="0.48"/>
    <m/>
    <m/>
    <m/>
    <m/>
    <m/>
    <m/>
    <m/>
  </r>
  <r>
    <x v="4"/>
    <s v="CSB  paper trailer"/>
    <s v="Paper"/>
    <x v="0"/>
    <s v="Batliner"/>
    <m/>
    <n v="7420"/>
    <n v="3.71"/>
    <m/>
    <m/>
    <m/>
    <n v="413.97"/>
    <m/>
    <m/>
    <m/>
  </r>
  <r>
    <x v="4"/>
    <s v="CSB  paper trailer"/>
    <s v="Paper"/>
    <x v="7"/>
    <s v="Batliner"/>
    <m/>
    <n v="12410"/>
    <n v="6.2050000000000001"/>
    <m/>
    <m/>
    <m/>
    <m/>
    <m/>
    <m/>
    <m/>
  </r>
  <r>
    <x v="4"/>
    <s v="Warehouse"/>
    <s v="Cardboard"/>
    <x v="1"/>
    <s v="Batliner"/>
    <m/>
    <n v="2440"/>
    <n v="1.22"/>
    <m/>
    <m/>
    <m/>
    <m/>
    <m/>
    <m/>
    <m/>
  </r>
  <r>
    <x v="4"/>
    <s v="CSB  paper trailer"/>
    <s v="Plastic"/>
    <x v="2"/>
    <s v="Batliner"/>
    <m/>
    <n v="580"/>
    <n v="0.28999999999999998"/>
    <m/>
    <m/>
    <m/>
    <m/>
    <m/>
    <m/>
    <m/>
  </r>
  <r>
    <x v="4"/>
    <s v="CSB  paper trailer"/>
    <s v="Paper"/>
    <x v="3"/>
    <s v="Batliner"/>
    <m/>
    <n v="780"/>
    <n v="0.39"/>
    <m/>
    <m/>
    <m/>
    <m/>
    <m/>
    <m/>
    <m/>
  </r>
  <r>
    <x v="5"/>
    <s v="CSB  paper trailer"/>
    <s v="Paper"/>
    <x v="0"/>
    <s v="Batliner"/>
    <m/>
    <n v="14760"/>
    <n v="7.38"/>
    <m/>
    <m/>
    <m/>
    <n v="728.77"/>
    <m/>
    <m/>
    <m/>
  </r>
  <r>
    <x v="5"/>
    <s v="CSB  paper trailer"/>
    <s v="Paper"/>
    <x v="3"/>
    <s v="Batliner"/>
    <m/>
    <n v="7970"/>
    <n v="3.9849999999999999"/>
    <m/>
    <m/>
    <m/>
    <m/>
    <m/>
    <m/>
    <m/>
  </r>
  <r>
    <x v="5"/>
    <s v="Warehouse"/>
    <s v="Cardboard"/>
    <x v="1"/>
    <s v="Batliner"/>
    <m/>
    <n v="4680"/>
    <n v="2.34"/>
    <m/>
    <m/>
    <m/>
    <m/>
    <m/>
    <m/>
    <m/>
  </r>
  <r>
    <x v="5"/>
    <s v="CSB  paper trailer"/>
    <s v="Plastic"/>
    <x v="2"/>
    <s v="Batliner"/>
    <m/>
    <n v="500"/>
    <n v="0.25"/>
    <m/>
    <m/>
    <m/>
    <m/>
    <m/>
    <m/>
    <m/>
  </r>
  <r>
    <x v="6"/>
    <s v="CSB  paper trailer"/>
    <s v="Paper"/>
    <x v="0"/>
    <s v="Batliner"/>
    <m/>
    <n v="2000"/>
    <n v="1"/>
    <m/>
    <m/>
    <m/>
    <n v="306.51"/>
    <m/>
    <m/>
    <m/>
  </r>
  <r>
    <x v="6"/>
    <s v="CSB  paper trailer"/>
    <s v="Paper"/>
    <x v="3"/>
    <s v="Batliner"/>
    <m/>
    <n v="9840"/>
    <n v="4.92"/>
    <m/>
    <m/>
    <m/>
    <m/>
    <m/>
    <m/>
    <m/>
  </r>
  <r>
    <x v="6"/>
    <s v="Warehouse"/>
    <s v="Cardboard"/>
    <x v="1"/>
    <s v="Batliner"/>
    <m/>
    <n v="4540"/>
    <n v="2.27"/>
    <m/>
    <m/>
    <m/>
    <m/>
    <m/>
    <m/>
    <m/>
  </r>
  <r>
    <x v="6"/>
    <s v="CSB  paper trailer"/>
    <s v="Plastic"/>
    <x v="2"/>
    <s v="Batliner"/>
    <m/>
    <n v="580"/>
    <n v="0.28999999999999998"/>
    <m/>
    <m/>
    <m/>
    <m/>
    <m/>
    <m/>
    <m/>
  </r>
  <r>
    <x v="7"/>
    <s v="Warehouse"/>
    <s v="Paper"/>
    <x v="0"/>
    <s v="Batliner"/>
    <m/>
    <n v="4440"/>
    <n v="2.2200000000000002"/>
    <m/>
    <m/>
    <m/>
    <n v="319.48"/>
    <m/>
    <m/>
    <m/>
  </r>
  <r>
    <x v="7"/>
    <s v="Warehouse"/>
    <s v="Cardboard"/>
    <x v="1"/>
    <s v="Batliner"/>
    <m/>
    <n v="7880"/>
    <n v="3.94"/>
    <m/>
    <m/>
    <m/>
    <m/>
    <m/>
    <m/>
    <m/>
  </r>
  <r>
    <x v="7"/>
    <s v="CSB  paper trailer"/>
    <s v="Plastic"/>
    <x v="2"/>
    <s v="Batliner"/>
    <m/>
    <n v="1380"/>
    <n v="0.69"/>
    <m/>
    <m/>
    <m/>
    <m/>
    <m/>
    <m/>
    <m/>
  </r>
  <r>
    <x v="8"/>
    <s v="CSB  paper trailer"/>
    <s v="Paper"/>
    <x v="4"/>
    <s v="Batliner"/>
    <m/>
    <n v="840"/>
    <n v="0.42"/>
    <m/>
    <m/>
    <m/>
    <n v="0"/>
    <m/>
    <m/>
    <m/>
  </r>
  <r>
    <x v="8"/>
    <s v="Warehouse"/>
    <s v="Paper"/>
    <x v="0"/>
    <s v="Batliner"/>
    <m/>
    <n v="16060"/>
    <n v="8.0299999999999994"/>
    <m/>
    <m/>
    <m/>
    <n v="706.64"/>
    <m/>
    <m/>
    <m/>
  </r>
  <r>
    <x v="8"/>
    <s v="CSB  paper trailer"/>
    <s v="Paper"/>
    <x v="3"/>
    <s v="Batliner"/>
    <m/>
    <n v="7400"/>
    <n v="3.7"/>
    <m/>
    <m/>
    <m/>
    <n v="55.5"/>
    <m/>
    <m/>
    <m/>
  </r>
  <r>
    <x v="8"/>
    <s v="Warehouse"/>
    <s v="Cardboard"/>
    <x v="1"/>
    <s v="Batliner"/>
    <m/>
    <n v="7420"/>
    <n v="3.71"/>
    <m/>
    <m/>
    <m/>
    <n v="116.87"/>
    <m/>
    <m/>
    <m/>
  </r>
  <r>
    <x v="8"/>
    <s v="CSB  paper trailer"/>
    <s v="Plastic"/>
    <x v="2"/>
    <s v="Batliner"/>
    <m/>
    <n v="1000"/>
    <n v="0.5"/>
    <m/>
    <m/>
    <m/>
    <n v="0"/>
    <m/>
    <m/>
    <m/>
  </r>
  <r>
    <x v="9"/>
    <s v="CSB  paper trailer"/>
    <s v="Paper"/>
    <x v="0"/>
    <s v="Batliner"/>
    <m/>
    <n v="8180"/>
    <n v="4.09"/>
    <m/>
    <m/>
    <m/>
    <n v="359.92"/>
    <m/>
    <m/>
    <m/>
  </r>
  <r>
    <x v="9"/>
    <s v="CSB  paper trailer"/>
    <s v="Paper"/>
    <x v="3"/>
    <s v="Batliner"/>
    <m/>
    <n v="12730"/>
    <n v="6.3650000000000002"/>
    <m/>
    <m/>
    <m/>
    <n v="318.25"/>
    <m/>
    <m/>
    <m/>
  </r>
  <r>
    <x v="9"/>
    <s v="Warehouse"/>
    <s v="Cardboard"/>
    <x v="1"/>
    <s v="Batliner"/>
    <m/>
    <n v="5480"/>
    <n v="2.74"/>
    <m/>
    <m/>
    <m/>
    <n v="102.75"/>
    <m/>
    <m/>
    <m/>
  </r>
  <r>
    <x v="9"/>
    <s v="CSB  paper trailer"/>
    <s v="Plastic"/>
    <x v="2"/>
    <s v="Batliner"/>
    <m/>
    <n v="1440"/>
    <n v="0.72"/>
    <m/>
    <m/>
    <m/>
    <n v="0"/>
    <m/>
    <m/>
    <m/>
  </r>
  <r>
    <x v="10"/>
    <s v="CSB  paper trailer"/>
    <s v="Paper"/>
    <x v="0"/>
    <s v="Batliner"/>
    <m/>
    <n v="1280"/>
    <n v="0.64"/>
    <m/>
    <m/>
    <m/>
    <n v="53.76"/>
    <m/>
    <m/>
    <m/>
  </r>
  <r>
    <x v="10"/>
    <s v="CSB  paper trailer"/>
    <s v="Paper"/>
    <x v="3"/>
    <s v="Batliner"/>
    <m/>
    <n v="8820"/>
    <n v="4.41"/>
    <m/>
    <m/>
    <m/>
    <n v="176.4"/>
    <m/>
    <m/>
    <m/>
  </r>
  <r>
    <x v="10"/>
    <s v="Warehouse"/>
    <s v="Cardboard"/>
    <x v="1"/>
    <s v="Batliner"/>
    <m/>
    <n v="5500"/>
    <n v="2.75"/>
    <m/>
    <m/>
    <m/>
    <n v="111.38"/>
    <m/>
    <m/>
    <m/>
  </r>
  <r>
    <x v="10"/>
    <s v="CSB  paper trailer"/>
    <s v="Plastic"/>
    <x v="2"/>
    <s v="Batliner"/>
    <m/>
    <n v="560"/>
    <n v="0.28000000000000003"/>
    <m/>
    <m/>
    <m/>
    <n v="0"/>
    <m/>
    <m/>
    <m/>
  </r>
  <r>
    <x v="11"/>
    <s v="Warehouse"/>
    <s v="e-waste"/>
    <x v="8"/>
    <s v="Unicor"/>
    <m/>
    <n v="683"/>
    <n v="0.34150000000000003"/>
    <m/>
    <m/>
    <m/>
    <m/>
    <m/>
    <m/>
    <m/>
  </r>
  <r>
    <x v="12"/>
    <s v="CSB  paper trailer"/>
    <s v="Paper"/>
    <x v="4"/>
    <s v="Batliner"/>
    <m/>
    <n v="2540"/>
    <n v="1.27"/>
    <m/>
    <m/>
    <m/>
    <n v="0"/>
    <m/>
    <m/>
    <m/>
  </r>
  <r>
    <x v="12"/>
    <s v="CSB  paper trailer"/>
    <s v="Paper"/>
    <x v="5"/>
    <s v="Batliner"/>
    <m/>
    <n v="9540"/>
    <n v="4.7699999999999996"/>
    <m/>
    <m/>
    <m/>
    <n v="113.53"/>
    <m/>
    <m/>
    <m/>
  </r>
  <r>
    <x v="12"/>
    <s v="CSB  paper trailer"/>
    <s v="Paper"/>
    <x v="0"/>
    <s v="Batliner"/>
    <m/>
    <n v="6240"/>
    <n v="3.12"/>
    <m/>
    <m/>
    <m/>
    <n v="249.6"/>
    <m/>
    <m/>
    <m/>
  </r>
  <r>
    <x v="12"/>
    <s v="CSB  paper trailer"/>
    <s v="Paper"/>
    <x v="3"/>
    <s v="Batliner"/>
    <m/>
    <n v="7420"/>
    <n v="3.71"/>
    <m/>
    <m/>
    <m/>
    <n v="111.3"/>
    <m/>
    <m/>
    <m/>
  </r>
  <r>
    <x v="12"/>
    <s v="Warehouse"/>
    <s v="Cardboard"/>
    <x v="1"/>
    <s v="Batliner"/>
    <m/>
    <n v="4030"/>
    <n v="2.0150000000000001"/>
    <m/>
    <m/>
    <m/>
    <n v="81.61"/>
    <m/>
    <m/>
    <m/>
  </r>
  <r>
    <x v="12"/>
    <s v="CSB  paper trailer"/>
    <s v="Plastic"/>
    <x v="2"/>
    <s v="Batliner"/>
    <m/>
    <n v="760"/>
    <n v="0.38"/>
    <m/>
    <m/>
    <m/>
    <n v="0"/>
    <m/>
    <m/>
    <m/>
  </r>
  <r>
    <x v="13"/>
    <s v="Warehouse"/>
    <s v="e-waste"/>
    <x v="9"/>
    <s v="Call2recycle"/>
    <m/>
    <n v="866"/>
    <n v="0.433"/>
    <m/>
    <m/>
    <m/>
    <m/>
    <m/>
    <m/>
    <m/>
  </r>
  <r>
    <x v="13"/>
    <s v="Book  Store"/>
    <s v="books"/>
    <x v="10"/>
    <s v="One Planet books"/>
    <s v="316 boxes"/>
    <n v="12640"/>
    <n v="6.32"/>
    <m/>
    <m/>
    <m/>
    <n v="3160"/>
    <m/>
    <m/>
    <m/>
  </r>
  <r>
    <x v="14"/>
    <s v="Warehouse"/>
    <s v="Cardboard"/>
    <x v="1"/>
    <s v="Batliner"/>
    <m/>
    <n v="7800"/>
    <n v="3.9"/>
    <m/>
    <m/>
    <m/>
    <n v="157.96"/>
    <m/>
    <m/>
    <m/>
  </r>
  <r>
    <x v="14"/>
    <s v="CSB  paper trailer"/>
    <s v="Plastic"/>
    <x v="2"/>
    <s v="Batliner"/>
    <m/>
    <n v="460"/>
    <n v="0.23"/>
    <m/>
    <m/>
    <m/>
    <n v="0"/>
    <m/>
    <m/>
    <m/>
  </r>
  <r>
    <x v="15"/>
    <s v="CSB  paper trailer"/>
    <s v="Paper"/>
    <x v="0"/>
    <s v="Batliner"/>
    <m/>
    <n v="11240"/>
    <n v="5.62"/>
    <m/>
    <m/>
    <m/>
    <n v="472.08"/>
    <m/>
    <m/>
    <m/>
  </r>
  <r>
    <x v="15"/>
    <s v="CSB  paper trailer"/>
    <s v="Paper"/>
    <x v="3"/>
    <s v="Batliner"/>
    <m/>
    <n v="13110"/>
    <n v="6.5549999999999997"/>
    <m/>
    <m/>
    <m/>
    <n v="229.43"/>
    <m/>
    <m/>
    <m/>
  </r>
  <r>
    <x v="15"/>
    <s v="Warehouse"/>
    <s v="Cardboard"/>
    <x v="1"/>
    <s v="Batliner"/>
    <m/>
    <n v="3870"/>
    <n v="1.9350000000000001"/>
    <m/>
    <m/>
    <m/>
    <n v="78.37"/>
    <m/>
    <m/>
    <m/>
  </r>
  <r>
    <x v="15"/>
    <s v="CSB  paper trailer"/>
    <s v="Plastic"/>
    <x v="2"/>
    <s v="Batliner"/>
    <m/>
    <n v="1370"/>
    <n v="0.68500000000000005"/>
    <m/>
    <m/>
    <m/>
    <n v="0"/>
    <m/>
    <m/>
    <m/>
  </r>
  <r>
    <x v="16"/>
    <s v="CSB  paper trailer"/>
    <s v="Paper"/>
    <x v="0"/>
    <s v="Batliner"/>
    <m/>
    <n v="8150"/>
    <n v="4.0750000000000002"/>
    <m/>
    <m/>
    <m/>
    <n v="342.3"/>
    <m/>
    <m/>
    <m/>
  </r>
  <r>
    <x v="16"/>
    <s v="CSB  paper trailer"/>
    <s v="Paper"/>
    <x v="3"/>
    <s v="Batliner"/>
    <m/>
    <n v="5510"/>
    <n v="2.7549999999999999"/>
    <m/>
    <m/>
    <m/>
    <n v="96.43"/>
    <m/>
    <m/>
    <m/>
  </r>
  <r>
    <x v="16"/>
    <s v="Warehouse"/>
    <s v="Cardboard"/>
    <x v="1"/>
    <s v="Batliner"/>
    <m/>
    <n v="8420"/>
    <n v="4.21"/>
    <m/>
    <m/>
    <m/>
    <n v="170.52"/>
    <m/>
    <m/>
    <m/>
  </r>
  <r>
    <x v="16"/>
    <s v="CSB  paper trailer"/>
    <s v="Plastic"/>
    <x v="2"/>
    <s v="Batliner"/>
    <m/>
    <n v="1600"/>
    <n v="0.8"/>
    <m/>
    <m/>
    <m/>
    <n v="0"/>
    <m/>
    <m/>
    <m/>
  </r>
  <r>
    <x v="17"/>
    <s v="CSB  paper trailer"/>
    <s v="Paper"/>
    <x v="0"/>
    <s v="Batliner"/>
    <m/>
    <n v="5090"/>
    <n v="2.5449999999999999"/>
    <m/>
    <m/>
    <m/>
    <n v="244.32"/>
    <m/>
    <m/>
    <m/>
  </r>
  <r>
    <x v="17"/>
    <s v="CSB  paper trailer"/>
    <s v="Paper"/>
    <x v="3"/>
    <s v="Batliner"/>
    <m/>
    <n v="6070"/>
    <n v="3.0350000000000001"/>
    <m/>
    <m/>
    <m/>
    <n v="209.18"/>
    <m/>
    <m/>
    <m/>
  </r>
  <r>
    <x v="17"/>
    <s v="Warehouse"/>
    <s v="Cardboard"/>
    <x v="1"/>
    <s v="Batliner"/>
    <m/>
    <n v="7240"/>
    <n v="3.62"/>
    <m/>
    <m/>
    <m/>
    <n v="146.62"/>
    <m/>
    <m/>
    <m/>
  </r>
  <r>
    <x v="17"/>
    <s v="CSB  paper trailer"/>
    <s v="Plastic"/>
    <x v="2"/>
    <s v="Batliner"/>
    <m/>
    <n v="2250"/>
    <n v="1.125"/>
    <m/>
    <m/>
    <m/>
    <n v="0"/>
    <m/>
    <m/>
    <m/>
  </r>
  <r>
    <x v="18"/>
    <s v="CSB  paper trailer"/>
    <s v="Paper"/>
    <x v="5"/>
    <s v="Batliner"/>
    <m/>
    <n v="850"/>
    <n v="0.42499999999999999"/>
    <m/>
    <m/>
    <m/>
    <n v="17.260000000000002"/>
    <m/>
    <m/>
    <m/>
  </r>
  <r>
    <x v="18"/>
    <s v="CSB  paper trailer"/>
    <s v="Paper"/>
    <x v="0"/>
    <s v="Batliner"/>
    <m/>
    <n v="3500"/>
    <n v="1.75"/>
    <m/>
    <m/>
    <m/>
    <n v="182"/>
    <m/>
    <m/>
    <m/>
  </r>
  <r>
    <x v="18"/>
    <s v="CSB  paper trailer"/>
    <s v="Paper"/>
    <x v="3"/>
    <s v="Batliner"/>
    <m/>
    <n v="1530"/>
    <n v="0.76500000000000001"/>
    <m/>
    <m/>
    <m/>
    <n v="42.08"/>
    <m/>
    <m/>
    <m/>
  </r>
  <r>
    <x v="18"/>
    <s v="Warehouse"/>
    <s v="Cardboard"/>
    <x v="1"/>
    <s v="Batliner"/>
    <m/>
    <n v="5020"/>
    <n v="2.5099999999999998"/>
    <m/>
    <m/>
    <m/>
    <n v="105.42"/>
    <m/>
    <m/>
    <m/>
  </r>
  <r>
    <x v="18"/>
    <s v="CSB  paper trailer"/>
    <s v="Plastic"/>
    <x v="2"/>
    <s v="Batliner"/>
    <m/>
    <n v="720"/>
    <n v="0.36"/>
    <m/>
    <m/>
    <m/>
    <n v="25.6"/>
    <m/>
    <m/>
    <m/>
  </r>
  <r>
    <x v="18"/>
    <s v="CSB  paper trailer"/>
    <s v="Paper"/>
    <x v="3"/>
    <s v="Batliner"/>
    <m/>
    <n v="1320"/>
    <n v="0.66"/>
    <m/>
    <m/>
    <m/>
    <m/>
    <m/>
    <m/>
    <m/>
  </r>
  <r>
    <x v="19"/>
    <s v="CSB  paper trailer"/>
    <s v="Paper"/>
    <x v="5"/>
    <s v="Batliner"/>
    <m/>
    <n v="3690"/>
    <n v="1.845"/>
    <m/>
    <m/>
    <m/>
    <n v="71.959999999999994"/>
    <m/>
    <m/>
    <m/>
  </r>
  <r>
    <x v="19"/>
    <s v="CSB  paper trailer"/>
    <s v="Paper"/>
    <x v="0"/>
    <s v="Batliner"/>
    <m/>
    <n v="21720"/>
    <n v="10.86"/>
    <m/>
    <m/>
    <m/>
    <n v="1129.44"/>
    <m/>
    <m/>
    <m/>
  </r>
  <r>
    <x v="19"/>
    <s v="Warehouse"/>
    <s v="Cardboard"/>
    <x v="1"/>
    <s v="Batliner"/>
    <m/>
    <n v="4410"/>
    <n v="2.2050000000000001"/>
    <m/>
    <m/>
    <m/>
    <n v="92.61"/>
    <m/>
    <m/>
    <m/>
  </r>
  <r>
    <x v="19"/>
    <s v="CSB  paper trailer"/>
    <s v="Plastic"/>
    <x v="2"/>
    <s v="Batliner"/>
    <m/>
    <n v="960"/>
    <n v="0.48"/>
    <m/>
    <m/>
    <m/>
    <n v="0"/>
    <m/>
    <m/>
    <m/>
  </r>
  <r>
    <x v="20"/>
    <s v="CC compactor"/>
    <s v="Single Stream"/>
    <x v="11"/>
    <s v="RockTenn"/>
    <m/>
    <n v="7600"/>
    <n v="3.8"/>
    <n v="57.894736842105267"/>
    <n v="220"/>
    <n v="0"/>
    <n v="220"/>
    <n v="3243308"/>
    <n v="148606"/>
    <d v="2011-07-25T00:00:00"/>
  </r>
  <r>
    <x v="21"/>
    <s v="CSB  paper trailer"/>
    <s v="Paper"/>
    <x v="0"/>
    <s v="Batliner"/>
    <m/>
    <n v="1160"/>
    <n v="0.57999999999999996"/>
    <m/>
    <m/>
    <m/>
    <n v="63.8"/>
    <m/>
    <m/>
    <m/>
  </r>
  <r>
    <x v="21"/>
    <s v="Warehouse"/>
    <s v="Cardboard"/>
    <x v="1"/>
    <s v="Batliner"/>
    <m/>
    <n v="2200"/>
    <n v="1.1000000000000001"/>
    <m/>
    <m/>
    <m/>
    <n v="51.15"/>
    <m/>
    <m/>
    <m/>
  </r>
  <r>
    <x v="21"/>
    <s v="CSB  paper trailer"/>
    <s v="Plastic"/>
    <x v="2"/>
    <s v="Batliner"/>
    <m/>
    <n v="340"/>
    <n v="0.17"/>
    <m/>
    <m/>
    <m/>
    <n v="0"/>
    <m/>
    <m/>
    <m/>
  </r>
  <r>
    <x v="21"/>
    <s v="CC compactor"/>
    <s v="Single Stream"/>
    <x v="11"/>
    <s v="RockTenn"/>
    <m/>
    <n v="7300"/>
    <n v="3.65"/>
    <n v="100"/>
    <n v="365"/>
    <n v="0"/>
    <n v="365"/>
    <n v="3242825"/>
    <n v="148611"/>
    <d v="2011-08-15T00:00:00"/>
  </r>
  <r>
    <x v="22"/>
    <s v="CC compactor"/>
    <s v="Single Stream"/>
    <x v="11"/>
    <s v="RockTenn"/>
    <m/>
    <n v="7400"/>
    <n v="3.7"/>
    <n v="100"/>
    <n v="370"/>
    <n v="0"/>
    <n v="370"/>
    <n v="3245837"/>
    <n v="158720"/>
    <d v="2012-10-31T00:00:00"/>
  </r>
  <r>
    <x v="23"/>
    <s v="CC compactor"/>
    <s v="Single Stream"/>
    <x v="11"/>
    <s v="RockTenn"/>
    <m/>
    <n v="8220"/>
    <n v="4.1100000000000003"/>
    <n v="99.999999999999986"/>
    <n v="411"/>
    <n v="0"/>
    <n v="411"/>
    <n v="3244752"/>
    <m/>
    <m/>
  </r>
  <r>
    <x v="24"/>
    <s v="CSB  paper trailer"/>
    <s v="Paper"/>
    <x v="0"/>
    <s v="Batliner"/>
    <m/>
    <n v="4390"/>
    <n v="2.1949999999999998"/>
    <m/>
    <m/>
    <m/>
    <n v="254.62"/>
    <m/>
    <m/>
    <m/>
  </r>
  <r>
    <x v="24"/>
    <s v="Warehouse"/>
    <s v="Paper"/>
    <x v="3"/>
    <s v="Batliner"/>
    <m/>
    <n v="10045"/>
    <n v="5.0225"/>
    <m/>
    <m/>
    <m/>
    <n v="326.45999999999998"/>
    <m/>
    <m/>
    <m/>
  </r>
  <r>
    <x v="24"/>
    <s v="CSB  paper trailer"/>
    <s v="Cardboard"/>
    <x v="1"/>
    <s v="Batliner"/>
    <m/>
    <n v="505"/>
    <n v="0.2525"/>
    <m/>
    <m/>
    <m/>
    <n v="12.5"/>
    <m/>
    <m/>
    <m/>
  </r>
  <r>
    <x v="24"/>
    <s v="CSB  paper trailer"/>
    <s v="Plastic"/>
    <x v="2"/>
    <s v="Batliner"/>
    <m/>
    <n v="50"/>
    <n v="2.5000000000000001E-2"/>
    <m/>
    <m/>
    <m/>
    <n v="0"/>
    <m/>
    <m/>
    <m/>
  </r>
  <r>
    <x v="24"/>
    <s v="All/Dumpsters"/>
    <s v="Single Stream"/>
    <x v="11"/>
    <s v="RockTenn/Abitibi"/>
    <m/>
    <n v="2446"/>
    <n v="1.2230000000000001"/>
    <m/>
    <m/>
    <m/>
    <m/>
    <m/>
    <m/>
    <m/>
  </r>
  <r>
    <x v="25"/>
    <s v="CSB  paper trailer"/>
    <s v="Paper"/>
    <x v="0"/>
    <s v="RockTenn"/>
    <m/>
    <n v="10150"/>
    <n v="5.0750000000000002"/>
    <n v="125.00098522167487"/>
    <n v="634.38"/>
    <n v="0"/>
    <n v="634.38"/>
    <n v="3245832"/>
    <n v="158720"/>
    <d v="2012-10-31T00:00:00"/>
  </r>
  <r>
    <x v="25"/>
    <s v="CSB  paper trailer"/>
    <s v="Cardboard"/>
    <x v="1"/>
    <s v="RockTenn"/>
    <m/>
    <n v="200"/>
    <n v="0.1"/>
    <n v="100"/>
    <n v="10"/>
    <n v="0"/>
    <n v="10"/>
    <n v="3245832"/>
    <n v="158720"/>
    <d v="2012-10-31T00:00:00"/>
  </r>
  <r>
    <x v="26"/>
    <s v="CC compactor"/>
    <s v="Single Stream"/>
    <x v="11"/>
    <s v="RockTenn"/>
    <m/>
    <n v="8040"/>
    <n v="4.0199999999999996"/>
    <n v="100.00000000000001"/>
    <n v="402"/>
    <n v="0"/>
    <n v="402"/>
    <n v="3245835"/>
    <n v="158720"/>
    <d v="2012-10-31T00:00:00"/>
  </r>
  <r>
    <x v="27"/>
    <s v="All/Dumpsters"/>
    <s v="Single Stream"/>
    <x v="11"/>
    <s v="RockTenn/Abitibi"/>
    <m/>
    <n v="2436"/>
    <n v="1.218"/>
    <m/>
    <m/>
    <m/>
    <m/>
    <m/>
    <m/>
    <m/>
  </r>
  <r>
    <x v="28"/>
    <s v="Warehouse"/>
    <s v="Glass"/>
    <x v="12"/>
    <s v="Ripple"/>
    <m/>
    <n v="8940"/>
    <n v="4.47"/>
    <m/>
    <m/>
    <m/>
    <m/>
    <m/>
    <m/>
    <m/>
  </r>
  <r>
    <x v="29"/>
    <s v="CC compactor"/>
    <s v="Single Stream"/>
    <x v="11"/>
    <s v="RockTenn"/>
    <m/>
    <n v="8920"/>
    <n v="4.46"/>
    <n v="100"/>
    <n v="446"/>
    <n v="0"/>
    <n v="446"/>
    <n v="3245834"/>
    <n v="158720"/>
    <d v="2012-10-31T00:00:00"/>
  </r>
  <r>
    <x v="30"/>
    <s v="CSB  paper trailer"/>
    <s v="Paper"/>
    <x v="0"/>
    <s v="RockTenn"/>
    <m/>
    <n v="12530"/>
    <n v="6.2649999999999997"/>
    <n v="125.00079808459698"/>
    <n v="783.13"/>
    <n v="0"/>
    <n v="783.13"/>
    <n v="3245833"/>
    <n v="158720"/>
    <d v="2012-10-31T00:00:00"/>
  </r>
  <r>
    <x v="30"/>
    <s v="CSB  paper trailer"/>
    <s v="Cardboard"/>
    <x v="1"/>
    <s v="RockTenn"/>
    <m/>
    <n v="250"/>
    <n v="0.125"/>
    <n v="100"/>
    <n v="12.5"/>
    <n v="0"/>
    <n v="12.5"/>
    <n v="3245833"/>
    <n v="158720"/>
    <d v="2012-10-31T00:00:00"/>
  </r>
  <r>
    <x v="31"/>
    <s v="CC compactor"/>
    <s v="Single Stream"/>
    <x v="11"/>
    <s v="RockTenn"/>
    <m/>
    <n v="2080"/>
    <n v="1.04"/>
    <n v="100"/>
    <n v="104"/>
    <n v="0"/>
    <n v="104"/>
    <n v="3245836"/>
    <n v="158720"/>
    <d v="2012-10-31T00:00:00"/>
  </r>
  <r>
    <x v="32"/>
    <s v="Student Center compactor"/>
    <s v="Single Stream"/>
    <x v="11"/>
    <s v="RockTenn"/>
    <m/>
    <n v="8660"/>
    <n v="4.33"/>
    <n v="100"/>
    <n v="433"/>
    <n v="0"/>
    <n v="433"/>
    <n v="3245838"/>
    <n v="158720"/>
    <d v="2012-10-31T00:00:00"/>
  </r>
  <r>
    <x v="33"/>
    <s v="All/Dumpsters"/>
    <s v="Single Stream"/>
    <x v="11"/>
    <s v="RockTenn/Abitibi"/>
    <m/>
    <n v="2812"/>
    <n v="1.4059999999999999"/>
    <m/>
    <m/>
    <m/>
    <m/>
    <m/>
    <m/>
    <m/>
  </r>
  <r>
    <x v="34"/>
    <s v="CC compactor"/>
    <s v="Single Stream"/>
    <x v="11"/>
    <s v="RockTenn"/>
    <m/>
    <n v="5320"/>
    <n v="2.66"/>
    <n v="59.999999999999993"/>
    <n v="159.6"/>
    <n v="0"/>
    <n v="159.6"/>
    <n v="3246107"/>
    <n v="162991"/>
    <d v="2012-11-10T00:00:00"/>
  </r>
  <r>
    <x v="35"/>
    <s v="CSB  paper trailer"/>
    <s v="Paper"/>
    <x v="0"/>
    <s v="RockTenn"/>
    <m/>
    <n v="3865"/>
    <n v="1.9325000000000001"/>
    <n v="50.002587322121599"/>
    <n v="96.63"/>
    <n v="0"/>
    <n v="96.63"/>
    <n v="3246455"/>
    <n v="162991"/>
    <d v="2012-11-28T00:00:00"/>
  </r>
  <r>
    <x v="35"/>
    <s v="CSB  paper trailer"/>
    <s v="Paper"/>
    <x v="3"/>
    <s v="RockTenn"/>
    <m/>
    <n v="4585"/>
    <n v="2.2925"/>
    <n v="50.002181025081789"/>
    <n v="114.63"/>
    <n v="0"/>
    <n v="114.63"/>
    <n v="3246455"/>
    <n v="162991"/>
    <d v="2012-11-28T00:00:00"/>
  </r>
  <r>
    <x v="35"/>
    <s v="CSB  paper trailer"/>
    <s v="Cardboard"/>
    <x v="1"/>
    <s v="RockTenn"/>
    <m/>
    <n v="130"/>
    <n v="6.5000000000000002E-2"/>
    <n v="100"/>
    <n v="6.5"/>
    <n v="0"/>
    <n v="6.5"/>
    <n v="3246455"/>
    <n v="162991"/>
    <d v="2012-11-28T00:00:00"/>
  </r>
  <r>
    <x v="36"/>
    <s v="CC compactor"/>
    <s v="Single Stream"/>
    <x v="11"/>
    <s v="RockTenn"/>
    <m/>
    <n v="6640"/>
    <n v="3.32"/>
    <n v="60"/>
    <n v="199.2"/>
    <n v="0"/>
    <n v="199.2"/>
    <n v="3246350"/>
    <n v="162991"/>
    <d v="2012-11-21T00:00:00"/>
  </r>
  <r>
    <x v="37"/>
    <s v="Warehouse"/>
    <s v="Glass"/>
    <x v="12"/>
    <s v="Ripple"/>
    <m/>
    <n v="9640"/>
    <n v="4.82"/>
    <m/>
    <m/>
    <m/>
    <m/>
    <m/>
    <m/>
    <m/>
  </r>
  <r>
    <x v="38"/>
    <s v="All/Dumpsters"/>
    <s v="Single Stream"/>
    <x v="11"/>
    <s v="RockTenn/Abitibi"/>
    <m/>
    <n v="3178"/>
    <n v="1.589"/>
    <m/>
    <m/>
    <m/>
    <m/>
    <m/>
    <m/>
    <m/>
  </r>
  <r>
    <x v="39"/>
    <s v="CC compactor"/>
    <s v="Single Stream"/>
    <x v="11"/>
    <s v="RockTenn"/>
    <m/>
    <n v="6680"/>
    <n v="3.34"/>
    <n v="45.000000000000007"/>
    <n v="150.30000000000001"/>
    <n v="0"/>
    <n v="150.30000000000001"/>
    <n v="3246881"/>
    <n v="163757"/>
    <d v="2012-12-13T00:00:00"/>
  </r>
  <r>
    <x v="40"/>
    <s v="All/Dumpsters"/>
    <s v="Single Stream"/>
    <x v="11"/>
    <s v="RockTenn/Abitibi"/>
    <m/>
    <n v="2030"/>
    <n v="1.0149999999999999"/>
    <m/>
    <m/>
    <m/>
    <m/>
    <m/>
    <m/>
    <m/>
  </r>
  <r>
    <x v="41"/>
    <s v="Warehouse"/>
    <s v="e-waste"/>
    <x v="9"/>
    <s v="Call2recycle"/>
    <m/>
    <n v="1542"/>
    <n v="0.77100000000000002"/>
    <m/>
    <m/>
    <m/>
    <m/>
    <m/>
    <m/>
    <m/>
  </r>
  <r>
    <x v="41"/>
    <s v="Book  Store"/>
    <s v="books"/>
    <x v="10"/>
    <s v="One Planet books"/>
    <s v="569 boxes"/>
    <n v="22760"/>
    <n v="11.38"/>
    <m/>
    <m/>
    <m/>
    <n v="5690"/>
    <m/>
    <m/>
    <m/>
  </r>
  <r>
    <x v="41"/>
    <s v="south Compound"/>
    <s v="Compost"/>
    <x v="13"/>
    <s v="JCCC"/>
    <n v="111"/>
    <n v="38850"/>
    <n v="19.425000000000001"/>
    <m/>
    <m/>
    <m/>
    <m/>
    <m/>
    <m/>
    <m/>
  </r>
  <r>
    <x v="41"/>
    <s v="south Compound"/>
    <s v="Wood"/>
    <x v="14"/>
    <s v="JCCC"/>
    <n v="50"/>
    <n v="17500"/>
    <n v="8.75"/>
    <m/>
    <m/>
    <m/>
    <m/>
    <m/>
    <m/>
    <m/>
  </r>
  <r>
    <x v="42"/>
    <s v="Warehouse"/>
    <s v="e-waste"/>
    <x v="8"/>
    <s v="Unicor"/>
    <m/>
    <n v="4293"/>
    <n v="2.1465000000000001"/>
    <m/>
    <m/>
    <m/>
    <m/>
    <m/>
    <m/>
    <m/>
  </r>
  <r>
    <x v="43"/>
    <s v="CSB  paper trailer"/>
    <s v="Paper"/>
    <x v="4"/>
    <s v="RockTenn"/>
    <m/>
    <n v="860"/>
    <n v="0.43"/>
    <n v="5"/>
    <n v="2.15"/>
    <n v="0"/>
    <n v="2.15"/>
    <n v="3247415"/>
    <n v="167496"/>
    <d v="2012-01-05T00:00:00"/>
  </r>
  <r>
    <x v="43"/>
    <s v="CSB  paper trailer"/>
    <s v="Paper"/>
    <x v="0"/>
    <s v="RockTenn"/>
    <m/>
    <n v="5355"/>
    <n v="2.6775000000000002"/>
    <n v="30.001867413632116"/>
    <n v="80.33"/>
    <n v="0"/>
    <n v="80.33"/>
    <n v="3247415"/>
    <n v="167496"/>
    <d v="2012-01-05T00:00:00"/>
  </r>
  <r>
    <x v="43"/>
    <s v="CSB  paper trailer"/>
    <s v="Paper"/>
    <x v="3"/>
    <s v="RockTenn"/>
    <m/>
    <n v="7180"/>
    <n v="3.59"/>
    <n v="20"/>
    <n v="71.8"/>
    <n v="0"/>
    <n v="71.8"/>
    <n v="3247415"/>
    <n v="167496"/>
    <d v="2012-01-05T00:00:00"/>
  </r>
  <r>
    <x v="43"/>
    <s v="CSB  paper trailer"/>
    <s v="Cardboard"/>
    <x v="1"/>
    <s v="RockTenn"/>
    <m/>
    <n v="585"/>
    <n v="0.29249999999999998"/>
    <n v="70.017094017094024"/>
    <n v="20.48"/>
    <n v="0"/>
    <n v="20.48"/>
    <n v="3247415"/>
    <n v="167496"/>
    <d v="2012-01-05T00:00:00"/>
  </r>
  <r>
    <x v="44"/>
    <s v="CC compactor"/>
    <s v="Single Stream"/>
    <x v="11"/>
    <s v="RockTenn"/>
    <m/>
    <n v="8800"/>
    <n v="4.4000000000000004"/>
    <n v="44.999999999999993"/>
    <n v="198"/>
    <n v="0"/>
    <n v="198"/>
    <n v="3247660"/>
    <n v="168277"/>
    <d v="2012-01-16T00:00:00"/>
  </r>
  <r>
    <x v="45"/>
    <s v="Warehouse"/>
    <s v="Glass"/>
    <x v="12"/>
    <s v="Ripple"/>
    <m/>
    <n v="11880"/>
    <n v="5.94"/>
    <m/>
    <m/>
    <m/>
    <m/>
    <m/>
    <m/>
    <m/>
  </r>
  <r>
    <x v="46"/>
    <s v="All/Dumpsters"/>
    <s v="Single Stream"/>
    <x v="11"/>
    <s v="RockTenn/Abitibi"/>
    <m/>
    <n v="7347"/>
    <n v="3.6735000000000002"/>
    <m/>
    <m/>
    <m/>
    <m/>
    <m/>
    <m/>
    <m/>
  </r>
  <r>
    <x v="46"/>
    <s v="CSB  paper trailer"/>
    <s v="Paper"/>
    <x v="0"/>
    <s v="RockTenn"/>
    <m/>
    <n v="5480"/>
    <n v="2.74"/>
    <n v="70.003649635036496"/>
    <n v="191.81"/>
    <n v="0"/>
    <n v="191.81"/>
    <n v="3248171"/>
    <n v="169357"/>
    <m/>
  </r>
  <r>
    <x v="46"/>
    <s v="CSB  paper trailer"/>
    <s v="Cardboard"/>
    <x v="1"/>
    <s v="RockTenn"/>
    <m/>
    <n v="840"/>
    <n v="0.42"/>
    <n v="60"/>
    <n v="25.2"/>
    <n v="0"/>
    <n v="25.2"/>
    <n v="3248171"/>
    <n v="169357"/>
    <m/>
  </r>
  <r>
    <x v="46"/>
    <s v="CSB  paper trailer"/>
    <s v="Paper"/>
    <x v="3"/>
    <s v="RockTenn"/>
    <m/>
    <n v="1800"/>
    <n v="0.9"/>
    <n v="50"/>
    <n v="45"/>
    <n v="0"/>
    <n v="45"/>
    <n v="3248171"/>
    <n v="169357"/>
    <m/>
  </r>
  <r>
    <x v="47"/>
    <s v="Student Center compactor"/>
    <s v="Single Stream"/>
    <x v="11"/>
    <s v="RockTenn"/>
    <m/>
    <n v="8220"/>
    <n v="4.1100000000000003"/>
    <n v="59.999999999999993"/>
    <n v="246.6"/>
    <n v="0"/>
    <n v="246.6"/>
    <n v="477823"/>
    <n v="169275"/>
    <d v="2012-02-01T00:00:00"/>
  </r>
  <r>
    <x v="48"/>
    <s v="CC compactor"/>
    <s v="Single Stream"/>
    <x v="11"/>
    <s v="RockTenn"/>
    <m/>
    <n v="7040"/>
    <n v="3.52"/>
    <n v="60"/>
    <n v="211.2"/>
    <n v="0"/>
    <n v="211.2"/>
    <n v="477824"/>
    <n v="169275"/>
    <d v="2012-02-01T00:00:00"/>
  </r>
  <r>
    <x v="49"/>
    <s v="Aluminum plates with paper"/>
    <s v="Metal"/>
    <x v="15"/>
    <s v="RockTenn"/>
    <m/>
    <n v="1620"/>
    <n v="0.81"/>
    <n v="499.99999999999994"/>
    <n v="405"/>
    <n v="0"/>
    <n v="405"/>
    <n v="477898"/>
    <n v="171458"/>
    <d v="2012-04-30T00:00:00"/>
  </r>
  <r>
    <x v="49"/>
    <s v="copper cords wires 35%"/>
    <s v="Metal"/>
    <x v="16"/>
    <s v="RockTenn"/>
    <m/>
    <n v="320"/>
    <n v="0.16"/>
    <n v="1100"/>
    <n v="176"/>
    <n v="0"/>
    <n v="176"/>
    <n v="477898"/>
    <n v="171458"/>
    <d v="2012-04-30T00:00:00"/>
  </r>
  <r>
    <x v="50"/>
    <s v="CSB  paper trailer"/>
    <s v="Paper"/>
    <x v="0"/>
    <s v="RockTenn"/>
    <m/>
    <n v="6735"/>
    <n v="3.3675000000000002"/>
    <n v="100"/>
    <n v="336.75"/>
    <n v="0"/>
    <n v="336.75"/>
    <n v="478505"/>
    <n v="171820"/>
    <d v="2012-03-06T00:00:00"/>
  </r>
  <r>
    <x v="50"/>
    <s v="CSB  paper trailer"/>
    <s v="Cardboard"/>
    <x v="1"/>
    <s v="RockTenn"/>
    <m/>
    <n v="160"/>
    <n v="0.08"/>
    <n v="60"/>
    <n v="4.8"/>
    <n v="0"/>
    <n v="4.8"/>
    <n v="478505"/>
    <n v="171820"/>
    <d v="2012-03-06T00:00:00"/>
  </r>
  <r>
    <x v="50"/>
    <s v="CSB  paper trailer"/>
    <s v="Trash"/>
    <x v="17"/>
    <s v="RockTenn"/>
    <m/>
    <n v="1405"/>
    <n v="0.70250000000000001"/>
    <n v="-50.035587188612098"/>
    <n v="-35.15"/>
    <n v="0"/>
    <n v="-35.15"/>
    <n v="478505"/>
    <n v="171820"/>
    <d v="2012-03-06T00:00:00"/>
  </r>
  <r>
    <x v="50"/>
    <s v="CSB  paper trailer"/>
    <s v="Plastic"/>
    <x v="18"/>
    <s v="RockTenn"/>
    <m/>
    <n v="40"/>
    <n v="0.02"/>
    <n v="100"/>
    <n v="2"/>
    <n v="0"/>
    <n v="2"/>
    <n v="478505"/>
    <n v="171820"/>
    <d v="2012-03-06T00:00:00"/>
  </r>
  <r>
    <x v="50"/>
    <s v="CSB  paper trailer"/>
    <s v="Paper"/>
    <x v="3"/>
    <s v="RockTenn"/>
    <m/>
    <n v="760"/>
    <n v="0.38"/>
    <n v="80"/>
    <n v="30.4"/>
    <n v="0"/>
    <n v="30.4"/>
    <n v="478505"/>
    <n v="171820"/>
    <d v="2012-03-06T00:00:00"/>
  </r>
  <r>
    <x v="51"/>
    <s v="CC compactor"/>
    <s v="Single Stream"/>
    <x v="11"/>
    <s v="RockTenn"/>
    <m/>
    <n v="7720"/>
    <n v="3.86"/>
    <n v="60"/>
    <n v="231.6"/>
    <n v="0"/>
    <n v="231.6"/>
    <n v="478317"/>
    <n v="171052"/>
    <d v="2012-04-19T00:00:00"/>
  </r>
  <r>
    <x v="52"/>
    <s v="Warehouse"/>
    <s v="Glass"/>
    <x v="12"/>
    <s v="Ripple"/>
    <m/>
    <n v="9620"/>
    <n v="4.8099999999999996"/>
    <m/>
    <m/>
    <m/>
    <m/>
    <m/>
    <m/>
    <m/>
  </r>
  <r>
    <x v="52"/>
    <s v="All/Dumpsters"/>
    <s v="Single Stream"/>
    <x v="11"/>
    <s v="RockTenn/Abitibi"/>
    <m/>
    <n v="7347"/>
    <n v="3.6735000000000002"/>
    <m/>
    <m/>
    <m/>
    <m/>
    <m/>
    <m/>
    <m/>
  </r>
  <r>
    <x v="53"/>
    <s v="CSB  paper trailer"/>
    <s v="Paper"/>
    <x v="0"/>
    <s v="RockTenn"/>
    <m/>
    <n v="14525"/>
    <n v="7.2625000000000002"/>
    <n v="100"/>
    <n v="726.25"/>
    <n v="0"/>
    <n v="726.25"/>
    <n v="478146"/>
    <n v="171820"/>
    <d v="2012-03-05T00:00:00"/>
  </r>
  <r>
    <x v="53"/>
    <s v="CSB  paper trailer"/>
    <s v="Cardboard"/>
    <x v="1"/>
    <s v="RockTenn"/>
    <m/>
    <n v="615"/>
    <n v="0.3075"/>
    <n v="60"/>
    <n v="18.45"/>
    <n v="0"/>
    <n v="18.45"/>
    <n v="478146"/>
    <n v="171820"/>
    <d v="2012-03-05T00:00:00"/>
  </r>
  <r>
    <x v="53"/>
    <s v="CSB  paper trailer"/>
    <s v="Paper"/>
    <x v="3"/>
    <s v="RockTenn"/>
    <m/>
    <n v="5055"/>
    <n v="2.5274999999999999"/>
    <n v="80"/>
    <n v="202.2"/>
    <n v="0"/>
    <n v="202.2"/>
    <n v="478146"/>
    <n v="171820"/>
    <d v="2012-03-05T00:00:00"/>
  </r>
  <r>
    <x v="53"/>
    <s v="CSB  paper trailer"/>
    <s v="Trash"/>
    <x v="17"/>
    <s v="RockTenn"/>
    <m/>
    <n v="565"/>
    <n v="0.28249999999999997"/>
    <n v="-50.017699115044252"/>
    <n v="-14.13"/>
    <n v="0"/>
    <n v="-14.13"/>
    <n v="478146"/>
    <n v="171820"/>
    <d v="2012-03-05T00:00:00"/>
  </r>
  <r>
    <x v="53"/>
    <s v="CSB  paper trailer"/>
    <s v="Plastic"/>
    <x v="18"/>
    <s v="RockTenn"/>
    <m/>
    <n v="180"/>
    <n v="0.09"/>
    <n v="100"/>
    <n v="9"/>
    <n v="0"/>
    <n v="9"/>
    <n v="478146"/>
    <n v="171820"/>
    <d v="2012-03-05T00:00:00"/>
  </r>
  <r>
    <x v="54"/>
    <s v="CSB  paper trailer"/>
    <s v="Paper"/>
    <x v="0"/>
    <s v="RockTenn"/>
    <m/>
    <n v="1255"/>
    <n v="0.62749999999999995"/>
    <n v="100.00000000000001"/>
    <n v="62.75"/>
    <n v="0"/>
    <n v="62.75"/>
    <n v="478676"/>
    <n v="172632"/>
    <d v="2012-03-15T00:00:00"/>
  </r>
  <r>
    <x v="54"/>
    <s v="CSB  paper trailer"/>
    <s v="Cardboard"/>
    <x v="1"/>
    <s v="RockTenn"/>
    <m/>
    <n v="185"/>
    <n v="9.2499999999999999E-2"/>
    <n v="60"/>
    <n v="5.55"/>
    <n v="0"/>
    <n v="5.55"/>
    <n v="478676"/>
    <n v="172632"/>
    <d v="2012-03-15T00:00:00"/>
  </r>
  <r>
    <x v="54"/>
    <s v="CSB  paper trailer"/>
    <s v="Paper"/>
    <x v="3"/>
    <s v="RockTenn"/>
    <m/>
    <n v="1835"/>
    <n v="0.91749999999999998"/>
    <n v="80.000000000000014"/>
    <n v="73.400000000000006"/>
    <n v="0"/>
    <n v="73.400000000000006"/>
    <n v="478676"/>
    <n v="172632"/>
    <d v="2012-03-15T00:00:00"/>
  </r>
  <r>
    <x v="54"/>
    <s v="CSB  paper trailer"/>
    <s v="Trash"/>
    <x v="17"/>
    <s v="RockTenn"/>
    <m/>
    <n v="405"/>
    <n v="0.20250000000000001"/>
    <n v="50.02469135802469"/>
    <n v="10.130000000000001"/>
    <n v="0"/>
    <n v="10.130000000000001"/>
    <n v="478676"/>
    <n v="172632"/>
    <d v="2012-03-15T00:00:00"/>
  </r>
  <r>
    <x v="55"/>
    <s v="CC compactor"/>
    <s v="Single Stream"/>
    <x v="11"/>
    <s v="RockTenn"/>
    <m/>
    <n v="6640"/>
    <n v="3.32"/>
    <n v="35"/>
    <n v="116.2"/>
    <n v="0"/>
    <n v="116.2"/>
    <n v="478918"/>
    <n v="179250"/>
    <d v="2012-03-19T00:00:00"/>
  </r>
  <r>
    <x v="56"/>
    <s v="All/Dumpsters"/>
    <s v="Single Stream"/>
    <x v="11"/>
    <s v="RockTenn/Abitibi"/>
    <m/>
    <n v="7347"/>
    <n v="3.6735000000000002"/>
    <m/>
    <m/>
    <m/>
    <m/>
    <m/>
    <m/>
    <m/>
  </r>
  <r>
    <x v="57"/>
    <s v="Warehouse"/>
    <s v="Glass"/>
    <x v="12"/>
    <s v="Ripple"/>
    <m/>
    <n v="9860"/>
    <n v="4.93"/>
    <m/>
    <m/>
    <m/>
    <m/>
    <m/>
    <m/>
    <m/>
  </r>
  <r>
    <x v="57"/>
    <s v="CSB  paper trailer"/>
    <s v="Paper"/>
    <x v="0"/>
    <s v="RockTenn"/>
    <m/>
    <n v="600"/>
    <n v="0.3"/>
    <n v="100"/>
    <n v="30"/>
    <n v="0"/>
    <n v="30"/>
    <n v="37123"/>
    <n v="173396"/>
    <d v="2012-05-21T00:00:00"/>
  </r>
  <r>
    <x v="57"/>
    <s v="CSB  paper trailer"/>
    <s v="Paper"/>
    <x v="0"/>
    <s v="RockTenn"/>
    <m/>
    <n v="4050"/>
    <n v="2.0249999999999999"/>
    <n v="100"/>
    <n v="202.5"/>
    <n v="0"/>
    <n v="202.5"/>
    <n v="37123"/>
    <n v="173396"/>
    <d v="2012-05-21T00:00:00"/>
  </r>
  <r>
    <x v="57"/>
    <s v="CSB  paper trailer"/>
    <s v="Paper"/>
    <x v="3"/>
    <s v="RockTenn"/>
    <m/>
    <n v="4960"/>
    <n v="2.48"/>
    <n v="80"/>
    <n v="198.4"/>
    <n v="0"/>
    <n v="198.4"/>
    <n v="37123"/>
    <n v="173396"/>
    <d v="2012-05-21T00:00:00"/>
  </r>
  <r>
    <x v="57"/>
    <s v="CSB  paper trailer"/>
    <s v="Plastic"/>
    <x v="18"/>
    <s v="RockTenn"/>
    <m/>
    <n v="80"/>
    <n v="0.04"/>
    <n v="100"/>
    <n v="4"/>
    <n v="0"/>
    <n v="4"/>
    <n v="37123"/>
    <n v="173396"/>
    <d v="2012-05-21T00:00:00"/>
  </r>
  <r>
    <x v="57"/>
    <s v="CC compactor"/>
    <s v="Single Stream"/>
    <x v="11"/>
    <s v="RockTenn"/>
    <m/>
    <n v="6480"/>
    <n v="3.24"/>
    <n v="35"/>
    <n v="113.4"/>
    <n v="0"/>
    <n v="113.4"/>
    <n v="3249913"/>
    <n v="175280"/>
    <d v="2012-05-05T00:00:00"/>
  </r>
  <r>
    <x v="58"/>
    <s v="CC compactor"/>
    <s v="Single Stream"/>
    <x v="11"/>
    <s v="RockTenn"/>
    <m/>
    <n v="5180"/>
    <n v="2.59"/>
    <n v="34.301158301158303"/>
    <n v="88.84"/>
    <n v="0"/>
    <n v="88.84"/>
    <n v="3250348"/>
    <n v="175281"/>
    <d v="2012-05-05T00:00:00"/>
  </r>
  <r>
    <x v="59"/>
    <s v="All/Dumpsters"/>
    <s v="Single Stream"/>
    <x v="11"/>
    <s v="RockTenn/Abitibi"/>
    <m/>
    <n v="5329"/>
    <n v="2.6644999999999999"/>
    <m/>
    <m/>
    <m/>
    <m/>
    <m/>
    <m/>
    <m/>
  </r>
  <r>
    <x v="60"/>
    <s v="CC compactor"/>
    <s v="Single Stream"/>
    <x v="11"/>
    <s v="RockTenn"/>
    <m/>
    <n v="4000"/>
    <n v="2"/>
    <n v="0"/>
    <m/>
    <n v="0"/>
    <m/>
    <m/>
    <m/>
    <m/>
  </r>
  <r>
    <x v="60"/>
    <s v="Student Center compactor"/>
    <s v="Single Stream"/>
    <x v="11"/>
    <s v="RockTenn"/>
    <m/>
    <n v="6000"/>
    <n v="3"/>
    <n v="0"/>
    <m/>
    <n v="0"/>
    <m/>
    <m/>
    <m/>
    <m/>
  </r>
  <r>
    <x v="61"/>
    <s v="CSB Trailer"/>
    <s v="Paper"/>
    <x v="0"/>
    <s v="RockTenn"/>
    <m/>
    <n v="4215"/>
    <n v="2.1074999999999999"/>
    <n v="80"/>
    <n v="168.6"/>
    <n v="0"/>
    <n v="168.6"/>
    <n v="479720"/>
    <n v="178260"/>
    <d v="2012-05-23T00:00:00"/>
  </r>
  <r>
    <x v="61"/>
    <s v="CSB Trailer"/>
    <s v="Cardboard"/>
    <x v="1"/>
    <s v="RockTenn"/>
    <m/>
    <n v="185"/>
    <n v="9.2499999999999999E-2"/>
    <n v="40"/>
    <n v="3.7"/>
    <n v="0"/>
    <n v="3.7"/>
    <n v="479720"/>
    <n v="178260"/>
    <d v="2012-05-23T00:00:00"/>
  </r>
  <r>
    <x v="61"/>
    <s v="CSB Trailer"/>
    <s v="Paper"/>
    <x v="3"/>
    <s v="RockTenn"/>
    <m/>
    <n v="1285"/>
    <n v="0.64249999999999996"/>
    <n v="60"/>
    <n v="38.549999999999997"/>
    <n v="0"/>
    <n v="38.549999999999997"/>
    <n v="479720"/>
    <n v="178260"/>
    <d v="2012-05-23T00:00:00"/>
  </r>
  <r>
    <x v="62"/>
    <s v="Warehouse"/>
    <s v="Glass"/>
    <x v="12"/>
    <s v="Ripple"/>
    <m/>
    <n v="10100"/>
    <n v="5.05"/>
    <m/>
    <m/>
    <m/>
    <m/>
    <m/>
    <m/>
    <m/>
  </r>
  <r>
    <x v="63"/>
    <s v="CC compactor"/>
    <s v="Single Stream"/>
    <x v="11"/>
    <s v="RockTenn"/>
    <m/>
    <n v="7760"/>
    <n v="3.88"/>
    <n v="35.000000000000007"/>
    <n v="135.80000000000001"/>
    <n v="0"/>
    <n v="135.80000000000001"/>
    <n v="481609"/>
    <n v="178670"/>
    <d v="2012-05-29T00:00:00"/>
  </r>
  <r>
    <x v="64"/>
    <s v="All/Dumpsters"/>
    <s v="Single Stream"/>
    <x v="11"/>
    <s v="RockTenn/Abitibi"/>
    <m/>
    <n v="5329"/>
    <n v="2.6644999999999999"/>
    <m/>
    <m/>
    <m/>
    <m/>
    <m/>
    <m/>
    <m/>
  </r>
  <r>
    <x v="65"/>
    <s v="Warehouse"/>
    <s v="e-waste"/>
    <x v="8"/>
    <s v="Unicor"/>
    <m/>
    <n v="5000"/>
    <n v="2.5"/>
    <m/>
    <m/>
    <m/>
    <m/>
    <m/>
    <m/>
    <m/>
  </r>
  <r>
    <x v="66"/>
    <s v="CSB Trailer"/>
    <s v="Paper"/>
    <x v="0"/>
    <s v="RockTenn"/>
    <m/>
    <n v="8815"/>
    <n v="4.4074999999999998"/>
    <n v="80.000000000000014"/>
    <n v="352.6"/>
    <n v="0"/>
    <n v="352.6"/>
    <n v="481897"/>
    <n v="180424"/>
    <d v="2012-06-11T00:00:00"/>
  </r>
  <r>
    <x v="66"/>
    <s v="CSB Trailer"/>
    <s v="Cardboard"/>
    <x v="1"/>
    <s v="RockTenn"/>
    <m/>
    <n v="55"/>
    <n v="2.75E-2"/>
    <n v="30.18181818181818"/>
    <n v="0.83"/>
    <n v="0"/>
    <n v="0.83"/>
    <n v="481897"/>
    <n v="180424"/>
    <d v="2012-06-11T00:00:00"/>
  </r>
  <r>
    <x v="67"/>
    <s v="Warehouse"/>
    <s v="Glass"/>
    <x v="12"/>
    <s v="Ripple"/>
    <m/>
    <n v="9800"/>
    <n v="4.9000000000000004"/>
    <m/>
    <m/>
    <m/>
    <m/>
    <m/>
    <m/>
    <m/>
  </r>
  <r>
    <x v="68"/>
    <s v="Warehouse"/>
    <s v="e-waste"/>
    <x v="8"/>
    <s v="Unicor"/>
    <m/>
    <n v="4739"/>
    <n v="2.3694999999999999"/>
    <m/>
    <m/>
    <m/>
    <m/>
    <m/>
    <m/>
    <m/>
  </r>
  <r>
    <x v="69"/>
    <s v="CC compactor"/>
    <s v="Single Stream"/>
    <x v="11"/>
    <s v="RockTenn"/>
    <m/>
    <n v="8500"/>
    <n v="4.25"/>
    <n v="25"/>
    <n v="106.25"/>
    <n v="0"/>
    <n v="106.25"/>
    <n v="482439"/>
    <n v="181805"/>
    <d v="2012-07-02T00:00:00"/>
  </r>
  <r>
    <x v="70"/>
    <s v="All/Dumpsters"/>
    <s v="Single Stream"/>
    <x v="11"/>
    <s v="RockTenn/Abitibi"/>
    <m/>
    <n v="5329"/>
    <n v="2.6644999999999999"/>
    <m/>
    <m/>
    <m/>
    <m/>
    <m/>
    <m/>
    <m/>
  </r>
  <r>
    <x v="71"/>
    <s v="CSB Trailer"/>
    <s v="Paper"/>
    <x v="0"/>
    <s v="RockTenn"/>
    <m/>
    <n v="8210"/>
    <n v="4.1050000000000004"/>
    <n v="99.999999999999986"/>
    <n v="410.5"/>
    <n v="0"/>
    <n v="410.5"/>
    <n v="482539"/>
    <n v="183355"/>
    <d v="2012-07-20T00:00:00"/>
  </r>
  <r>
    <x v="71"/>
    <s v="CSB Trailer"/>
    <s v="Cardboard"/>
    <x v="1"/>
    <s v="RockTenn"/>
    <m/>
    <n v="60"/>
    <n v="0.03"/>
    <n v="25"/>
    <n v="0.75"/>
    <n v="0"/>
    <n v="0.75"/>
    <n v="482539"/>
    <n v="183355"/>
    <d v="2012-07-20T00:00:00"/>
  </r>
  <r>
    <x v="71"/>
    <s v="CSB Trailer"/>
    <s v="Paper"/>
    <x v="3"/>
    <s v="RockTenn"/>
    <m/>
    <n v="540"/>
    <n v="0.27"/>
    <n v="59.999999999999993"/>
    <n v="16.2"/>
    <n v="0"/>
    <n v="16.2"/>
    <n v="482539"/>
    <n v="183355"/>
    <d v="2012-07-20T00:00:00"/>
  </r>
  <r>
    <x v="72"/>
    <s v="Warehouse"/>
    <s v="Glass"/>
    <x v="12"/>
    <s v="Ripple"/>
    <m/>
    <n v="10100"/>
    <n v="5.05"/>
    <m/>
    <m/>
    <m/>
    <m/>
    <m/>
    <m/>
    <m/>
  </r>
  <r>
    <x v="73"/>
    <s v="CC compactor"/>
    <s v="Single Stream"/>
    <x v="11"/>
    <s v="RockTenn"/>
    <m/>
    <n v="9280"/>
    <n v="4.6399999999999997"/>
    <n v="25"/>
    <n v="116"/>
    <n v="0"/>
    <n v="116"/>
    <n v="483042"/>
    <n v="186265"/>
    <d v="2012-07-30T00:00:00"/>
  </r>
  <r>
    <x v="74"/>
    <s v="All/Dumpsters"/>
    <s v="Single Stream"/>
    <x v="11"/>
    <s v="RockTenn/Abitibi"/>
    <m/>
    <n v="5329"/>
    <n v="2.6644999999999999"/>
    <m/>
    <m/>
    <m/>
    <m/>
    <m/>
    <m/>
    <m/>
  </r>
  <r>
    <x v="75"/>
    <s v="south Compound"/>
    <s v="Metal"/>
    <x v="19"/>
    <s v="Advantage Metal"/>
    <m/>
    <n v="8520"/>
    <n v="4.26"/>
    <n v="0.09"/>
    <n v="766.8"/>
    <n v="180"/>
    <n v="586.79999999999995"/>
    <s v="TKXFDD"/>
    <n v="181688"/>
    <m/>
  </r>
  <r>
    <x v="76"/>
    <s v="Warehouse"/>
    <s v="e-waste"/>
    <x v="8"/>
    <s v="Surplus Exchange"/>
    <m/>
    <n v="4500"/>
    <n v="2.25"/>
    <m/>
    <m/>
    <m/>
    <m/>
    <m/>
    <m/>
    <m/>
  </r>
  <r>
    <x v="77"/>
    <s v="CC compactor"/>
    <s v="Single Stream"/>
    <x v="11"/>
    <s v="RockTenn"/>
    <m/>
    <n v="4380"/>
    <n v="2.19"/>
    <n v="25"/>
    <n v="54.75"/>
    <n v="0"/>
    <n v="54.75"/>
    <n v="483398"/>
    <n v="189280"/>
    <d v="2012-11-07T00:00:00"/>
  </r>
  <r>
    <x v="78"/>
    <s v="Warehouse"/>
    <s v="Glass"/>
    <x v="12"/>
    <s v="Ripple"/>
    <m/>
    <n v="10060"/>
    <n v="5.03"/>
    <m/>
    <m/>
    <m/>
    <m/>
    <m/>
    <m/>
    <m/>
  </r>
  <r>
    <x v="79"/>
    <s v="SC compactor"/>
    <s v="Single Stream"/>
    <x v="11"/>
    <s v="RockTenn"/>
    <m/>
    <n v="9540"/>
    <n v="4.7699999999999996"/>
    <n v="25.000000000000004"/>
    <n v="119.25"/>
    <n v="0"/>
    <n v="119.25"/>
    <n v="483423"/>
    <n v="189280"/>
    <d v="2012-11-07T00:00:00"/>
  </r>
  <r>
    <x v="80"/>
    <s v="CSB Trailer"/>
    <s v="Paper"/>
    <x v="0"/>
    <s v="RockTenn"/>
    <m/>
    <n v="5935"/>
    <n v="2.9674999999999998"/>
    <n v="100"/>
    <n v="296.75"/>
    <n v="0"/>
    <n v="296.75"/>
    <n v="3253690"/>
    <n v="189280"/>
    <d v="2012-11-07T00:00:00"/>
  </r>
  <r>
    <x v="80"/>
    <s v="CSB Trailer"/>
    <s v="Cardboard"/>
    <x v="1"/>
    <s v="RockTenn"/>
    <m/>
    <n v="5435"/>
    <n v="2.7174999999999998"/>
    <n v="14.999080036798528"/>
    <n v="40.76"/>
    <n v="0"/>
    <n v="40.76"/>
    <n v="3253690"/>
    <n v="189280"/>
    <d v="2012-11-07T00:00:00"/>
  </r>
  <r>
    <x v="80"/>
    <s v="CSB Trailer"/>
    <s v="Trash"/>
    <x v="17"/>
    <s v="RockTenn"/>
    <m/>
    <n v="400"/>
    <n v="0.2"/>
    <n v="-100"/>
    <n v="-20"/>
    <n v="0"/>
    <n v="-20"/>
    <n v="3253690"/>
    <n v="189280"/>
    <d v="2012-11-07T00:00:00"/>
  </r>
  <r>
    <x v="81"/>
    <s v="Delivered"/>
    <s v="Metal"/>
    <x v="20"/>
    <s v="Advantage Metal"/>
    <m/>
    <n v="96"/>
    <n v="4.8000000000000001E-2"/>
    <n v="2.8"/>
    <n v="268.8"/>
    <n v="0"/>
    <n v="268.8"/>
    <s v="ZHEAAN"/>
    <n v="183200"/>
    <m/>
  </r>
  <r>
    <x v="81"/>
    <s v="Delivered"/>
    <s v="Metal"/>
    <x v="21"/>
    <s v="Advantage Metal"/>
    <m/>
    <n v="657"/>
    <n v="0.32850000000000001"/>
    <n v="0.25"/>
    <n v="164.25"/>
    <n v="0"/>
    <n v="164.25"/>
    <s v="ZHEAAN"/>
    <n v="183200"/>
    <m/>
  </r>
  <r>
    <x v="81"/>
    <s v="CC compactor"/>
    <s v="Single Stream"/>
    <x v="11"/>
    <s v="RockTenn"/>
    <m/>
    <n v="8440"/>
    <n v="4.22"/>
    <n v="25"/>
    <n v="105.5"/>
    <n v="0"/>
    <n v="105.5"/>
    <n v="3253676"/>
    <n v="189280"/>
    <d v="2012-11-07T00:00:00"/>
  </r>
  <r>
    <x v="82"/>
    <s v="All/Dumpsters"/>
    <s v="Single Stream"/>
    <x v="11"/>
    <s v="RockTenn/Abitibi"/>
    <m/>
    <n v="5329"/>
    <n v="2.6644999999999999"/>
    <m/>
    <m/>
    <m/>
    <m/>
    <m/>
    <m/>
    <m/>
  </r>
  <r>
    <x v="83"/>
    <s v="south Compound"/>
    <s v="Metal"/>
    <x v="19"/>
    <s v="Advantage Metal"/>
    <m/>
    <n v="6700"/>
    <n v="3.35"/>
    <n v="9.7500000000000003E-2"/>
    <n v="653.25"/>
    <n v="180"/>
    <n v="473.25"/>
    <m/>
    <m/>
    <m/>
  </r>
  <r>
    <x v="84"/>
    <s v="Warehouse"/>
    <s v="Glass"/>
    <x v="12"/>
    <s v="Ripple"/>
    <m/>
    <n v="336"/>
    <n v="0.16800000000000001"/>
    <m/>
    <m/>
    <m/>
    <m/>
    <m/>
    <m/>
    <m/>
  </r>
  <r>
    <x v="84"/>
    <s v="CSB Trailer"/>
    <s v="Paper"/>
    <x v="0"/>
    <s v="RockTenn"/>
    <m/>
    <n v="5635"/>
    <n v="2.8174999999999999"/>
    <n v="90.00177462289264"/>
    <n v="253.58"/>
    <n v="0"/>
    <n v="253.58"/>
    <n v="3254209"/>
    <n v="190079"/>
    <d v="2012-11-19T00:00:00"/>
  </r>
  <r>
    <x v="84"/>
    <s v="CSB Trailer"/>
    <s v="Paper"/>
    <x v="4"/>
    <s v="RockTenn"/>
    <m/>
    <n v="7665"/>
    <n v="3.8325"/>
    <n v="4.9993476842791909"/>
    <n v="19.16"/>
    <n v="0"/>
    <n v="19.16"/>
    <n v="3254209"/>
    <n v="190079"/>
    <d v="2012-11-19T00:00:00"/>
  </r>
  <r>
    <x v="85"/>
    <s v="Abitibi pickup"/>
    <s v="e-waste"/>
    <x v="22"/>
    <s v="RockTenn"/>
    <m/>
    <m/>
    <n v="0"/>
    <e v="#DIV/0!"/>
    <n v="-680"/>
    <n v="0"/>
    <n v="-680"/>
    <m/>
    <n v="189280"/>
    <d v="2012-11-07T00:00:00"/>
  </r>
  <r>
    <x v="86"/>
    <s v="CC compactor"/>
    <s v="Single Stream"/>
    <x v="11"/>
    <s v="RockTenn"/>
    <m/>
    <n v="8840"/>
    <n v="4.42"/>
    <n v="25"/>
    <n v="110.5"/>
    <n v="0"/>
    <n v="110.5"/>
    <n v="3254510"/>
    <n v="189280"/>
    <d v="2012-11-07T00:00:00"/>
  </r>
  <r>
    <x v="87"/>
    <s v="All/Dumpsters"/>
    <s v="Single Stream"/>
    <x v="11"/>
    <s v="RockTenn/Abitibi"/>
    <m/>
    <n v="5329"/>
    <n v="2.6644999999999999"/>
    <m/>
    <m/>
    <m/>
    <m/>
    <m/>
    <m/>
    <m/>
  </r>
  <r>
    <x v="88"/>
    <s v="south Compound"/>
    <s v="Metal"/>
    <x v="19"/>
    <s v="Advantage Metal"/>
    <m/>
    <n v="7220"/>
    <n v="3.61"/>
    <n v="8.5000000000000006E-2"/>
    <n v="613.70000000000005"/>
    <n v="180"/>
    <n v="433.7"/>
    <s v="TLNAEY"/>
    <n v="186931"/>
    <m/>
  </r>
  <r>
    <x v="89"/>
    <s v="CSB Trailer"/>
    <s v="Paper"/>
    <x v="0"/>
    <s v="RockTenn"/>
    <m/>
    <n v="4570"/>
    <n v="2.2850000000000001"/>
    <n v="69.999999999999986"/>
    <n v="159.94999999999999"/>
    <n v="0"/>
    <n v="159.94999999999999"/>
    <n v="3254600"/>
    <n v="190757"/>
    <d v="2012-12-03T00:00:00"/>
  </r>
  <r>
    <x v="89"/>
    <s v="CSB Trailer"/>
    <s v="Paper"/>
    <x v="4"/>
    <s v="RockTenn"/>
    <m/>
    <n v="3440"/>
    <n v="1.72"/>
    <n v="5"/>
    <n v="8.6"/>
    <n v="0"/>
    <n v="8.6"/>
    <n v="3254600"/>
    <n v="190757"/>
    <d v="2012-12-03T00:00:00"/>
  </r>
  <r>
    <x v="89"/>
    <s v="CSB Trailer"/>
    <s v="Paper"/>
    <x v="3"/>
    <s v="RockTenn"/>
    <m/>
    <n v="3925"/>
    <n v="1.9624999999999999"/>
    <n v="60"/>
    <n v="117.75"/>
    <n v="0"/>
    <n v="117.75"/>
    <n v="3254600"/>
    <n v="190757"/>
    <d v="2012-12-03T00:00:00"/>
  </r>
  <r>
    <x v="90"/>
    <s v="SC compactor"/>
    <s v="Single Stream"/>
    <x v="11"/>
    <s v="RockTenn"/>
    <m/>
    <n v="6980"/>
    <n v="3.49"/>
    <n v="25"/>
    <n v="87.25"/>
    <n v="0"/>
    <n v="87.25"/>
    <n v="3254715"/>
    <n v="190081"/>
    <d v="2012-11-16T00:00:00"/>
  </r>
  <r>
    <x v="90"/>
    <s v="Unknown"/>
    <s v="Trash"/>
    <x v="17"/>
    <s v="RockTenn"/>
    <m/>
    <n v="205"/>
    <n v="0.10249999999999999"/>
    <n v="-100"/>
    <n v="-10.25"/>
    <n v="0"/>
    <n v="-10.25"/>
    <n v="3254600"/>
    <n v="190081"/>
    <d v="2012-11-16T00:00:00"/>
  </r>
  <r>
    <x v="91"/>
    <s v="Delivered"/>
    <s v="Metal"/>
    <x v="20"/>
    <s v="Advantage Metal"/>
    <m/>
    <n v="237"/>
    <n v="0.11849999999999999"/>
    <n v="2.95"/>
    <n v="699.15"/>
    <n v="0"/>
    <n v="699.15"/>
    <s v="zhmouw"/>
    <m/>
    <m/>
  </r>
  <r>
    <x v="91"/>
    <s v="Delivered"/>
    <s v="Metal"/>
    <x v="23"/>
    <s v="Advantage Metal"/>
    <m/>
    <n v="355"/>
    <n v="0.17749999999999999"/>
    <n v="0.51"/>
    <n v="181.05"/>
    <n v="0"/>
    <n v="181.05"/>
    <s v="zhmouw"/>
    <m/>
    <m/>
  </r>
  <r>
    <x v="91"/>
    <s v="Delivered"/>
    <s v="Metal"/>
    <x v="24"/>
    <s v="Advantage Metal"/>
    <m/>
    <n v="28"/>
    <n v="1.4E-2"/>
    <n v="0.5"/>
    <n v="14"/>
    <n v="0"/>
    <n v="14"/>
    <s v="zhmouw"/>
    <m/>
    <m/>
  </r>
  <r>
    <x v="91"/>
    <s v="Delivered"/>
    <s v="Metal"/>
    <x v="25"/>
    <s v="Advantage Metal"/>
    <m/>
    <n v="169"/>
    <n v="8.4500000000000006E-2"/>
    <n v="1.41"/>
    <n v="238.29"/>
    <n v="0"/>
    <n v="238.29"/>
    <s v="zhmouw"/>
    <m/>
    <m/>
  </r>
  <r>
    <x v="91"/>
    <s v="Delivered"/>
    <s v="Metal"/>
    <x v="26"/>
    <s v="Advantage Metal"/>
    <m/>
    <n v="138"/>
    <n v="6.9000000000000006E-2"/>
    <n v="0.55000000000000004"/>
    <n v="75.900000000000006"/>
    <n v="0"/>
    <n v="75.900000000000006"/>
    <s v="zhmouw"/>
    <m/>
    <m/>
  </r>
  <r>
    <x v="91"/>
    <s v="Delivered"/>
    <s v="Metal"/>
    <x v="27"/>
    <s v="Advantage Metal"/>
    <m/>
    <n v="63"/>
    <n v="3.15E-2"/>
    <n v="0.35"/>
    <n v="22.05"/>
    <n v="0"/>
    <n v="22.05"/>
    <s v="zhmouw"/>
    <m/>
    <m/>
  </r>
  <r>
    <x v="91"/>
    <s v="CC compactor"/>
    <s v="Single Stream"/>
    <x v="11"/>
    <s v="RockTenn"/>
    <m/>
    <n v="5900"/>
    <n v="2.95"/>
    <n v="25"/>
    <n v="73.75"/>
    <n v="0"/>
    <n v="73.75"/>
    <n v="3254874"/>
    <n v="190157"/>
    <d v="2012-11-20T00:00:00"/>
  </r>
  <r>
    <x v="91"/>
    <s v="Warehouse"/>
    <s v="Glass"/>
    <x v="12"/>
    <s v="Ripple"/>
    <m/>
    <n v="336"/>
    <n v="0.16800000000000001"/>
    <m/>
    <m/>
    <m/>
    <m/>
    <m/>
    <m/>
    <m/>
  </r>
  <r>
    <x v="92"/>
    <s v="Warehouse"/>
    <s v="e-waste"/>
    <x v="8"/>
    <s v="Unicor"/>
    <m/>
    <n v="10142"/>
    <n v="5.0709999999999997"/>
    <m/>
    <m/>
    <m/>
    <m/>
    <m/>
    <m/>
    <m/>
  </r>
  <r>
    <x v="93"/>
    <s v="All/Dumpsters"/>
    <s v="Single Stream"/>
    <x v="11"/>
    <s v="RockTenn/Abitibi"/>
    <m/>
    <n v="5329"/>
    <n v="2.6644999999999999"/>
    <m/>
    <m/>
    <m/>
    <m/>
    <m/>
    <m/>
    <m/>
  </r>
  <r>
    <x v="94"/>
    <s v="Abitibi Correction"/>
    <s v="e-waste"/>
    <x v="28"/>
    <s v="RockTenn"/>
    <m/>
    <m/>
    <n v="0"/>
    <e v="#DIV/0!"/>
    <n v="486.4"/>
    <n v="0"/>
    <n v="486.4"/>
    <m/>
    <n v="191066"/>
    <d v="2012-12-06T00:00:00"/>
  </r>
  <r>
    <x v="95"/>
    <s v="CC compactor"/>
    <s v="Single Stream"/>
    <x v="11"/>
    <s v="RockTenn"/>
    <m/>
    <n v="1600"/>
    <n v="0.8"/>
    <n v="25"/>
    <n v="20"/>
    <n v="0"/>
    <n v="20"/>
    <n v="3255584"/>
    <n v="194033"/>
    <d v="2013-01-08T00:00:00"/>
  </r>
  <r>
    <x v="96"/>
    <s v="Warehouse"/>
    <s v="Glass"/>
    <x v="12"/>
    <s v="Ripple"/>
    <m/>
    <n v="336"/>
    <n v="0.16800000000000001"/>
    <m/>
    <m/>
    <m/>
    <m/>
    <m/>
    <m/>
    <m/>
  </r>
  <r>
    <x v="96"/>
    <s v="CC compactor"/>
    <s v="Single Stream"/>
    <x v="11"/>
    <s v="RockTenn"/>
    <m/>
    <n v="9680"/>
    <n v="4.84"/>
    <n v="25"/>
    <n v="121"/>
    <n v="0"/>
    <n v="121"/>
    <n v="3255584"/>
    <n v="194033"/>
    <d v="2013-01-08T00:00:00"/>
  </r>
  <r>
    <x v="96"/>
    <s v="CSB Trailer"/>
    <s v="Paper"/>
    <x v="0"/>
    <s v="RockTenn"/>
    <m/>
    <n v="8615"/>
    <n v="4.3075000000000001"/>
    <n v="70.001160766105627"/>
    <n v="301.52999999999997"/>
    <n v="0"/>
    <n v="301.52999999999997"/>
    <n v="3255696"/>
    <n v="194823"/>
    <d v="2013-01-07T00:00:00"/>
  </r>
  <r>
    <x v="96"/>
    <s v="CSB Trailer"/>
    <s v="Paper"/>
    <x v="4"/>
    <s v="RockTenn"/>
    <m/>
    <n v="435"/>
    <n v="0.2175"/>
    <n v="5.0114942528735638"/>
    <n v="1.0900000000000001"/>
    <n v="0"/>
    <n v="1.0900000000000001"/>
    <n v="3255696"/>
    <n v="194823"/>
    <d v="2013-01-07T00:00:00"/>
  </r>
  <r>
    <x v="96"/>
    <s v="CSB Trailer"/>
    <s v="Paper"/>
    <x v="3"/>
    <s v="RockTenn"/>
    <m/>
    <n v="3365"/>
    <n v="1.6825000000000001"/>
    <n v="60"/>
    <n v="100.95"/>
    <n v="0"/>
    <n v="100.95"/>
    <n v="3255696"/>
    <n v="194823"/>
    <d v="2013-01-07T00:00:00"/>
  </r>
  <r>
    <x v="97"/>
    <s v="south compactor"/>
    <s v="Trash"/>
    <x v="29"/>
    <s v="Deffenbaugh"/>
    <m/>
    <n v="1925"/>
    <n v="0.96250000000000002"/>
    <m/>
    <m/>
    <m/>
    <n v="-96.25"/>
    <n v="3255696"/>
    <n v="194033"/>
    <d v="2013-01-08T00:00:00"/>
  </r>
  <r>
    <x v="97"/>
    <s v="south compactor"/>
    <s v="Trash"/>
    <x v="29"/>
    <s v="RockTenn"/>
    <m/>
    <n v="1925"/>
    <n v="0.96250000000000002"/>
    <n v="-100"/>
    <n v="-96.25"/>
    <n v="0"/>
    <n v="-96.25"/>
    <n v="3255696"/>
    <n v="194033"/>
    <d v="2013-01-08T00:00:00"/>
  </r>
  <r>
    <x v="98"/>
    <s v="south Compound"/>
    <s v="Metal"/>
    <x v="19"/>
    <s v="Advantage Metal"/>
    <m/>
    <n v="3200"/>
    <n v="1.6"/>
    <n v="7.0000000000000007E-2"/>
    <n v="224"/>
    <n v="180"/>
    <n v="44"/>
    <s v="TLXQKL"/>
    <m/>
    <m/>
  </r>
  <r>
    <x v="99"/>
    <s v="All/Dumpsters"/>
    <s v="Single Stream"/>
    <x v="11"/>
    <s v="RockTenn/Abitibi"/>
    <m/>
    <n v="5329"/>
    <n v="2.6644999999999999"/>
    <m/>
    <m/>
    <m/>
    <m/>
    <m/>
    <m/>
    <m/>
  </r>
  <r>
    <x v="100"/>
    <s v="CC compactor"/>
    <s v="Single Stream"/>
    <x v="11"/>
    <s v="RockTenn"/>
    <m/>
    <n v="9740"/>
    <n v="4.87"/>
    <n v="25"/>
    <n v="121.75"/>
    <n v="0"/>
    <n v="121.75"/>
    <n v="3256283"/>
    <m/>
    <d v="2013-02-11T00:00:00"/>
  </r>
  <r>
    <x v="100"/>
    <s v="south Compound"/>
    <s v="Trash"/>
    <x v="29"/>
    <s v="RockTenn"/>
    <m/>
    <n v="9500"/>
    <n v="4.75"/>
    <n v="-100"/>
    <n v="-475"/>
    <n v="0"/>
    <n v="-475"/>
    <n v="3256208"/>
    <m/>
    <d v="2013-02-11T00:00:00"/>
  </r>
  <r>
    <x v="100"/>
    <s v="south Compound"/>
    <s v="Trash"/>
    <x v="29"/>
    <s v="Deffenbaugh"/>
    <m/>
    <n v="0"/>
    <n v="0"/>
    <m/>
    <m/>
    <m/>
    <n v="510"/>
    <m/>
    <n v="201385"/>
    <m/>
  </r>
  <r>
    <x v="101"/>
    <s v="south Compound"/>
    <s v="Trash"/>
    <x v="29"/>
    <s v="RockTenn"/>
    <m/>
    <n v="700"/>
    <n v="0.35"/>
    <n v="-100"/>
    <n v="-35"/>
    <n v="0"/>
    <n v="-35"/>
    <n v="356277"/>
    <m/>
    <d v="2013-02-11T00:00:00"/>
  </r>
  <r>
    <x v="102"/>
    <s v="Warehouse"/>
    <s v="Glass"/>
    <x v="12"/>
    <s v="Ripple"/>
    <m/>
    <n v="336"/>
    <n v="0.16800000000000001"/>
    <m/>
    <m/>
    <m/>
    <m/>
    <m/>
    <m/>
    <m/>
  </r>
  <r>
    <x v="103"/>
    <s v="South Compound 20yd"/>
    <s v="Wood"/>
    <x v="30"/>
    <s v="Missouri Organic"/>
    <m/>
    <n v="3440"/>
    <n v="1.72"/>
    <n v="0"/>
    <n v="0"/>
    <n v="210"/>
    <m/>
    <n v="4263"/>
    <m/>
    <m/>
  </r>
  <r>
    <x v="104"/>
    <s v="CSB Trailer"/>
    <s v="Paper"/>
    <x v="0"/>
    <s v="RockTenn"/>
    <m/>
    <n v="8600"/>
    <n v="4.3"/>
    <n v="80"/>
    <n v="344"/>
    <n v="0"/>
    <n v="344"/>
    <n v="486403"/>
    <m/>
    <d v="2013-02-11T00:00:00"/>
  </r>
  <r>
    <x v="104"/>
    <s v="CSB Trailer"/>
    <s v="Paper"/>
    <x v="4"/>
    <s v="RockTenn"/>
    <m/>
    <n v="200"/>
    <n v="0.1"/>
    <n v="5"/>
    <n v="0.5"/>
    <n v="0"/>
    <n v="0.5"/>
    <n v="486403"/>
    <m/>
    <d v="2013-02-11T00:00:00"/>
  </r>
  <r>
    <x v="104"/>
    <s v="CSB Trailer"/>
    <s v="Paper"/>
    <x v="3"/>
    <s v="RockTenn"/>
    <m/>
    <n v="2470"/>
    <n v="1.2350000000000001"/>
    <n v="59.999999999999993"/>
    <n v="74.099999999999994"/>
    <n v="0"/>
    <n v="74.099999999999994"/>
    <n v="486403"/>
    <m/>
    <d v="2013-02-11T00:00:00"/>
  </r>
  <r>
    <x v="105"/>
    <s v="CC compactor"/>
    <s v="Single Stream"/>
    <x v="11"/>
    <s v="RockTenn"/>
    <m/>
    <n v="7920"/>
    <n v="3.96"/>
    <n v="25"/>
    <n v="99"/>
    <n v="0"/>
    <n v="99"/>
    <n v="3256769"/>
    <n v="198300"/>
    <d v="2013-02-25T00:00:00"/>
  </r>
  <r>
    <x v="106"/>
    <s v="All/Dumpsters"/>
    <s v="Single Stream"/>
    <x v="11"/>
    <s v="Deffenbaugh"/>
    <m/>
    <n v="5000"/>
    <n v="2.5"/>
    <m/>
    <m/>
    <m/>
    <m/>
    <m/>
    <m/>
    <m/>
  </r>
  <r>
    <x v="106"/>
    <s v="Warehouse"/>
    <s v="e-waste"/>
    <x v="9"/>
    <s v="Call2recycle"/>
    <m/>
    <s v="?"/>
    <s v="?"/>
    <m/>
    <m/>
    <m/>
    <m/>
    <m/>
    <m/>
    <m/>
  </r>
  <r>
    <x v="106"/>
    <s v="Book  Store"/>
    <s v="e-waste"/>
    <x v="10"/>
    <s v="One Planet books"/>
    <s v="530 boxes"/>
    <n v="21200"/>
    <n v="10.6"/>
    <m/>
    <m/>
    <m/>
    <n v="5300"/>
    <m/>
    <m/>
    <m/>
  </r>
  <r>
    <x v="106"/>
    <s v="south Compound"/>
    <s v="Compost"/>
    <x v="13"/>
    <s v="JCCC"/>
    <n v="111"/>
    <n v="38850"/>
    <n v="19.425000000000001"/>
    <m/>
    <m/>
    <m/>
    <m/>
    <m/>
    <m/>
    <m/>
  </r>
  <r>
    <x v="106"/>
    <s v="south Compound"/>
    <s v="Wood"/>
    <x v="14"/>
    <s v="JCCC"/>
    <n v="50"/>
    <n v="17500"/>
    <n v="8.75"/>
    <m/>
    <m/>
    <m/>
    <m/>
    <m/>
    <m/>
    <m/>
  </r>
  <r>
    <x v="107"/>
    <s v="south Compound"/>
    <s v="Metal"/>
    <x v="19"/>
    <s v="Advantage Metal"/>
    <m/>
    <n v="10780"/>
    <n v="5.39"/>
    <n v="0.10249999999999999"/>
    <n v="1104.95"/>
    <n v="180"/>
    <n v="924.95"/>
    <s v="tmjqtq"/>
    <m/>
    <m/>
  </r>
  <r>
    <x v="108"/>
    <s v="CC compactor"/>
    <s v="Single Stream"/>
    <x v="11"/>
    <s v="Deffenbaugh"/>
    <m/>
    <n v="3100"/>
    <n v="1.55"/>
    <n v="25"/>
    <n v="38.75"/>
    <n v="0"/>
    <n v="38.75"/>
    <n v="3257044"/>
    <n v="199143"/>
    <m/>
  </r>
  <r>
    <x v="108"/>
    <s v="SC compactor"/>
    <s v="Single Stream"/>
    <x v="11"/>
    <s v="Deffenbaugh"/>
    <m/>
    <n v="9520"/>
    <n v="4.76"/>
    <n v="25"/>
    <n v="119"/>
    <n v="0"/>
    <n v="119"/>
    <n v="3257054"/>
    <n v="199143"/>
    <m/>
  </r>
  <r>
    <x v="109"/>
    <s v="Gym"/>
    <s v="Wood"/>
    <x v="31"/>
    <s v="BCD sales"/>
    <n v="30"/>
    <n v="1110"/>
    <n v="0.55500000000000005"/>
    <m/>
    <m/>
    <m/>
    <n v="72"/>
    <m/>
    <m/>
    <m/>
  </r>
  <r>
    <x v="110"/>
    <s v="CSB Trailer"/>
    <s v="Paper"/>
    <x v="0"/>
    <s v="RockTenn"/>
    <m/>
    <n v="7635"/>
    <n v="3.8174999999999999"/>
    <n v="80"/>
    <n v="305.39999999999998"/>
    <n v="0"/>
    <n v="305.39999999999998"/>
    <n v="3257303"/>
    <n v="200210"/>
    <m/>
  </r>
  <r>
    <x v="110"/>
    <s v="CSB Trailer"/>
    <s v="Paper"/>
    <x v="3"/>
    <s v="RockTenn"/>
    <m/>
    <n v="2955"/>
    <n v="1.4775"/>
    <n v="60"/>
    <n v="88.65"/>
    <n v="0"/>
    <n v="88.65"/>
    <n v="3257303"/>
    <n v="200210"/>
    <m/>
  </r>
  <r>
    <x v="111"/>
    <s v="South Compound 20yd"/>
    <s v="Wood"/>
    <x v="30"/>
    <s v="Missouri Organic"/>
    <m/>
    <n v="4420"/>
    <n v="2.21"/>
    <n v="0"/>
    <n v="0"/>
    <n v="210"/>
    <m/>
    <n v="4533"/>
    <m/>
    <m/>
  </r>
  <r>
    <x v="112"/>
    <s v="Warehouse"/>
    <s v="Glass"/>
    <x v="12"/>
    <s v="Ripple"/>
    <m/>
    <n v="336"/>
    <n v="0.16800000000000001"/>
    <m/>
    <m/>
    <m/>
    <m/>
    <m/>
    <m/>
    <m/>
  </r>
  <r>
    <x v="113"/>
    <s v="All/Dumpsters"/>
    <s v="Single Stream"/>
    <x v="11"/>
    <s v="Deffenbaugh"/>
    <m/>
    <n v="5000"/>
    <n v="2.5"/>
    <m/>
    <m/>
    <m/>
    <m/>
    <m/>
    <m/>
    <m/>
  </r>
  <r>
    <x v="114"/>
    <s v="south Compound"/>
    <s v="Metal"/>
    <x v="19"/>
    <s v="Advantage Metal"/>
    <m/>
    <n v="4620"/>
    <n v="2.31"/>
    <n v="9.2499999999999999E-2"/>
    <n v="427.35"/>
    <n v="180"/>
    <n v="247.35"/>
    <s v="TMTiHN"/>
    <m/>
    <m/>
  </r>
  <r>
    <x v="115"/>
    <s v="CC compactor"/>
    <s v="Single Stream"/>
    <x v="11"/>
    <s v="Deffenbaugh"/>
    <m/>
    <n v="7000"/>
    <n v="3.5"/>
    <m/>
    <m/>
    <m/>
    <m/>
    <m/>
    <m/>
    <m/>
  </r>
  <r>
    <x v="116"/>
    <s v="SC compactor"/>
    <s v="Single Stream"/>
    <x v="11"/>
    <s v="Town Country"/>
    <m/>
    <n v="5320"/>
    <n v="2.66"/>
    <n v="49"/>
    <n v="130.34"/>
    <n v="85"/>
    <n v="45.34"/>
    <n v="174786"/>
    <n v="200589"/>
    <d v="2013-03-27T00:00:00"/>
  </r>
  <r>
    <x v="117"/>
    <s v="Warehouse"/>
    <s v="e-waste"/>
    <x v="8"/>
    <s v="Unicor"/>
    <m/>
    <n v="4450"/>
    <n v="2.2250000000000001"/>
    <m/>
    <m/>
    <m/>
    <m/>
    <m/>
    <m/>
    <m/>
  </r>
  <r>
    <x v="118"/>
    <s v="South Compound 20yd"/>
    <s v="Wood"/>
    <x v="30"/>
    <s v="Missouri Organic"/>
    <m/>
    <n v="4840"/>
    <n v="2.42"/>
    <n v="0"/>
    <n v="0"/>
    <n v="210"/>
    <m/>
    <n v="4779"/>
    <m/>
    <m/>
  </r>
  <r>
    <x v="119"/>
    <s v="Warehouse"/>
    <s v="Glass"/>
    <x v="12"/>
    <s v="Ripple"/>
    <m/>
    <n v="336"/>
    <n v="0.16800000000000001"/>
    <m/>
    <m/>
    <m/>
    <m/>
    <m/>
    <m/>
    <m/>
  </r>
  <r>
    <x v="119"/>
    <s v="All/Dumpsters"/>
    <s v="Single Stream"/>
    <x v="11"/>
    <s v="Deffenbaugh"/>
    <m/>
    <n v="5000"/>
    <n v="2.5"/>
    <m/>
    <m/>
    <m/>
    <m/>
    <m/>
    <m/>
    <m/>
  </r>
  <r>
    <x v="119"/>
    <s v="Warehouse"/>
    <s v="e-waste"/>
    <x v="8"/>
    <s v="Vintage Tech"/>
    <m/>
    <n v="1825"/>
    <n v="0.91249999999999998"/>
    <m/>
    <m/>
    <m/>
    <m/>
    <m/>
    <m/>
    <m/>
  </r>
  <r>
    <x v="119"/>
    <s v="All/Dumpsters"/>
    <s v="Single Stream"/>
    <x v="11"/>
    <s v="Town Country"/>
    <m/>
    <n v="17347.2"/>
    <n v="8.6736000000000004"/>
    <m/>
    <m/>
    <m/>
    <m/>
    <m/>
    <m/>
    <m/>
  </r>
  <r>
    <x v="120"/>
    <s v="CC compactor"/>
    <s v="Single Stream"/>
    <x v="11"/>
    <s v="Town Country"/>
    <m/>
    <n v="6760"/>
    <n v="3.38"/>
    <n v="38.5"/>
    <n v="130.13"/>
    <n v="85"/>
    <n v="45.13"/>
    <n v="206154"/>
    <n v="230249"/>
    <d v="2014-04-02T00:00:00"/>
  </r>
  <r>
    <x v="121"/>
    <s v="CC compactor"/>
    <s v="Single Stream"/>
    <x v="11"/>
    <s v="Town Country"/>
    <m/>
    <n v="8740"/>
    <n v="4.37"/>
    <n v="49"/>
    <n v="214.13"/>
    <n v="85"/>
    <n v="129.13"/>
    <n v="176689"/>
    <n v="202290"/>
    <d v="2013-04-17T00:00:00"/>
  </r>
  <r>
    <x v="122"/>
    <s v="Gym"/>
    <s v="Metal"/>
    <x v="19"/>
    <s v="Advantage Metal"/>
    <m/>
    <n v="3160"/>
    <n v="1.58"/>
    <n v="9.5200000000000007E-2"/>
    <n v="331.8"/>
    <n v="180"/>
    <n v="151.80000000000001"/>
    <s v="TNDHHC"/>
    <n v="200106"/>
    <d v="2013-03-20T00:00:00"/>
  </r>
  <r>
    <x v="123"/>
    <s v="Gym"/>
    <s v="Metal"/>
    <x v="19"/>
    <s v="Advantage Metal"/>
    <m/>
    <n v="3580"/>
    <n v="1.79"/>
    <n v="0.105"/>
    <n v="375.9"/>
    <n v="180"/>
    <n v="195.9"/>
    <s v="TNDSXQ"/>
    <n v="200338"/>
    <d v="2013-03-25T00:00:00"/>
  </r>
  <r>
    <x v="124"/>
    <s v="Warehouse"/>
    <s v="Glass"/>
    <x v="12"/>
    <s v="Ripple"/>
    <m/>
    <n v="336"/>
    <n v="0.16800000000000001"/>
    <m/>
    <m/>
    <m/>
    <m/>
    <m/>
    <m/>
    <m/>
  </r>
  <r>
    <x v="125"/>
    <s v="CC compactor"/>
    <s v="Single Stream"/>
    <x v="11"/>
    <s v="Town Country"/>
    <m/>
    <n v="9680"/>
    <n v="4.84"/>
    <n v="49"/>
    <n v="237.16"/>
    <n v="85"/>
    <n v="152.16"/>
    <n v="178626"/>
    <n v="202290"/>
    <d v="2013-04-17T00:00:00"/>
  </r>
  <r>
    <x v="125"/>
    <s v="All/Dumpsters"/>
    <s v="Single Stream"/>
    <x v="11"/>
    <s v="Town Country"/>
    <m/>
    <n v="17347.2"/>
    <n v="8.6736000000000004"/>
    <m/>
    <m/>
    <m/>
    <m/>
    <m/>
    <m/>
    <m/>
  </r>
  <r>
    <x v="126"/>
    <s v="CSB Trailer"/>
    <s v="Paper"/>
    <x v="0"/>
    <s v="Town Country"/>
    <m/>
    <n v="12192"/>
    <n v="6.0960000000000001"/>
    <n v="126"/>
    <n v="768.1"/>
    <n v="100"/>
    <n v="668.1"/>
    <n v="178827"/>
    <n v="207227"/>
    <d v="2013-06-24T00:00:00"/>
  </r>
  <r>
    <x v="126"/>
    <s v="CSB Trailer"/>
    <s v="Cardboard"/>
    <x v="1"/>
    <s v="Town Country"/>
    <m/>
    <n v="448"/>
    <n v="0.224"/>
    <n v="90"/>
    <n v="20.16"/>
    <n v="0"/>
    <n v="20.16"/>
    <n v="178827"/>
    <n v="207227"/>
    <d v="2013-06-24T00:00:00"/>
  </r>
  <r>
    <x v="126"/>
    <s v="CSB Trailer"/>
    <s v="Paper"/>
    <x v="3"/>
    <s v="Town Country"/>
    <m/>
    <n v="187"/>
    <n v="9.35E-2"/>
    <n v="49.5"/>
    <n v="4.6500000000000004"/>
    <n v="0"/>
    <n v="4.6500000000000004"/>
    <n v="178827"/>
    <n v="207227"/>
    <d v="2013-06-24T00:00:00"/>
  </r>
  <r>
    <x v="126"/>
    <s v="CSB Trailer"/>
    <s v="Wood"/>
    <x v="31"/>
    <s v="Town Country"/>
    <m/>
    <n v="902"/>
    <n v="0.45100000000000001"/>
    <n v="0"/>
    <m/>
    <m/>
    <m/>
    <n v="178827"/>
    <n v="207227"/>
    <d v="2013-06-24T00:00:00"/>
  </r>
  <r>
    <x v="126"/>
    <s v="CSB Trailer"/>
    <s v="Single Stream"/>
    <x v="32"/>
    <s v="Town Country"/>
    <m/>
    <n v="1406"/>
    <n v="0.70299999999999996"/>
    <n v="49.52"/>
    <n v="4.6500000000000004"/>
    <n v="0"/>
    <n v="4.6500000000000004"/>
    <n v="178827"/>
    <n v="207227"/>
    <d v="2013-06-24T00:00:00"/>
  </r>
  <r>
    <x v="127"/>
    <s v="South compound 30yd"/>
    <s v="Wood"/>
    <x v="30"/>
    <s v="Missouri Organic"/>
    <m/>
    <n v="3760"/>
    <n v="1.88"/>
    <m/>
    <m/>
    <n v="230"/>
    <m/>
    <m/>
    <m/>
    <m/>
  </r>
  <r>
    <x v="127"/>
    <s v="south Compound"/>
    <s v="Metal"/>
    <x v="19"/>
    <s v="Advantage Metal"/>
    <m/>
    <n v="7560"/>
    <n v="3.78"/>
    <n v="0.1"/>
    <n v="756"/>
    <n v="180"/>
    <n v="576"/>
    <s v="TNJSOP"/>
    <m/>
    <m/>
  </r>
  <r>
    <x v="128"/>
    <s v="SC compactor"/>
    <s v="Single Stream"/>
    <x v="11"/>
    <s v="Town Country"/>
    <m/>
    <n v="5540"/>
    <n v="2.77"/>
    <n v="49"/>
    <n v="135.72999999999999"/>
    <n v="85"/>
    <n v="50.73"/>
    <n v="179724"/>
    <n v="207227"/>
    <d v="2013-06-24T00:00:00"/>
  </r>
  <r>
    <x v="129"/>
    <s v="CC compactor"/>
    <s v="Single Stream"/>
    <x v="11"/>
    <s v="Town Country"/>
    <m/>
    <n v="10320"/>
    <n v="5.16"/>
    <n v="49"/>
    <n v="252.84"/>
    <n v="85"/>
    <n v="167.84"/>
    <n v="181018"/>
    <n v="207227"/>
    <d v="2013-06-24T00:00:00"/>
  </r>
  <r>
    <x v="130"/>
    <s v="Warehouse"/>
    <s v="Glass"/>
    <x v="12"/>
    <s v="Ripple"/>
    <m/>
    <n v="336"/>
    <n v="0.16800000000000001"/>
    <m/>
    <m/>
    <m/>
    <m/>
    <m/>
    <m/>
    <m/>
  </r>
  <r>
    <x v="131"/>
    <s v="South compound 30yd"/>
    <s v="Wood"/>
    <x v="30"/>
    <s v="Missouri Organic"/>
    <m/>
    <n v="4740"/>
    <n v="2.37"/>
    <m/>
    <m/>
    <n v="230"/>
    <m/>
    <m/>
    <m/>
    <m/>
  </r>
  <r>
    <x v="131"/>
    <s v="All/Dumpsters"/>
    <s v="Single Stream"/>
    <x v="11"/>
    <s v="Town Country"/>
    <m/>
    <n v="17347.2"/>
    <n v="2.37"/>
    <m/>
    <m/>
    <m/>
    <m/>
    <m/>
    <m/>
    <m/>
  </r>
  <r>
    <x v="132"/>
    <s v="South compound 30yd"/>
    <s v="Wood"/>
    <x v="30"/>
    <s v="Missouri Organic"/>
    <m/>
    <n v="3840"/>
    <n v="1.92"/>
    <m/>
    <m/>
    <n v="230"/>
    <m/>
    <m/>
    <m/>
    <m/>
  </r>
  <r>
    <x v="133"/>
    <s v="south Compound"/>
    <s v="Metal"/>
    <x v="19"/>
    <s v="Advantage Metal"/>
    <m/>
    <n v="7000"/>
    <n v="3.5"/>
    <n v="8.5000000000000006E-2"/>
    <n v="595"/>
    <n v="180"/>
    <n v="415"/>
    <s v="TNVQPE"/>
    <n v="205135"/>
    <d v="2013-05-24T00:00:00"/>
  </r>
  <r>
    <x v="133"/>
    <s v="CC compactor"/>
    <s v="Single Stream"/>
    <x v="11"/>
    <s v="Town Country"/>
    <m/>
    <n v="15600"/>
    <n v="7.8"/>
    <n v="45.5"/>
    <n v="354.9"/>
    <n v="85"/>
    <n v="269.89999999999998"/>
    <n v="183227"/>
    <n v="208258"/>
    <d v="2013-07-10T00:00:00"/>
  </r>
  <r>
    <x v="134"/>
    <s v="Warehouse"/>
    <s v="Glass"/>
    <x v="12"/>
    <s v="Ripple"/>
    <m/>
    <n v="336"/>
    <n v="0.16800000000000001"/>
    <m/>
    <m/>
    <m/>
    <m/>
    <m/>
    <m/>
    <m/>
  </r>
  <r>
    <x v="135"/>
    <s v="All/Dumpsters"/>
    <s v="Single Stream"/>
    <x v="11"/>
    <s v="Town Country"/>
    <m/>
    <n v="17347.2"/>
    <n v="7.8"/>
    <m/>
    <m/>
    <m/>
    <m/>
    <m/>
    <m/>
    <m/>
  </r>
  <r>
    <x v="136"/>
    <s v="South compound 30yd"/>
    <s v="Wood"/>
    <x v="30"/>
    <s v="Missouri Organic"/>
    <m/>
    <n v="11140"/>
    <n v="5.57"/>
    <m/>
    <m/>
    <n v="230"/>
    <m/>
    <n v="5790"/>
    <m/>
    <m/>
  </r>
  <r>
    <x v="137"/>
    <s v="Warehouse"/>
    <s v="e-waste"/>
    <x v="8"/>
    <s v="MRC"/>
    <n v="3"/>
    <n v="3013"/>
    <n v="1.5065"/>
    <m/>
    <m/>
    <m/>
    <m/>
    <m/>
    <m/>
    <m/>
  </r>
  <r>
    <x v="138"/>
    <s v="Warehouse"/>
    <s v="e-waste"/>
    <x v="8"/>
    <s v="MRC"/>
    <n v="2"/>
    <n v="1854"/>
    <n v="0.92700000000000005"/>
    <m/>
    <m/>
    <m/>
    <m/>
    <m/>
    <m/>
    <m/>
  </r>
  <r>
    <x v="139"/>
    <s v="CSB Trailer"/>
    <s v="Paper"/>
    <x v="0"/>
    <s v="Town Country"/>
    <m/>
    <n v="13336"/>
    <n v="6.6680000000000001"/>
    <n v="112.5"/>
    <n v="750.15"/>
    <n v="100"/>
    <n v="650.15"/>
    <n v="185343"/>
    <n v="214007"/>
    <d v="2013-09-05T00:00:00"/>
  </r>
  <r>
    <x v="139"/>
    <s v="CSB Trailer"/>
    <s v="Paper"/>
    <x v="0"/>
    <s v="Town Country"/>
    <m/>
    <n v="240"/>
    <n v="0.12"/>
    <n v="81"/>
    <n v="9.7200000000000006"/>
    <n v="0"/>
    <n v="9.7200000000000006"/>
    <n v="185343"/>
    <n v="214007"/>
    <d v="2013-09-05T00:00:00"/>
  </r>
  <r>
    <x v="139"/>
    <s v="CSB Trailer"/>
    <s v="Wood"/>
    <x v="31"/>
    <s v="Town Country"/>
    <m/>
    <n v="664"/>
    <n v="0.33200000000000002"/>
    <n v="0"/>
    <n v="0"/>
    <n v="0"/>
    <n v="0"/>
    <n v="185343"/>
    <n v="214007"/>
    <d v="2013-09-05T00:00:00"/>
  </r>
  <r>
    <x v="140"/>
    <s v="Delivered"/>
    <s v="Metal"/>
    <x v="15"/>
    <s v="Advantage Metal"/>
    <m/>
    <n v="909"/>
    <n v="0.45450000000000002"/>
    <n v="0.65"/>
    <n v="590.85"/>
    <n v="0"/>
    <n v="590.85"/>
    <s v="ZJEHIY"/>
    <n v="206994"/>
    <d v="2013-05-18T00:00:00"/>
  </r>
  <r>
    <x v="140"/>
    <s v="Delivered"/>
    <s v="Metal"/>
    <x v="23"/>
    <s v="Advantage Metal"/>
    <m/>
    <n v="188"/>
    <n v="9.4E-2"/>
    <n v="0.51"/>
    <n v="95.88"/>
    <n v="0"/>
    <n v="95.88"/>
    <s v="ZJEHIY"/>
    <n v="206994"/>
    <d v="2013-05-18T00:00:00"/>
  </r>
  <r>
    <x v="140"/>
    <s v="Delivered"/>
    <s v="Metal"/>
    <x v="33"/>
    <s v="Advantage Metal"/>
    <m/>
    <n v="119"/>
    <n v="5.9499999999999997E-2"/>
    <n v="0.5"/>
    <n v="59.5"/>
    <n v="0"/>
    <n v="59.5"/>
    <s v="ZJEHIY"/>
    <n v="206994"/>
    <d v="2013-05-18T00:00:00"/>
  </r>
  <r>
    <x v="140"/>
    <s v="Delivered"/>
    <s v="Metal"/>
    <x v="25"/>
    <s v="Advantage Metal"/>
    <m/>
    <n v="112"/>
    <n v="5.6000000000000001E-2"/>
    <n v="1.47"/>
    <n v="164.64"/>
    <n v="0"/>
    <n v="164.64"/>
    <s v="ZJEHIY"/>
    <n v="206994"/>
    <d v="2013-05-18T00:00:00"/>
  </r>
  <r>
    <x v="140"/>
    <s v="Delivered"/>
    <s v="Metal"/>
    <x v="34"/>
    <s v="Advantage Metal"/>
    <m/>
    <n v="92"/>
    <n v="4.5999999999999999E-2"/>
    <n v="0.35"/>
    <n v="32.200000000000003"/>
    <n v="0"/>
    <n v="32.200000000000003"/>
    <s v="ZJEHIY"/>
    <n v="206994"/>
    <d v="2013-05-18T00:00:00"/>
  </r>
  <r>
    <x v="141"/>
    <s v="CC compactor"/>
    <s v="Single Stream"/>
    <x v="11"/>
    <s v="Town Country"/>
    <m/>
    <s v="?"/>
    <m/>
    <m/>
    <m/>
    <m/>
    <m/>
    <m/>
    <m/>
    <m/>
  </r>
  <r>
    <x v="142"/>
    <s v="Warehouse"/>
    <s v="Glass"/>
    <x v="12"/>
    <s v="Ripple"/>
    <m/>
    <n v="336"/>
    <n v="0.16800000000000001"/>
    <m/>
    <m/>
    <m/>
    <m/>
    <m/>
    <m/>
    <m/>
  </r>
  <r>
    <x v="143"/>
    <s v="All/Dumpsters"/>
    <s v="Single Stream"/>
    <x v="11"/>
    <s v="Town Country"/>
    <m/>
    <n v="17347.2"/>
    <n v="8.6736000000000004"/>
    <m/>
    <m/>
    <m/>
    <m/>
    <m/>
    <m/>
    <m/>
  </r>
  <r>
    <x v="144"/>
    <s v="Warehouse"/>
    <s v="e-waste"/>
    <x v="8"/>
    <s v="MRC"/>
    <n v="5"/>
    <n v="2724"/>
    <n v="1.3620000000000001"/>
    <m/>
    <m/>
    <m/>
    <m/>
    <m/>
    <m/>
    <m/>
  </r>
  <r>
    <x v="145"/>
    <s v="South compound 30yd"/>
    <s v="Wood"/>
    <x v="30"/>
    <s v="Missouri Organic"/>
    <m/>
    <n v="4380"/>
    <n v="2.19"/>
    <m/>
    <m/>
    <n v="230"/>
    <m/>
    <m/>
    <m/>
    <m/>
  </r>
  <r>
    <x v="146"/>
    <s v="Warehouse"/>
    <s v="Glass"/>
    <x v="12"/>
    <s v="Ripple"/>
    <m/>
    <n v="336"/>
    <n v="0.16800000000000001"/>
    <m/>
    <m/>
    <m/>
    <m/>
    <m/>
    <m/>
    <m/>
  </r>
  <r>
    <x v="147"/>
    <s v="South compound 30yd"/>
    <s v="Wood"/>
    <x v="30"/>
    <s v="Missouri Organic"/>
    <m/>
    <n v="4000"/>
    <n v="2"/>
    <m/>
    <m/>
    <n v="230"/>
    <m/>
    <m/>
    <m/>
    <m/>
  </r>
  <r>
    <x v="147"/>
    <s v="CC compactor"/>
    <s v="Single Stream"/>
    <x v="11"/>
    <s v="Town Country"/>
    <m/>
    <n v="13920"/>
    <n v="6.96"/>
    <n v="38.5"/>
    <n v="267.95999999999998"/>
    <n v="85"/>
    <n v="182.96"/>
    <n v="189503"/>
    <n v="214008"/>
    <d v="2013-09-05T00:00:00"/>
  </r>
  <r>
    <x v="147"/>
    <s v="All/Dumpsters"/>
    <s v="Single Stream"/>
    <x v="11"/>
    <s v="Town Country"/>
    <m/>
    <n v="17347.2"/>
    <n v="8.6736000000000004"/>
    <m/>
    <m/>
    <m/>
    <m/>
    <m/>
    <m/>
    <m/>
  </r>
  <r>
    <x v="148"/>
    <s v="Warehouse"/>
    <s v="e-waste"/>
    <x v="8"/>
    <s v="MRC"/>
    <n v="5"/>
    <n v="2764"/>
    <n v="1.3819999999999999"/>
    <m/>
    <m/>
    <m/>
    <m/>
    <m/>
    <m/>
    <m/>
  </r>
  <r>
    <x v="149"/>
    <s v="south Compound"/>
    <s v="Metal"/>
    <x v="19"/>
    <s v="Advantage Metal"/>
    <m/>
    <n v="5880"/>
    <n v="2.94"/>
    <n v="8.5000000000000006E-2"/>
    <n v="499.8"/>
    <n v="180"/>
    <n v="319.8"/>
    <s v="totuhh"/>
    <n v="212215"/>
    <d v="2013-08-16T00:00:00"/>
  </r>
  <r>
    <x v="149"/>
    <s v="Student Center compactor"/>
    <s v="Single Stream"/>
    <x v="11"/>
    <s v="Town Country"/>
    <m/>
    <n v="11740"/>
    <n v="5.87"/>
    <n v="38.5"/>
    <n v="226"/>
    <n v="85"/>
    <n v="141"/>
    <n v="190624"/>
    <n v="216044"/>
    <d v="2013-09-24T00:00:00"/>
  </r>
  <r>
    <x v="150"/>
    <s v="CC compactor"/>
    <s v="Single Stream"/>
    <x v="11"/>
    <s v="Deffenbaugh"/>
    <m/>
    <n v="6160"/>
    <n v="3.08"/>
    <m/>
    <m/>
    <m/>
    <m/>
    <m/>
    <m/>
    <m/>
  </r>
  <r>
    <x v="151"/>
    <s v="South compound 30yd"/>
    <s v="Wood"/>
    <x v="30"/>
    <s v="Missouri Organic"/>
    <m/>
    <n v="5820"/>
    <n v="2.91"/>
    <m/>
    <m/>
    <n v="230"/>
    <m/>
    <m/>
    <m/>
    <m/>
  </r>
  <r>
    <x v="152"/>
    <s v="CSB Trailer"/>
    <s v="Paper"/>
    <x v="0"/>
    <s v="Town Country"/>
    <m/>
    <n v="15060"/>
    <b v="0"/>
    <n v="112.5"/>
    <n v="847.13"/>
    <n v="100"/>
    <n v="747.13"/>
    <n v="191725"/>
    <n v="216044"/>
    <m/>
  </r>
  <r>
    <x v="153"/>
    <s v="Warehouse"/>
    <s v="e-waste"/>
    <x v="9"/>
    <s v="Batteries Solutions"/>
    <m/>
    <n v="8466"/>
    <n v="4.2329999999999997"/>
    <m/>
    <m/>
    <m/>
    <m/>
    <m/>
    <m/>
    <m/>
  </r>
  <r>
    <x v="154"/>
    <s v="CC 8yd"/>
    <s v="Single Stream"/>
    <x v="11"/>
    <s v="Deffenbaugh"/>
    <m/>
    <s v="?"/>
    <m/>
    <m/>
    <m/>
    <m/>
    <n v="0"/>
    <m/>
    <m/>
    <m/>
  </r>
  <r>
    <x v="155"/>
    <s v="Warehouse"/>
    <s v="Glass"/>
    <x v="12"/>
    <s v="Ripple"/>
    <m/>
    <n v="336"/>
    <n v="0.16800000000000001"/>
    <m/>
    <m/>
    <m/>
    <m/>
    <m/>
    <m/>
    <m/>
  </r>
  <r>
    <x v="156"/>
    <s v="All/Dumpsters"/>
    <s v="Single Stream"/>
    <x v="11"/>
    <s v="Town Country"/>
    <m/>
    <n v="17347.2"/>
    <n v="8.6736000000000004"/>
    <m/>
    <m/>
    <m/>
    <m/>
    <m/>
    <m/>
    <m/>
  </r>
  <r>
    <x v="157"/>
    <s v="Delivered"/>
    <s v="Wood"/>
    <x v="31"/>
    <s v="B&amp;T"/>
    <n v="40"/>
    <n v="1480"/>
    <n v="0.74"/>
    <m/>
    <m/>
    <m/>
    <n v="146.5"/>
    <m/>
    <n v="214211"/>
    <d v="2012-09-06T00:00:00"/>
  </r>
  <r>
    <x v="157"/>
    <s v="?"/>
    <s v="Oil"/>
    <x v="35"/>
    <s v="Heritage-Crystal clean"/>
    <m/>
    <m/>
    <m/>
    <m/>
    <m/>
    <m/>
    <n v="151.19999999999999"/>
    <s v="00-005tnj6"/>
    <n v="215103"/>
    <d v="2013-09-13T00:00:00"/>
  </r>
  <r>
    <x v="157"/>
    <s v="Student Center compactor"/>
    <s v="Single Stream"/>
    <x v="11"/>
    <s v="Town Country"/>
    <m/>
    <n v="8940"/>
    <n v="4.47"/>
    <n v="38.5"/>
    <n v="172.1"/>
    <n v="85"/>
    <n v="87.1"/>
    <n v="192498"/>
    <n v="218201"/>
    <d v="2013-10-17T00:00:00"/>
  </r>
  <r>
    <x v="158"/>
    <s v="Warehouse"/>
    <s v="e-waste"/>
    <x v="8"/>
    <s v="MRC"/>
    <n v="6"/>
    <n v="3174"/>
    <n v="1.587"/>
    <m/>
    <m/>
    <m/>
    <m/>
    <m/>
    <m/>
    <m/>
  </r>
  <r>
    <x v="159"/>
    <s v="Warehouse"/>
    <s v="Glass"/>
    <x v="12"/>
    <s v="Ripple"/>
    <m/>
    <n v="336"/>
    <n v="0.16800000000000001"/>
    <m/>
    <m/>
    <m/>
    <m/>
    <m/>
    <m/>
    <m/>
  </r>
  <r>
    <x v="160"/>
    <s v="All/Dumpsters"/>
    <s v="Single Stream"/>
    <x v="11"/>
    <s v="Town Country"/>
    <m/>
    <n v="17347.2"/>
    <n v="8.6736000000000004"/>
    <m/>
    <m/>
    <m/>
    <m/>
    <m/>
    <m/>
    <m/>
  </r>
  <r>
    <x v="161"/>
    <s v="South compound 30yd"/>
    <s v="Wood"/>
    <x v="30"/>
    <s v="Missouri Organic"/>
    <m/>
    <n v="4080"/>
    <n v="2.04"/>
    <m/>
    <m/>
    <n v="230"/>
    <m/>
    <m/>
    <m/>
    <m/>
  </r>
  <r>
    <x v="162"/>
    <s v="Student Center compactor"/>
    <s v="Single Stream"/>
    <x v="11"/>
    <s v="Town Country"/>
    <m/>
    <n v="8920"/>
    <n v="4.46"/>
    <n v="38.5"/>
    <n v="171.71"/>
    <n v="85"/>
    <n v="86.71"/>
    <n v="196037"/>
    <n v="221330"/>
    <d v="2013-12-09T00:00:00"/>
  </r>
  <r>
    <x v="163"/>
    <s v="CC compactor"/>
    <s v="Single Stream"/>
    <x v="11"/>
    <s v="Town Country"/>
    <m/>
    <n v="12140"/>
    <n v="6.07"/>
    <n v="38.5"/>
    <n v="233.7"/>
    <n v="85"/>
    <n v="148.69999999999999"/>
    <n v="196575"/>
    <n v="221330"/>
    <d v="2013-12-09T00:00:00"/>
  </r>
  <r>
    <x v="163"/>
    <s v="CSB Trailer"/>
    <s v="Paper"/>
    <x v="0"/>
    <s v="Town Country"/>
    <m/>
    <n v="15280"/>
    <n v="7.64"/>
    <n v="112.5"/>
    <n v="859.5"/>
    <n v="100"/>
    <n v="759.5"/>
    <n v="200456"/>
    <n v="224655"/>
    <d v="2014-01-14T00:00:00"/>
  </r>
  <r>
    <x v="164"/>
    <s v="Warehouse"/>
    <s v="Glass"/>
    <x v="12"/>
    <s v="Ripple"/>
    <m/>
    <n v="336"/>
    <n v="0.16800000000000001"/>
    <m/>
    <m/>
    <m/>
    <m/>
    <m/>
    <m/>
    <m/>
  </r>
  <r>
    <x v="165"/>
    <s v="Delivered"/>
    <s v="Wood"/>
    <x v="31"/>
    <s v="B&amp;T"/>
    <n v="40"/>
    <n v="1480"/>
    <n v="0.74"/>
    <m/>
    <m/>
    <m/>
    <n v="108.5"/>
    <m/>
    <n v="219248"/>
    <d v="2013-10-31T00:00:00"/>
  </r>
  <r>
    <x v="165"/>
    <s v="All/Dumpsters"/>
    <s v="Single Stream"/>
    <x v="11"/>
    <s v="Town Country"/>
    <m/>
    <n v="17347.2"/>
    <n v="8.6736000000000004"/>
    <m/>
    <m/>
    <m/>
    <m/>
    <m/>
    <m/>
    <m/>
  </r>
  <r>
    <x v="166"/>
    <s v="Delivered"/>
    <s v="Metal"/>
    <x v="19"/>
    <s v="Advantage Metal"/>
    <m/>
    <n v="1259"/>
    <n v="0.62949999999999995"/>
    <n v="8.5000000000000006E-2"/>
    <n v="8.5000000000000006E-2"/>
    <n v="0"/>
    <n v="107.02"/>
    <s v="zkemnw"/>
    <n v="219794"/>
    <d v="2013-11-11T00:00:00"/>
  </r>
  <r>
    <x v="166"/>
    <s v="Delivered"/>
    <s v="Metal"/>
    <x v="33"/>
    <s v="Advantage Metal"/>
    <m/>
    <n v="9"/>
    <n v="4.4999999999999997E-3"/>
    <n v="0.2"/>
    <n v="1.8"/>
    <n v="0"/>
    <n v="1.8"/>
    <s v="zkemnw"/>
    <n v="219794"/>
    <d v="2013-11-11T00:00:00"/>
  </r>
  <r>
    <x v="166"/>
    <s v="Delivered"/>
    <s v="Metal"/>
    <x v="34"/>
    <s v="Advantage Metal"/>
    <m/>
    <n v="400"/>
    <n v="0.2"/>
    <n v="0.35"/>
    <n v="140"/>
    <n v="0"/>
    <n v="140"/>
    <s v="ZJEHIY"/>
    <n v="219794"/>
    <d v="2013-11-11T00:00:00"/>
  </r>
  <r>
    <x v="167"/>
    <s v="south Compound"/>
    <s v="Metal"/>
    <x v="19"/>
    <s v="Advantage Metal"/>
    <m/>
    <n v="7680"/>
    <n v="3.84"/>
    <n v="0.09"/>
    <n v="710.4"/>
    <n v="180"/>
    <n v="530.4"/>
    <s v="tpskdo"/>
    <n v="220751"/>
    <d v="2013-11-26T00:00:00"/>
  </r>
  <r>
    <x v="168"/>
    <s v="Warehouse"/>
    <s v="e-waste"/>
    <x v="36"/>
    <s v="Clover Technologies"/>
    <n v="433"/>
    <m/>
    <m/>
    <m/>
    <m/>
    <m/>
    <n v="496.05"/>
    <s v="POC05365"/>
    <n v="221649"/>
    <d v="2013-12-12T00:00:00"/>
  </r>
  <r>
    <x v="169"/>
    <s v="Warehouse"/>
    <s v="e-waste"/>
    <x v="8"/>
    <s v="MRC"/>
    <n v="5"/>
    <n v="1347"/>
    <n v="0.67349999999999999"/>
    <m/>
    <m/>
    <m/>
    <m/>
    <m/>
    <m/>
    <m/>
  </r>
  <r>
    <x v="170"/>
    <s v="South compound 30yd"/>
    <s v="Wood"/>
    <x v="30"/>
    <s v="Missouri Organic"/>
    <m/>
    <n v="3940"/>
    <n v="1.97"/>
    <m/>
    <m/>
    <n v="230"/>
    <m/>
    <m/>
    <m/>
    <m/>
  </r>
  <r>
    <x v="171"/>
    <s v="Delivered"/>
    <s v="Wood"/>
    <x v="31"/>
    <s v="B&amp;T"/>
    <n v="40"/>
    <n v="1480"/>
    <n v="0.74"/>
    <m/>
    <m/>
    <m/>
    <n v="135"/>
    <m/>
    <n v="220587"/>
    <d v="2013-11-22T00:00:00"/>
  </r>
  <r>
    <x v="172"/>
    <s v="Warehouse"/>
    <s v="Glass"/>
    <x v="12"/>
    <s v="Ripple"/>
    <m/>
    <n v="336"/>
    <n v="0.16800000000000001"/>
    <m/>
    <m/>
    <m/>
    <m/>
    <m/>
    <m/>
    <m/>
  </r>
  <r>
    <x v="173"/>
    <s v="All/Dumpsters"/>
    <s v="Single Stream"/>
    <x v="11"/>
    <s v="Town Country"/>
    <m/>
    <n v="17347.2"/>
    <n v="8.6736000000000004"/>
    <m/>
    <m/>
    <m/>
    <m/>
    <m/>
    <m/>
    <m/>
  </r>
  <r>
    <x v="174"/>
    <s v="Delivered"/>
    <s v="Metal"/>
    <x v="19"/>
    <s v="Advantage Metal"/>
    <m/>
    <n v="37"/>
    <n v="1.8499999999999999E-2"/>
    <n v="0.1"/>
    <n v="8.5000000000000006E-2"/>
    <n v="0"/>
    <n v="3.7"/>
    <s v="zkisau"/>
    <n v="221244"/>
    <d v="2013-12-06T00:00:00"/>
  </r>
  <r>
    <x v="174"/>
    <s v="Delivered"/>
    <s v="Metal"/>
    <x v="37"/>
    <s v="Advantage Metal"/>
    <m/>
    <n v="8"/>
    <n v="4.0000000000000001E-3"/>
    <n v="0.2"/>
    <n v="1.8"/>
    <n v="0"/>
    <n v="1.8"/>
    <s v="zkisau"/>
    <n v="221244"/>
    <d v="2013-12-06T00:00:00"/>
  </r>
  <r>
    <x v="174"/>
    <s v="Delivered"/>
    <s v="Metal"/>
    <x v="34"/>
    <s v="Advantage Metal"/>
    <m/>
    <n v="117"/>
    <n v="5.8500000000000003E-2"/>
    <n v="0.32"/>
    <n v="37.44"/>
    <n v="0"/>
    <n v="37.44"/>
    <s v="zkisau"/>
    <n v="221244"/>
    <d v="2013-12-06T00:00:00"/>
  </r>
  <r>
    <x v="174"/>
    <s v="Delivered"/>
    <s v="Metal"/>
    <x v="15"/>
    <s v="Advantage Metal"/>
    <m/>
    <n v="194"/>
    <n v="9.7000000000000003E-2"/>
    <n v="0.48"/>
    <n v="93.12"/>
    <n v="0"/>
    <n v="93.12"/>
    <s v="zkisau"/>
    <n v="221244"/>
    <d v="2013-12-06T00:00:00"/>
  </r>
  <r>
    <x v="174"/>
    <s v="Delivered"/>
    <s v="Metal"/>
    <x v="38"/>
    <s v="Advantage Metal"/>
    <m/>
    <n v="1080"/>
    <n v="0.54"/>
    <n v="0.48"/>
    <n v="518.4"/>
    <m/>
    <n v="518.4"/>
    <s v="zkisau"/>
    <n v="221244"/>
    <d v="2013-12-06T00:00:00"/>
  </r>
  <r>
    <x v="174"/>
    <s v="Delivered"/>
    <s v="Metal"/>
    <x v="39"/>
    <s v="Advantage Metal"/>
    <m/>
    <n v="6"/>
    <n v="3.0000000000000001E-3"/>
    <n v="0.92"/>
    <n v="5.52"/>
    <n v="0"/>
    <n v="5.52"/>
    <s v="zkisau"/>
    <n v="221244"/>
    <d v="2013-12-06T00:00:00"/>
  </r>
  <r>
    <x v="175"/>
    <s v="CSB Trailer"/>
    <s v="Paper"/>
    <x v="0"/>
    <s v="Town Country"/>
    <m/>
    <n v="12655"/>
    <n v="6.33"/>
    <n v="112.5"/>
    <n v="712.33"/>
    <n v="100"/>
    <n v="612.33000000000004"/>
    <n v="202395"/>
    <n v="226509"/>
    <d v="2014-02-06T00:00:00"/>
  </r>
  <r>
    <x v="175"/>
    <s v="CSB Trailer"/>
    <s v="Cardboard"/>
    <x v="1"/>
    <s v="Town Country"/>
    <m/>
    <n v="2625"/>
    <n v="1.3125"/>
    <n v="38.5"/>
    <n v="106.11"/>
    <n v="0"/>
    <n v="106.11"/>
    <n v="202395"/>
    <n v="226509"/>
    <d v="2014-02-06T00:00:00"/>
  </r>
  <r>
    <x v="176"/>
    <s v="CC compactor"/>
    <s v="Single Stream"/>
    <x v="11"/>
    <s v="Town Country"/>
    <m/>
    <n v="9620"/>
    <n v="4.8099999999999996"/>
    <n v="38.5"/>
    <n v="185.19"/>
    <n v="85"/>
    <n v="100.19"/>
    <n v="200165"/>
    <n v="226509"/>
    <d v="2014-02-06T00:00:00"/>
  </r>
  <r>
    <x v="177"/>
    <s v="Delivered"/>
    <s v="Wood"/>
    <x v="31"/>
    <s v="B&amp;T"/>
    <n v="26"/>
    <n v="962"/>
    <n v="0.48099999999999998"/>
    <m/>
    <m/>
    <m/>
    <n v="75"/>
    <m/>
    <n v="221851"/>
    <d v="2013-12-16T00:00:00"/>
  </r>
  <r>
    <x v="178"/>
    <s v="Warehouse"/>
    <s v="Glass"/>
    <x v="12"/>
    <s v="Ripple"/>
    <m/>
    <n v="336"/>
    <n v="0.16800000000000001"/>
    <m/>
    <m/>
    <m/>
    <m/>
    <m/>
    <m/>
    <m/>
  </r>
  <r>
    <x v="179"/>
    <s v="All/Dumpsters"/>
    <s v="Single Stream"/>
    <x v="11"/>
    <s v="Town Country"/>
    <m/>
    <n v="17347.2"/>
    <n v="8.6736000000000004"/>
    <m/>
    <m/>
    <m/>
    <m/>
    <m/>
    <m/>
    <m/>
  </r>
  <r>
    <x v="180"/>
    <s v="Campus"/>
    <s v="Paper"/>
    <x v="0"/>
    <s v="Cintas"/>
    <m/>
    <n v="31015"/>
    <n v="15.5075"/>
    <n v="0"/>
    <n v="0"/>
    <n v="0"/>
    <n v="0"/>
    <n v="0"/>
    <n v="0"/>
    <n v="0"/>
  </r>
  <r>
    <x v="180"/>
    <s v="Book  Store"/>
    <s v="books"/>
    <x v="10"/>
    <s v="One Planet books"/>
    <n v="364"/>
    <n v="21200"/>
    <n v="10.6"/>
    <m/>
    <m/>
    <m/>
    <n v="3640"/>
    <m/>
    <m/>
    <m/>
  </r>
  <r>
    <x v="180"/>
    <s v="south Compound"/>
    <s v="Compost"/>
    <x v="13"/>
    <s v="JCCC"/>
    <n v="111"/>
    <n v="38850"/>
    <n v="19.425000000000001"/>
    <m/>
    <m/>
    <m/>
    <m/>
    <m/>
    <m/>
    <m/>
  </r>
  <r>
    <x v="180"/>
    <s v="south Compound"/>
    <s v="Wood"/>
    <x v="14"/>
    <s v="JCCC"/>
    <n v="50"/>
    <n v="17500"/>
    <n v="8.75"/>
    <m/>
    <m/>
    <m/>
    <m/>
    <m/>
    <m/>
    <m/>
  </r>
  <r>
    <x v="181"/>
    <s v="Warehouse"/>
    <s v="e-waste"/>
    <x v="8"/>
    <s v="MRC"/>
    <n v="4"/>
    <n v="2175"/>
    <n v="1.0874999999999999"/>
    <m/>
    <m/>
    <m/>
    <m/>
    <m/>
    <m/>
    <m/>
  </r>
  <r>
    <x v="181"/>
    <s v="Delivered"/>
    <s v="Wood"/>
    <x v="31"/>
    <s v="B&amp;T"/>
    <n v="30"/>
    <n v="1110"/>
    <n v="0.55500000000000005"/>
    <m/>
    <m/>
    <m/>
    <n v="78"/>
    <m/>
    <n v="225221"/>
    <d v="2014-01-17T00:00:00"/>
  </r>
  <r>
    <x v="181"/>
    <s v="CC compactor"/>
    <s v="Single Stream"/>
    <x v="11"/>
    <s v="Town Country"/>
    <m/>
    <m/>
    <n v="6.35"/>
    <n v="38.5"/>
    <n v="244.48"/>
    <n v="85"/>
    <n v="159.47999999999999"/>
    <n v="203004"/>
    <n v="227605"/>
    <d v="2014-02-19T00:00:00"/>
  </r>
  <r>
    <x v="182"/>
    <s v="Student Center compactor"/>
    <s v="Single Stream"/>
    <x v="11"/>
    <s v="Town Country"/>
    <m/>
    <m/>
    <n v="4.45"/>
    <n v="38.5"/>
    <n v="171.33"/>
    <n v="85"/>
    <n v="88.33"/>
    <n v="203287"/>
    <n v="227605"/>
    <d v="2014-02-19T00:00:00"/>
  </r>
  <r>
    <x v="183"/>
    <s v="South compound 30yd"/>
    <s v="Wood"/>
    <x v="30"/>
    <s v="Missouri Organic"/>
    <m/>
    <n v="2840"/>
    <n v="1.42"/>
    <m/>
    <m/>
    <n v="230"/>
    <m/>
    <m/>
    <m/>
    <m/>
  </r>
  <r>
    <x v="183"/>
    <s v="Warehouse"/>
    <s v="Glass"/>
    <x v="12"/>
    <s v="Ripple"/>
    <m/>
    <n v="336"/>
    <n v="0.16800000000000001"/>
    <m/>
    <m/>
    <m/>
    <m/>
    <m/>
    <m/>
    <m/>
  </r>
  <r>
    <x v="184"/>
    <s v="All/Dumpsters"/>
    <s v="Single Stream"/>
    <x v="11"/>
    <s v="Town Country"/>
    <m/>
    <n v="17347.2"/>
    <n v="8.6736000000000004"/>
    <m/>
    <m/>
    <m/>
    <m/>
    <m/>
    <m/>
    <m/>
  </r>
  <r>
    <x v="185"/>
    <s v="CSB Trailer"/>
    <s v="Paper"/>
    <x v="0"/>
    <s v="Town Country"/>
    <m/>
    <n v="14962"/>
    <n v="7.4809999999999999"/>
    <n v="121.5"/>
    <n v="908.94150000000002"/>
    <n v="100"/>
    <n v="808.94150000000002"/>
    <n v="204775"/>
    <n v="229855"/>
    <d v="2014-03-26T00:00:00"/>
  </r>
  <r>
    <x v="185"/>
    <s v="CSB Trailer"/>
    <s v="Cardboard"/>
    <x v="1"/>
    <s v="Town Country"/>
    <m/>
    <n v="769"/>
    <n v="0.38"/>
    <n v="81"/>
    <n v="30.78"/>
    <n v="0"/>
    <n v="30.78"/>
    <n v="204775"/>
    <n v="229855"/>
    <d v="2014-03-26T00:00:00"/>
  </r>
  <r>
    <x v="185"/>
    <s v="CSB Trailer"/>
    <s v="Paper"/>
    <x v="0"/>
    <s v="Town Country"/>
    <m/>
    <n v="1380"/>
    <n v="0.69"/>
    <n v="0"/>
    <n v="0"/>
    <m/>
    <n v="0"/>
    <n v="204775"/>
    <n v="229855"/>
    <d v="2014-03-26T00:00:00"/>
  </r>
  <r>
    <x v="186"/>
    <s v="South compound 30yd"/>
    <s v="Wood"/>
    <x v="30"/>
    <s v="Missouri Organic"/>
    <m/>
    <n v="4100"/>
    <n v="2.0499999999999998"/>
    <m/>
    <m/>
    <n v="230"/>
    <m/>
    <m/>
    <m/>
    <m/>
  </r>
  <r>
    <x v="187"/>
    <s v="Delivered"/>
    <s v="Wood"/>
    <x v="31"/>
    <s v="B&amp;T"/>
    <n v="40"/>
    <n v="1480"/>
    <n v="0.74"/>
    <m/>
    <m/>
    <m/>
    <n v="95"/>
    <m/>
    <n v="228337"/>
    <d v="2014-02-28T00:00:00"/>
  </r>
  <r>
    <x v="188"/>
    <s v="All/Dumpsters"/>
    <s v="Single Stream"/>
    <x v="11"/>
    <s v="Town Country"/>
    <m/>
    <n v="17347.2"/>
    <n v="8.6736000000000004"/>
    <m/>
    <m/>
    <m/>
    <m/>
    <m/>
    <m/>
    <m/>
  </r>
  <r>
    <x v="188"/>
    <s v="Warehouse"/>
    <s v="Glass"/>
    <x v="12"/>
    <s v="Ripple"/>
    <m/>
    <n v="336"/>
    <n v="0.16800000000000001"/>
    <m/>
    <m/>
    <m/>
    <m/>
    <m/>
    <m/>
    <m/>
  </r>
  <r>
    <x v="189"/>
    <s v="south Compound"/>
    <s v="Metal"/>
    <x v="19"/>
    <s v="Advantage Metal"/>
    <m/>
    <n v="6400"/>
    <n v="3.2"/>
    <n v="9.2499999999999999E-2"/>
    <n v="592"/>
    <n v="180"/>
    <n v="412"/>
    <s v="tqtebj"/>
    <n v="228772"/>
    <d v="2014-03-07T00:00:00"/>
  </r>
  <r>
    <x v="190"/>
    <s v="Delivered"/>
    <s v="Wood"/>
    <x v="31"/>
    <s v="B&amp;T"/>
    <n v="30"/>
    <n v="1110"/>
    <n v="0.55500000000000005"/>
    <m/>
    <m/>
    <m/>
    <n v="61"/>
    <m/>
    <n v="229441"/>
    <d v="2014-03-19T00:00:00"/>
  </r>
  <r>
    <x v="190"/>
    <s v="Delivered"/>
    <s v="Metal"/>
    <x v="19"/>
    <s v="Advantage Metal"/>
    <m/>
    <n v="120"/>
    <n v="0.06"/>
    <n v="9.2499999999999999E-2"/>
    <n v="11.1"/>
    <n v="0"/>
    <n v="11.1"/>
    <s v="zkyevx"/>
    <n v="229442"/>
    <d v="2014-03-19T00:00:00"/>
  </r>
  <r>
    <x v="190"/>
    <s v="Delivered"/>
    <s v="Metal"/>
    <x v="40"/>
    <s v="Advantage Metal"/>
    <m/>
    <n v="5"/>
    <n v="2.5000000000000001E-3"/>
    <n v="0.15"/>
    <n v="0.75"/>
    <n v="0"/>
    <n v="0.75"/>
    <s v="zkyevx"/>
    <n v="229442"/>
    <d v="2014-03-19T00:00:00"/>
  </r>
  <r>
    <x v="190"/>
    <s v="Delivered"/>
    <s v="Metal"/>
    <x v="24"/>
    <s v="Advantage Metal"/>
    <m/>
    <n v="46"/>
    <n v="2.3E-2"/>
    <n v="0.44"/>
    <n v="20.239999999999998"/>
    <n v="0"/>
    <n v="20.239999999999998"/>
    <s v="zkyevx"/>
    <n v="229442"/>
    <d v="2014-03-19T00:00:00"/>
  </r>
  <r>
    <x v="190"/>
    <s v="Delivered"/>
    <s v="Metal"/>
    <x v="41"/>
    <s v="Advantage Metal"/>
    <m/>
    <n v="39"/>
    <n v="1.95E-2"/>
    <n v="0.38"/>
    <n v="14.82"/>
    <n v="0"/>
    <n v="14.82"/>
    <s v="zkyevx"/>
    <n v="229442"/>
    <d v="2014-03-19T00:00:00"/>
  </r>
  <r>
    <x v="190"/>
    <s v="Delivered"/>
    <s v="Metal"/>
    <x v="42"/>
    <s v="Advantage Metal"/>
    <m/>
    <n v="6"/>
    <n v="3.0000000000000001E-3"/>
    <n v="0.54"/>
    <n v="3.24"/>
    <n v="0"/>
    <n v="3.24"/>
    <s v="zkyevx"/>
    <n v="229442"/>
    <d v="2014-03-19T00:00:00"/>
  </r>
  <r>
    <x v="191"/>
    <s v="CSB Trailer"/>
    <s v="Paper"/>
    <x v="0"/>
    <s v="Town Country"/>
    <m/>
    <n v="16220"/>
    <n v="8.11"/>
    <n v="121.5"/>
    <n v="985.3649999999999"/>
    <n v="100"/>
    <n v="885.3649999999999"/>
    <n v="204775"/>
    <n v="231943"/>
    <d v="2014-04-29T00:00:00"/>
  </r>
  <r>
    <x v="191"/>
    <s v="CSB Trailer"/>
    <s v="Cardboard"/>
    <x v="1"/>
    <s v="Town Country"/>
    <m/>
    <n v="230"/>
    <n v="0.12"/>
    <n v="90"/>
    <n v="10.799999999999999"/>
    <n v="0"/>
    <n v="10.799999999999999"/>
    <n v="204775"/>
    <n v="231943"/>
    <d v="2014-04-29T00:00:00"/>
  </r>
  <r>
    <x v="191"/>
    <s v="CSB Trailer"/>
    <s v="Paper"/>
    <x v="43"/>
    <s v="Town Country"/>
    <m/>
    <n v="693"/>
    <n v="0.35"/>
    <n v="49.5"/>
    <n v="17.324999999999999"/>
    <m/>
    <n v="17.324999999999999"/>
    <n v="204775"/>
    <n v="231943"/>
    <d v="2014-04-29T00:00:00"/>
  </r>
  <r>
    <x v="191"/>
    <s v="Warehouse"/>
    <s v="Glass"/>
    <x v="12"/>
    <s v="Ripple"/>
    <m/>
    <n v="336"/>
    <n v="0.16800000000000001"/>
    <m/>
    <m/>
    <m/>
    <m/>
    <m/>
    <m/>
    <m/>
  </r>
  <r>
    <x v="191"/>
    <s v="All/Dumpsters"/>
    <s v="Single Stream"/>
    <x v="11"/>
    <s v="Town Country"/>
    <m/>
    <n v="17347.2"/>
    <n v="8.6736000000000004"/>
    <m/>
    <m/>
    <m/>
    <m/>
    <m/>
    <m/>
    <m/>
  </r>
  <r>
    <x v="192"/>
    <s v="Campus"/>
    <s v="Paper"/>
    <x v="0"/>
    <s v="Cintas"/>
    <m/>
    <n v="11800"/>
    <n v="5.9"/>
    <m/>
    <m/>
    <m/>
    <m/>
    <m/>
    <m/>
    <m/>
  </r>
  <r>
    <x v="193"/>
    <s v="South compound 30yd"/>
    <s v="Wood"/>
    <x v="30"/>
    <s v="Missouri Organic"/>
    <m/>
    <n v="4200"/>
    <n v="2.1"/>
    <m/>
    <m/>
    <n v="230"/>
    <m/>
    <m/>
    <m/>
    <m/>
  </r>
  <r>
    <x v="193"/>
    <s v="CC compactor"/>
    <s v="Single Stream"/>
    <x v="11"/>
    <s v="Town Country"/>
    <m/>
    <n v="11480"/>
    <n v="5.74"/>
    <n v="38.5"/>
    <n v="220.99"/>
    <n v="85"/>
    <n v="135.99"/>
    <n v="209088"/>
    <n v="232243"/>
    <d v="2014-05-05T00:00:00"/>
  </r>
  <r>
    <x v="194"/>
    <s v="Warehouse"/>
    <s v="e-waste"/>
    <x v="36"/>
    <s v="Clover Technologies"/>
    <n v="587"/>
    <m/>
    <m/>
    <m/>
    <m/>
    <m/>
    <n v="830.7"/>
    <s v="POC06493"/>
    <n v="231894"/>
    <d v="2014-04-28T00:00:00"/>
  </r>
  <r>
    <x v="195"/>
    <s v="Delivered"/>
    <s v="Wood"/>
    <x v="31"/>
    <s v="B&amp;T"/>
    <n v="40"/>
    <n v="1480"/>
    <n v="0.74"/>
    <m/>
    <m/>
    <m/>
    <n v="143"/>
    <m/>
    <n v="231941"/>
    <d v="2014-04-29T00:00:00"/>
  </r>
  <r>
    <x v="195"/>
    <s v="Warehouse"/>
    <s v="Glass"/>
    <x v="12"/>
    <s v="Ripple"/>
    <m/>
    <n v="336"/>
    <n v="0.16800000000000001"/>
    <m/>
    <m/>
    <m/>
    <m/>
    <m/>
    <m/>
    <m/>
  </r>
  <r>
    <x v="195"/>
    <s v="All/Dumpsters"/>
    <s v="Single Stream"/>
    <x v="11"/>
    <s v="Town Country"/>
    <m/>
    <n v="17347.2"/>
    <n v="8.6736000000000004"/>
    <m/>
    <m/>
    <m/>
    <m/>
    <m/>
    <m/>
    <m/>
  </r>
  <r>
    <x v="196"/>
    <s v="Warehouse"/>
    <s v="e-waste"/>
    <x v="8"/>
    <s v="MRC"/>
    <n v="4"/>
    <n v="2863"/>
    <n v="1.4315"/>
    <m/>
    <m/>
    <m/>
    <m/>
    <m/>
    <m/>
    <m/>
  </r>
  <r>
    <x v="197"/>
    <s v="South compound 30yd"/>
    <s v="Wood"/>
    <x v="30"/>
    <s v="Missouri Organic"/>
    <m/>
    <n v="5160"/>
    <n v="2.58"/>
    <m/>
    <m/>
    <n v="230"/>
    <m/>
    <m/>
    <m/>
    <m/>
  </r>
  <r>
    <x v="198"/>
    <s v="CC compactor"/>
    <s v="Single Stream"/>
    <x v="11"/>
    <s v="Town Country"/>
    <m/>
    <n v="14300"/>
    <n v="7.15"/>
    <n v="38.5"/>
    <n v="289.14"/>
    <n v="85"/>
    <n v="204.14"/>
    <n v="212936"/>
    <n v="236057"/>
    <d v="2014-05-30T00:00:00"/>
  </r>
  <r>
    <x v="199"/>
    <s v="Warehouse"/>
    <s v="Glass"/>
    <x v="12"/>
    <s v="Ripple"/>
    <m/>
    <n v="336"/>
    <n v="0.16800000000000001"/>
    <m/>
    <m/>
    <m/>
    <m/>
    <m/>
    <m/>
    <m/>
  </r>
  <r>
    <x v="199"/>
    <s v="All/Dumpsters"/>
    <s v="Single Stream"/>
    <x v="11"/>
    <s v="Town Country"/>
    <m/>
    <n v="17347.2"/>
    <n v="8.6736000000000004"/>
    <m/>
    <m/>
    <m/>
    <m/>
    <m/>
    <m/>
    <m/>
  </r>
  <r>
    <x v="200"/>
    <s v="south Compound"/>
    <s v="Metal"/>
    <x v="19"/>
    <s v="Advantage Metal"/>
    <m/>
    <n v="10500"/>
    <n v="5.25"/>
    <n v="8.7499999999999994E-2"/>
    <n v="918.74999999999989"/>
    <n v="180"/>
    <n v="738.75"/>
    <s v="TRRVMQ"/>
    <n v="234870"/>
    <d v="2014-06-03T00:00:00"/>
  </r>
  <r>
    <x v="201"/>
    <s v="Student Center compactor"/>
    <s v="Single Stream"/>
    <x v="11"/>
    <s v="Town Country"/>
    <m/>
    <n v="11420"/>
    <n v="5.71"/>
    <n v="72"/>
    <n v="411.12"/>
    <n v="85"/>
    <n v="326.12"/>
    <n v="21104"/>
    <n v="237009"/>
    <d v="2014-07-22T00:00:00"/>
  </r>
  <r>
    <x v="202"/>
    <s v="Delivered"/>
    <s v="Metal"/>
    <x v="40"/>
    <s v="Advantage Metal"/>
    <m/>
    <n v="298"/>
    <n v="0.14899999999999999"/>
    <n v="0.45"/>
    <n v="134.1"/>
    <n v="0"/>
    <n v="134.1"/>
    <s v="zlowml"/>
    <n v="235686"/>
    <d v="2014-06-19T00:00:00"/>
  </r>
  <r>
    <x v="202"/>
    <s v="Delivered"/>
    <s v="Metal"/>
    <x v="44"/>
    <s v="Advantage Metal"/>
    <m/>
    <n v="231"/>
    <n v="0.11550000000000001"/>
    <n v="0.57999999999999996"/>
    <n v="133.97999999999999"/>
    <n v="0"/>
    <n v="133.97999999999999"/>
    <s v="zlowml"/>
    <n v="235686"/>
    <d v="2014-06-19T00:00:00"/>
  </r>
  <r>
    <x v="202"/>
    <s v="Delivered"/>
    <s v="Metal"/>
    <x v="45"/>
    <s v="Advantage Metal"/>
    <m/>
    <n v="114"/>
    <n v="5.7000000000000002E-2"/>
    <n v="0.6"/>
    <n v="68.399999999999991"/>
    <n v="0"/>
    <n v="68.399999999999991"/>
    <s v="zlowml"/>
    <n v="235686"/>
    <d v="2014-06-19T00:00:00"/>
  </r>
  <r>
    <x v="202"/>
    <s v="Delivered"/>
    <s v="Metal"/>
    <x v="46"/>
    <s v="Advantage Metal"/>
    <m/>
    <n v="26"/>
    <n v="1.2999999999999999E-2"/>
    <n v="1.75"/>
    <n v="45.5"/>
    <n v="0"/>
    <n v="45.5"/>
    <s v="zlowml"/>
    <n v="235686"/>
    <d v="2014-06-19T00:00:00"/>
  </r>
  <r>
    <x v="202"/>
    <s v="Delivered"/>
    <s v="Metal"/>
    <x v="47"/>
    <s v="Advantage Metal"/>
    <m/>
    <n v="953"/>
    <n v="0.47649999999999998"/>
    <n v="0.84"/>
    <n v="800.52"/>
    <n v="0"/>
    <n v="800.52"/>
    <s v="zlowml"/>
    <n v="235686"/>
    <d v="2014-06-19T00:00:00"/>
  </r>
  <r>
    <x v="203"/>
    <s v="CSB Trailer"/>
    <s v="Paper"/>
    <x v="0"/>
    <s v="Town Country"/>
    <m/>
    <n v="6840"/>
    <n v="3.42"/>
    <n v="121.5"/>
    <n v="415.53"/>
    <n v="100"/>
    <n v="315.52999999999997"/>
    <n v="22279"/>
    <n v="237009"/>
    <d v="2014-07-22T00:00:00"/>
  </r>
  <r>
    <x v="203"/>
    <s v="CSB Trailer"/>
    <s v="Cardboard"/>
    <x v="1"/>
    <s v="Town Country"/>
    <m/>
    <n v="269"/>
    <n v="0.13"/>
    <n v="72"/>
    <n v="9.36"/>
    <n v="0"/>
    <n v="9.36"/>
    <n v="22279"/>
    <n v="237009"/>
    <d v="2014-07-22T00:00:00"/>
  </r>
  <r>
    <x v="203"/>
    <s v="CSB Trailer"/>
    <s v="Paper"/>
    <x v="43"/>
    <s v="Town Country"/>
    <m/>
    <n v="8719"/>
    <n v="4.3600000000000003"/>
    <n v="49.5"/>
    <n v="215.82000000000002"/>
    <m/>
    <n v="215.82000000000002"/>
    <n v="22279"/>
    <n v="237009"/>
    <d v="2014-07-22T00:00:00"/>
  </r>
  <r>
    <x v="204"/>
    <s v="Warehouse"/>
    <s v="Glass"/>
    <x v="12"/>
    <s v="Ripple"/>
    <m/>
    <n v="336"/>
    <n v="0.16800000000000001"/>
    <m/>
    <m/>
    <m/>
    <m/>
    <m/>
    <m/>
    <m/>
  </r>
  <r>
    <x v="204"/>
    <s v="All/Dumpsters"/>
    <s v="Single Stream"/>
    <x v="11"/>
    <s v="Town Country"/>
    <m/>
    <n v="17347.2"/>
    <n v="8.6736000000000004"/>
    <m/>
    <m/>
    <m/>
    <m/>
    <m/>
    <m/>
    <m/>
  </r>
  <r>
    <x v="205"/>
    <s v="Campus"/>
    <s v="Paper"/>
    <x v="0"/>
    <s v="Cintas"/>
    <m/>
    <n v="24786"/>
    <n v="12.393000000000001"/>
    <m/>
    <m/>
    <m/>
    <m/>
    <m/>
    <m/>
    <m/>
  </r>
  <r>
    <x v="206"/>
    <s v="CC compactor"/>
    <s v="Single Stream"/>
    <x v="11"/>
    <s v="Town Country"/>
    <m/>
    <n v="13260"/>
    <n v="6.63"/>
    <n v="38.5"/>
    <n v="255.26"/>
    <n v="85"/>
    <n v="170.26"/>
    <n v="212936"/>
    <n v="243680"/>
    <d v="2014-10-10T00:00:00"/>
  </r>
  <r>
    <x v="207"/>
    <s v="CSB Trailer"/>
    <s v="Paper"/>
    <x v="1"/>
    <s v="Town Country"/>
    <m/>
    <n v="90"/>
    <n v="0.05"/>
    <n v="72"/>
    <n v="3.6"/>
    <n v="100"/>
    <n v="-96.4"/>
    <m/>
    <n v="243680"/>
    <d v="2014-10-10T00:00:00"/>
  </r>
  <r>
    <x v="207"/>
    <s v="CSB Trailer"/>
    <s v="Paper"/>
    <x v="43"/>
    <s v="Town Country"/>
    <m/>
    <n v="12659"/>
    <n v="6.33"/>
    <n v="49.5"/>
    <n v="313.33499999999998"/>
    <m/>
    <n v="313.33499999999998"/>
    <m/>
    <n v="243680"/>
    <d v="2014-10-10T00:00:00"/>
  </r>
  <r>
    <x v="208"/>
    <s v="Warehouse"/>
    <s v="Glass"/>
    <x v="12"/>
    <s v="Ripple"/>
    <m/>
    <n v="336"/>
    <n v="0.16800000000000001"/>
    <m/>
    <m/>
    <m/>
    <m/>
    <m/>
    <m/>
    <m/>
  </r>
  <r>
    <x v="208"/>
    <s v="All/Dumpsters"/>
    <s v="Single Stream"/>
    <x v="11"/>
    <s v="Town Country"/>
    <m/>
    <n v="17347.2"/>
    <n v="8.6736000000000004"/>
    <m/>
    <m/>
    <m/>
    <m/>
    <m/>
    <m/>
    <m/>
  </r>
  <r>
    <x v="209"/>
    <s v="South compound 30yd"/>
    <s v="Wood"/>
    <x v="30"/>
    <s v="Missouri Organic"/>
    <m/>
    <n v="3360"/>
    <n v="1.68"/>
    <m/>
    <m/>
    <n v="230"/>
    <m/>
    <n v="8899"/>
    <m/>
    <m/>
  </r>
  <r>
    <x v="210"/>
    <s v="Warehouse"/>
    <s v="e-waste"/>
    <x v="8"/>
    <s v="MRC"/>
    <n v="5"/>
    <n v="1500"/>
    <n v="0.75"/>
    <m/>
    <m/>
    <m/>
    <m/>
    <m/>
    <m/>
    <m/>
  </r>
  <r>
    <x v="211"/>
    <s v="CC compactor"/>
    <s v="Single Stream"/>
    <x v="11"/>
    <s v="Town Country"/>
    <m/>
    <n v="4600"/>
    <n v="2.2999999999999998"/>
    <n v="38.5"/>
    <n v="88.55"/>
    <n v="85"/>
    <n v="3.55"/>
    <n v="212936"/>
    <n v="243680"/>
    <d v="2014-10-10T00:00:00"/>
  </r>
  <r>
    <x v="212"/>
    <s v="Warehouse"/>
    <s v="e-waste"/>
    <x v="8"/>
    <s v="MRC"/>
    <n v="9"/>
    <n v="3538"/>
    <n v="1.7689999999999999"/>
    <m/>
    <m/>
    <m/>
    <m/>
    <m/>
    <m/>
    <m/>
  </r>
  <r>
    <x v="212"/>
    <s v="CC compactor"/>
    <s v="Single Stream"/>
    <x v="11"/>
    <s v="Town Country"/>
    <m/>
    <n v="8160"/>
    <n v="4.08"/>
    <n v="38.5"/>
    <n v="157.08000000000001"/>
    <n v="85"/>
    <n v="72.08"/>
    <n v="212936"/>
    <n v="243680"/>
    <d v="2014-10-10T00:00:00"/>
  </r>
  <r>
    <x v="212"/>
    <s v="All/Dumpsters"/>
    <s v="Single Stream"/>
    <x v="11"/>
    <s v="Town Country"/>
    <m/>
    <n v="17347.2"/>
    <n v="8.6736000000000004"/>
    <m/>
    <m/>
    <m/>
    <m/>
    <m/>
    <m/>
    <m/>
  </r>
  <r>
    <x v="213"/>
    <s v="Warehouse"/>
    <s v="e-waste"/>
    <x v="36"/>
    <s v="Clover Technologies"/>
    <n v="351"/>
    <m/>
    <m/>
    <m/>
    <m/>
    <m/>
    <n v="448.85"/>
    <s v="POC07829"/>
    <n v="243441"/>
    <d v="2014-10-07T00:00:00"/>
  </r>
  <r>
    <x v="214"/>
    <s v="SC compactor"/>
    <s v="Single Stream"/>
    <x v="11"/>
    <s v="Town Country"/>
    <m/>
    <n v="11080"/>
    <n v="5.54"/>
    <n v="38.5"/>
    <n v="213.29"/>
    <n v="85"/>
    <n v="128.29"/>
    <n v="212936"/>
    <n v="243680"/>
    <d v="2014-10-10T00:00:00"/>
  </r>
  <r>
    <x v="215"/>
    <s v="South compound 30yd"/>
    <s v="Wood"/>
    <x v="30"/>
    <s v="Missouri Organic"/>
    <m/>
    <n v="5180"/>
    <n v="2.59"/>
    <m/>
    <m/>
    <n v="230"/>
    <m/>
    <m/>
    <m/>
    <m/>
  </r>
  <r>
    <x v="216"/>
    <s v="All/Dumpsters"/>
    <s v="Single Stream"/>
    <x v="11"/>
    <s v="Town Country"/>
    <m/>
    <n v="17347.2"/>
    <n v="8.6736000000000004"/>
    <m/>
    <m/>
    <m/>
    <m/>
    <m/>
    <m/>
    <m/>
  </r>
  <r>
    <x v="217"/>
    <s v="CC compactor"/>
    <s v="Single Stream"/>
    <x v="11"/>
    <s v="Town Country"/>
    <m/>
    <n v="17347.2"/>
    <n v="6.27"/>
    <n v="38.5"/>
    <n v="241.4"/>
    <n v="85"/>
    <n v="156.4"/>
    <n v="33278"/>
    <n v="245792"/>
    <d v="2014-12-02T00:00:00"/>
  </r>
  <r>
    <x v="218"/>
    <s v="Delivered"/>
    <s v="Wood"/>
    <x v="31"/>
    <s v="KC pallets"/>
    <n v="80"/>
    <n v="2960"/>
    <n v="1.48"/>
    <m/>
    <m/>
    <m/>
    <n v="52.5"/>
    <m/>
    <n v="243771"/>
    <d v="2014-10-13T00:00:00"/>
  </r>
  <r>
    <x v="219"/>
    <s v="Warehouse"/>
    <s v="e-waste"/>
    <x v="8"/>
    <s v="MRC"/>
    <n v="2"/>
    <n v="1200"/>
    <n v="0.6"/>
    <m/>
    <m/>
    <m/>
    <m/>
    <m/>
    <m/>
    <m/>
  </r>
  <r>
    <x v="220"/>
    <s v="Delivered"/>
    <s v="Wood"/>
    <x v="31"/>
    <s v="KC pallets"/>
    <n v="70"/>
    <n v="2590"/>
    <n v="1.2949999999999999"/>
    <m/>
    <m/>
    <m/>
    <n v="40"/>
    <m/>
    <n v="245006"/>
    <d v="2014-11-10T00:00:00"/>
  </r>
  <r>
    <x v="221"/>
    <s v="south Compound"/>
    <s v="Metal"/>
    <x v="19"/>
    <s v="Advantage Metal"/>
    <m/>
    <n v="7900"/>
    <n v="3.95"/>
    <n v="8.2500000000000004E-2"/>
    <n v="651.75"/>
    <n v="180"/>
    <n v="471.75"/>
    <s v="TTPHIU"/>
    <n v="245322"/>
    <d v="2014-11-17T00:00:00"/>
  </r>
  <r>
    <x v="222"/>
    <s v="south Compound"/>
    <s v="Compost"/>
    <x v="13"/>
    <s v="JCCC"/>
    <n v="111"/>
    <n v="38850"/>
    <n v="19.425000000000001"/>
    <m/>
    <m/>
    <m/>
    <m/>
    <m/>
    <m/>
    <m/>
  </r>
  <r>
    <x v="222"/>
    <s v="south Compound"/>
    <s v="Wood"/>
    <x v="14"/>
    <s v="JCCC"/>
    <n v="50"/>
    <n v="17500"/>
    <n v="8.75"/>
    <m/>
    <m/>
    <m/>
    <m/>
    <m/>
    <m/>
    <m/>
  </r>
  <r>
    <x v="223"/>
    <s v="CSB Trailer"/>
    <s v="Paper"/>
    <x v="1"/>
    <s v="Town Country"/>
    <m/>
    <n v="2092"/>
    <n v="1.05"/>
    <n v="67.5"/>
    <n v="70.875"/>
    <n v="100"/>
    <n v="-29.125"/>
    <n v="32955"/>
    <n v="245792"/>
    <d v="2014-12-02T00:00:00"/>
  </r>
  <r>
    <x v="223"/>
    <s v="CSB Trailer"/>
    <s v="Paper"/>
    <x v="43"/>
    <s v="Town Country"/>
    <m/>
    <n v="7133"/>
    <n v="3.57"/>
    <n v="49.5"/>
    <n v="176.715"/>
    <m/>
    <n v="176.715"/>
    <n v="32955"/>
    <n v="245792"/>
    <d v="2014-12-02T00:00:00"/>
  </r>
  <r>
    <x v="223"/>
    <s v="CSB Trailer"/>
    <s v="Paper"/>
    <x v="0"/>
    <s v="Town Country"/>
    <m/>
    <n v="11507"/>
    <n v="5.75"/>
    <n v="126"/>
    <n v="724.5"/>
    <m/>
    <n v="724.5"/>
    <n v="32955"/>
    <n v="245792"/>
    <d v="2014-12-02T00:00:00"/>
  </r>
  <r>
    <x v="223"/>
    <s v="CSB Trailer"/>
    <s v="Paper"/>
    <x v="43"/>
    <s v="Town Country"/>
    <m/>
    <n v="1251"/>
    <n v="0.63"/>
    <n v="49.5"/>
    <n v="31.184999999999999"/>
    <m/>
    <n v="31.184999999999999"/>
    <n v="32955"/>
    <n v="245792"/>
    <d v="2014-12-02T00:00:00"/>
  </r>
  <r>
    <x v="224"/>
    <s v="Delivered"/>
    <s v="Wood"/>
    <x v="31"/>
    <s v="KC pallets"/>
    <n v="80"/>
    <n v="2960"/>
    <n v="1.48"/>
    <m/>
    <m/>
    <m/>
    <n v="53.75"/>
    <m/>
    <n v="246084"/>
    <d v="2014-12-09T00:00:0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86">
  <r>
    <x v="0"/>
    <s v="CSB  paper trailer"/>
    <s v="Paper"/>
    <x v="0"/>
    <s v="Batliner"/>
    <m/>
    <n v="3240"/>
    <n v="1.62"/>
    <m/>
    <m/>
    <m/>
    <n v="205.44"/>
    <m/>
    <m/>
    <m/>
  </r>
  <r>
    <x v="0"/>
    <s v="Warehouse"/>
    <s v="Cardboard"/>
    <x v="1"/>
    <s v="Batliner"/>
    <m/>
    <n v="4840"/>
    <n v="2.42"/>
    <m/>
    <m/>
    <m/>
    <m/>
    <m/>
    <m/>
    <m/>
  </r>
  <r>
    <x v="0"/>
    <s v="CSB  paper trailer"/>
    <s v="Plastic"/>
    <x v="2"/>
    <s v="Batliner"/>
    <m/>
    <n v="420"/>
    <n v="0.21"/>
    <m/>
    <m/>
    <m/>
    <m/>
    <m/>
    <m/>
    <m/>
  </r>
  <r>
    <x v="1"/>
    <s v="CSB  paper trailer"/>
    <s v="Paper"/>
    <x v="0"/>
    <s v="Batliner"/>
    <m/>
    <n v="10090"/>
    <n v="5.0449999999999999"/>
    <m/>
    <m/>
    <m/>
    <n v="761.54"/>
    <m/>
    <m/>
    <m/>
  </r>
  <r>
    <x v="1"/>
    <s v="CSB  paper trailer"/>
    <s v="Paper"/>
    <x v="3"/>
    <s v="Batliner"/>
    <m/>
    <n v="11220"/>
    <n v="5.61"/>
    <m/>
    <m/>
    <m/>
    <m/>
    <m/>
    <m/>
    <m/>
  </r>
  <r>
    <x v="1"/>
    <s v="Warehouse"/>
    <s v="Cardboard"/>
    <x v="1"/>
    <s v="Batliner"/>
    <m/>
    <n v="3340"/>
    <n v="1.67"/>
    <m/>
    <m/>
    <m/>
    <m/>
    <m/>
    <m/>
    <m/>
  </r>
  <r>
    <x v="1"/>
    <s v="CSB  paper trailer"/>
    <s v="Plastic"/>
    <x v="2"/>
    <s v="Batliner"/>
    <m/>
    <n v="620"/>
    <n v="0.31"/>
    <m/>
    <m/>
    <m/>
    <m/>
    <m/>
    <m/>
    <m/>
  </r>
  <r>
    <x v="2"/>
    <s v="CSB  paper trailer"/>
    <s v="Paper"/>
    <x v="4"/>
    <s v="Batliner"/>
    <m/>
    <n v="750"/>
    <n v="0.375"/>
    <m/>
    <m/>
    <m/>
    <m/>
    <m/>
    <m/>
    <m/>
  </r>
  <r>
    <x v="2"/>
    <s v="CSB  paper trailer"/>
    <s v="Paper"/>
    <x v="5"/>
    <s v="Batliner"/>
    <m/>
    <n v="1260"/>
    <n v="0.63"/>
    <m/>
    <m/>
    <m/>
    <m/>
    <m/>
    <m/>
    <m/>
  </r>
  <r>
    <x v="2"/>
    <s v="CSB  paper trailer"/>
    <s v="Paper"/>
    <x v="0"/>
    <s v="Batliner"/>
    <m/>
    <n v="8000"/>
    <n v="4"/>
    <m/>
    <m/>
    <m/>
    <n v="941.95"/>
    <m/>
    <m/>
    <m/>
  </r>
  <r>
    <x v="2"/>
    <s v="CSB  paper trailer"/>
    <s v="Paper"/>
    <x v="3"/>
    <s v="Batliner"/>
    <m/>
    <n v="20660"/>
    <n v="10.33"/>
    <m/>
    <m/>
    <m/>
    <m/>
    <m/>
    <m/>
    <m/>
  </r>
  <r>
    <x v="2"/>
    <s v="CSB  paper trailer"/>
    <s v="Paper"/>
    <x v="6"/>
    <s v="Batliner"/>
    <m/>
    <n v="800"/>
    <n v="0.4"/>
    <m/>
    <m/>
    <m/>
    <m/>
    <m/>
    <m/>
    <m/>
  </r>
  <r>
    <x v="2"/>
    <s v="Warehouse"/>
    <s v="Cardboard"/>
    <x v="1"/>
    <s v="Batliner"/>
    <m/>
    <n v="6150"/>
    <n v="3.0750000000000002"/>
    <m/>
    <m/>
    <m/>
    <m/>
    <m/>
    <m/>
    <m/>
  </r>
  <r>
    <x v="2"/>
    <s v="CSB  paper trailer"/>
    <s v="Plastic"/>
    <x v="2"/>
    <s v="Batliner"/>
    <m/>
    <n v="1720"/>
    <n v="0.86"/>
    <m/>
    <m/>
    <m/>
    <m/>
    <m/>
    <m/>
    <m/>
  </r>
  <r>
    <x v="3"/>
    <s v="CSB  paper trailer"/>
    <s v="Paper"/>
    <x v="0"/>
    <s v="Batliner"/>
    <m/>
    <n v="2880"/>
    <n v="1.44"/>
    <m/>
    <m/>
    <m/>
    <n v="244.85"/>
    <m/>
    <m/>
    <m/>
  </r>
  <r>
    <x v="3"/>
    <s v="Warehouse"/>
    <s v="Cardboard"/>
    <x v="1"/>
    <s v="Batliner"/>
    <m/>
    <n v="6260"/>
    <n v="3.13"/>
    <m/>
    <m/>
    <m/>
    <m/>
    <m/>
    <m/>
    <m/>
  </r>
  <r>
    <x v="3"/>
    <s v="CSB  paper trailer"/>
    <s v="Plastic"/>
    <x v="2"/>
    <s v="Batliner"/>
    <m/>
    <n v="960"/>
    <n v="0.48"/>
    <m/>
    <m/>
    <m/>
    <m/>
    <m/>
    <m/>
    <m/>
  </r>
  <r>
    <x v="4"/>
    <s v="CSB  paper trailer"/>
    <s v="Paper"/>
    <x v="0"/>
    <s v="Batliner"/>
    <m/>
    <n v="7420"/>
    <n v="3.71"/>
    <m/>
    <m/>
    <m/>
    <n v="413.97"/>
    <m/>
    <m/>
    <m/>
  </r>
  <r>
    <x v="4"/>
    <s v="CSB  paper trailer"/>
    <s v="Paper"/>
    <x v="7"/>
    <s v="Batliner"/>
    <m/>
    <n v="12410"/>
    <n v="6.2050000000000001"/>
    <m/>
    <m/>
    <m/>
    <m/>
    <m/>
    <m/>
    <m/>
  </r>
  <r>
    <x v="4"/>
    <s v="Warehouse"/>
    <s v="Cardboard"/>
    <x v="1"/>
    <s v="Batliner"/>
    <m/>
    <n v="2440"/>
    <n v="1.22"/>
    <m/>
    <m/>
    <m/>
    <m/>
    <m/>
    <m/>
    <m/>
  </r>
  <r>
    <x v="4"/>
    <s v="CSB  paper trailer"/>
    <s v="Plastic"/>
    <x v="2"/>
    <s v="Batliner"/>
    <m/>
    <n v="580"/>
    <n v="0.28999999999999998"/>
    <m/>
    <m/>
    <m/>
    <m/>
    <m/>
    <m/>
    <m/>
  </r>
  <r>
    <x v="4"/>
    <s v="CSB  paper trailer"/>
    <s v="Paper"/>
    <x v="3"/>
    <s v="Batliner"/>
    <m/>
    <n v="780"/>
    <n v="0.39"/>
    <m/>
    <m/>
    <m/>
    <m/>
    <m/>
    <m/>
    <m/>
  </r>
  <r>
    <x v="5"/>
    <s v="CSB  paper trailer"/>
    <s v="Paper"/>
    <x v="0"/>
    <s v="Batliner"/>
    <m/>
    <n v="14760"/>
    <n v="7.38"/>
    <m/>
    <m/>
    <m/>
    <n v="728.77"/>
    <m/>
    <m/>
    <m/>
  </r>
  <r>
    <x v="5"/>
    <s v="CSB  paper trailer"/>
    <s v="Paper"/>
    <x v="3"/>
    <s v="Batliner"/>
    <m/>
    <n v="7970"/>
    <n v="3.9849999999999999"/>
    <m/>
    <m/>
    <m/>
    <m/>
    <m/>
    <m/>
    <m/>
  </r>
  <r>
    <x v="5"/>
    <s v="Warehouse"/>
    <s v="Cardboard"/>
    <x v="1"/>
    <s v="Batliner"/>
    <m/>
    <n v="4680"/>
    <n v="2.34"/>
    <m/>
    <m/>
    <m/>
    <m/>
    <m/>
    <m/>
    <m/>
  </r>
  <r>
    <x v="5"/>
    <s v="CSB  paper trailer"/>
    <s v="Plastic"/>
    <x v="2"/>
    <s v="Batliner"/>
    <m/>
    <n v="500"/>
    <n v="0.25"/>
    <m/>
    <m/>
    <m/>
    <m/>
    <m/>
    <m/>
    <m/>
  </r>
  <r>
    <x v="6"/>
    <s v="CSB  paper trailer"/>
    <s v="Paper"/>
    <x v="0"/>
    <s v="Batliner"/>
    <m/>
    <n v="2000"/>
    <n v="1"/>
    <m/>
    <m/>
    <m/>
    <n v="306.51"/>
    <m/>
    <m/>
    <m/>
  </r>
  <r>
    <x v="6"/>
    <s v="CSB  paper trailer"/>
    <s v="Paper"/>
    <x v="3"/>
    <s v="Batliner"/>
    <m/>
    <n v="9840"/>
    <n v="4.92"/>
    <m/>
    <m/>
    <m/>
    <m/>
    <m/>
    <m/>
    <m/>
  </r>
  <r>
    <x v="6"/>
    <s v="Warehouse"/>
    <s v="Cardboard"/>
    <x v="1"/>
    <s v="Batliner"/>
    <m/>
    <n v="4540"/>
    <n v="2.27"/>
    <m/>
    <m/>
    <m/>
    <m/>
    <m/>
    <m/>
    <m/>
  </r>
  <r>
    <x v="6"/>
    <s v="CSB  paper trailer"/>
    <s v="Plastic"/>
    <x v="2"/>
    <s v="Batliner"/>
    <m/>
    <n v="580"/>
    <n v="0.28999999999999998"/>
    <m/>
    <m/>
    <m/>
    <m/>
    <m/>
    <m/>
    <m/>
  </r>
  <r>
    <x v="7"/>
    <s v="Warehouse"/>
    <s v="Paper"/>
    <x v="0"/>
    <s v="Batliner"/>
    <m/>
    <n v="4440"/>
    <n v="2.2200000000000002"/>
    <m/>
    <m/>
    <m/>
    <n v="319.48"/>
    <m/>
    <m/>
    <m/>
  </r>
  <r>
    <x v="7"/>
    <s v="Warehouse"/>
    <s v="Cardboard"/>
    <x v="1"/>
    <s v="Batliner"/>
    <m/>
    <n v="7880"/>
    <n v="3.94"/>
    <m/>
    <m/>
    <m/>
    <m/>
    <m/>
    <m/>
    <m/>
  </r>
  <r>
    <x v="7"/>
    <s v="CSB  paper trailer"/>
    <s v="Plastic"/>
    <x v="2"/>
    <s v="Batliner"/>
    <m/>
    <n v="1380"/>
    <n v="0.69"/>
    <m/>
    <m/>
    <m/>
    <m/>
    <m/>
    <m/>
    <m/>
  </r>
  <r>
    <x v="8"/>
    <s v="CSB  paper trailer"/>
    <s v="Paper"/>
    <x v="4"/>
    <s v="Batliner"/>
    <m/>
    <n v="840"/>
    <n v="0.42"/>
    <m/>
    <m/>
    <m/>
    <n v="0"/>
    <m/>
    <m/>
    <m/>
  </r>
  <r>
    <x v="8"/>
    <s v="Warehouse"/>
    <s v="Paper"/>
    <x v="0"/>
    <s v="Batliner"/>
    <m/>
    <n v="16060"/>
    <n v="8.0299999999999994"/>
    <m/>
    <m/>
    <m/>
    <n v="706.64"/>
    <m/>
    <m/>
    <m/>
  </r>
  <r>
    <x v="8"/>
    <s v="CSB  paper trailer"/>
    <s v="Paper"/>
    <x v="3"/>
    <s v="Batliner"/>
    <m/>
    <n v="7400"/>
    <n v="3.7"/>
    <m/>
    <m/>
    <m/>
    <n v="55.5"/>
    <m/>
    <m/>
    <m/>
  </r>
  <r>
    <x v="8"/>
    <s v="Warehouse"/>
    <s v="Cardboard"/>
    <x v="1"/>
    <s v="Batliner"/>
    <m/>
    <n v="7420"/>
    <n v="3.71"/>
    <m/>
    <m/>
    <m/>
    <n v="116.87"/>
    <m/>
    <m/>
    <m/>
  </r>
  <r>
    <x v="8"/>
    <s v="CSB  paper trailer"/>
    <s v="Plastic"/>
    <x v="2"/>
    <s v="Batliner"/>
    <m/>
    <n v="1000"/>
    <n v="0.5"/>
    <m/>
    <m/>
    <m/>
    <n v="0"/>
    <m/>
    <m/>
    <m/>
  </r>
  <r>
    <x v="9"/>
    <s v="CSB  paper trailer"/>
    <s v="Paper"/>
    <x v="0"/>
    <s v="Batliner"/>
    <m/>
    <n v="8180"/>
    <n v="4.09"/>
    <m/>
    <m/>
    <m/>
    <n v="359.92"/>
    <m/>
    <m/>
    <m/>
  </r>
  <r>
    <x v="9"/>
    <s v="CSB  paper trailer"/>
    <s v="Paper"/>
    <x v="3"/>
    <s v="Batliner"/>
    <m/>
    <n v="12730"/>
    <n v="6.3650000000000002"/>
    <m/>
    <m/>
    <m/>
    <n v="318.25"/>
    <m/>
    <m/>
    <m/>
  </r>
  <r>
    <x v="9"/>
    <s v="Warehouse"/>
    <s v="Cardboard"/>
    <x v="1"/>
    <s v="Batliner"/>
    <m/>
    <n v="5480"/>
    <n v="2.74"/>
    <m/>
    <m/>
    <m/>
    <n v="102.75"/>
    <m/>
    <m/>
    <m/>
  </r>
  <r>
    <x v="9"/>
    <s v="CSB  paper trailer"/>
    <s v="Plastic"/>
    <x v="2"/>
    <s v="Batliner"/>
    <m/>
    <n v="1440"/>
    <n v="0.72"/>
    <m/>
    <m/>
    <m/>
    <n v="0"/>
    <m/>
    <m/>
    <m/>
  </r>
  <r>
    <x v="10"/>
    <s v="CSB  paper trailer"/>
    <s v="Paper"/>
    <x v="0"/>
    <s v="Batliner"/>
    <m/>
    <n v="1280"/>
    <n v="0.64"/>
    <m/>
    <m/>
    <m/>
    <n v="53.76"/>
    <m/>
    <m/>
    <m/>
  </r>
  <r>
    <x v="10"/>
    <s v="CSB  paper trailer"/>
    <s v="Paper"/>
    <x v="3"/>
    <s v="Batliner"/>
    <m/>
    <n v="8820"/>
    <n v="4.41"/>
    <m/>
    <m/>
    <m/>
    <n v="176.4"/>
    <m/>
    <m/>
    <m/>
  </r>
  <r>
    <x v="10"/>
    <s v="Warehouse"/>
    <s v="Cardboard"/>
    <x v="1"/>
    <s v="Batliner"/>
    <m/>
    <n v="5500"/>
    <n v="2.75"/>
    <m/>
    <m/>
    <m/>
    <n v="111.38"/>
    <m/>
    <m/>
    <m/>
  </r>
  <r>
    <x v="10"/>
    <s v="CSB  paper trailer"/>
    <s v="Plastic"/>
    <x v="2"/>
    <s v="Batliner"/>
    <m/>
    <n v="560"/>
    <n v="0.28000000000000003"/>
    <m/>
    <m/>
    <m/>
    <n v="0"/>
    <m/>
    <m/>
    <m/>
  </r>
  <r>
    <x v="11"/>
    <s v="Warehouse"/>
    <s v="e-waste"/>
    <x v="8"/>
    <s v="Unicor"/>
    <m/>
    <n v="683"/>
    <n v="0.34150000000000003"/>
    <m/>
    <m/>
    <m/>
    <m/>
    <m/>
    <m/>
    <m/>
  </r>
  <r>
    <x v="12"/>
    <s v="CSB  paper trailer"/>
    <s v="Paper"/>
    <x v="4"/>
    <s v="Batliner"/>
    <m/>
    <n v="2540"/>
    <n v="1.27"/>
    <m/>
    <m/>
    <m/>
    <n v="0"/>
    <m/>
    <m/>
    <m/>
  </r>
  <r>
    <x v="12"/>
    <s v="CSB  paper trailer"/>
    <s v="Paper"/>
    <x v="5"/>
    <s v="Batliner"/>
    <m/>
    <n v="9540"/>
    <n v="4.7699999999999996"/>
    <m/>
    <m/>
    <m/>
    <n v="113.53"/>
    <m/>
    <m/>
    <m/>
  </r>
  <r>
    <x v="12"/>
    <s v="CSB  paper trailer"/>
    <s v="Paper"/>
    <x v="0"/>
    <s v="Batliner"/>
    <m/>
    <n v="6240"/>
    <n v="3.12"/>
    <m/>
    <m/>
    <m/>
    <n v="249.6"/>
    <m/>
    <m/>
    <m/>
  </r>
  <r>
    <x v="12"/>
    <s v="CSB  paper trailer"/>
    <s v="Paper"/>
    <x v="3"/>
    <s v="Batliner"/>
    <m/>
    <n v="7420"/>
    <n v="3.71"/>
    <m/>
    <m/>
    <m/>
    <n v="111.3"/>
    <m/>
    <m/>
    <m/>
  </r>
  <r>
    <x v="12"/>
    <s v="Warehouse"/>
    <s v="Cardboard"/>
    <x v="1"/>
    <s v="Batliner"/>
    <m/>
    <n v="4030"/>
    <n v="2.0150000000000001"/>
    <m/>
    <m/>
    <m/>
    <n v="81.61"/>
    <m/>
    <m/>
    <m/>
  </r>
  <r>
    <x v="12"/>
    <s v="CSB  paper trailer"/>
    <s v="Plastic"/>
    <x v="2"/>
    <s v="Batliner"/>
    <m/>
    <n v="760"/>
    <n v="0.38"/>
    <m/>
    <m/>
    <m/>
    <n v="0"/>
    <m/>
    <m/>
    <m/>
  </r>
  <r>
    <x v="13"/>
    <s v="Warehouse"/>
    <s v="e-waste"/>
    <x v="9"/>
    <s v="Call2recycle"/>
    <m/>
    <n v="866"/>
    <n v="0.433"/>
    <m/>
    <m/>
    <m/>
    <m/>
    <m/>
    <m/>
    <m/>
  </r>
  <r>
    <x v="13"/>
    <s v="Book  Store"/>
    <s v="books"/>
    <x v="10"/>
    <s v="One Planet books"/>
    <s v="316 boxes"/>
    <n v="12640"/>
    <n v="6.32"/>
    <m/>
    <m/>
    <m/>
    <n v="3160"/>
    <m/>
    <m/>
    <m/>
  </r>
  <r>
    <x v="14"/>
    <s v="Warehouse"/>
    <s v="Cardboard"/>
    <x v="1"/>
    <s v="Batliner"/>
    <m/>
    <n v="7800"/>
    <n v="3.9"/>
    <m/>
    <m/>
    <m/>
    <n v="157.96"/>
    <m/>
    <m/>
    <m/>
  </r>
  <r>
    <x v="14"/>
    <s v="CSB  paper trailer"/>
    <s v="Plastic"/>
    <x v="2"/>
    <s v="Batliner"/>
    <m/>
    <n v="460"/>
    <n v="0.23"/>
    <m/>
    <m/>
    <m/>
    <n v="0"/>
    <m/>
    <m/>
    <m/>
  </r>
  <r>
    <x v="15"/>
    <s v="CSB  paper trailer"/>
    <s v="Paper"/>
    <x v="0"/>
    <s v="Batliner"/>
    <m/>
    <n v="11240"/>
    <n v="5.62"/>
    <m/>
    <m/>
    <m/>
    <n v="472.08"/>
    <m/>
    <m/>
    <m/>
  </r>
  <r>
    <x v="15"/>
    <s v="CSB  paper trailer"/>
    <s v="Paper"/>
    <x v="3"/>
    <s v="Batliner"/>
    <m/>
    <n v="13110"/>
    <n v="6.5549999999999997"/>
    <m/>
    <m/>
    <m/>
    <n v="229.43"/>
    <m/>
    <m/>
    <m/>
  </r>
  <r>
    <x v="15"/>
    <s v="Warehouse"/>
    <s v="Cardboard"/>
    <x v="1"/>
    <s v="Batliner"/>
    <m/>
    <n v="3870"/>
    <n v="1.9350000000000001"/>
    <m/>
    <m/>
    <m/>
    <n v="78.37"/>
    <m/>
    <m/>
    <m/>
  </r>
  <r>
    <x v="15"/>
    <s v="CSB  paper trailer"/>
    <s v="Plastic"/>
    <x v="2"/>
    <s v="Batliner"/>
    <m/>
    <n v="1370"/>
    <n v="0.68500000000000005"/>
    <m/>
    <m/>
    <m/>
    <n v="0"/>
    <m/>
    <m/>
    <m/>
  </r>
  <r>
    <x v="16"/>
    <s v="CSB  paper trailer"/>
    <s v="Paper"/>
    <x v="0"/>
    <s v="Batliner"/>
    <m/>
    <n v="8150"/>
    <n v="4.0750000000000002"/>
    <m/>
    <m/>
    <m/>
    <n v="342.3"/>
    <m/>
    <m/>
    <m/>
  </r>
  <r>
    <x v="16"/>
    <s v="CSB  paper trailer"/>
    <s v="Paper"/>
    <x v="3"/>
    <s v="Batliner"/>
    <m/>
    <n v="5510"/>
    <n v="2.7549999999999999"/>
    <m/>
    <m/>
    <m/>
    <n v="96.43"/>
    <m/>
    <m/>
    <m/>
  </r>
  <r>
    <x v="16"/>
    <s v="Warehouse"/>
    <s v="Cardboard"/>
    <x v="1"/>
    <s v="Batliner"/>
    <m/>
    <n v="8420"/>
    <n v="4.21"/>
    <m/>
    <m/>
    <m/>
    <n v="170.52"/>
    <m/>
    <m/>
    <m/>
  </r>
  <r>
    <x v="16"/>
    <s v="CSB  paper trailer"/>
    <s v="Plastic"/>
    <x v="2"/>
    <s v="Batliner"/>
    <m/>
    <n v="1600"/>
    <n v="0.8"/>
    <m/>
    <m/>
    <m/>
    <n v="0"/>
    <m/>
    <m/>
    <m/>
  </r>
  <r>
    <x v="17"/>
    <s v="CSB  paper trailer"/>
    <s v="Paper"/>
    <x v="0"/>
    <s v="Batliner"/>
    <m/>
    <n v="5090"/>
    <n v="2.5449999999999999"/>
    <m/>
    <m/>
    <m/>
    <n v="244.32"/>
    <m/>
    <m/>
    <m/>
  </r>
  <r>
    <x v="17"/>
    <s v="CSB  paper trailer"/>
    <s v="Paper"/>
    <x v="3"/>
    <s v="Batliner"/>
    <m/>
    <n v="6070"/>
    <n v="3.0350000000000001"/>
    <m/>
    <m/>
    <m/>
    <n v="209.18"/>
    <m/>
    <m/>
    <m/>
  </r>
  <r>
    <x v="17"/>
    <s v="Warehouse"/>
    <s v="Cardboard"/>
    <x v="1"/>
    <s v="Batliner"/>
    <m/>
    <n v="7240"/>
    <n v="3.62"/>
    <m/>
    <m/>
    <m/>
    <n v="146.62"/>
    <m/>
    <m/>
    <m/>
  </r>
  <r>
    <x v="17"/>
    <s v="CSB  paper trailer"/>
    <s v="Plastic"/>
    <x v="2"/>
    <s v="Batliner"/>
    <m/>
    <n v="2250"/>
    <n v="1.125"/>
    <m/>
    <m/>
    <m/>
    <n v="0"/>
    <m/>
    <m/>
    <m/>
  </r>
  <r>
    <x v="18"/>
    <s v="CSB  paper trailer"/>
    <s v="Paper"/>
    <x v="5"/>
    <s v="Batliner"/>
    <m/>
    <n v="850"/>
    <n v="0.42499999999999999"/>
    <m/>
    <m/>
    <m/>
    <n v="17.260000000000002"/>
    <m/>
    <m/>
    <m/>
  </r>
  <r>
    <x v="18"/>
    <s v="CSB  paper trailer"/>
    <s v="Paper"/>
    <x v="0"/>
    <s v="Batliner"/>
    <m/>
    <n v="3500"/>
    <n v="1.75"/>
    <m/>
    <m/>
    <m/>
    <n v="182"/>
    <m/>
    <m/>
    <m/>
  </r>
  <r>
    <x v="18"/>
    <s v="CSB  paper trailer"/>
    <s v="Paper"/>
    <x v="3"/>
    <s v="Batliner"/>
    <m/>
    <n v="1530"/>
    <n v="0.76500000000000001"/>
    <m/>
    <m/>
    <m/>
    <n v="42.08"/>
    <m/>
    <m/>
    <m/>
  </r>
  <r>
    <x v="18"/>
    <s v="Warehouse"/>
    <s v="Cardboard"/>
    <x v="1"/>
    <s v="Batliner"/>
    <m/>
    <n v="5020"/>
    <n v="2.5099999999999998"/>
    <m/>
    <m/>
    <m/>
    <n v="105.42"/>
    <m/>
    <m/>
    <m/>
  </r>
  <r>
    <x v="18"/>
    <s v="CSB  paper trailer"/>
    <s v="Plastic"/>
    <x v="2"/>
    <s v="Batliner"/>
    <m/>
    <n v="720"/>
    <n v="0.36"/>
    <m/>
    <m/>
    <m/>
    <n v="25.6"/>
    <m/>
    <m/>
    <m/>
  </r>
  <r>
    <x v="18"/>
    <s v="CSB  paper trailer"/>
    <s v="Paper"/>
    <x v="3"/>
    <s v="Batliner"/>
    <m/>
    <n v="1320"/>
    <n v="0.66"/>
    <m/>
    <m/>
    <m/>
    <m/>
    <m/>
    <m/>
    <m/>
  </r>
  <r>
    <x v="19"/>
    <s v="CSB  paper trailer"/>
    <s v="Paper"/>
    <x v="5"/>
    <s v="Batliner"/>
    <m/>
    <n v="3690"/>
    <n v="1.845"/>
    <m/>
    <m/>
    <m/>
    <n v="71.959999999999994"/>
    <m/>
    <m/>
    <m/>
  </r>
  <r>
    <x v="19"/>
    <s v="CSB  paper trailer"/>
    <s v="Paper"/>
    <x v="0"/>
    <s v="Batliner"/>
    <m/>
    <n v="21720"/>
    <n v="10.86"/>
    <m/>
    <m/>
    <m/>
    <n v="1129.44"/>
    <m/>
    <m/>
    <m/>
  </r>
  <r>
    <x v="19"/>
    <s v="Warehouse"/>
    <s v="Cardboard"/>
    <x v="1"/>
    <s v="Batliner"/>
    <m/>
    <n v="4410"/>
    <n v="2.2050000000000001"/>
    <m/>
    <m/>
    <m/>
    <n v="92.61"/>
    <m/>
    <m/>
    <m/>
  </r>
  <r>
    <x v="19"/>
    <s v="CSB  paper trailer"/>
    <s v="Plastic"/>
    <x v="2"/>
    <s v="Batliner"/>
    <m/>
    <n v="960"/>
    <n v="0.48"/>
    <m/>
    <m/>
    <m/>
    <n v="0"/>
    <m/>
    <m/>
    <m/>
  </r>
  <r>
    <x v="20"/>
    <s v="CC compactor"/>
    <s v="Single Stream"/>
    <x v="11"/>
    <s v="RockTenn"/>
    <m/>
    <n v="7600"/>
    <n v="3.8"/>
    <n v="57.894736842105267"/>
    <n v="220"/>
    <n v="0"/>
    <n v="220"/>
    <n v="3243308"/>
    <n v="148606"/>
    <d v="2011-07-25T00:00:00"/>
  </r>
  <r>
    <x v="21"/>
    <s v="CSB  paper trailer"/>
    <s v="Paper"/>
    <x v="0"/>
    <s v="Batliner"/>
    <m/>
    <n v="1160"/>
    <n v="0.57999999999999996"/>
    <m/>
    <m/>
    <m/>
    <n v="63.8"/>
    <m/>
    <m/>
    <m/>
  </r>
  <r>
    <x v="21"/>
    <s v="Warehouse"/>
    <s v="Cardboard"/>
    <x v="1"/>
    <s v="Batliner"/>
    <m/>
    <n v="2200"/>
    <n v="1.1000000000000001"/>
    <m/>
    <m/>
    <m/>
    <n v="51.15"/>
    <m/>
    <m/>
    <m/>
  </r>
  <r>
    <x v="21"/>
    <s v="CSB  paper trailer"/>
    <s v="Plastic"/>
    <x v="2"/>
    <s v="Batliner"/>
    <m/>
    <n v="340"/>
    <n v="0.17"/>
    <m/>
    <m/>
    <m/>
    <n v="0"/>
    <m/>
    <m/>
    <m/>
  </r>
  <r>
    <x v="21"/>
    <s v="CC compactor"/>
    <s v="Single Stream"/>
    <x v="11"/>
    <s v="RockTenn"/>
    <m/>
    <n v="7300"/>
    <n v="3.65"/>
    <n v="100"/>
    <n v="365"/>
    <n v="0"/>
    <n v="365"/>
    <n v="3242825"/>
    <n v="148611"/>
    <d v="2011-08-15T00:00:00"/>
  </r>
  <r>
    <x v="22"/>
    <s v="CC compactor"/>
    <s v="Single Stream"/>
    <x v="11"/>
    <s v="RockTenn"/>
    <m/>
    <n v="7400"/>
    <n v="3.7"/>
    <n v="100"/>
    <n v="370"/>
    <n v="0"/>
    <n v="370"/>
    <n v="3245837"/>
    <n v="158720"/>
    <d v="2012-10-31T00:00:00"/>
  </r>
  <r>
    <x v="23"/>
    <s v="CC compactor"/>
    <s v="Single Stream"/>
    <x v="11"/>
    <s v="RockTenn"/>
    <m/>
    <n v="8220"/>
    <n v="4.1100000000000003"/>
    <n v="99.999999999999986"/>
    <n v="411"/>
    <n v="0"/>
    <n v="411"/>
    <n v="3244752"/>
    <m/>
    <m/>
  </r>
  <r>
    <x v="24"/>
    <s v="CSB  paper trailer"/>
    <s v="Paper"/>
    <x v="0"/>
    <s v="Batliner"/>
    <m/>
    <n v="4390"/>
    <n v="2.1949999999999998"/>
    <m/>
    <m/>
    <m/>
    <n v="254.62"/>
    <m/>
    <m/>
    <m/>
  </r>
  <r>
    <x v="24"/>
    <s v="Warehouse"/>
    <s v="Paper"/>
    <x v="3"/>
    <s v="Batliner"/>
    <m/>
    <n v="10045"/>
    <n v="5.0225"/>
    <m/>
    <m/>
    <m/>
    <n v="326.45999999999998"/>
    <m/>
    <m/>
    <m/>
  </r>
  <r>
    <x v="24"/>
    <s v="CSB  paper trailer"/>
    <s v="Cardboard"/>
    <x v="1"/>
    <s v="Batliner"/>
    <m/>
    <n v="505"/>
    <n v="0.2525"/>
    <m/>
    <m/>
    <m/>
    <n v="12.5"/>
    <m/>
    <m/>
    <m/>
  </r>
  <r>
    <x v="24"/>
    <s v="CSB  paper trailer"/>
    <s v="Plastic"/>
    <x v="2"/>
    <s v="Batliner"/>
    <m/>
    <n v="50"/>
    <n v="2.5000000000000001E-2"/>
    <m/>
    <m/>
    <m/>
    <n v="0"/>
    <m/>
    <m/>
    <m/>
  </r>
  <r>
    <x v="24"/>
    <s v="All/Dumpsters"/>
    <s v="Single Stream"/>
    <x v="11"/>
    <s v="RockTenn/Abitibi"/>
    <m/>
    <n v="2446"/>
    <n v="1.2230000000000001"/>
    <m/>
    <m/>
    <m/>
    <m/>
    <m/>
    <m/>
    <m/>
  </r>
  <r>
    <x v="25"/>
    <s v="CSB  paper trailer"/>
    <s v="Paper"/>
    <x v="0"/>
    <s v="RockTenn"/>
    <m/>
    <n v="10150"/>
    <n v="5.0750000000000002"/>
    <n v="125.00098522167487"/>
    <n v="634.38"/>
    <n v="0"/>
    <n v="634.38"/>
    <n v="3245832"/>
    <n v="158720"/>
    <d v="2012-10-31T00:00:00"/>
  </r>
  <r>
    <x v="25"/>
    <s v="CSB  paper trailer"/>
    <s v="Cardboard"/>
    <x v="1"/>
    <s v="RockTenn"/>
    <m/>
    <n v="200"/>
    <n v="0.1"/>
    <n v="100"/>
    <n v="10"/>
    <n v="0"/>
    <n v="10"/>
    <n v="3245832"/>
    <n v="158720"/>
    <d v="2012-10-31T00:00:00"/>
  </r>
  <r>
    <x v="26"/>
    <s v="CC compactor"/>
    <s v="Single Stream"/>
    <x v="11"/>
    <s v="RockTenn"/>
    <m/>
    <n v="8040"/>
    <n v="4.0199999999999996"/>
    <n v="100.00000000000001"/>
    <n v="402"/>
    <n v="0"/>
    <n v="402"/>
    <n v="3245835"/>
    <n v="158720"/>
    <d v="2012-10-31T00:00:00"/>
  </r>
  <r>
    <x v="27"/>
    <s v="All/Dumpsters"/>
    <s v="Single Stream"/>
    <x v="11"/>
    <s v="RockTenn/Abitibi"/>
    <m/>
    <n v="2436"/>
    <n v="1.218"/>
    <m/>
    <m/>
    <m/>
    <m/>
    <m/>
    <m/>
    <m/>
  </r>
  <r>
    <x v="28"/>
    <s v="Warehouse"/>
    <s v="Glass"/>
    <x v="12"/>
    <s v="Ripple"/>
    <m/>
    <n v="8940"/>
    <n v="4.47"/>
    <m/>
    <m/>
    <m/>
    <m/>
    <m/>
    <m/>
    <m/>
  </r>
  <r>
    <x v="29"/>
    <s v="CC compactor"/>
    <s v="Single Stream"/>
    <x v="11"/>
    <s v="RockTenn"/>
    <m/>
    <n v="8920"/>
    <n v="4.46"/>
    <n v="100"/>
    <n v="446"/>
    <n v="0"/>
    <n v="446"/>
    <n v="3245834"/>
    <n v="158720"/>
    <d v="2012-10-31T00:00:00"/>
  </r>
  <r>
    <x v="30"/>
    <s v="CSB  paper trailer"/>
    <s v="Paper"/>
    <x v="0"/>
    <s v="RockTenn"/>
    <m/>
    <n v="12530"/>
    <n v="6.2649999999999997"/>
    <n v="125.00079808459698"/>
    <n v="783.13"/>
    <n v="0"/>
    <n v="783.13"/>
    <n v="3245833"/>
    <n v="158720"/>
    <d v="2012-10-31T00:00:00"/>
  </r>
  <r>
    <x v="30"/>
    <s v="CSB  paper trailer"/>
    <s v="Cardboard"/>
    <x v="1"/>
    <s v="RockTenn"/>
    <m/>
    <n v="250"/>
    <n v="0.125"/>
    <n v="100"/>
    <n v="12.5"/>
    <n v="0"/>
    <n v="12.5"/>
    <n v="3245833"/>
    <n v="158720"/>
    <d v="2012-10-31T00:00:00"/>
  </r>
  <r>
    <x v="31"/>
    <s v="CC compactor"/>
    <s v="Single Stream"/>
    <x v="11"/>
    <s v="RockTenn"/>
    <m/>
    <n v="2080"/>
    <n v="1.04"/>
    <n v="100"/>
    <n v="104"/>
    <n v="0"/>
    <n v="104"/>
    <n v="3245836"/>
    <n v="158720"/>
    <d v="2012-10-31T00:00:00"/>
  </r>
  <r>
    <x v="32"/>
    <s v="Student Center compactor"/>
    <s v="Single Stream"/>
    <x v="11"/>
    <s v="RockTenn"/>
    <m/>
    <n v="8660"/>
    <n v="4.33"/>
    <n v="100"/>
    <n v="433"/>
    <n v="0"/>
    <n v="433"/>
    <n v="3245838"/>
    <n v="158720"/>
    <d v="2012-10-31T00:00:00"/>
  </r>
  <r>
    <x v="33"/>
    <s v="All/Dumpsters"/>
    <s v="Single Stream"/>
    <x v="11"/>
    <s v="RockTenn/Abitibi"/>
    <m/>
    <n v="2812"/>
    <n v="1.4059999999999999"/>
    <m/>
    <m/>
    <m/>
    <m/>
    <m/>
    <m/>
    <m/>
  </r>
  <r>
    <x v="34"/>
    <s v="CC compactor"/>
    <s v="Single Stream"/>
    <x v="11"/>
    <s v="RockTenn"/>
    <m/>
    <n v="5320"/>
    <n v="2.66"/>
    <n v="59.999999999999993"/>
    <n v="159.6"/>
    <n v="0"/>
    <n v="159.6"/>
    <n v="3246107"/>
    <n v="162991"/>
    <d v="2012-11-10T00:00:00"/>
  </r>
  <r>
    <x v="35"/>
    <s v="CSB  paper trailer"/>
    <s v="Paper"/>
    <x v="0"/>
    <s v="RockTenn"/>
    <m/>
    <n v="3865"/>
    <n v="1.9325000000000001"/>
    <n v="50.002587322121599"/>
    <n v="96.63"/>
    <n v="0"/>
    <n v="96.63"/>
    <n v="3246455"/>
    <n v="162991"/>
    <d v="2012-11-28T00:00:00"/>
  </r>
  <r>
    <x v="35"/>
    <s v="CSB  paper trailer"/>
    <s v="Paper"/>
    <x v="3"/>
    <s v="RockTenn"/>
    <m/>
    <n v="4585"/>
    <n v="2.2925"/>
    <n v="50.002181025081789"/>
    <n v="114.63"/>
    <n v="0"/>
    <n v="114.63"/>
    <n v="3246455"/>
    <n v="162991"/>
    <d v="2012-11-28T00:00:00"/>
  </r>
  <r>
    <x v="35"/>
    <s v="CSB  paper trailer"/>
    <s v="Cardboard"/>
    <x v="1"/>
    <s v="RockTenn"/>
    <m/>
    <n v="130"/>
    <n v="6.5000000000000002E-2"/>
    <n v="100"/>
    <n v="6.5"/>
    <n v="0"/>
    <n v="6.5"/>
    <n v="3246455"/>
    <n v="162991"/>
    <d v="2012-11-28T00:00:00"/>
  </r>
  <r>
    <x v="36"/>
    <s v="CC compactor"/>
    <s v="Single Stream"/>
    <x v="11"/>
    <s v="RockTenn"/>
    <m/>
    <n v="6640"/>
    <n v="3.32"/>
    <n v="60"/>
    <n v="199.2"/>
    <n v="0"/>
    <n v="199.2"/>
    <n v="3246350"/>
    <n v="162991"/>
    <d v="2012-11-21T00:00:00"/>
  </r>
  <r>
    <x v="37"/>
    <s v="Warehouse"/>
    <s v="Glass"/>
    <x v="12"/>
    <s v="Ripple"/>
    <m/>
    <n v="9640"/>
    <n v="4.82"/>
    <m/>
    <m/>
    <m/>
    <m/>
    <m/>
    <m/>
    <m/>
  </r>
  <r>
    <x v="38"/>
    <s v="All/Dumpsters"/>
    <s v="Single Stream"/>
    <x v="11"/>
    <s v="RockTenn/Abitibi"/>
    <m/>
    <n v="3178"/>
    <n v="1.589"/>
    <m/>
    <m/>
    <m/>
    <m/>
    <m/>
    <m/>
    <m/>
  </r>
  <r>
    <x v="39"/>
    <s v="CC compactor"/>
    <s v="Single Stream"/>
    <x v="11"/>
    <s v="RockTenn"/>
    <m/>
    <n v="6680"/>
    <n v="3.34"/>
    <n v="45.000000000000007"/>
    <n v="150.30000000000001"/>
    <n v="0"/>
    <n v="150.30000000000001"/>
    <n v="3246881"/>
    <n v="163757"/>
    <d v="2012-12-13T00:00:00"/>
  </r>
  <r>
    <x v="40"/>
    <s v="All/Dumpsters"/>
    <s v="Single Stream"/>
    <x v="11"/>
    <s v="RockTenn/Abitibi"/>
    <m/>
    <n v="2030"/>
    <n v="1.0149999999999999"/>
    <m/>
    <m/>
    <m/>
    <m/>
    <m/>
    <m/>
    <m/>
  </r>
  <r>
    <x v="41"/>
    <s v="Warehouse"/>
    <s v="e-waste"/>
    <x v="9"/>
    <s v="Call2recycle"/>
    <m/>
    <n v="1542"/>
    <n v="0.77100000000000002"/>
    <m/>
    <m/>
    <m/>
    <m/>
    <m/>
    <m/>
    <m/>
  </r>
  <r>
    <x v="41"/>
    <s v="Book  Store"/>
    <s v="books"/>
    <x v="10"/>
    <s v="One Planet books"/>
    <s v="569 boxes"/>
    <n v="22760"/>
    <n v="11.38"/>
    <m/>
    <m/>
    <m/>
    <n v="5690"/>
    <m/>
    <m/>
    <m/>
  </r>
  <r>
    <x v="41"/>
    <s v="south Compound"/>
    <s v="Compost"/>
    <x v="13"/>
    <s v="JCCC"/>
    <n v="111"/>
    <n v="38850"/>
    <n v="19.425000000000001"/>
    <m/>
    <m/>
    <m/>
    <m/>
    <m/>
    <m/>
    <m/>
  </r>
  <r>
    <x v="41"/>
    <s v="south Compound"/>
    <s v="Wood"/>
    <x v="14"/>
    <s v="JCCC"/>
    <n v="50"/>
    <n v="17500"/>
    <n v="8.75"/>
    <m/>
    <m/>
    <m/>
    <m/>
    <m/>
    <m/>
    <m/>
  </r>
  <r>
    <x v="42"/>
    <s v="Warehouse"/>
    <s v="e-waste"/>
    <x v="8"/>
    <s v="Unicor"/>
    <m/>
    <n v="4293"/>
    <n v="2.1465000000000001"/>
    <m/>
    <m/>
    <m/>
    <m/>
    <m/>
    <m/>
    <m/>
  </r>
  <r>
    <x v="43"/>
    <s v="CSB  paper trailer"/>
    <s v="Paper"/>
    <x v="4"/>
    <s v="RockTenn"/>
    <m/>
    <n v="860"/>
    <n v="0.43"/>
    <n v="5"/>
    <n v="2.15"/>
    <n v="0"/>
    <n v="2.15"/>
    <n v="3247415"/>
    <n v="167496"/>
    <d v="2012-01-05T00:00:00"/>
  </r>
  <r>
    <x v="43"/>
    <s v="CSB  paper trailer"/>
    <s v="Paper"/>
    <x v="0"/>
    <s v="RockTenn"/>
    <m/>
    <n v="5355"/>
    <n v="2.6775000000000002"/>
    <n v="30.001867413632116"/>
    <n v="80.33"/>
    <n v="0"/>
    <n v="80.33"/>
    <n v="3247415"/>
    <n v="167496"/>
    <d v="2012-01-05T00:00:00"/>
  </r>
  <r>
    <x v="43"/>
    <s v="CSB  paper trailer"/>
    <s v="Paper"/>
    <x v="3"/>
    <s v="RockTenn"/>
    <m/>
    <n v="7180"/>
    <n v="3.59"/>
    <n v="20"/>
    <n v="71.8"/>
    <n v="0"/>
    <n v="71.8"/>
    <n v="3247415"/>
    <n v="167496"/>
    <d v="2012-01-05T00:00:00"/>
  </r>
  <r>
    <x v="43"/>
    <s v="CSB  paper trailer"/>
    <s v="Cardboard"/>
    <x v="1"/>
    <s v="RockTenn"/>
    <m/>
    <n v="585"/>
    <n v="0.29249999999999998"/>
    <n v="70.017094017094024"/>
    <n v="20.48"/>
    <n v="0"/>
    <n v="20.48"/>
    <n v="3247415"/>
    <n v="167496"/>
    <d v="2012-01-05T00:00:00"/>
  </r>
  <r>
    <x v="44"/>
    <s v="CC compactor"/>
    <s v="Single Stream"/>
    <x v="11"/>
    <s v="RockTenn"/>
    <m/>
    <n v="8800"/>
    <n v="4.4000000000000004"/>
    <n v="44.999999999999993"/>
    <n v="198"/>
    <n v="0"/>
    <n v="198"/>
    <n v="3247660"/>
    <n v="168277"/>
    <d v="2012-01-16T00:00:00"/>
  </r>
  <r>
    <x v="45"/>
    <s v="Warehouse"/>
    <s v="Glass"/>
    <x v="12"/>
    <s v="Ripple"/>
    <m/>
    <n v="11880"/>
    <n v="5.94"/>
    <m/>
    <m/>
    <m/>
    <m/>
    <m/>
    <m/>
    <m/>
  </r>
  <r>
    <x v="46"/>
    <s v="All/Dumpsters"/>
    <s v="Single Stream"/>
    <x v="11"/>
    <s v="RockTenn/Abitibi"/>
    <m/>
    <n v="7347"/>
    <n v="3.6735000000000002"/>
    <m/>
    <m/>
    <m/>
    <m/>
    <m/>
    <m/>
    <m/>
  </r>
  <r>
    <x v="46"/>
    <s v="CSB  paper trailer"/>
    <s v="Paper"/>
    <x v="0"/>
    <s v="RockTenn"/>
    <m/>
    <n v="5480"/>
    <n v="2.74"/>
    <n v="70.003649635036496"/>
    <n v="191.81"/>
    <n v="0"/>
    <n v="191.81"/>
    <n v="3248171"/>
    <n v="169357"/>
    <m/>
  </r>
  <r>
    <x v="46"/>
    <s v="CSB  paper trailer"/>
    <s v="Cardboard"/>
    <x v="1"/>
    <s v="RockTenn"/>
    <m/>
    <n v="840"/>
    <n v="0.42"/>
    <n v="60"/>
    <n v="25.2"/>
    <n v="0"/>
    <n v="25.2"/>
    <n v="3248171"/>
    <n v="169357"/>
    <m/>
  </r>
  <r>
    <x v="46"/>
    <s v="CSB  paper trailer"/>
    <s v="Paper"/>
    <x v="3"/>
    <s v="RockTenn"/>
    <m/>
    <n v="1800"/>
    <n v="0.9"/>
    <n v="50"/>
    <n v="45"/>
    <n v="0"/>
    <n v="45"/>
    <n v="3248171"/>
    <n v="169357"/>
    <m/>
  </r>
  <r>
    <x v="47"/>
    <s v="Student Center compactor"/>
    <s v="Single Stream"/>
    <x v="11"/>
    <s v="RockTenn"/>
    <m/>
    <n v="8220"/>
    <n v="4.1100000000000003"/>
    <n v="59.999999999999993"/>
    <n v="246.6"/>
    <n v="0"/>
    <n v="246.6"/>
    <n v="477823"/>
    <n v="169275"/>
    <d v="2012-02-01T00:00:00"/>
  </r>
  <r>
    <x v="48"/>
    <s v="CC compactor"/>
    <s v="Single Stream"/>
    <x v="11"/>
    <s v="RockTenn"/>
    <m/>
    <n v="7040"/>
    <n v="3.52"/>
    <n v="60"/>
    <n v="211.2"/>
    <n v="0"/>
    <n v="211.2"/>
    <n v="477824"/>
    <n v="169275"/>
    <d v="2012-02-01T00:00:00"/>
  </r>
  <r>
    <x v="49"/>
    <s v="Aluminum plates with paper"/>
    <s v="Metal"/>
    <x v="15"/>
    <s v="RockTenn"/>
    <m/>
    <n v="1620"/>
    <n v="0.81"/>
    <n v="499.99999999999994"/>
    <n v="405"/>
    <n v="0"/>
    <n v="405"/>
    <n v="477898"/>
    <n v="171458"/>
    <d v="2012-04-30T00:00:00"/>
  </r>
  <r>
    <x v="49"/>
    <s v="copper cords wires 35%"/>
    <s v="Metal"/>
    <x v="16"/>
    <s v="RockTenn"/>
    <m/>
    <n v="320"/>
    <n v="0.16"/>
    <n v="1100"/>
    <n v="176"/>
    <n v="0"/>
    <n v="176"/>
    <n v="477898"/>
    <n v="171458"/>
    <d v="2012-04-30T00:00:00"/>
  </r>
  <r>
    <x v="50"/>
    <s v="CSB  paper trailer"/>
    <s v="Paper"/>
    <x v="0"/>
    <s v="RockTenn"/>
    <m/>
    <n v="6735"/>
    <n v="3.3675000000000002"/>
    <n v="100"/>
    <n v="336.75"/>
    <n v="0"/>
    <n v="336.75"/>
    <n v="478505"/>
    <n v="171820"/>
    <d v="2012-03-06T00:00:00"/>
  </r>
  <r>
    <x v="50"/>
    <s v="CSB  paper trailer"/>
    <s v="Cardboard"/>
    <x v="1"/>
    <s v="RockTenn"/>
    <m/>
    <n v="160"/>
    <n v="0.08"/>
    <n v="60"/>
    <n v="4.8"/>
    <n v="0"/>
    <n v="4.8"/>
    <n v="478505"/>
    <n v="171820"/>
    <d v="2012-03-06T00:00:00"/>
  </r>
  <r>
    <x v="50"/>
    <s v="CSB  paper trailer"/>
    <s v="Trash"/>
    <x v="17"/>
    <s v="RockTenn"/>
    <m/>
    <n v="1405"/>
    <n v="0.70250000000000001"/>
    <n v="-50.035587188612098"/>
    <n v="-35.15"/>
    <n v="0"/>
    <n v="-35.15"/>
    <n v="478505"/>
    <n v="171820"/>
    <d v="2012-03-06T00:00:00"/>
  </r>
  <r>
    <x v="50"/>
    <s v="CSB  paper trailer"/>
    <s v="Plastic"/>
    <x v="18"/>
    <s v="RockTenn"/>
    <m/>
    <n v="40"/>
    <n v="0.02"/>
    <n v="100"/>
    <n v="2"/>
    <n v="0"/>
    <n v="2"/>
    <n v="478505"/>
    <n v="171820"/>
    <d v="2012-03-06T00:00:00"/>
  </r>
  <r>
    <x v="50"/>
    <s v="CSB  paper trailer"/>
    <s v="Paper"/>
    <x v="3"/>
    <s v="RockTenn"/>
    <m/>
    <n v="760"/>
    <n v="0.38"/>
    <n v="80"/>
    <n v="30.4"/>
    <n v="0"/>
    <n v="30.4"/>
    <n v="478505"/>
    <n v="171820"/>
    <d v="2012-03-06T00:00:00"/>
  </r>
  <r>
    <x v="51"/>
    <s v="CC compactor"/>
    <s v="Single Stream"/>
    <x v="11"/>
    <s v="RockTenn"/>
    <m/>
    <n v="7720"/>
    <n v="3.86"/>
    <n v="60"/>
    <n v="231.6"/>
    <n v="0"/>
    <n v="231.6"/>
    <n v="478317"/>
    <n v="171052"/>
    <d v="2012-04-19T00:00:00"/>
  </r>
  <r>
    <x v="52"/>
    <s v="Warehouse"/>
    <s v="Glass"/>
    <x v="12"/>
    <s v="Ripple"/>
    <m/>
    <n v="9620"/>
    <n v="4.8099999999999996"/>
    <m/>
    <m/>
    <m/>
    <m/>
    <m/>
    <m/>
    <m/>
  </r>
  <r>
    <x v="52"/>
    <s v="All/Dumpsters"/>
    <s v="Single Stream"/>
    <x v="11"/>
    <s v="RockTenn/Abitibi"/>
    <m/>
    <n v="7347"/>
    <n v="3.6735000000000002"/>
    <m/>
    <m/>
    <m/>
    <m/>
    <m/>
    <m/>
    <m/>
  </r>
  <r>
    <x v="53"/>
    <s v="CSB  paper trailer"/>
    <s v="Paper"/>
    <x v="0"/>
    <s v="RockTenn"/>
    <m/>
    <n v="14525"/>
    <n v="7.2625000000000002"/>
    <n v="100"/>
    <n v="726.25"/>
    <n v="0"/>
    <n v="726.25"/>
    <n v="478146"/>
    <n v="171820"/>
    <d v="2012-03-05T00:00:00"/>
  </r>
  <r>
    <x v="53"/>
    <s v="CSB  paper trailer"/>
    <s v="Cardboard"/>
    <x v="1"/>
    <s v="RockTenn"/>
    <m/>
    <n v="615"/>
    <n v="0.3075"/>
    <n v="60"/>
    <n v="18.45"/>
    <n v="0"/>
    <n v="18.45"/>
    <n v="478146"/>
    <n v="171820"/>
    <d v="2012-03-05T00:00:00"/>
  </r>
  <r>
    <x v="53"/>
    <s v="CSB  paper trailer"/>
    <s v="Paper"/>
    <x v="3"/>
    <s v="RockTenn"/>
    <m/>
    <n v="5055"/>
    <n v="2.5274999999999999"/>
    <n v="80"/>
    <n v="202.2"/>
    <n v="0"/>
    <n v="202.2"/>
    <n v="478146"/>
    <n v="171820"/>
    <d v="2012-03-05T00:00:00"/>
  </r>
  <r>
    <x v="53"/>
    <s v="CSB  paper trailer"/>
    <s v="Trash"/>
    <x v="17"/>
    <s v="RockTenn"/>
    <m/>
    <n v="565"/>
    <n v="0.28249999999999997"/>
    <n v="-50.017699115044252"/>
    <n v="-14.13"/>
    <n v="0"/>
    <n v="-14.13"/>
    <n v="478146"/>
    <n v="171820"/>
    <d v="2012-03-05T00:00:00"/>
  </r>
  <r>
    <x v="53"/>
    <s v="CSB  paper trailer"/>
    <s v="Plastic"/>
    <x v="18"/>
    <s v="RockTenn"/>
    <m/>
    <n v="180"/>
    <n v="0.09"/>
    <n v="100"/>
    <n v="9"/>
    <n v="0"/>
    <n v="9"/>
    <n v="478146"/>
    <n v="171820"/>
    <d v="2012-03-05T00:00:00"/>
  </r>
  <r>
    <x v="54"/>
    <s v="CSB  paper trailer"/>
    <s v="Paper"/>
    <x v="0"/>
    <s v="RockTenn"/>
    <m/>
    <n v="1255"/>
    <n v="0.62749999999999995"/>
    <n v="100.00000000000001"/>
    <n v="62.75"/>
    <n v="0"/>
    <n v="62.75"/>
    <n v="478676"/>
    <n v="172632"/>
    <d v="2012-03-15T00:00:00"/>
  </r>
  <r>
    <x v="54"/>
    <s v="CSB  paper trailer"/>
    <s v="Cardboard"/>
    <x v="1"/>
    <s v="RockTenn"/>
    <m/>
    <n v="185"/>
    <n v="9.2499999999999999E-2"/>
    <n v="60"/>
    <n v="5.55"/>
    <n v="0"/>
    <n v="5.55"/>
    <n v="478676"/>
    <n v="172632"/>
    <d v="2012-03-15T00:00:00"/>
  </r>
  <r>
    <x v="54"/>
    <s v="CSB  paper trailer"/>
    <s v="Paper"/>
    <x v="3"/>
    <s v="RockTenn"/>
    <m/>
    <n v="1835"/>
    <n v="0.91749999999999998"/>
    <n v="80.000000000000014"/>
    <n v="73.400000000000006"/>
    <n v="0"/>
    <n v="73.400000000000006"/>
    <n v="478676"/>
    <n v="172632"/>
    <d v="2012-03-15T00:00:00"/>
  </r>
  <r>
    <x v="54"/>
    <s v="CSB  paper trailer"/>
    <s v="Trash"/>
    <x v="17"/>
    <s v="RockTenn"/>
    <m/>
    <n v="405"/>
    <n v="0.20250000000000001"/>
    <n v="50.02469135802469"/>
    <n v="10.130000000000001"/>
    <n v="0"/>
    <n v="10.130000000000001"/>
    <n v="478676"/>
    <n v="172632"/>
    <d v="2012-03-15T00:00:00"/>
  </r>
  <r>
    <x v="55"/>
    <s v="CC compactor"/>
    <s v="Single Stream"/>
    <x v="11"/>
    <s v="RockTenn"/>
    <m/>
    <n v="6640"/>
    <n v="3.32"/>
    <n v="35"/>
    <n v="116.2"/>
    <n v="0"/>
    <n v="116.2"/>
    <n v="478918"/>
    <n v="179250"/>
    <d v="2012-03-19T00:00:00"/>
  </r>
  <r>
    <x v="56"/>
    <s v="All/Dumpsters"/>
    <s v="Single Stream"/>
    <x v="11"/>
    <s v="RockTenn/Abitibi"/>
    <m/>
    <n v="7347"/>
    <n v="3.6735000000000002"/>
    <m/>
    <m/>
    <m/>
    <m/>
    <m/>
    <m/>
    <m/>
  </r>
  <r>
    <x v="57"/>
    <s v="Warehouse"/>
    <s v="Glass"/>
    <x v="12"/>
    <s v="Ripple"/>
    <m/>
    <n v="9860"/>
    <n v="4.93"/>
    <m/>
    <m/>
    <m/>
    <m/>
    <m/>
    <m/>
    <m/>
  </r>
  <r>
    <x v="57"/>
    <s v="CSB  paper trailer"/>
    <s v="Paper"/>
    <x v="0"/>
    <s v="RockTenn"/>
    <m/>
    <n v="600"/>
    <n v="0.3"/>
    <n v="100"/>
    <n v="30"/>
    <n v="0"/>
    <n v="30"/>
    <n v="37123"/>
    <n v="173396"/>
    <d v="2012-05-21T00:00:00"/>
  </r>
  <r>
    <x v="57"/>
    <s v="CSB  paper trailer"/>
    <s v="Paper"/>
    <x v="0"/>
    <s v="RockTenn"/>
    <m/>
    <n v="4050"/>
    <n v="2.0249999999999999"/>
    <n v="100"/>
    <n v="202.5"/>
    <n v="0"/>
    <n v="202.5"/>
    <n v="37123"/>
    <n v="173396"/>
    <d v="2012-05-21T00:00:00"/>
  </r>
  <r>
    <x v="57"/>
    <s v="CSB  paper trailer"/>
    <s v="Paper"/>
    <x v="3"/>
    <s v="RockTenn"/>
    <m/>
    <n v="4960"/>
    <n v="2.48"/>
    <n v="80"/>
    <n v="198.4"/>
    <n v="0"/>
    <n v="198.4"/>
    <n v="37123"/>
    <n v="173396"/>
    <d v="2012-05-21T00:00:00"/>
  </r>
  <r>
    <x v="57"/>
    <s v="CSB  paper trailer"/>
    <s v="Plastic"/>
    <x v="18"/>
    <s v="RockTenn"/>
    <m/>
    <n v="80"/>
    <n v="0.04"/>
    <n v="100"/>
    <n v="4"/>
    <n v="0"/>
    <n v="4"/>
    <n v="37123"/>
    <n v="173396"/>
    <d v="2012-05-21T00:00:00"/>
  </r>
  <r>
    <x v="57"/>
    <s v="CC compactor"/>
    <s v="Single Stream"/>
    <x v="11"/>
    <s v="RockTenn"/>
    <m/>
    <n v="6480"/>
    <n v="3.24"/>
    <n v="35"/>
    <n v="113.4"/>
    <n v="0"/>
    <n v="113.4"/>
    <n v="3249913"/>
    <n v="175280"/>
    <d v="2012-05-05T00:00:00"/>
  </r>
  <r>
    <x v="58"/>
    <s v="CC compactor"/>
    <s v="Single Stream"/>
    <x v="11"/>
    <s v="RockTenn"/>
    <m/>
    <n v="5180"/>
    <n v="2.59"/>
    <n v="34.301158301158303"/>
    <n v="88.84"/>
    <n v="0"/>
    <n v="88.84"/>
    <n v="3250348"/>
    <n v="175281"/>
    <d v="2012-05-05T00:00:00"/>
  </r>
  <r>
    <x v="59"/>
    <s v="All/Dumpsters"/>
    <s v="Single Stream"/>
    <x v="11"/>
    <s v="RockTenn/Abitibi"/>
    <m/>
    <n v="5329"/>
    <n v="2.6644999999999999"/>
    <m/>
    <m/>
    <m/>
    <m/>
    <m/>
    <m/>
    <m/>
  </r>
  <r>
    <x v="60"/>
    <s v="CC compactor"/>
    <s v="Single Stream"/>
    <x v="11"/>
    <s v="RockTenn"/>
    <m/>
    <n v="4000"/>
    <n v="2"/>
    <n v="0"/>
    <m/>
    <n v="0"/>
    <m/>
    <m/>
    <m/>
    <m/>
  </r>
  <r>
    <x v="60"/>
    <s v="Student Center compactor"/>
    <s v="Single Stream"/>
    <x v="11"/>
    <s v="RockTenn"/>
    <m/>
    <n v="6000"/>
    <n v="3"/>
    <n v="0"/>
    <m/>
    <n v="0"/>
    <m/>
    <m/>
    <m/>
    <m/>
  </r>
  <r>
    <x v="61"/>
    <s v="CSB Trailer"/>
    <s v="Paper"/>
    <x v="0"/>
    <s v="RockTenn"/>
    <m/>
    <n v="4215"/>
    <n v="2.1074999999999999"/>
    <n v="80"/>
    <n v="168.6"/>
    <n v="0"/>
    <n v="168.6"/>
    <n v="479720"/>
    <n v="178260"/>
    <d v="2012-05-23T00:00:00"/>
  </r>
  <r>
    <x v="61"/>
    <s v="CSB Trailer"/>
    <s v="Cardboard"/>
    <x v="1"/>
    <s v="RockTenn"/>
    <m/>
    <n v="185"/>
    <n v="9.2499999999999999E-2"/>
    <n v="40"/>
    <n v="3.7"/>
    <n v="0"/>
    <n v="3.7"/>
    <n v="479720"/>
    <n v="178260"/>
    <d v="2012-05-23T00:00:00"/>
  </r>
  <r>
    <x v="61"/>
    <s v="CSB Trailer"/>
    <s v="Paper"/>
    <x v="3"/>
    <s v="RockTenn"/>
    <m/>
    <n v="1285"/>
    <n v="0.64249999999999996"/>
    <n v="60"/>
    <n v="38.549999999999997"/>
    <n v="0"/>
    <n v="38.549999999999997"/>
    <n v="479720"/>
    <n v="178260"/>
    <d v="2012-05-23T00:00:00"/>
  </r>
  <r>
    <x v="62"/>
    <s v="Warehouse"/>
    <s v="Glass"/>
    <x v="12"/>
    <s v="Ripple"/>
    <m/>
    <n v="10100"/>
    <n v="5.05"/>
    <m/>
    <m/>
    <m/>
    <m/>
    <m/>
    <m/>
    <m/>
  </r>
  <r>
    <x v="63"/>
    <s v="CC compactor"/>
    <s v="Single Stream"/>
    <x v="11"/>
    <s v="RockTenn"/>
    <m/>
    <n v="7760"/>
    <n v="3.88"/>
    <n v="35.000000000000007"/>
    <n v="135.80000000000001"/>
    <n v="0"/>
    <n v="135.80000000000001"/>
    <n v="481609"/>
    <n v="178670"/>
    <d v="2012-05-29T00:00:00"/>
  </r>
  <r>
    <x v="64"/>
    <s v="All/Dumpsters"/>
    <s v="Single Stream"/>
    <x v="11"/>
    <s v="RockTenn/Abitibi"/>
    <m/>
    <n v="5329"/>
    <n v="2.6644999999999999"/>
    <m/>
    <m/>
    <m/>
    <m/>
    <m/>
    <m/>
    <m/>
  </r>
  <r>
    <x v="65"/>
    <s v="Warehouse"/>
    <s v="e-waste"/>
    <x v="8"/>
    <s v="Unicor"/>
    <m/>
    <n v="5000"/>
    <n v="2.5"/>
    <m/>
    <m/>
    <m/>
    <m/>
    <m/>
    <m/>
    <m/>
  </r>
  <r>
    <x v="66"/>
    <s v="CSB Trailer"/>
    <s v="Paper"/>
    <x v="0"/>
    <s v="RockTenn"/>
    <m/>
    <n v="8815"/>
    <n v="4.4074999999999998"/>
    <n v="80.000000000000014"/>
    <n v="352.6"/>
    <n v="0"/>
    <n v="352.6"/>
    <n v="481897"/>
    <n v="180424"/>
    <d v="2012-06-11T00:00:00"/>
  </r>
  <r>
    <x v="66"/>
    <s v="CSB Trailer"/>
    <s v="Cardboard"/>
    <x v="1"/>
    <s v="RockTenn"/>
    <m/>
    <n v="55"/>
    <n v="2.75E-2"/>
    <n v="30.18181818181818"/>
    <n v="0.83"/>
    <n v="0"/>
    <n v="0.83"/>
    <n v="481897"/>
    <n v="180424"/>
    <d v="2012-06-11T00:00:00"/>
  </r>
  <r>
    <x v="67"/>
    <s v="Warehouse"/>
    <s v="Glass"/>
    <x v="12"/>
    <s v="Ripple"/>
    <m/>
    <n v="9800"/>
    <n v="4.9000000000000004"/>
    <m/>
    <m/>
    <m/>
    <m/>
    <m/>
    <m/>
    <m/>
  </r>
  <r>
    <x v="68"/>
    <s v="Warehouse"/>
    <s v="e-waste"/>
    <x v="8"/>
    <s v="Unicor"/>
    <m/>
    <n v="4739"/>
    <n v="2.3694999999999999"/>
    <m/>
    <m/>
    <m/>
    <m/>
    <m/>
    <m/>
    <m/>
  </r>
  <r>
    <x v="69"/>
    <s v="CC compactor"/>
    <s v="Single Stream"/>
    <x v="11"/>
    <s v="RockTenn"/>
    <m/>
    <n v="8500"/>
    <n v="4.25"/>
    <n v="25"/>
    <n v="106.25"/>
    <n v="0"/>
    <n v="106.25"/>
    <n v="482439"/>
    <n v="181805"/>
    <d v="2012-07-02T00:00:00"/>
  </r>
  <r>
    <x v="70"/>
    <s v="All/Dumpsters"/>
    <s v="Single Stream"/>
    <x v="11"/>
    <s v="RockTenn/Abitibi"/>
    <m/>
    <n v="5329"/>
    <n v="2.6644999999999999"/>
    <m/>
    <m/>
    <m/>
    <m/>
    <m/>
    <m/>
    <m/>
  </r>
  <r>
    <x v="71"/>
    <s v="CSB Trailer"/>
    <s v="Paper"/>
    <x v="0"/>
    <s v="RockTenn"/>
    <m/>
    <n v="8210"/>
    <n v="4.1050000000000004"/>
    <n v="99.999999999999986"/>
    <n v="410.5"/>
    <n v="0"/>
    <n v="410.5"/>
    <n v="482539"/>
    <n v="183355"/>
    <d v="2012-07-20T00:00:00"/>
  </r>
  <r>
    <x v="71"/>
    <s v="CSB Trailer"/>
    <s v="Cardboard"/>
    <x v="1"/>
    <s v="RockTenn"/>
    <m/>
    <n v="60"/>
    <n v="0.03"/>
    <n v="25"/>
    <n v="0.75"/>
    <n v="0"/>
    <n v="0.75"/>
    <n v="482539"/>
    <n v="183355"/>
    <d v="2012-07-20T00:00:00"/>
  </r>
  <r>
    <x v="71"/>
    <s v="CSB Trailer"/>
    <s v="Paper"/>
    <x v="3"/>
    <s v="RockTenn"/>
    <m/>
    <n v="540"/>
    <n v="0.27"/>
    <n v="59.999999999999993"/>
    <n v="16.2"/>
    <n v="0"/>
    <n v="16.2"/>
    <n v="482539"/>
    <n v="183355"/>
    <d v="2012-07-20T00:00:00"/>
  </r>
  <r>
    <x v="72"/>
    <s v="Warehouse"/>
    <s v="Glass"/>
    <x v="12"/>
    <s v="Ripple"/>
    <m/>
    <n v="10100"/>
    <n v="5.05"/>
    <m/>
    <m/>
    <m/>
    <m/>
    <m/>
    <m/>
    <m/>
  </r>
  <r>
    <x v="73"/>
    <s v="CC compactor"/>
    <s v="Single Stream"/>
    <x v="11"/>
    <s v="RockTenn"/>
    <m/>
    <n v="9280"/>
    <n v="4.6399999999999997"/>
    <n v="25"/>
    <n v="116"/>
    <n v="0"/>
    <n v="116"/>
    <n v="483042"/>
    <n v="186265"/>
    <d v="2012-07-30T00:00:00"/>
  </r>
  <r>
    <x v="74"/>
    <s v="All/Dumpsters"/>
    <s v="Single Stream"/>
    <x v="11"/>
    <s v="RockTenn/Abitibi"/>
    <m/>
    <n v="5329"/>
    <n v="2.6644999999999999"/>
    <m/>
    <m/>
    <m/>
    <m/>
    <m/>
    <m/>
    <m/>
  </r>
  <r>
    <x v="75"/>
    <s v="south Compound"/>
    <s v="Metal"/>
    <x v="19"/>
    <s v="Advantage Metal"/>
    <m/>
    <n v="8520"/>
    <n v="4.26"/>
    <n v="0.09"/>
    <n v="766.8"/>
    <n v="180"/>
    <n v="586.79999999999995"/>
    <s v="TKXFDD"/>
    <n v="181688"/>
    <m/>
  </r>
  <r>
    <x v="76"/>
    <s v="Warehouse"/>
    <s v="e-waste"/>
    <x v="8"/>
    <s v="Surplus Exchange"/>
    <m/>
    <n v="4500"/>
    <n v="2.25"/>
    <m/>
    <m/>
    <m/>
    <m/>
    <m/>
    <m/>
    <m/>
  </r>
  <r>
    <x v="77"/>
    <s v="CC compactor"/>
    <s v="Single Stream"/>
    <x v="11"/>
    <s v="RockTenn"/>
    <m/>
    <n v="4380"/>
    <n v="2.19"/>
    <n v="25"/>
    <n v="54.75"/>
    <n v="0"/>
    <n v="54.75"/>
    <n v="483398"/>
    <n v="189280"/>
    <d v="2012-11-07T00:00:00"/>
  </r>
  <r>
    <x v="78"/>
    <s v="Warehouse"/>
    <s v="Glass"/>
    <x v="12"/>
    <s v="Ripple"/>
    <m/>
    <n v="10060"/>
    <n v="5.03"/>
    <m/>
    <m/>
    <m/>
    <m/>
    <m/>
    <m/>
    <m/>
  </r>
  <r>
    <x v="79"/>
    <s v="SC compactor"/>
    <s v="Single Stream"/>
    <x v="11"/>
    <s v="RockTenn"/>
    <m/>
    <n v="9540"/>
    <n v="4.7699999999999996"/>
    <n v="25.000000000000004"/>
    <n v="119.25"/>
    <n v="0"/>
    <n v="119.25"/>
    <n v="483423"/>
    <n v="189280"/>
    <d v="2012-11-07T00:00:00"/>
  </r>
  <r>
    <x v="80"/>
    <s v="CSB Trailer"/>
    <s v="Paper"/>
    <x v="0"/>
    <s v="RockTenn"/>
    <m/>
    <n v="5935"/>
    <n v="2.9674999999999998"/>
    <n v="100"/>
    <n v="296.75"/>
    <n v="0"/>
    <n v="296.75"/>
    <n v="3253690"/>
    <n v="189280"/>
    <d v="2012-11-07T00:00:00"/>
  </r>
  <r>
    <x v="80"/>
    <s v="CSB Trailer"/>
    <s v="Cardboard"/>
    <x v="1"/>
    <s v="RockTenn"/>
    <m/>
    <n v="5435"/>
    <n v="2.7174999999999998"/>
    <n v="14.999080036798528"/>
    <n v="40.76"/>
    <n v="0"/>
    <n v="40.76"/>
    <n v="3253690"/>
    <n v="189280"/>
    <d v="2012-11-07T00:00:00"/>
  </r>
  <r>
    <x v="80"/>
    <s v="CSB Trailer"/>
    <s v="Trash"/>
    <x v="17"/>
    <s v="RockTenn"/>
    <m/>
    <n v="400"/>
    <n v="0.2"/>
    <n v="-100"/>
    <n v="-20"/>
    <n v="0"/>
    <n v="-20"/>
    <n v="3253690"/>
    <n v="189280"/>
    <d v="2012-11-07T00:00:00"/>
  </r>
  <r>
    <x v="81"/>
    <s v="Delivered"/>
    <s v="Metal"/>
    <x v="20"/>
    <s v="Advantage Metal"/>
    <m/>
    <n v="96"/>
    <n v="4.8000000000000001E-2"/>
    <n v="2.8"/>
    <n v="268.8"/>
    <n v="0"/>
    <n v="268.8"/>
    <s v="ZHEAAN"/>
    <n v="183200"/>
    <m/>
  </r>
  <r>
    <x v="81"/>
    <s v="Delivered"/>
    <s v="Metal"/>
    <x v="21"/>
    <s v="Advantage Metal"/>
    <m/>
    <n v="657"/>
    <n v="0.32850000000000001"/>
    <n v="0.25"/>
    <n v="164.25"/>
    <n v="0"/>
    <n v="164.25"/>
    <s v="ZHEAAN"/>
    <n v="183200"/>
    <m/>
  </r>
  <r>
    <x v="81"/>
    <s v="CC compactor"/>
    <s v="Single Stream"/>
    <x v="11"/>
    <s v="RockTenn"/>
    <m/>
    <n v="8440"/>
    <n v="4.22"/>
    <n v="25"/>
    <n v="105.5"/>
    <n v="0"/>
    <n v="105.5"/>
    <n v="3253676"/>
    <n v="189280"/>
    <d v="2012-11-07T00:00:00"/>
  </r>
  <r>
    <x v="82"/>
    <s v="All/Dumpsters"/>
    <s v="Single Stream"/>
    <x v="11"/>
    <s v="RockTenn/Abitibi"/>
    <m/>
    <n v="5329"/>
    <n v="2.6644999999999999"/>
    <m/>
    <m/>
    <m/>
    <m/>
    <m/>
    <m/>
    <m/>
  </r>
  <r>
    <x v="83"/>
    <s v="south Compound"/>
    <s v="Metal"/>
    <x v="19"/>
    <s v="Advantage Metal"/>
    <m/>
    <n v="6700"/>
    <n v="3.35"/>
    <n v="9.7500000000000003E-2"/>
    <n v="653.25"/>
    <n v="180"/>
    <n v="473.25"/>
    <m/>
    <m/>
    <m/>
  </r>
  <r>
    <x v="84"/>
    <s v="Warehouse"/>
    <s v="Glass"/>
    <x v="12"/>
    <s v="Ripple"/>
    <m/>
    <n v="336"/>
    <n v="0.16800000000000001"/>
    <m/>
    <m/>
    <m/>
    <m/>
    <m/>
    <m/>
    <m/>
  </r>
  <r>
    <x v="84"/>
    <s v="CSB Trailer"/>
    <s v="Paper"/>
    <x v="0"/>
    <s v="RockTenn"/>
    <m/>
    <n v="5635"/>
    <n v="2.8174999999999999"/>
    <n v="90.00177462289264"/>
    <n v="253.58"/>
    <n v="0"/>
    <n v="253.58"/>
    <n v="3254209"/>
    <n v="190079"/>
    <d v="2012-11-19T00:00:00"/>
  </r>
  <r>
    <x v="84"/>
    <s v="CSB Trailer"/>
    <s v="Paper"/>
    <x v="4"/>
    <s v="RockTenn"/>
    <m/>
    <n v="7665"/>
    <n v="3.8325"/>
    <n v="4.9993476842791909"/>
    <n v="19.16"/>
    <n v="0"/>
    <n v="19.16"/>
    <n v="3254209"/>
    <n v="190079"/>
    <d v="2012-11-19T00:00:00"/>
  </r>
  <r>
    <x v="85"/>
    <s v="Abitibi pickup"/>
    <s v="e-waste"/>
    <x v="22"/>
    <s v="RockTenn"/>
    <m/>
    <m/>
    <n v="0"/>
    <e v="#DIV/0!"/>
    <n v="-680"/>
    <n v="0"/>
    <n v="-680"/>
    <m/>
    <n v="189280"/>
    <d v="2012-11-07T00:00:00"/>
  </r>
  <r>
    <x v="86"/>
    <s v="CC compactor"/>
    <s v="Single Stream"/>
    <x v="11"/>
    <s v="RockTenn"/>
    <m/>
    <n v="8840"/>
    <n v="4.42"/>
    <n v="25"/>
    <n v="110.5"/>
    <n v="0"/>
    <n v="110.5"/>
    <n v="3254510"/>
    <n v="189280"/>
    <d v="2012-11-07T00:00:00"/>
  </r>
  <r>
    <x v="87"/>
    <s v="All/Dumpsters"/>
    <s v="Single Stream"/>
    <x v="11"/>
    <s v="RockTenn/Abitibi"/>
    <m/>
    <n v="5329"/>
    <n v="2.6644999999999999"/>
    <m/>
    <m/>
    <m/>
    <m/>
    <m/>
    <m/>
    <m/>
  </r>
  <r>
    <x v="88"/>
    <s v="south Compound"/>
    <s v="Metal"/>
    <x v="19"/>
    <s v="Advantage Metal"/>
    <m/>
    <n v="7220"/>
    <n v="3.61"/>
    <n v="8.5000000000000006E-2"/>
    <n v="613.70000000000005"/>
    <n v="180"/>
    <n v="433.7"/>
    <s v="TLNAEY"/>
    <n v="186931"/>
    <m/>
  </r>
  <r>
    <x v="89"/>
    <s v="CSB Trailer"/>
    <s v="Paper"/>
    <x v="0"/>
    <s v="RockTenn"/>
    <m/>
    <n v="4570"/>
    <n v="2.2850000000000001"/>
    <n v="69.999999999999986"/>
    <n v="159.94999999999999"/>
    <n v="0"/>
    <n v="159.94999999999999"/>
    <n v="3254600"/>
    <n v="190757"/>
    <d v="2012-12-03T00:00:00"/>
  </r>
  <r>
    <x v="89"/>
    <s v="CSB Trailer"/>
    <s v="Paper"/>
    <x v="4"/>
    <s v="RockTenn"/>
    <m/>
    <n v="3440"/>
    <n v="1.72"/>
    <n v="5"/>
    <n v="8.6"/>
    <n v="0"/>
    <n v="8.6"/>
    <n v="3254600"/>
    <n v="190757"/>
    <d v="2012-12-03T00:00:00"/>
  </r>
  <r>
    <x v="89"/>
    <s v="CSB Trailer"/>
    <s v="Paper"/>
    <x v="3"/>
    <s v="RockTenn"/>
    <m/>
    <n v="3925"/>
    <n v="1.9624999999999999"/>
    <n v="60"/>
    <n v="117.75"/>
    <n v="0"/>
    <n v="117.75"/>
    <n v="3254600"/>
    <n v="190757"/>
    <d v="2012-12-03T00:00:00"/>
  </r>
  <r>
    <x v="90"/>
    <s v="SC compactor"/>
    <s v="Single Stream"/>
    <x v="11"/>
    <s v="RockTenn"/>
    <m/>
    <n v="6980"/>
    <n v="3.49"/>
    <n v="25"/>
    <n v="87.25"/>
    <n v="0"/>
    <n v="87.25"/>
    <n v="3254715"/>
    <n v="190081"/>
    <d v="2012-11-16T00:00:00"/>
  </r>
  <r>
    <x v="90"/>
    <s v="Unknown"/>
    <s v="Trash"/>
    <x v="17"/>
    <s v="RockTenn"/>
    <m/>
    <n v="205"/>
    <n v="0.10249999999999999"/>
    <n v="-100"/>
    <n v="-10.25"/>
    <n v="0"/>
    <n v="-10.25"/>
    <n v="3254600"/>
    <n v="190081"/>
    <d v="2012-11-16T00:00:00"/>
  </r>
  <r>
    <x v="91"/>
    <s v="Delivered"/>
    <s v="Metal"/>
    <x v="20"/>
    <s v="Advantage Metal"/>
    <m/>
    <n v="237"/>
    <n v="0.11849999999999999"/>
    <n v="2.95"/>
    <n v="699.15"/>
    <n v="0"/>
    <n v="699.15"/>
    <s v="zhmouw"/>
    <m/>
    <m/>
  </r>
  <r>
    <x v="91"/>
    <s v="Delivered"/>
    <s v="Metal"/>
    <x v="23"/>
    <s v="Advantage Metal"/>
    <m/>
    <n v="355"/>
    <n v="0.17749999999999999"/>
    <n v="0.51"/>
    <n v="181.05"/>
    <n v="0"/>
    <n v="181.05"/>
    <s v="zhmouw"/>
    <m/>
    <m/>
  </r>
  <r>
    <x v="91"/>
    <s v="Delivered"/>
    <s v="Metal"/>
    <x v="24"/>
    <s v="Advantage Metal"/>
    <m/>
    <n v="28"/>
    <n v="1.4E-2"/>
    <n v="0.5"/>
    <n v="14"/>
    <n v="0"/>
    <n v="14"/>
    <s v="zhmouw"/>
    <m/>
    <m/>
  </r>
  <r>
    <x v="91"/>
    <s v="Delivered"/>
    <s v="Metal"/>
    <x v="25"/>
    <s v="Advantage Metal"/>
    <m/>
    <n v="169"/>
    <n v="8.4500000000000006E-2"/>
    <n v="1.41"/>
    <n v="238.29"/>
    <n v="0"/>
    <n v="238.29"/>
    <s v="zhmouw"/>
    <m/>
    <m/>
  </r>
  <r>
    <x v="91"/>
    <s v="Delivered"/>
    <s v="Metal"/>
    <x v="26"/>
    <s v="Advantage Metal"/>
    <m/>
    <n v="138"/>
    <n v="6.9000000000000006E-2"/>
    <n v="0.55000000000000004"/>
    <n v="75.900000000000006"/>
    <n v="0"/>
    <n v="75.900000000000006"/>
    <s v="zhmouw"/>
    <m/>
    <m/>
  </r>
  <r>
    <x v="91"/>
    <s v="Delivered"/>
    <s v="Metal"/>
    <x v="27"/>
    <s v="Advantage Metal"/>
    <m/>
    <n v="63"/>
    <n v="3.15E-2"/>
    <n v="0.35"/>
    <n v="22.05"/>
    <n v="0"/>
    <n v="22.05"/>
    <s v="zhmouw"/>
    <m/>
    <m/>
  </r>
  <r>
    <x v="91"/>
    <s v="CC compactor"/>
    <s v="Single Stream"/>
    <x v="11"/>
    <s v="RockTenn"/>
    <m/>
    <n v="5900"/>
    <n v="2.95"/>
    <n v="25"/>
    <n v="73.75"/>
    <n v="0"/>
    <n v="73.75"/>
    <n v="3254874"/>
    <n v="190157"/>
    <d v="2012-11-20T00:00:00"/>
  </r>
  <r>
    <x v="91"/>
    <s v="Warehouse"/>
    <s v="Glass"/>
    <x v="12"/>
    <s v="Ripple"/>
    <m/>
    <n v="336"/>
    <n v="0.16800000000000001"/>
    <m/>
    <m/>
    <m/>
    <m/>
    <m/>
    <m/>
    <m/>
  </r>
  <r>
    <x v="92"/>
    <s v="Warehouse"/>
    <s v="e-waste"/>
    <x v="8"/>
    <s v="Unicor"/>
    <m/>
    <n v="10142"/>
    <n v="5.0709999999999997"/>
    <m/>
    <m/>
    <m/>
    <m/>
    <m/>
    <m/>
    <m/>
  </r>
  <r>
    <x v="93"/>
    <s v="All/Dumpsters"/>
    <s v="Single Stream"/>
    <x v="11"/>
    <s v="RockTenn/Abitibi"/>
    <m/>
    <n v="5329"/>
    <n v="2.6644999999999999"/>
    <m/>
    <m/>
    <m/>
    <m/>
    <m/>
    <m/>
    <m/>
  </r>
  <r>
    <x v="94"/>
    <s v="Abitibi Correction"/>
    <s v="e-waste"/>
    <x v="28"/>
    <s v="RockTenn"/>
    <m/>
    <m/>
    <n v="0"/>
    <e v="#DIV/0!"/>
    <n v="486.4"/>
    <n v="0"/>
    <n v="486.4"/>
    <m/>
    <n v="191066"/>
    <d v="2012-12-06T00:00:00"/>
  </r>
  <r>
    <x v="95"/>
    <s v="CC compactor"/>
    <s v="Single Stream"/>
    <x v="11"/>
    <s v="RockTenn"/>
    <m/>
    <n v="1600"/>
    <n v="0.8"/>
    <n v="25"/>
    <n v="20"/>
    <n v="0"/>
    <n v="20"/>
    <n v="3255584"/>
    <n v="194033"/>
    <d v="2013-01-08T00:00:00"/>
  </r>
  <r>
    <x v="96"/>
    <s v="Warehouse"/>
    <s v="Glass"/>
    <x v="12"/>
    <s v="Ripple"/>
    <m/>
    <n v="336"/>
    <n v="0.16800000000000001"/>
    <m/>
    <m/>
    <m/>
    <m/>
    <m/>
    <m/>
    <m/>
  </r>
  <r>
    <x v="96"/>
    <s v="CC compactor"/>
    <s v="Single Stream"/>
    <x v="11"/>
    <s v="RockTenn"/>
    <m/>
    <n v="9680"/>
    <n v="4.84"/>
    <n v="25"/>
    <n v="121"/>
    <n v="0"/>
    <n v="121"/>
    <n v="3255584"/>
    <n v="194033"/>
    <d v="2013-01-08T00:00:00"/>
  </r>
  <r>
    <x v="96"/>
    <s v="CSB Trailer"/>
    <s v="Paper"/>
    <x v="0"/>
    <s v="RockTenn"/>
    <m/>
    <n v="8615"/>
    <n v="4.3075000000000001"/>
    <n v="70.001160766105627"/>
    <n v="301.52999999999997"/>
    <n v="0"/>
    <n v="301.52999999999997"/>
    <n v="3255696"/>
    <n v="194823"/>
    <d v="2013-01-07T00:00:00"/>
  </r>
  <r>
    <x v="96"/>
    <s v="CSB Trailer"/>
    <s v="Paper"/>
    <x v="4"/>
    <s v="RockTenn"/>
    <m/>
    <n v="435"/>
    <n v="0.2175"/>
    <n v="5.0114942528735638"/>
    <n v="1.0900000000000001"/>
    <n v="0"/>
    <n v="1.0900000000000001"/>
    <n v="3255696"/>
    <n v="194823"/>
    <d v="2013-01-07T00:00:00"/>
  </r>
  <r>
    <x v="96"/>
    <s v="CSB Trailer"/>
    <s v="Paper"/>
    <x v="3"/>
    <s v="RockTenn"/>
    <m/>
    <n v="3365"/>
    <n v="1.6825000000000001"/>
    <n v="60"/>
    <n v="100.95"/>
    <n v="0"/>
    <n v="100.95"/>
    <n v="3255696"/>
    <n v="194823"/>
    <d v="2013-01-07T00:00:00"/>
  </r>
  <r>
    <x v="97"/>
    <s v="south compactor"/>
    <s v="Trash"/>
    <x v="29"/>
    <s v="Deffenbaugh"/>
    <m/>
    <n v="1925"/>
    <n v="0.96250000000000002"/>
    <m/>
    <m/>
    <m/>
    <n v="-96.25"/>
    <n v="3255696"/>
    <n v="194033"/>
    <d v="2013-01-08T00:00:00"/>
  </r>
  <r>
    <x v="97"/>
    <s v="south compactor"/>
    <s v="Trash"/>
    <x v="29"/>
    <s v="RockTenn"/>
    <m/>
    <n v="1925"/>
    <n v="0.96250000000000002"/>
    <n v="-100"/>
    <n v="-96.25"/>
    <n v="0"/>
    <n v="-96.25"/>
    <n v="3255696"/>
    <n v="194033"/>
    <d v="2013-01-08T00:00:00"/>
  </r>
  <r>
    <x v="98"/>
    <s v="south Compound"/>
    <s v="Metal"/>
    <x v="19"/>
    <s v="Advantage Metal"/>
    <m/>
    <n v="3200"/>
    <n v="1.6"/>
    <n v="7.0000000000000007E-2"/>
    <n v="224"/>
    <n v="180"/>
    <n v="44"/>
    <s v="TLXQKL"/>
    <m/>
    <m/>
  </r>
  <r>
    <x v="99"/>
    <s v="All/Dumpsters"/>
    <s v="Single Stream"/>
    <x v="11"/>
    <s v="RockTenn/Abitibi"/>
    <m/>
    <n v="5329"/>
    <n v="2.6644999999999999"/>
    <m/>
    <m/>
    <m/>
    <m/>
    <m/>
    <m/>
    <m/>
  </r>
  <r>
    <x v="100"/>
    <s v="CC compactor"/>
    <s v="Single Stream"/>
    <x v="11"/>
    <s v="RockTenn"/>
    <m/>
    <n v="9740"/>
    <n v="4.87"/>
    <n v="25"/>
    <n v="121.75"/>
    <n v="0"/>
    <n v="121.75"/>
    <n v="3256283"/>
    <m/>
    <d v="2013-02-11T00:00:00"/>
  </r>
  <r>
    <x v="100"/>
    <s v="south Compound"/>
    <s v="Trash"/>
    <x v="29"/>
    <s v="RockTenn"/>
    <m/>
    <n v="9500"/>
    <n v="4.75"/>
    <n v="-100"/>
    <n v="-475"/>
    <n v="0"/>
    <n v="-475"/>
    <n v="3256208"/>
    <m/>
    <d v="2013-02-11T00:00:00"/>
  </r>
  <r>
    <x v="100"/>
    <s v="south Compound"/>
    <s v="Trash"/>
    <x v="29"/>
    <s v="Deffenbaugh"/>
    <m/>
    <n v="0"/>
    <n v="0"/>
    <m/>
    <m/>
    <m/>
    <n v="510"/>
    <m/>
    <n v="201385"/>
    <m/>
  </r>
  <r>
    <x v="101"/>
    <s v="south Compound"/>
    <s v="Trash"/>
    <x v="29"/>
    <s v="RockTenn"/>
    <m/>
    <n v="700"/>
    <n v="0.35"/>
    <n v="-100"/>
    <n v="-35"/>
    <n v="0"/>
    <n v="-35"/>
    <n v="356277"/>
    <m/>
    <d v="2013-02-11T00:00:00"/>
  </r>
  <r>
    <x v="102"/>
    <s v="Warehouse"/>
    <s v="Glass"/>
    <x v="12"/>
    <s v="Ripple"/>
    <m/>
    <n v="336"/>
    <n v="0.16800000000000001"/>
    <m/>
    <m/>
    <m/>
    <m/>
    <m/>
    <m/>
    <m/>
  </r>
  <r>
    <x v="103"/>
    <s v="South Compound 20yd"/>
    <s v="Wood"/>
    <x v="30"/>
    <s v="Missouri Organic"/>
    <m/>
    <n v="3440"/>
    <n v="1.72"/>
    <n v="0"/>
    <n v="0"/>
    <n v="210"/>
    <m/>
    <n v="4263"/>
    <m/>
    <m/>
  </r>
  <r>
    <x v="104"/>
    <s v="CSB Trailer"/>
    <s v="Paper"/>
    <x v="0"/>
    <s v="RockTenn"/>
    <m/>
    <n v="8600"/>
    <n v="4.3"/>
    <n v="80"/>
    <n v="344"/>
    <n v="0"/>
    <n v="344"/>
    <n v="486403"/>
    <m/>
    <d v="2013-02-11T00:00:00"/>
  </r>
  <r>
    <x v="104"/>
    <s v="CSB Trailer"/>
    <s v="Paper"/>
    <x v="4"/>
    <s v="RockTenn"/>
    <m/>
    <n v="200"/>
    <n v="0.1"/>
    <n v="5"/>
    <n v="0.5"/>
    <n v="0"/>
    <n v="0.5"/>
    <n v="486403"/>
    <m/>
    <d v="2013-02-11T00:00:00"/>
  </r>
  <r>
    <x v="104"/>
    <s v="CSB Trailer"/>
    <s v="Paper"/>
    <x v="3"/>
    <s v="RockTenn"/>
    <m/>
    <n v="2470"/>
    <n v="1.2350000000000001"/>
    <n v="59.999999999999993"/>
    <n v="74.099999999999994"/>
    <n v="0"/>
    <n v="74.099999999999994"/>
    <n v="486403"/>
    <m/>
    <d v="2013-02-11T00:00:00"/>
  </r>
  <r>
    <x v="105"/>
    <s v="CC compactor"/>
    <s v="Single Stream"/>
    <x v="11"/>
    <s v="RockTenn"/>
    <m/>
    <n v="7920"/>
    <n v="3.96"/>
    <n v="25"/>
    <n v="99"/>
    <n v="0"/>
    <n v="99"/>
    <n v="3256769"/>
    <n v="198300"/>
    <d v="2013-02-25T00:00:00"/>
  </r>
  <r>
    <x v="106"/>
    <s v="All/Dumpsters"/>
    <s v="Single Stream"/>
    <x v="11"/>
    <s v="Deffenbaugh"/>
    <m/>
    <n v="5000"/>
    <n v="2.5"/>
    <m/>
    <m/>
    <m/>
    <m/>
    <m/>
    <m/>
    <m/>
  </r>
  <r>
    <x v="106"/>
    <s v="Warehouse"/>
    <s v="e-waste"/>
    <x v="9"/>
    <s v="Call2recycle"/>
    <m/>
    <s v="?"/>
    <s v="?"/>
    <m/>
    <m/>
    <m/>
    <m/>
    <m/>
    <m/>
    <m/>
  </r>
  <r>
    <x v="106"/>
    <s v="Book  Store"/>
    <s v="e-waste"/>
    <x v="10"/>
    <s v="One Planet books"/>
    <s v="530 boxes"/>
    <n v="21200"/>
    <n v="10.6"/>
    <m/>
    <m/>
    <m/>
    <n v="5300"/>
    <m/>
    <m/>
    <m/>
  </r>
  <r>
    <x v="106"/>
    <s v="south Compound"/>
    <s v="Compost"/>
    <x v="13"/>
    <s v="JCCC"/>
    <n v="111"/>
    <n v="38850"/>
    <n v="19.425000000000001"/>
    <m/>
    <m/>
    <m/>
    <m/>
    <m/>
    <m/>
    <m/>
  </r>
  <r>
    <x v="106"/>
    <s v="south Compound"/>
    <s v="Wood"/>
    <x v="14"/>
    <s v="JCCC"/>
    <n v="50"/>
    <n v="17500"/>
    <n v="8.75"/>
    <m/>
    <m/>
    <m/>
    <m/>
    <m/>
    <m/>
    <m/>
  </r>
  <r>
    <x v="107"/>
    <s v="south Compound"/>
    <s v="Metal"/>
    <x v="19"/>
    <s v="Advantage Metal"/>
    <m/>
    <n v="10780"/>
    <n v="5.39"/>
    <n v="0.10249999999999999"/>
    <n v="1104.95"/>
    <n v="180"/>
    <n v="924.95"/>
    <s v="tmjqtq"/>
    <m/>
    <m/>
  </r>
  <r>
    <x v="108"/>
    <s v="CC compactor"/>
    <s v="Single Stream"/>
    <x v="11"/>
    <s v="Deffenbaugh"/>
    <m/>
    <n v="3100"/>
    <n v="1.55"/>
    <n v="25"/>
    <n v="38.75"/>
    <n v="0"/>
    <n v="38.75"/>
    <n v="3257044"/>
    <n v="199143"/>
    <m/>
  </r>
  <r>
    <x v="108"/>
    <s v="SC compactor"/>
    <s v="Single Stream"/>
    <x v="11"/>
    <s v="Deffenbaugh"/>
    <m/>
    <n v="9520"/>
    <n v="4.76"/>
    <n v="25"/>
    <n v="119"/>
    <n v="0"/>
    <n v="119"/>
    <n v="3257054"/>
    <n v="199143"/>
    <m/>
  </r>
  <r>
    <x v="109"/>
    <s v="Gym"/>
    <s v="Wood"/>
    <x v="31"/>
    <s v="BCD sales"/>
    <n v="30"/>
    <n v="1110"/>
    <n v="0.55500000000000005"/>
    <m/>
    <m/>
    <m/>
    <n v="72"/>
    <m/>
    <m/>
    <m/>
  </r>
  <r>
    <x v="110"/>
    <s v="CSB Trailer"/>
    <s v="Paper"/>
    <x v="0"/>
    <s v="RockTenn"/>
    <m/>
    <n v="7635"/>
    <n v="3.8174999999999999"/>
    <n v="80"/>
    <n v="305.39999999999998"/>
    <n v="0"/>
    <n v="305.39999999999998"/>
    <n v="3257303"/>
    <n v="200210"/>
    <m/>
  </r>
  <r>
    <x v="110"/>
    <s v="CSB Trailer"/>
    <s v="Paper"/>
    <x v="3"/>
    <s v="RockTenn"/>
    <m/>
    <n v="2955"/>
    <n v="1.4775"/>
    <n v="60"/>
    <n v="88.65"/>
    <n v="0"/>
    <n v="88.65"/>
    <n v="3257303"/>
    <n v="200210"/>
    <m/>
  </r>
  <r>
    <x v="111"/>
    <s v="South Compound 20yd"/>
    <s v="Wood"/>
    <x v="30"/>
    <s v="Missouri Organic"/>
    <m/>
    <n v="4420"/>
    <n v="2.21"/>
    <n v="0"/>
    <n v="0"/>
    <n v="210"/>
    <m/>
    <n v="4533"/>
    <m/>
    <m/>
  </r>
  <r>
    <x v="112"/>
    <s v="Warehouse"/>
    <s v="Glass"/>
    <x v="12"/>
    <s v="Ripple"/>
    <m/>
    <n v="336"/>
    <n v="0.16800000000000001"/>
    <m/>
    <m/>
    <m/>
    <m/>
    <m/>
    <m/>
    <m/>
  </r>
  <r>
    <x v="113"/>
    <s v="All/Dumpsters"/>
    <s v="Single Stream"/>
    <x v="11"/>
    <s v="Deffenbaugh"/>
    <m/>
    <n v="5000"/>
    <n v="2.5"/>
    <m/>
    <m/>
    <m/>
    <m/>
    <m/>
    <m/>
    <m/>
  </r>
  <r>
    <x v="114"/>
    <s v="south Compound"/>
    <s v="Metal"/>
    <x v="19"/>
    <s v="Advantage Metal"/>
    <m/>
    <n v="4620"/>
    <n v="2.31"/>
    <n v="9.2499999999999999E-2"/>
    <n v="427.35"/>
    <n v="180"/>
    <n v="247.35"/>
    <s v="TMTiHN"/>
    <m/>
    <m/>
  </r>
  <r>
    <x v="115"/>
    <s v="CC compactor"/>
    <s v="Single Stream"/>
    <x v="11"/>
    <s v="Deffenbaugh"/>
    <m/>
    <n v="7000"/>
    <n v="3.5"/>
    <m/>
    <m/>
    <m/>
    <m/>
    <m/>
    <m/>
    <m/>
  </r>
  <r>
    <x v="116"/>
    <s v="SC compactor"/>
    <s v="Single Stream"/>
    <x v="11"/>
    <s v="Town Country"/>
    <m/>
    <n v="5320"/>
    <n v="2.66"/>
    <n v="49"/>
    <n v="130.34"/>
    <n v="85"/>
    <n v="45.34"/>
    <n v="174786"/>
    <n v="200589"/>
    <d v="2013-03-27T00:00:00"/>
  </r>
  <r>
    <x v="117"/>
    <s v="Warehouse"/>
    <s v="e-waste"/>
    <x v="8"/>
    <s v="Unicor"/>
    <m/>
    <n v="4450"/>
    <n v="2.2250000000000001"/>
    <m/>
    <m/>
    <m/>
    <m/>
    <m/>
    <m/>
    <m/>
  </r>
  <r>
    <x v="118"/>
    <s v="South Compound 20yd"/>
    <s v="Wood"/>
    <x v="30"/>
    <s v="Missouri Organic"/>
    <m/>
    <n v="4840"/>
    <n v="2.42"/>
    <n v="0"/>
    <n v="0"/>
    <n v="210"/>
    <m/>
    <n v="4779"/>
    <m/>
    <m/>
  </r>
  <r>
    <x v="119"/>
    <s v="Warehouse"/>
    <s v="Glass"/>
    <x v="12"/>
    <s v="Ripple"/>
    <m/>
    <n v="336"/>
    <n v="0.16800000000000001"/>
    <m/>
    <m/>
    <m/>
    <m/>
    <m/>
    <m/>
    <m/>
  </r>
  <r>
    <x v="119"/>
    <s v="All/Dumpsters"/>
    <s v="Single Stream"/>
    <x v="11"/>
    <s v="Deffenbaugh"/>
    <m/>
    <n v="5000"/>
    <n v="2.5"/>
    <m/>
    <m/>
    <m/>
    <m/>
    <m/>
    <m/>
    <m/>
  </r>
  <r>
    <x v="119"/>
    <s v="Warehouse"/>
    <s v="e-waste"/>
    <x v="8"/>
    <s v="Vintage Tech"/>
    <m/>
    <n v="1825"/>
    <n v="0.91249999999999998"/>
    <m/>
    <m/>
    <m/>
    <m/>
    <m/>
    <m/>
    <m/>
  </r>
  <r>
    <x v="119"/>
    <s v="All/Dumpsters"/>
    <s v="Single Stream"/>
    <x v="11"/>
    <s v="Town Country"/>
    <m/>
    <n v="17347.2"/>
    <n v="8.6736000000000004"/>
    <m/>
    <m/>
    <m/>
    <m/>
    <m/>
    <m/>
    <m/>
  </r>
  <r>
    <x v="120"/>
    <s v="CC compactor"/>
    <s v="Single Stream"/>
    <x v="11"/>
    <s v="Town Country"/>
    <m/>
    <n v="6760"/>
    <n v="3.38"/>
    <n v="38.5"/>
    <n v="130.13"/>
    <n v="85"/>
    <n v="45.13"/>
    <n v="206154"/>
    <n v="230249"/>
    <d v="2014-04-02T00:00:00"/>
  </r>
  <r>
    <x v="121"/>
    <s v="CC compactor"/>
    <s v="Single Stream"/>
    <x v="11"/>
    <s v="Town Country"/>
    <m/>
    <n v="8740"/>
    <n v="4.37"/>
    <n v="49"/>
    <n v="214.13"/>
    <n v="85"/>
    <n v="129.13"/>
    <n v="176689"/>
    <n v="202290"/>
    <d v="2013-04-17T00:00:00"/>
  </r>
  <r>
    <x v="122"/>
    <s v="Gym"/>
    <s v="Metal"/>
    <x v="19"/>
    <s v="Advantage Metal"/>
    <m/>
    <n v="3160"/>
    <n v="1.58"/>
    <n v="9.5200000000000007E-2"/>
    <n v="331.8"/>
    <n v="180"/>
    <n v="151.80000000000001"/>
    <s v="TNDHHC"/>
    <n v="200106"/>
    <d v="2013-03-20T00:00:00"/>
  </r>
  <r>
    <x v="123"/>
    <s v="Gym"/>
    <s v="Metal"/>
    <x v="19"/>
    <s v="Advantage Metal"/>
    <m/>
    <n v="3580"/>
    <n v="1.79"/>
    <n v="0.105"/>
    <n v="375.9"/>
    <n v="180"/>
    <n v="195.9"/>
    <s v="TNDSXQ"/>
    <n v="200338"/>
    <d v="2013-03-25T00:00:00"/>
  </r>
  <r>
    <x v="124"/>
    <s v="Warehouse"/>
    <s v="Glass"/>
    <x v="12"/>
    <s v="Ripple"/>
    <m/>
    <n v="336"/>
    <n v="0.16800000000000001"/>
    <m/>
    <m/>
    <m/>
    <m/>
    <m/>
    <m/>
    <m/>
  </r>
  <r>
    <x v="125"/>
    <s v="CC compactor"/>
    <s v="Single Stream"/>
    <x v="11"/>
    <s v="Town Country"/>
    <m/>
    <n v="9680"/>
    <n v="4.84"/>
    <n v="49"/>
    <n v="237.16"/>
    <n v="85"/>
    <n v="152.16"/>
    <n v="178626"/>
    <n v="202290"/>
    <d v="2013-04-17T00:00:00"/>
  </r>
  <r>
    <x v="125"/>
    <s v="All/Dumpsters"/>
    <s v="Single Stream"/>
    <x v="11"/>
    <s v="Town Country"/>
    <m/>
    <n v="17347.2"/>
    <n v="8.6736000000000004"/>
    <m/>
    <m/>
    <m/>
    <m/>
    <m/>
    <m/>
    <m/>
  </r>
  <r>
    <x v="126"/>
    <s v="CSB Trailer"/>
    <s v="Paper"/>
    <x v="0"/>
    <s v="Town Country"/>
    <m/>
    <n v="12192"/>
    <n v="6.0960000000000001"/>
    <n v="126"/>
    <n v="768.1"/>
    <n v="100"/>
    <n v="668.1"/>
    <n v="178827"/>
    <n v="207227"/>
    <d v="2013-06-24T00:00:00"/>
  </r>
  <r>
    <x v="126"/>
    <s v="CSB Trailer"/>
    <s v="Cardboard"/>
    <x v="1"/>
    <s v="Town Country"/>
    <m/>
    <n v="448"/>
    <n v="0.224"/>
    <n v="90"/>
    <n v="20.16"/>
    <n v="0"/>
    <n v="20.16"/>
    <n v="178827"/>
    <n v="207227"/>
    <d v="2013-06-24T00:00:00"/>
  </r>
  <r>
    <x v="126"/>
    <s v="CSB Trailer"/>
    <s v="Paper"/>
    <x v="3"/>
    <s v="Town Country"/>
    <m/>
    <n v="187"/>
    <n v="9.35E-2"/>
    <n v="49.5"/>
    <n v="4.6500000000000004"/>
    <n v="0"/>
    <n v="4.6500000000000004"/>
    <n v="178827"/>
    <n v="207227"/>
    <d v="2013-06-24T00:00:00"/>
  </r>
  <r>
    <x v="126"/>
    <s v="CSB Trailer"/>
    <s v="Wood"/>
    <x v="31"/>
    <s v="Town Country"/>
    <m/>
    <n v="902"/>
    <n v="0.45100000000000001"/>
    <n v="0"/>
    <m/>
    <m/>
    <m/>
    <n v="178827"/>
    <n v="207227"/>
    <d v="2013-06-24T00:00:00"/>
  </r>
  <r>
    <x v="126"/>
    <s v="CSB Trailer"/>
    <s v="Single Stream"/>
    <x v="32"/>
    <s v="Town Country"/>
    <m/>
    <n v="1406"/>
    <n v="0.70299999999999996"/>
    <n v="49.52"/>
    <n v="4.6500000000000004"/>
    <n v="0"/>
    <n v="4.6500000000000004"/>
    <n v="178827"/>
    <n v="207227"/>
    <d v="2013-06-24T00:00:00"/>
  </r>
  <r>
    <x v="127"/>
    <s v="South compound 30yd"/>
    <s v="Wood"/>
    <x v="30"/>
    <s v="Missouri Organic"/>
    <m/>
    <n v="3760"/>
    <n v="1.88"/>
    <m/>
    <m/>
    <n v="230"/>
    <m/>
    <m/>
    <m/>
    <m/>
  </r>
  <r>
    <x v="127"/>
    <s v="south Compound"/>
    <s v="Metal"/>
    <x v="19"/>
    <s v="Advantage Metal"/>
    <m/>
    <n v="7560"/>
    <n v="3.78"/>
    <n v="0.1"/>
    <n v="756"/>
    <n v="180"/>
    <n v="576"/>
    <s v="TNJSOP"/>
    <m/>
    <m/>
  </r>
  <r>
    <x v="128"/>
    <s v="SC compactor"/>
    <s v="Single Stream"/>
    <x v="11"/>
    <s v="Town Country"/>
    <m/>
    <n v="5540"/>
    <n v="2.77"/>
    <n v="49"/>
    <n v="135.72999999999999"/>
    <n v="85"/>
    <n v="50.73"/>
    <n v="179724"/>
    <n v="207227"/>
    <d v="2013-06-24T00:00:00"/>
  </r>
  <r>
    <x v="129"/>
    <s v="CC compactor"/>
    <s v="Single Stream"/>
    <x v="11"/>
    <s v="Town Country"/>
    <m/>
    <n v="10320"/>
    <n v="5.16"/>
    <n v="49"/>
    <n v="252.84"/>
    <n v="85"/>
    <n v="167.84"/>
    <n v="181018"/>
    <n v="207227"/>
    <d v="2013-06-24T00:00:00"/>
  </r>
  <r>
    <x v="130"/>
    <s v="Warehouse"/>
    <s v="Glass"/>
    <x v="12"/>
    <s v="Ripple"/>
    <m/>
    <n v="336"/>
    <n v="0.16800000000000001"/>
    <m/>
    <m/>
    <m/>
    <m/>
    <m/>
    <m/>
    <m/>
  </r>
  <r>
    <x v="131"/>
    <s v="South compound 30yd"/>
    <s v="Wood"/>
    <x v="30"/>
    <s v="Missouri Organic"/>
    <m/>
    <n v="4740"/>
    <n v="2.37"/>
    <m/>
    <m/>
    <n v="230"/>
    <m/>
    <m/>
    <m/>
    <m/>
  </r>
  <r>
    <x v="131"/>
    <s v="All/Dumpsters"/>
    <s v="Single Stream"/>
    <x v="11"/>
    <s v="Town Country"/>
    <m/>
    <n v="17347.2"/>
    <n v="2.37"/>
    <m/>
    <m/>
    <m/>
    <m/>
    <m/>
    <m/>
    <m/>
  </r>
  <r>
    <x v="132"/>
    <s v="South compound 30yd"/>
    <s v="Wood"/>
    <x v="30"/>
    <s v="Missouri Organic"/>
    <m/>
    <n v="3840"/>
    <n v="1.92"/>
    <m/>
    <m/>
    <n v="230"/>
    <m/>
    <m/>
    <m/>
    <m/>
  </r>
  <r>
    <x v="133"/>
    <s v="south Compound"/>
    <s v="Metal"/>
    <x v="19"/>
    <s v="Advantage Metal"/>
    <m/>
    <n v="7000"/>
    <n v="3.5"/>
    <n v="8.5000000000000006E-2"/>
    <n v="595"/>
    <n v="180"/>
    <n v="415"/>
    <s v="TNVQPE"/>
    <n v="205135"/>
    <d v="2013-05-24T00:00:00"/>
  </r>
  <r>
    <x v="133"/>
    <s v="CC compactor"/>
    <s v="Single Stream"/>
    <x v="11"/>
    <s v="Town Country"/>
    <m/>
    <n v="15600"/>
    <n v="7.8"/>
    <n v="45.5"/>
    <n v="354.9"/>
    <n v="85"/>
    <n v="269.89999999999998"/>
    <n v="183227"/>
    <n v="208258"/>
    <d v="2013-07-10T00:00:00"/>
  </r>
  <r>
    <x v="134"/>
    <s v="Warehouse"/>
    <s v="Glass"/>
    <x v="12"/>
    <s v="Ripple"/>
    <m/>
    <n v="336"/>
    <n v="0.16800000000000001"/>
    <m/>
    <m/>
    <m/>
    <m/>
    <m/>
    <m/>
    <m/>
  </r>
  <r>
    <x v="135"/>
    <s v="All/Dumpsters"/>
    <s v="Single Stream"/>
    <x v="11"/>
    <s v="Town Country"/>
    <m/>
    <n v="17347.2"/>
    <n v="7.8"/>
    <m/>
    <m/>
    <m/>
    <m/>
    <m/>
    <m/>
    <m/>
  </r>
  <r>
    <x v="136"/>
    <s v="South compound 30yd"/>
    <s v="Wood"/>
    <x v="30"/>
    <s v="Missouri Organic"/>
    <m/>
    <n v="11140"/>
    <n v="5.57"/>
    <m/>
    <m/>
    <n v="230"/>
    <m/>
    <n v="5790"/>
    <m/>
    <m/>
  </r>
  <r>
    <x v="137"/>
    <s v="Warehouse"/>
    <s v="e-waste"/>
    <x v="8"/>
    <s v="MRC"/>
    <n v="3"/>
    <n v="3013"/>
    <n v="1.5065"/>
    <m/>
    <m/>
    <m/>
    <m/>
    <m/>
    <m/>
    <m/>
  </r>
  <r>
    <x v="138"/>
    <s v="Warehouse"/>
    <s v="e-waste"/>
    <x v="8"/>
    <s v="MRC"/>
    <n v="2"/>
    <n v="1854"/>
    <n v="0.92700000000000005"/>
    <m/>
    <m/>
    <m/>
    <m/>
    <m/>
    <m/>
    <m/>
  </r>
  <r>
    <x v="139"/>
    <s v="CSB Trailer"/>
    <s v="Paper"/>
    <x v="0"/>
    <s v="Town Country"/>
    <m/>
    <n v="13336"/>
    <n v="6.6680000000000001"/>
    <n v="112.5"/>
    <n v="750.15"/>
    <n v="100"/>
    <n v="650.15"/>
    <n v="185343"/>
    <n v="214007"/>
    <d v="2013-09-05T00:00:00"/>
  </r>
  <r>
    <x v="139"/>
    <s v="CSB Trailer"/>
    <s v="Paper"/>
    <x v="0"/>
    <s v="Town Country"/>
    <m/>
    <n v="240"/>
    <n v="0.12"/>
    <n v="81"/>
    <n v="9.7200000000000006"/>
    <n v="0"/>
    <n v="9.7200000000000006"/>
    <n v="185343"/>
    <n v="214007"/>
    <d v="2013-09-0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grandTotalCaption="Grand Total 2014" updatedVersion="4" minRefreshableVersion="3" useAutoFormatting="1" itemPrintTitles="1" createdVersion="4" indent="0" outline="1" outlineData="1" multipleFieldFilters="0">
  <location ref="A3:C10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4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4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:G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5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3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Q3:S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6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4">
      <autoFilter ref="A1">
        <filterColumn colId="0">
          <customFilters and="1">
            <customFilter operator="greaterThanOrEqual" val="40179"/>
            <customFilter operator="lessThanOrEqual" val="4054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K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7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4">
      <autoFilter ref="A1">
        <filterColumn colId="0">
          <customFilters and="1">
            <customFilter operator="greaterThanOrEqual" val="40909"/>
            <customFilter operator="lessThanOrEqual" val="4127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O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8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4">
      <autoFilter ref="A1">
        <filterColumn colId="0">
          <customFilters and="1">
            <customFilter operator="greaterThanOrEqual" val="40544"/>
            <customFilter operator="lessThanOrEqual" val="409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24" firstHeaderRow="1" firstDataRow="2" firstDataCol="1"/>
  <pivotFields count="15">
    <pivotField axis="axisRow" showAll="0" sortType="ascending">
      <items count="2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23"/>
        <item x="217"/>
        <item x="218"/>
        <item x="219"/>
        <item x="220"/>
        <item x="221"/>
        <item x="224"/>
        <item x="222"/>
        <item t="default"/>
      </items>
    </pivotField>
    <pivotField showAll="0"/>
    <pivotField showAll="0" defaultSubtotal="0"/>
    <pivotField axis="axisRow" showAll="0" sortType="ascending">
      <items count="49">
        <item x="20"/>
        <item x="47"/>
        <item x="45"/>
        <item x="26"/>
        <item x="21"/>
        <item x="39"/>
        <item x="38"/>
        <item x="28"/>
        <item x="27"/>
        <item x="44"/>
        <item x="24"/>
        <item x="23"/>
        <item x="37"/>
        <item x="15"/>
        <item x="9"/>
        <item x="3"/>
        <item x="10"/>
        <item x="7"/>
        <item x="33"/>
        <item x="32"/>
        <item x="16"/>
        <item x="25"/>
        <item x="8"/>
        <item x="22"/>
        <item x="17"/>
        <item x="12"/>
        <item x="13"/>
        <item x="34"/>
        <item x="40"/>
        <item x="41"/>
        <item x="18"/>
        <item x="4"/>
        <item x="5"/>
        <item x="42"/>
        <item x="1"/>
        <item x="43"/>
        <item x="0"/>
        <item x="31"/>
        <item x="2"/>
        <item x="19"/>
        <item x="11"/>
        <item x="36"/>
        <item x="29"/>
        <item x="35"/>
        <item x="6"/>
        <item x="14"/>
        <item x="30"/>
        <item x="4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20">
    <i>
      <x v="181"/>
    </i>
    <i r="1">
      <x v="22"/>
    </i>
    <i r="1">
      <x v="37"/>
    </i>
    <i r="1">
      <x v="40"/>
    </i>
    <i>
      <x v="182"/>
    </i>
    <i r="1">
      <x v="40"/>
    </i>
    <i>
      <x v="183"/>
    </i>
    <i r="1">
      <x v="25"/>
    </i>
    <i r="1">
      <x v="46"/>
    </i>
    <i>
      <x v="184"/>
    </i>
    <i r="1">
      <x v="40"/>
    </i>
    <i>
      <x v="185"/>
    </i>
    <i r="1">
      <x v="34"/>
    </i>
    <i r="1">
      <x v="36"/>
    </i>
    <i>
      <x v="186"/>
    </i>
    <i r="1">
      <x v="46"/>
    </i>
    <i>
      <x v="187"/>
    </i>
    <i r="1">
      <x v="37"/>
    </i>
    <i>
      <x v="188"/>
    </i>
    <i r="1">
      <x v="25"/>
    </i>
    <i r="1">
      <x v="40"/>
    </i>
    <i>
      <x v="189"/>
    </i>
    <i r="1">
      <x v="39"/>
    </i>
    <i>
      <x v="190"/>
    </i>
    <i r="1">
      <x v="10"/>
    </i>
    <i r="1">
      <x v="28"/>
    </i>
    <i r="1">
      <x v="29"/>
    </i>
    <i r="1">
      <x v="33"/>
    </i>
    <i r="1">
      <x v="37"/>
    </i>
    <i r="1">
      <x v="39"/>
    </i>
    <i>
      <x v="191"/>
    </i>
    <i r="1">
      <x v="25"/>
    </i>
    <i r="1">
      <x v="34"/>
    </i>
    <i r="1">
      <x v="35"/>
    </i>
    <i r="1">
      <x v="36"/>
    </i>
    <i r="1">
      <x v="40"/>
    </i>
    <i>
      <x v="192"/>
    </i>
    <i r="1">
      <x v="36"/>
    </i>
    <i>
      <x v="193"/>
    </i>
    <i r="1">
      <x v="40"/>
    </i>
    <i r="1">
      <x v="46"/>
    </i>
    <i>
      <x v="194"/>
    </i>
    <i r="1">
      <x v="41"/>
    </i>
    <i>
      <x v="195"/>
    </i>
    <i r="1">
      <x v="25"/>
    </i>
    <i r="1">
      <x v="37"/>
    </i>
    <i r="1">
      <x v="40"/>
    </i>
    <i>
      <x v="196"/>
    </i>
    <i r="1">
      <x v="22"/>
    </i>
    <i>
      <x v="197"/>
    </i>
    <i r="1">
      <x v="46"/>
    </i>
    <i>
      <x v="198"/>
    </i>
    <i r="1">
      <x v="40"/>
    </i>
    <i>
      <x v="199"/>
    </i>
    <i r="1">
      <x v="25"/>
    </i>
    <i r="1">
      <x v="40"/>
    </i>
    <i>
      <x v="200"/>
    </i>
    <i r="1">
      <x v="39"/>
    </i>
    <i>
      <x v="201"/>
    </i>
    <i r="1">
      <x v="40"/>
    </i>
    <i>
      <x v="202"/>
    </i>
    <i r="1">
      <x v="1"/>
    </i>
    <i r="1">
      <x v="2"/>
    </i>
    <i r="1">
      <x v="9"/>
    </i>
    <i r="1">
      <x v="28"/>
    </i>
    <i r="1">
      <x v="47"/>
    </i>
    <i>
      <x v="203"/>
    </i>
    <i r="1">
      <x v="34"/>
    </i>
    <i r="1">
      <x v="35"/>
    </i>
    <i r="1">
      <x v="36"/>
    </i>
    <i>
      <x v="204"/>
    </i>
    <i r="1">
      <x v="25"/>
    </i>
    <i r="1">
      <x v="40"/>
    </i>
    <i>
      <x v="205"/>
    </i>
    <i r="1">
      <x v="36"/>
    </i>
    <i>
      <x v="206"/>
    </i>
    <i r="1">
      <x v="40"/>
    </i>
    <i>
      <x v="207"/>
    </i>
    <i r="1">
      <x v="34"/>
    </i>
    <i r="1">
      <x v="35"/>
    </i>
    <i>
      <x v="208"/>
    </i>
    <i r="1">
      <x v="25"/>
    </i>
    <i r="1">
      <x v="40"/>
    </i>
    <i>
      <x v="209"/>
    </i>
    <i r="1">
      <x v="46"/>
    </i>
    <i>
      <x v="210"/>
    </i>
    <i r="1">
      <x v="22"/>
    </i>
    <i>
      <x v="211"/>
    </i>
    <i r="1">
      <x v="40"/>
    </i>
    <i>
      <x v="212"/>
    </i>
    <i r="1">
      <x v="22"/>
    </i>
    <i r="1">
      <x v="40"/>
    </i>
    <i>
      <x v="213"/>
    </i>
    <i r="1">
      <x v="41"/>
    </i>
    <i>
      <x v="214"/>
    </i>
    <i r="1">
      <x v="40"/>
    </i>
    <i>
      <x v="215"/>
    </i>
    <i r="1">
      <x v="46"/>
    </i>
    <i>
      <x v="216"/>
    </i>
    <i r="1">
      <x v="40"/>
    </i>
    <i>
      <x v="217"/>
    </i>
    <i r="1">
      <x v="34"/>
    </i>
    <i r="1">
      <x v="35"/>
    </i>
    <i r="1">
      <x v="36"/>
    </i>
    <i>
      <x v="218"/>
    </i>
    <i r="1">
      <x v="40"/>
    </i>
    <i>
      <x v="219"/>
    </i>
    <i r="1">
      <x v="37"/>
    </i>
    <i>
      <x v="220"/>
    </i>
    <i r="1">
      <x v="22"/>
    </i>
    <i>
      <x v="221"/>
    </i>
    <i r="1">
      <x v="37"/>
    </i>
    <i>
      <x v="222"/>
    </i>
    <i r="1">
      <x v="39"/>
    </i>
    <i>
      <x v="223"/>
    </i>
    <i r="1">
      <x v="37"/>
    </i>
    <i>
      <x v="224"/>
    </i>
    <i r="1">
      <x v="26"/>
    </i>
    <i r="1">
      <x v="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144"/>
  </dataFields>
  <formats count="1">
    <format dxfId="13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filters count="1">
    <filter fld="0" type="dateBetween" evalOrder="-1" id="3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O91" firstHeaderRow="0" firstDataRow="1" firstDataCol="1"/>
  <pivotFields count="15">
    <pivotField axis="axisRow" numFmtId="14" showAll="0" sortType="ascending">
      <items count="2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23"/>
        <item x="217"/>
        <item x="218"/>
        <item x="219"/>
        <item x="220"/>
        <item x="221"/>
        <item x="224"/>
        <item x="222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19"/>
        <item x="11"/>
        <item x="29"/>
        <item x="30"/>
        <item x="2"/>
        <item x="5"/>
        <item x="6"/>
        <item x="7"/>
        <item x="31"/>
        <item x="13"/>
        <item x="1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88">
    <i>
      <x v="14"/>
    </i>
    <i r="1">
      <x v="22"/>
    </i>
    <i r="1">
      <x v="28"/>
    </i>
    <i>
      <x v="15"/>
    </i>
    <i r="1">
      <x v="9"/>
    </i>
    <i r="1">
      <x v="22"/>
    </i>
    <i r="1">
      <x v="23"/>
    </i>
    <i r="1">
      <x v="28"/>
    </i>
    <i>
      <x v="16"/>
    </i>
    <i r="1">
      <x v="9"/>
    </i>
    <i r="1">
      <x v="22"/>
    </i>
    <i r="1">
      <x v="23"/>
    </i>
    <i r="1">
      <x v="28"/>
    </i>
    <i>
      <x v="17"/>
    </i>
    <i r="1">
      <x v="9"/>
    </i>
    <i r="1">
      <x v="22"/>
    </i>
    <i r="1">
      <x v="23"/>
    </i>
    <i r="1">
      <x v="28"/>
    </i>
    <i>
      <x v="18"/>
    </i>
    <i r="1">
      <x v="9"/>
    </i>
    <i r="1">
      <x v="22"/>
    </i>
    <i r="1">
      <x v="23"/>
    </i>
    <i r="1">
      <x v="28"/>
    </i>
    <i r="1">
      <x v="29"/>
    </i>
    <i>
      <x v="19"/>
    </i>
    <i r="1">
      <x v="22"/>
    </i>
    <i r="1">
      <x v="23"/>
    </i>
    <i r="1">
      <x v="28"/>
    </i>
    <i r="1">
      <x v="29"/>
    </i>
    <i>
      <x v="20"/>
    </i>
    <i r="1">
      <x v="25"/>
    </i>
    <i>
      <x v="21"/>
    </i>
    <i r="1">
      <x v="22"/>
    </i>
    <i r="1">
      <x v="23"/>
    </i>
    <i r="1">
      <x v="25"/>
    </i>
    <i r="1">
      <x v="28"/>
    </i>
    <i>
      <x v="22"/>
    </i>
    <i r="1">
      <x v="25"/>
    </i>
    <i>
      <x v="23"/>
    </i>
    <i r="1">
      <x v="25"/>
    </i>
    <i>
      <x v="24"/>
    </i>
    <i r="1">
      <x v="9"/>
    </i>
    <i r="1">
      <x v="22"/>
    </i>
    <i r="1">
      <x v="23"/>
    </i>
    <i r="1">
      <x v="25"/>
    </i>
    <i r="1">
      <x v="28"/>
    </i>
    <i>
      <x v="25"/>
    </i>
    <i r="1">
      <x v="22"/>
    </i>
    <i r="1">
      <x v="23"/>
    </i>
    <i>
      <x v="26"/>
    </i>
    <i r="1">
      <x v="25"/>
    </i>
    <i>
      <x v="27"/>
    </i>
    <i r="1">
      <x v="25"/>
    </i>
    <i>
      <x v="28"/>
    </i>
    <i r="1">
      <x v="18"/>
    </i>
    <i>
      <x v="29"/>
    </i>
    <i r="1">
      <x v="25"/>
    </i>
    <i>
      <x v="30"/>
    </i>
    <i r="1">
      <x v="22"/>
    </i>
    <i r="1">
      <x v="23"/>
    </i>
    <i>
      <x v="31"/>
    </i>
    <i r="1">
      <x v="25"/>
    </i>
    <i>
      <x v="32"/>
    </i>
    <i r="1">
      <x v="25"/>
    </i>
    <i>
      <x v="33"/>
    </i>
    <i r="1">
      <x v="25"/>
    </i>
    <i>
      <x v="34"/>
    </i>
    <i r="1">
      <x v="25"/>
    </i>
    <i>
      <x v="35"/>
    </i>
    <i r="1">
      <x v="9"/>
    </i>
    <i r="1">
      <x v="22"/>
    </i>
    <i r="1">
      <x v="23"/>
    </i>
    <i>
      <x v="36"/>
    </i>
    <i r="1">
      <x v="25"/>
    </i>
    <i>
      <x v="37"/>
    </i>
    <i r="1">
      <x v="18"/>
    </i>
    <i>
      <x v="38"/>
    </i>
    <i r="1">
      <x v="25"/>
    </i>
    <i>
      <x v="39"/>
    </i>
    <i r="1">
      <x v="25"/>
    </i>
    <i>
      <x v="40"/>
    </i>
    <i r="1">
      <x v="25"/>
    </i>
    <i>
      <x v="41"/>
    </i>
    <i r="1">
      <x v="8"/>
    </i>
    <i r="1">
      <x v="10"/>
    </i>
    <i r="1">
      <x v="33"/>
    </i>
    <i r="1"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0"/>
  </dataFields>
  <pivotTableStyleInfo name="PivotStyleLight16" showRowHeaders="1" showColHeaders="1" showRowStripes="0" showColStripes="0" showLastColumn="1"/>
  <filters count="1">
    <filter fld="0" type="dateBetween" evalOrder="-1" id="11">
      <autoFilter ref="A1">
        <filterColumn colId="0">
          <customFilters and="1">
            <customFilter operator="greaterThanOrEqual" val="40544"/>
            <customFilter operator="lessThanOrEqual" val="409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Q3:S73" firstHeaderRow="0" firstDataRow="1" firstDataCol="1"/>
  <pivotFields count="15">
    <pivotField axis="axisRow" numFmtId="14" showAll="0" sortType="ascending">
      <items count="2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23"/>
        <item x="217"/>
        <item x="218"/>
        <item x="219"/>
        <item x="220"/>
        <item x="221"/>
        <item x="224"/>
        <item x="222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19"/>
        <item x="11"/>
        <item x="29"/>
        <item x="30"/>
        <item x="2"/>
        <item x="5"/>
        <item x="6"/>
        <item x="7"/>
        <item x="31"/>
        <item x="13"/>
        <item x="1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70">
    <i>
      <x/>
    </i>
    <i r="1">
      <x v="22"/>
    </i>
    <i r="1">
      <x v="23"/>
    </i>
    <i r="1">
      <x v="28"/>
    </i>
    <i>
      <x v="1"/>
    </i>
    <i r="1">
      <x v="9"/>
    </i>
    <i r="1">
      <x v="22"/>
    </i>
    <i r="1">
      <x v="23"/>
    </i>
    <i r="1">
      <x v="28"/>
    </i>
    <i>
      <x v="2"/>
    </i>
    <i r="1">
      <x v="9"/>
    </i>
    <i r="1">
      <x v="21"/>
    </i>
    <i r="1">
      <x v="22"/>
    </i>
    <i r="1">
      <x v="23"/>
    </i>
    <i r="1">
      <x v="28"/>
    </i>
    <i r="1">
      <x v="29"/>
    </i>
    <i r="1">
      <x v="30"/>
    </i>
    <i>
      <x v="3"/>
    </i>
    <i r="1">
      <x v="22"/>
    </i>
    <i r="1">
      <x v="23"/>
    </i>
    <i r="1">
      <x v="28"/>
    </i>
    <i>
      <x v="4"/>
    </i>
    <i r="1">
      <x v="9"/>
    </i>
    <i r="1">
      <x v="22"/>
    </i>
    <i r="1">
      <x v="23"/>
    </i>
    <i r="1">
      <x v="28"/>
    </i>
    <i r="1">
      <x v="31"/>
    </i>
    <i>
      <x v="5"/>
    </i>
    <i r="1">
      <x v="9"/>
    </i>
    <i r="1">
      <x v="22"/>
    </i>
    <i r="1">
      <x v="23"/>
    </i>
    <i r="1">
      <x v="28"/>
    </i>
    <i>
      <x v="6"/>
    </i>
    <i r="1">
      <x v="9"/>
    </i>
    <i r="1">
      <x v="22"/>
    </i>
    <i r="1">
      <x v="23"/>
    </i>
    <i r="1">
      <x v="28"/>
    </i>
    <i>
      <x v="7"/>
    </i>
    <i r="1">
      <x v="22"/>
    </i>
    <i r="1">
      <x v="23"/>
    </i>
    <i r="1">
      <x v="28"/>
    </i>
    <i>
      <x v="8"/>
    </i>
    <i r="1">
      <x v="9"/>
    </i>
    <i r="1">
      <x v="21"/>
    </i>
    <i r="1">
      <x v="22"/>
    </i>
    <i r="1">
      <x v="23"/>
    </i>
    <i r="1">
      <x v="28"/>
    </i>
    <i>
      <x v="9"/>
    </i>
    <i r="1">
      <x v="9"/>
    </i>
    <i r="1">
      <x v="22"/>
    </i>
    <i r="1">
      <x v="23"/>
    </i>
    <i r="1">
      <x v="28"/>
    </i>
    <i>
      <x v="10"/>
    </i>
    <i r="1">
      <x v="9"/>
    </i>
    <i r="1">
      <x v="22"/>
    </i>
    <i r="1">
      <x v="23"/>
    </i>
    <i r="1">
      <x v="28"/>
    </i>
    <i>
      <x v="11"/>
    </i>
    <i r="1">
      <x v="15"/>
    </i>
    <i>
      <x v="12"/>
    </i>
    <i r="1">
      <x v="9"/>
    </i>
    <i r="1">
      <x v="21"/>
    </i>
    <i r="1">
      <x v="22"/>
    </i>
    <i r="1">
      <x v="23"/>
    </i>
    <i r="1">
      <x v="28"/>
    </i>
    <i r="1">
      <x v="29"/>
    </i>
    <i>
      <x v="13"/>
    </i>
    <i r="1">
      <x v="8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0"/>
  </dataFields>
  <pivotTableStyleInfo name="PivotStyleLight16" showRowHeaders="1" showColHeaders="1" showRowStripes="0" showColStripes="0" showLastColumn="1"/>
  <filters count="1">
    <filter fld="0" type="dateBetween" evalOrder="-1" id="12">
      <autoFilter ref="A1">
        <filterColumn colId="0">
          <customFilters and="1">
            <customFilter operator="greaterThanOrEqual" val="40179"/>
            <customFilter operator="lessThanOrEqual" val="4054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:G184" firstHeaderRow="0" firstDataRow="1" firstDataCol="1"/>
  <pivotFields count="15">
    <pivotField axis="axisRow" numFmtId="14" showAll="0">
      <items count="226">
        <item x="11"/>
        <item x="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5"/>
        <item x="126"/>
        <item x="127"/>
        <item x="128"/>
        <item x="129"/>
        <item x="131"/>
        <item x="132"/>
        <item x="133"/>
        <item x="135"/>
        <item x="136"/>
        <item x="137"/>
        <item x="138"/>
        <item x="140"/>
        <item x="141"/>
        <item x="143"/>
        <item x="144"/>
        <item x="145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147"/>
        <item x="148"/>
        <item x="149"/>
        <item x="150"/>
        <item x="151"/>
        <item x="152"/>
        <item x="153"/>
        <item x="154"/>
        <item x="157"/>
        <item x="158"/>
        <item x="162"/>
        <item x="163"/>
        <item x="120"/>
        <item x="124"/>
        <item x="130"/>
        <item x="134"/>
        <item x="139"/>
        <item x="142"/>
        <item x="146"/>
        <item x="155"/>
        <item x="156"/>
        <item x="159"/>
        <item x="160"/>
        <item x="161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8"/>
        <item x="209"/>
        <item x="210"/>
        <item x="212"/>
        <item x="213"/>
        <item x="192"/>
        <item x="205"/>
        <item x="207"/>
        <item x="21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31"/>
        <item x="19"/>
        <item x="11"/>
        <item x="29"/>
        <item x="30"/>
        <item x="2"/>
        <item x="5"/>
        <item x="6"/>
        <item x="7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13"/>
        <item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81">
    <i>
      <x v="89"/>
    </i>
    <i r="1">
      <x v="25"/>
    </i>
    <i>
      <x v="90"/>
    </i>
    <i r="1">
      <x v="26"/>
    </i>
    <i>
      <x v="91"/>
    </i>
    <i r="1">
      <x v="24"/>
    </i>
    <i>
      <x v="92"/>
    </i>
    <i r="1">
      <x v="9"/>
    </i>
    <i r="1">
      <x v="23"/>
    </i>
    <i>
      <x v="93"/>
    </i>
    <i r="1">
      <x v="28"/>
    </i>
    <i>
      <x v="94"/>
    </i>
    <i r="1">
      <x v="18"/>
    </i>
    <i>
      <x v="95"/>
    </i>
    <i r="1">
      <x v="26"/>
    </i>
    <i>
      <x v="96"/>
    </i>
    <i r="1">
      <x v="25"/>
    </i>
    <i>
      <x v="97"/>
    </i>
    <i r="1">
      <x v="26"/>
    </i>
    <i>
      <x v="98"/>
    </i>
    <i r="1">
      <x v="26"/>
    </i>
    <i>
      <x v="99"/>
    </i>
    <i r="1">
      <x v="15"/>
    </i>
    <i>
      <x v="100"/>
    </i>
    <i r="1">
      <x v="28"/>
    </i>
    <i>
      <x v="101"/>
    </i>
    <i r="1">
      <x v="15"/>
    </i>
    <i r="1">
      <x v="18"/>
    </i>
    <i r="1">
      <x v="26"/>
    </i>
    <i>
      <x v="102"/>
    </i>
    <i r="1">
      <x v="26"/>
    </i>
    <i>
      <x v="103"/>
    </i>
    <i r="1">
      <x v="25"/>
    </i>
    <i>
      <x v="104"/>
    </i>
    <i r="1">
      <x v="25"/>
    </i>
    <i>
      <x v="105"/>
    </i>
    <i r="1">
      <x v="26"/>
    </i>
    <i>
      <x v="106"/>
    </i>
    <i r="1">
      <x v="9"/>
    </i>
    <i r="1">
      <x v="12"/>
    </i>
    <i r="1">
      <x v="22"/>
    </i>
    <i r="1">
      <x v="23"/>
    </i>
    <i r="1">
      <x v="24"/>
    </i>
    <i>
      <x v="107"/>
    </i>
    <i r="1">
      <x v="25"/>
    </i>
    <i r="1">
      <x v="28"/>
    </i>
    <i>
      <x v="108"/>
    </i>
    <i r="1">
      <x v="26"/>
    </i>
    <i>
      <x v="109"/>
    </i>
    <i r="1">
      <x v="26"/>
    </i>
    <i>
      <x v="110"/>
    </i>
    <i r="1">
      <x v="26"/>
    </i>
    <i r="1">
      <x v="28"/>
    </i>
    <i>
      <x v="111"/>
    </i>
    <i r="1">
      <x v="28"/>
    </i>
    <i>
      <x v="112"/>
    </i>
    <i r="1">
      <x v="25"/>
    </i>
    <i r="1">
      <x v="26"/>
    </i>
    <i>
      <x v="113"/>
    </i>
    <i r="1">
      <x v="26"/>
    </i>
    <i>
      <x v="114"/>
    </i>
    <i r="1">
      <x v="28"/>
    </i>
    <i>
      <x v="115"/>
    </i>
    <i r="1">
      <x v="15"/>
    </i>
    <i>
      <x v="116"/>
    </i>
    <i r="1">
      <x v="15"/>
    </i>
    <i>
      <x v="117"/>
    </i>
    <i r="1">
      <x v="6"/>
    </i>
    <i r="1">
      <x v="7"/>
    </i>
    <i r="1">
      <x v="11"/>
    </i>
    <i r="1">
      <x v="14"/>
    </i>
    <i r="1">
      <x v="19"/>
    </i>
    <i>
      <x v="118"/>
    </i>
    <i r="1">
      <x v="26"/>
    </i>
    <i>
      <x v="119"/>
    </i>
    <i r="1">
      <x v="26"/>
    </i>
    <i>
      <x v="120"/>
    </i>
    <i r="1">
      <x v="15"/>
    </i>
    <i>
      <x v="121"/>
    </i>
    <i r="1">
      <x v="28"/>
    </i>
    <i>
      <x v="140"/>
    </i>
    <i r="1">
      <x v="26"/>
    </i>
    <i r="1">
      <x v="28"/>
    </i>
    <i>
      <x v="141"/>
    </i>
    <i r="1">
      <x v="15"/>
    </i>
    <i>
      <x v="142"/>
    </i>
    <i r="1">
      <x v="25"/>
    </i>
    <i r="1">
      <x v="26"/>
    </i>
    <i>
      <x v="143"/>
    </i>
    <i r="1">
      <x v="26"/>
    </i>
    <i>
      <x v="144"/>
    </i>
    <i r="1">
      <x v="28"/>
    </i>
    <i>
      <x v="145"/>
    </i>
    <i r="1">
      <x v="23"/>
    </i>
    <i>
      <x v="146"/>
    </i>
    <i r="1">
      <x v="8"/>
    </i>
    <i>
      <x v="147"/>
    </i>
    <i r="1">
      <x v="26"/>
    </i>
    <i>
      <x v="148"/>
    </i>
    <i r="1">
      <x v="24"/>
    </i>
    <i r="1">
      <x v="26"/>
    </i>
    <i r="1">
      <x v="33"/>
    </i>
    <i>
      <x v="149"/>
    </i>
    <i r="1">
      <x v="15"/>
    </i>
    <i>
      <x v="150"/>
    </i>
    <i r="1">
      <x v="26"/>
    </i>
    <i>
      <x v="151"/>
    </i>
    <i r="1">
      <x v="23"/>
    </i>
    <i r="1">
      <x v="26"/>
    </i>
    <i>
      <x v="152"/>
    </i>
    <i r="1">
      <x v="26"/>
    </i>
    <i>
      <x v="153"/>
    </i>
    <i r="1">
      <x v="18"/>
    </i>
    <i>
      <x v="154"/>
    </i>
    <i r="1">
      <x v="18"/>
    </i>
    <i>
      <x v="155"/>
    </i>
    <i r="1">
      <x v="18"/>
    </i>
    <i>
      <x v="156"/>
    </i>
    <i r="1">
      <x v="23"/>
    </i>
    <i r="1">
      <x v="24"/>
    </i>
    <i>
      <x v="157"/>
    </i>
    <i r="1">
      <x v="18"/>
    </i>
    <i>
      <x v="158"/>
    </i>
    <i r="1">
      <x v="18"/>
    </i>
    <i>
      <x v="159"/>
    </i>
    <i r="1">
      <x v="18"/>
    </i>
    <i>
      <x v="160"/>
    </i>
    <i r="1">
      <x v="26"/>
    </i>
    <i>
      <x v="161"/>
    </i>
    <i r="1">
      <x v="18"/>
    </i>
    <i>
      <x v="162"/>
    </i>
    <i r="1">
      <x v="26"/>
    </i>
    <i>
      <x v="163"/>
    </i>
    <i r="1">
      <x v="28"/>
    </i>
    <i>
      <x v="164"/>
    </i>
    <i r="1">
      <x v="18"/>
    </i>
    <i>
      <x v="165"/>
    </i>
    <i r="1">
      <x v="24"/>
    </i>
    <i r="1">
      <x v="26"/>
    </i>
    <i>
      <x v="166"/>
    </i>
    <i r="1">
      <x v="11"/>
    </i>
    <i r="1">
      <x v="19"/>
    </i>
    <i r="1">
      <x v="25"/>
    </i>
    <i>
      <x v="167"/>
    </i>
    <i r="1">
      <x v="25"/>
    </i>
    <i>
      <x v="168"/>
    </i>
    <i r="1">
      <x v="34"/>
    </i>
    <i>
      <x v="169"/>
    </i>
    <i r="1">
      <x v="15"/>
    </i>
    <i>
      <x v="170"/>
    </i>
    <i r="1">
      <x v="28"/>
    </i>
    <i>
      <x v="171"/>
    </i>
    <i r="1">
      <x v="24"/>
    </i>
    <i>
      <x v="172"/>
    </i>
    <i r="1">
      <x v="18"/>
    </i>
    <i>
      <x v="173"/>
    </i>
    <i r="1">
      <x v="26"/>
    </i>
    <i>
      <x v="174"/>
    </i>
    <i r="1">
      <x v="7"/>
    </i>
    <i r="1">
      <x v="19"/>
    </i>
    <i r="1">
      <x v="25"/>
    </i>
    <i r="1">
      <x v="35"/>
    </i>
    <i r="1">
      <x v="36"/>
    </i>
    <i r="1">
      <x v="37"/>
    </i>
    <i>
      <x v="175"/>
    </i>
    <i r="1">
      <x v="22"/>
    </i>
    <i r="1">
      <x v="23"/>
    </i>
    <i>
      <x v="176"/>
    </i>
    <i r="1">
      <x v="26"/>
    </i>
    <i>
      <x v="177"/>
    </i>
    <i r="1">
      <x v="24"/>
    </i>
    <i>
      <x v="178"/>
    </i>
    <i r="1">
      <x v="18"/>
    </i>
    <i>
      <x v="179"/>
    </i>
    <i r="1">
      <x v="26"/>
    </i>
    <i>
      <x v="180"/>
    </i>
    <i r="1">
      <x v="10"/>
    </i>
    <i r="1">
      <x v="23"/>
    </i>
    <i r="1">
      <x v="46"/>
    </i>
    <i r="1">
      <x v="4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53"/>
  </dataFields>
  <pivotTableStyleInfo name="PivotStyleLight16" showRowHeaders="1" showColHeaders="1" showRowStripes="0" showColStripes="0" showLastColumn="1"/>
  <filters count="1">
    <filter fld="0" type="dateBetween" evalOrder="-1" id="9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K187" firstHeaderRow="0" firstDataRow="1" firstDataCol="1"/>
  <pivotFields count="15">
    <pivotField axis="axisRow" numFmtId="14" showAll="0">
      <items count="226">
        <item x="11"/>
        <item x="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5"/>
        <item x="126"/>
        <item x="127"/>
        <item x="128"/>
        <item x="129"/>
        <item x="131"/>
        <item x="132"/>
        <item x="133"/>
        <item x="135"/>
        <item x="136"/>
        <item x="137"/>
        <item x="138"/>
        <item x="140"/>
        <item x="141"/>
        <item x="143"/>
        <item x="144"/>
        <item x="145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147"/>
        <item x="139"/>
        <item x="120"/>
        <item x="208"/>
        <item x="204"/>
        <item x="202"/>
        <item x="200"/>
        <item x="199"/>
        <item x="197"/>
        <item x="196"/>
        <item x="195"/>
        <item x="194"/>
        <item x="193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6"/>
        <item x="142"/>
        <item x="134"/>
        <item x="130"/>
        <item x="124"/>
        <item x="192"/>
        <item x="198"/>
        <item x="201"/>
        <item x="203"/>
        <item x="205"/>
        <item x="206"/>
        <item x="207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31"/>
        <item x="19"/>
        <item x="11"/>
        <item x="29"/>
        <item x="30"/>
        <item x="2"/>
        <item x="5"/>
        <item x="6"/>
        <item x="7"/>
        <item x="40"/>
        <item x="44"/>
        <item x="45"/>
        <item x="46"/>
        <item x="47"/>
        <item x="36"/>
        <item x="43"/>
        <item x="41"/>
        <item x="42"/>
        <item x="37"/>
        <item x="38"/>
        <item x="39"/>
        <item x="35"/>
        <item x="13"/>
        <item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84">
    <i>
      <x v="24"/>
    </i>
    <i r="1">
      <x v="15"/>
    </i>
    <i>
      <x v="25"/>
    </i>
    <i r="1">
      <x v="9"/>
    </i>
    <i r="1">
      <x v="21"/>
    </i>
    <i r="1">
      <x v="22"/>
    </i>
    <i r="1">
      <x v="23"/>
    </i>
    <i>
      <x v="26"/>
    </i>
    <i r="1">
      <x v="26"/>
    </i>
    <i>
      <x v="27"/>
    </i>
    <i r="1">
      <x v="18"/>
    </i>
    <i>
      <x v="28"/>
    </i>
    <i r="1">
      <x v="9"/>
    </i>
    <i r="1">
      <x v="22"/>
    </i>
    <i r="1">
      <x v="23"/>
    </i>
    <i r="1">
      <x v="26"/>
    </i>
    <i>
      <x v="29"/>
    </i>
    <i r="1">
      <x v="26"/>
    </i>
    <i>
      <x v="30"/>
    </i>
    <i r="1">
      <x v="26"/>
    </i>
    <i>
      <x v="31"/>
    </i>
    <i r="1">
      <x v="7"/>
    </i>
    <i r="1">
      <x v="13"/>
    </i>
    <i>
      <x v="32"/>
    </i>
    <i r="1">
      <x v="9"/>
    </i>
    <i r="1">
      <x v="17"/>
    </i>
    <i r="1">
      <x v="20"/>
    </i>
    <i r="1">
      <x v="22"/>
    </i>
    <i r="1">
      <x v="23"/>
    </i>
    <i>
      <x v="33"/>
    </i>
    <i r="1">
      <x v="26"/>
    </i>
    <i>
      <x v="34"/>
    </i>
    <i r="1">
      <x v="18"/>
    </i>
    <i r="1">
      <x v="26"/>
    </i>
    <i>
      <x v="35"/>
    </i>
    <i r="1">
      <x v="9"/>
    </i>
    <i r="1">
      <x v="17"/>
    </i>
    <i r="1">
      <x v="20"/>
    </i>
    <i r="1">
      <x v="22"/>
    </i>
    <i r="1">
      <x v="23"/>
    </i>
    <i>
      <x v="36"/>
    </i>
    <i r="1">
      <x v="9"/>
    </i>
    <i r="1">
      <x v="17"/>
    </i>
    <i r="1">
      <x v="22"/>
    </i>
    <i r="1">
      <x v="23"/>
    </i>
    <i>
      <x v="37"/>
    </i>
    <i r="1">
      <x v="26"/>
    </i>
    <i>
      <x v="38"/>
    </i>
    <i r="1">
      <x v="26"/>
    </i>
    <i>
      <x v="39"/>
    </i>
    <i r="1">
      <x v="9"/>
    </i>
    <i r="1">
      <x v="18"/>
    </i>
    <i r="1">
      <x v="20"/>
    </i>
    <i r="1">
      <x v="23"/>
    </i>
    <i r="1">
      <x v="26"/>
    </i>
    <i>
      <x v="40"/>
    </i>
    <i r="1">
      <x v="26"/>
    </i>
    <i>
      <x v="41"/>
    </i>
    <i r="1">
      <x v="26"/>
    </i>
    <i>
      <x v="42"/>
    </i>
    <i r="1">
      <x v="26"/>
    </i>
    <i>
      <x v="43"/>
    </i>
    <i r="1">
      <x v="9"/>
    </i>
    <i r="1">
      <x v="22"/>
    </i>
    <i r="1">
      <x v="23"/>
    </i>
    <i>
      <x v="44"/>
    </i>
    <i r="1">
      <x v="18"/>
    </i>
    <i>
      <x v="45"/>
    </i>
    <i r="1">
      <x v="26"/>
    </i>
    <i>
      <x v="46"/>
    </i>
    <i r="1">
      <x v="26"/>
    </i>
    <i>
      <x v="47"/>
    </i>
    <i r="1">
      <x v="15"/>
    </i>
    <i>
      <x v="48"/>
    </i>
    <i r="1">
      <x v="22"/>
    </i>
    <i r="1">
      <x v="23"/>
    </i>
    <i>
      <x v="49"/>
    </i>
    <i r="1">
      <x v="18"/>
    </i>
    <i>
      <x v="50"/>
    </i>
    <i r="1">
      <x v="15"/>
    </i>
    <i>
      <x v="51"/>
    </i>
    <i r="1">
      <x v="26"/>
    </i>
    <i>
      <x v="52"/>
    </i>
    <i r="1">
      <x v="26"/>
    </i>
    <i>
      <x v="53"/>
    </i>
    <i r="1">
      <x v="9"/>
    </i>
    <i r="1">
      <x v="22"/>
    </i>
    <i r="1">
      <x v="23"/>
    </i>
    <i>
      <x v="54"/>
    </i>
    <i r="1">
      <x v="18"/>
    </i>
    <i>
      <x v="55"/>
    </i>
    <i r="1">
      <x v="26"/>
    </i>
    <i>
      <x v="56"/>
    </i>
    <i r="1">
      <x v="26"/>
    </i>
    <i>
      <x v="57"/>
    </i>
    <i r="1">
      <x v="25"/>
    </i>
    <i>
      <x v="58"/>
    </i>
    <i r="1">
      <x v="15"/>
    </i>
    <i>
      <x v="59"/>
    </i>
    <i r="1">
      <x v="26"/>
    </i>
    <i>
      <x v="60"/>
    </i>
    <i r="1">
      <x v="18"/>
    </i>
    <i>
      <x v="61"/>
    </i>
    <i r="1">
      <x v="26"/>
    </i>
    <i>
      <x v="62"/>
    </i>
    <i r="1">
      <x v="17"/>
    </i>
    <i r="1">
      <x v="22"/>
    </i>
    <i r="1">
      <x v="23"/>
    </i>
    <i>
      <x v="63"/>
    </i>
    <i r="1">
      <x/>
    </i>
    <i r="1">
      <x v="2"/>
    </i>
    <i r="1">
      <x v="26"/>
    </i>
    <i>
      <x v="64"/>
    </i>
    <i r="1">
      <x v="26"/>
    </i>
    <i>
      <x v="65"/>
    </i>
    <i r="1">
      <x v="25"/>
    </i>
    <i>
      <x v="66"/>
    </i>
    <i r="1">
      <x v="18"/>
    </i>
    <i r="1">
      <x v="21"/>
    </i>
    <i r="1">
      <x v="23"/>
    </i>
    <i>
      <x v="67"/>
    </i>
    <i r="1">
      <x v="16"/>
    </i>
    <i>
      <x v="68"/>
    </i>
    <i r="1">
      <x v="26"/>
    </i>
    <i>
      <x v="69"/>
    </i>
    <i r="1">
      <x v="26"/>
    </i>
    <i>
      <x v="70"/>
    </i>
    <i r="1">
      <x v="25"/>
    </i>
    <i>
      <x v="71"/>
    </i>
    <i r="1">
      <x v="9"/>
    </i>
    <i r="1">
      <x v="21"/>
    </i>
    <i r="1">
      <x v="23"/>
    </i>
    <i>
      <x v="72"/>
    </i>
    <i r="1">
      <x v="17"/>
    </i>
    <i r="1">
      <x v="26"/>
    </i>
    <i>
      <x v="73"/>
    </i>
    <i r="1">
      <x/>
    </i>
    <i r="1">
      <x v="1"/>
    </i>
    <i r="1">
      <x v="4"/>
    </i>
    <i r="1">
      <x v="5"/>
    </i>
    <i r="1">
      <x v="6"/>
    </i>
    <i r="1">
      <x v="14"/>
    </i>
    <i r="1">
      <x v="18"/>
    </i>
    <i r="1">
      <x v="26"/>
    </i>
    <i>
      <x v="74"/>
    </i>
    <i r="1">
      <x v="15"/>
    </i>
    <i>
      <x v="75"/>
    </i>
    <i r="1">
      <x v="26"/>
    </i>
    <i>
      <x v="77"/>
    </i>
    <i r="1">
      <x v="26"/>
    </i>
    <i>
      <x v="78"/>
    </i>
    <i r="1">
      <x v="9"/>
    </i>
    <i r="1">
      <x v="18"/>
    </i>
    <i r="1">
      <x v="21"/>
    </i>
    <i r="1">
      <x v="23"/>
    </i>
    <i r="1">
      <x v="26"/>
    </i>
    <i>
      <x v="79"/>
    </i>
    <i r="1">
      <x v="27"/>
    </i>
    <i>
      <x v="80"/>
    </i>
    <i r="1">
      <x v="25"/>
    </i>
    <i>
      <x v="81"/>
    </i>
    <i r="1">
      <x v="26"/>
    </i>
    <i>
      <x v="82"/>
    </i>
    <i r="1">
      <x v="26"/>
    </i>
    <i r="1">
      <x v="27"/>
    </i>
    <i>
      <x v="83"/>
    </i>
    <i r="1">
      <x v="27"/>
    </i>
    <i>
      <x v="84"/>
    </i>
    <i r="1">
      <x v="18"/>
    </i>
    <i>
      <x v="85"/>
    </i>
    <i r="1">
      <x v="28"/>
    </i>
    <i>
      <x v="86"/>
    </i>
    <i r="1">
      <x v="9"/>
    </i>
    <i r="1">
      <x v="21"/>
    </i>
    <i r="1">
      <x v="23"/>
    </i>
    <i>
      <x v="87"/>
    </i>
    <i r="1">
      <x v="26"/>
    </i>
    <i>
      <x v="88"/>
    </i>
    <i r="1">
      <x v="8"/>
    </i>
    <i r="1">
      <x v="10"/>
    </i>
    <i r="1">
      <x v="26"/>
    </i>
    <i r="1">
      <x v="46"/>
    </i>
    <i r="1">
      <x v="4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2"/>
  </dataFields>
  <pivotTableStyleInfo name="PivotStyleLight16" showRowHeaders="1" showColHeaders="1" showRowStripes="0" showColStripes="0" showLastColumn="1"/>
  <filters count="1">
    <filter fld="0" type="dateBetween" evalOrder="-1" id="5">
      <autoFilter ref="A1">
        <filterColumn colId="0">
          <customFilters and="1">
            <customFilter operator="greaterThanOrEqual" val="40909"/>
            <customFilter operator="lessThanOrEqual" val="4127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4:N21" firstHeaderRow="1" firstDataRow="2" firstDataCol="1"/>
  <pivotFields count="13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0">
        <item x="0"/>
        <item x="15"/>
        <item x="16"/>
        <item x="10"/>
        <item x="17"/>
        <item x="12"/>
        <item x="1"/>
        <item x="2"/>
        <item x="18"/>
        <item x="5"/>
        <item x="6"/>
        <item x="8"/>
        <item x="4"/>
        <item x="13"/>
        <item x="14"/>
        <item x="9"/>
        <item x="3"/>
        <item x="11"/>
        <item x="7"/>
        <item t="default"/>
      </items>
    </pivotField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numFmtId="44" showAll="0"/>
    <pivotField showAll="0"/>
  </pivotFields>
  <rowFields count="1">
    <field x="2"/>
  </rowFields>
  <rowItems count="16">
    <i>
      <x/>
    </i>
    <i>
      <x v="1"/>
    </i>
    <i>
      <x v="2"/>
    </i>
    <i>
      <x v="4"/>
    </i>
    <i>
      <x v="6"/>
    </i>
    <i>
      <x v="7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Tonnage" fld="5" showDataAs="percentOfTotal" baseField="0" baseItem="0" numFmtId="10"/>
  </dataFields>
  <chartFormats count="48">
    <chartFormat chart="3" format="1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3" format="16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3" format="17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3" format="19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3" format="20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3" format="21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3" format="22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3" format="23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2" format="2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2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27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28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29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2" format="30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2" format="31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2" format="32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2" format="33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2" format="34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2" format="35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2" format="36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26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7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8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29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30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3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132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133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134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35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36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37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1" format="9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9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97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98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" format="99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1" format="100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1" format="101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1" format="102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1" format="103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1" format="104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1" format="105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1" format="106" series="1">
      <pivotArea type="data" outline="0" fieldPosition="0">
        <references count="1">
          <reference field="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6">
      <autoFilter ref="A1">
        <filterColumn colId="0">
          <customFilters and="1">
            <customFilter operator="greaterThanOrEqual" val="40909"/>
            <customFilter operator="lessThanOrEqual" val="4127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P4:Z19" firstHeaderRow="1" firstDataRow="2" firstDataCol="1"/>
  <pivotFields count="13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0">
        <item x="0"/>
        <item x="15"/>
        <item x="16"/>
        <item x="10"/>
        <item x="17"/>
        <item x="12"/>
        <item x="1"/>
        <item x="2"/>
        <item x="18"/>
        <item x="5"/>
        <item x="6"/>
        <item x="8"/>
        <item x="4"/>
        <item x="13"/>
        <item x="14"/>
        <item x="9"/>
        <item x="3"/>
        <item x="11"/>
        <item x="7"/>
        <item t="default"/>
      </items>
    </pivotField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numFmtId="44" showAll="0"/>
    <pivotField showAll="0"/>
  </pivotFields>
  <rowFields count="1">
    <field x="2"/>
  </rowFields>
  <rowItems count="14">
    <i>
      <x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nnage" fld="5" showDataAs="percentOfTotal" baseField="0" baseItem="0" numFmtId="10"/>
  </dataFields>
  <chartFormats count="48">
    <chartFormat chart="3" format="1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3" format="16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3" format="17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3" format="19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3" format="20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3" format="21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3" format="22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3" format="23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2" format="2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2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27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28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29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2" format="30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2" format="31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2" format="32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2" format="33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2" format="34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2" format="35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2" format="36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26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7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8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29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30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3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132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133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134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35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36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37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1" format="9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9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97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98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" format="99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1" format="100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1" format="101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1" format="102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1" format="103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1" format="104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1" format="105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1" format="106" series="1">
      <pivotArea type="data" outline="0" fieldPosition="0">
        <references count="1">
          <reference field="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6">
      <autoFilter ref="A1">
        <filterColumn colId="0">
          <customFilters and="1">
            <customFilter operator="greaterThanOrEqual" val="41275"/>
            <customFilter operator="lessThanOrEqual" val="41577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K146" firstHeaderRow="0" firstDataRow="1" firstDataCol="1"/>
  <pivotFields count="15">
    <pivotField axis="axisRow" numFmtId="14" showAll="0">
      <items count="224">
        <item x="11"/>
        <item x="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5"/>
        <item x="126"/>
        <item x="127"/>
        <item x="128"/>
        <item x="129"/>
        <item x="131"/>
        <item x="132"/>
        <item x="133"/>
        <item x="135"/>
        <item x="136"/>
        <item x="137"/>
        <item x="138"/>
        <item x="140"/>
        <item x="141"/>
        <item x="143"/>
        <item x="144"/>
        <item x="145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147"/>
        <item x="139"/>
        <item x="120"/>
        <item x="208"/>
        <item x="204"/>
        <item x="202"/>
        <item x="200"/>
        <item x="199"/>
        <item x="197"/>
        <item x="196"/>
        <item x="195"/>
        <item x="194"/>
        <item x="193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6"/>
        <item x="142"/>
        <item x="134"/>
        <item x="130"/>
        <item x="124"/>
        <item x="192"/>
        <item x="198"/>
        <item x="201"/>
        <item x="203"/>
        <item x="205"/>
        <item x="206"/>
        <item x="207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31"/>
        <item x="19"/>
        <item x="11"/>
        <item x="29"/>
        <item x="30"/>
        <item x="2"/>
        <item x="5"/>
        <item x="6"/>
        <item x="7"/>
        <item x="40"/>
        <item x="44"/>
        <item x="45"/>
        <item x="46"/>
        <item x="47"/>
        <item x="36"/>
        <item x="43"/>
        <item x="41"/>
        <item x="42"/>
        <item x="37"/>
        <item x="38"/>
        <item x="39"/>
        <item x="35"/>
        <item x="13"/>
        <item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43">
    <i>
      <x v="2"/>
    </i>
    <i r="1">
      <x v="26"/>
    </i>
    <i>
      <x v="3"/>
    </i>
    <i r="1">
      <x v="22"/>
    </i>
    <i r="1">
      <x v="23"/>
    </i>
    <i r="1">
      <x v="26"/>
    </i>
    <i r="1">
      <x v="29"/>
    </i>
    <i>
      <x v="4"/>
    </i>
    <i r="1">
      <x v="26"/>
    </i>
    <i>
      <x v="5"/>
    </i>
    <i r="1">
      <x v="26"/>
    </i>
    <i>
      <x v="6"/>
    </i>
    <i r="1">
      <x v="9"/>
    </i>
    <i r="1">
      <x v="22"/>
    </i>
    <i r="1">
      <x v="23"/>
    </i>
    <i r="1">
      <x v="26"/>
    </i>
    <i r="1">
      <x v="29"/>
    </i>
    <i>
      <x v="7"/>
    </i>
    <i r="1">
      <x v="22"/>
    </i>
    <i r="1">
      <x v="23"/>
    </i>
    <i>
      <x v="8"/>
    </i>
    <i r="1">
      <x v="26"/>
    </i>
    <i>
      <x v="9"/>
    </i>
    <i r="1">
      <x v="26"/>
    </i>
    <i>
      <x v="10"/>
    </i>
    <i r="1">
      <x v="18"/>
    </i>
    <i>
      <x v="11"/>
    </i>
    <i r="1">
      <x v="26"/>
    </i>
    <i>
      <x v="12"/>
    </i>
    <i r="1">
      <x v="22"/>
    </i>
    <i r="1">
      <x v="23"/>
    </i>
    <i>
      <x v="13"/>
    </i>
    <i r="1">
      <x v="26"/>
    </i>
    <i>
      <x v="14"/>
    </i>
    <i r="1">
      <x v="26"/>
    </i>
    <i>
      <x v="15"/>
    </i>
    <i r="1">
      <x v="26"/>
    </i>
    <i>
      <x v="16"/>
    </i>
    <i r="1">
      <x v="26"/>
    </i>
    <i>
      <x v="17"/>
    </i>
    <i r="1">
      <x v="9"/>
    </i>
    <i r="1">
      <x v="22"/>
    </i>
    <i r="1">
      <x v="23"/>
    </i>
    <i>
      <x v="18"/>
    </i>
    <i r="1">
      <x v="26"/>
    </i>
    <i>
      <x v="19"/>
    </i>
    <i r="1">
      <x v="18"/>
    </i>
    <i>
      <x v="20"/>
    </i>
    <i r="1">
      <x v="26"/>
    </i>
    <i>
      <x v="21"/>
    </i>
    <i r="1">
      <x v="26"/>
    </i>
    <i>
      <x v="22"/>
    </i>
    <i r="1">
      <x v="26"/>
    </i>
    <i>
      <x v="23"/>
    </i>
    <i r="1">
      <x v="8"/>
    </i>
    <i r="1">
      <x v="10"/>
    </i>
    <i r="1">
      <x v="46"/>
    </i>
    <i r="1">
      <x v="47"/>
    </i>
    <i>
      <x v="24"/>
    </i>
    <i r="1">
      <x v="15"/>
    </i>
    <i>
      <x v="25"/>
    </i>
    <i r="1">
      <x v="9"/>
    </i>
    <i r="1">
      <x v="21"/>
    </i>
    <i r="1">
      <x v="22"/>
    </i>
    <i r="1">
      <x v="23"/>
    </i>
    <i>
      <x v="26"/>
    </i>
    <i r="1">
      <x v="26"/>
    </i>
    <i>
      <x v="27"/>
    </i>
    <i r="1">
      <x v="18"/>
    </i>
    <i>
      <x v="28"/>
    </i>
    <i r="1">
      <x v="9"/>
    </i>
    <i r="1">
      <x v="22"/>
    </i>
    <i r="1">
      <x v="23"/>
    </i>
    <i r="1">
      <x v="26"/>
    </i>
    <i>
      <x v="29"/>
    </i>
    <i r="1">
      <x v="26"/>
    </i>
    <i>
      <x v="30"/>
    </i>
    <i r="1">
      <x v="26"/>
    </i>
    <i>
      <x v="31"/>
    </i>
    <i r="1">
      <x v="7"/>
    </i>
    <i r="1">
      <x v="13"/>
    </i>
    <i>
      <x v="32"/>
    </i>
    <i r="1">
      <x v="9"/>
    </i>
    <i r="1">
      <x v="17"/>
    </i>
    <i r="1">
      <x v="20"/>
    </i>
    <i r="1">
      <x v="22"/>
    </i>
    <i r="1">
      <x v="23"/>
    </i>
    <i>
      <x v="33"/>
    </i>
    <i r="1">
      <x v="26"/>
    </i>
    <i>
      <x v="34"/>
    </i>
    <i r="1">
      <x v="18"/>
    </i>
    <i r="1">
      <x v="26"/>
    </i>
    <i>
      <x v="35"/>
    </i>
    <i r="1">
      <x v="9"/>
    </i>
    <i r="1">
      <x v="17"/>
    </i>
    <i r="1">
      <x v="20"/>
    </i>
    <i r="1">
      <x v="22"/>
    </i>
    <i r="1">
      <x v="23"/>
    </i>
    <i>
      <x v="36"/>
    </i>
    <i r="1">
      <x v="9"/>
    </i>
    <i r="1">
      <x v="17"/>
    </i>
    <i r="1">
      <x v="22"/>
    </i>
    <i r="1">
      <x v="23"/>
    </i>
    <i>
      <x v="37"/>
    </i>
    <i r="1">
      <x v="26"/>
    </i>
    <i>
      <x v="38"/>
    </i>
    <i r="1">
      <x v="26"/>
    </i>
    <i>
      <x v="39"/>
    </i>
    <i r="1">
      <x v="9"/>
    </i>
    <i r="1">
      <x v="18"/>
    </i>
    <i r="1">
      <x v="20"/>
    </i>
    <i r="1">
      <x v="23"/>
    </i>
    <i r="1">
      <x v="26"/>
    </i>
    <i>
      <x v="40"/>
    </i>
    <i r="1">
      <x v="26"/>
    </i>
    <i>
      <x v="41"/>
    </i>
    <i r="1">
      <x v="26"/>
    </i>
    <i>
      <x v="42"/>
    </i>
    <i r="1">
      <x v="26"/>
    </i>
    <i>
      <x v="43"/>
    </i>
    <i r="1">
      <x v="9"/>
    </i>
    <i r="1">
      <x v="22"/>
    </i>
    <i r="1">
      <x v="23"/>
    </i>
    <i>
      <x v="44"/>
    </i>
    <i r="1">
      <x v="18"/>
    </i>
    <i>
      <x v="45"/>
    </i>
    <i r="1">
      <x v="26"/>
    </i>
    <i>
      <x v="46"/>
    </i>
    <i r="1">
      <x v="26"/>
    </i>
    <i>
      <x v="47"/>
    </i>
    <i r="1">
      <x v="15"/>
    </i>
    <i>
      <x v="48"/>
    </i>
    <i r="1">
      <x v="22"/>
    </i>
    <i r="1">
      <x v="23"/>
    </i>
    <i>
      <x v="49"/>
    </i>
    <i r="1">
      <x v="18"/>
    </i>
    <i>
      <x v="50"/>
    </i>
    <i r="1">
      <x v="15"/>
    </i>
    <i>
      <x v="51"/>
    </i>
    <i r="1">
      <x v="26"/>
    </i>
    <i>
      <x v="52"/>
    </i>
    <i r="1"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2"/>
  </dataFields>
  <pivotTableStyleInfo name="PivotStyleLight16" showRowHeaders="1" showColHeaders="1" showRowStripes="0" showColStripes="0" showLastColumn="1"/>
  <filters count="1">
    <filter fld="0" type="dateBetween" evalOrder="-1" id="3">
      <autoFilter ref="A1">
        <filterColumn colId="0">
          <customFilters and="1">
            <customFilter operator="greaterThanOrEqual" val="40725"/>
            <customFilter operator="lessThanOrEqual" val="4109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:G192" firstHeaderRow="0" firstDataRow="1" firstDataCol="1"/>
  <pivotFields count="15">
    <pivotField axis="axisRow" numFmtId="14" showAll="0">
      <items count="224">
        <item x="11"/>
        <item x="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5"/>
        <item x="126"/>
        <item x="127"/>
        <item x="128"/>
        <item x="129"/>
        <item x="131"/>
        <item x="132"/>
        <item x="133"/>
        <item x="135"/>
        <item x="136"/>
        <item x="137"/>
        <item x="138"/>
        <item x="140"/>
        <item x="141"/>
        <item x="143"/>
        <item x="144"/>
        <item x="145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147"/>
        <item x="148"/>
        <item x="149"/>
        <item x="150"/>
        <item x="151"/>
        <item x="152"/>
        <item x="153"/>
        <item x="154"/>
        <item x="157"/>
        <item x="158"/>
        <item x="162"/>
        <item x="163"/>
        <item x="120"/>
        <item x="124"/>
        <item x="130"/>
        <item x="134"/>
        <item x="139"/>
        <item x="142"/>
        <item x="146"/>
        <item x="155"/>
        <item x="156"/>
        <item x="159"/>
        <item x="160"/>
        <item x="161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8"/>
        <item x="209"/>
        <item x="210"/>
        <item x="212"/>
        <item x="213"/>
        <item x="192"/>
        <item x="205"/>
        <item x="207"/>
        <item x="211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31"/>
        <item x="19"/>
        <item x="11"/>
        <item x="29"/>
        <item x="30"/>
        <item x="2"/>
        <item x="5"/>
        <item x="6"/>
        <item x="7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13"/>
        <item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89">
    <i>
      <x v="53"/>
    </i>
    <i r="1">
      <x v="9"/>
    </i>
    <i r="1">
      <x v="22"/>
    </i>
    <i r="1">
      <x v="23"/>
    </i>
    <i>
      <x v="54"/>
    </i>
    <i r="1">
      <x v="18"/>
    </i>
    <i>
      <x v="55"/>
    </i>
    <i r="1">
      <x v="26"/>
    </i>
    <i>
      <x v="56"/>
    </i>
    <i r="1">
      <x v="26"/>
    </i>
    <i>
      <x v="57"/>
    </i>
    <i r="1">
      <x v="25"/>
    </i>
    <i>
      <x v="58"/>
    </i>
    <i r="1">
      <x v="15"/>
    </i>
    <i>
      <x v="59"/>
    </i>
    <i r="1">
      <x v="26"/>
    </i>
    <i>
      <x v="60"/>
    </i>
    <i r="1">
      <x v="18"/>
    </i>
    <i>
      <x v="61"/>
    </i>
    <i r="1">
      <x v="26"/>
    </i>
    <i>
      <x v="62"/>
    </i>
    <i r="1">
      <x v="17"/>
    </i>
    <i r="1">
      <x v="22"/>
    </i>
    <i r="1">
      <x v="23"/>
    </i>
    <i>
      <x v="63"/>
    </i>
    <i r="1">
      <x/>
    </i>
    <i r="1">
      <x v="2"/>
    </i>
    <i r="1">
      <x v="26"/>
    </i>
    <i>
      <x v="64"/>
    </i>
    <i r="1">
      <x v="26"/>
    </i>
    <i>
      <x v="65"/>
    </i>
    <i r="1">
      <x v="25"/>
    </i>
    <i>
      <x v="66"/>
    </i>
    <i r="1">
      <x v="18"/>
    </i>
    <i r="1">
      <x v="21"/>
    </i>
    <i r="1">
      <x v="23"/>
    </i>
    <i>
      <x v="67"/>
    </i>
    <i r="1">
      <x v="16"/>
    </i>
    <i>
      <x v="68"/>
    </i>
    <i r="1">
      <x v="26"/>
    </i>
    <i>
      <x v="69"/>
    </i>
    <i r="1">
      <x v="26"/>
    </i>
    <i>
      <x v="70"/>
    </i>
    <i r="1">
      <x v="25"/>
    </i>
    <i>
      <x v="71"/>
    </i>
    <i r="1">
      <x v="9"/>
    </i>
    <i r="1">
      <x v="21"/>
    </i>
    <i r="1">
      <x v="23"/>
    </i>
    <i>
      <x v="72"/>
    </i>
    <i r="1">
      <x v="17"/>
    </i>
    <i r="1">
      <x v="26"/>
    </i>
    <i>
      <x v="73"/>
    </i>
    <i r="1">
      <x/>
    </i>
    <i r="1">
      <x v="1"/>
    </i>
    <i r="1">
      <x v="4"/>
    </i>
    <i r="1">
      <x v="5"/>
    </i>
    <i r="1">
      <x v="6"/>
    </i>
    <i r="1">
      <x v="14"/>
    </i>
    <i r="1">
      <x v="18"/>
    </i>
    <i r="1">
      <x v="26"/>
    </i>
    <i>
      <x v="74"/>
    </i>
    <i r="1">
      <x v="15"/>
    </i>
    <i>
      <x v="75"/>
    </i>
    <i r="1">
      <x v="26"/>
    </i>
    <i>
      <x v="77"/>
    </i>
    <i r="1">
      <x v="26"/>
    </i>
    <i>
      <x v="78"/>
    </i>
    <i r="1">
      <x v="9"/>
    </i>
    <i r="1">
      <x v="18"/>
    </i>
    <i r="1">
      <x v="21"/>
    </i>
    <i r="1">
      <x v="23"/>
    </i>
    <i r="1">
      <x v="26"/>
    </i>
    <i>
      <x v="79"/>
    </i>
    <i r="1">
      <x v="27"/>
    </i>
    <i>
      <x v="80"/>
    </i>
    <i r="1">
      <x v="25"/>
    </i>
    <i>
      <x v="81"/>
    </i>
    <i r="1">
      <x v="26"/>
    </i>
    <i>
      <x v="82"/>
    </i>
    <i r="1">
      <x v="26"/>
    </i>
    <i r="1">
      <x v="27"/>
    </i>
    <i>
      <x v="83"/>
    </i>
    <i r="1">
      <x v="27"/>
    </i>
    <i>
      <x v="84"/>
    </i>
    <i r="1">
      <x v="18"/>
    </i>
    <i>
      <x v="85"/>
    </i>
    <i r="1">
      <x v="28"/>
    </i>
    <i>
      <x v="86"/>
    </i>
    <i r="1">
      <x v="9"/>
    </i>
    <i r="1">
      <x v="21"/>
    </i>
    <i r="1">
      <x v="23"/>
    </i>
    <i>
      <x v="87"/>
    </i>
    <i r="1">
      <x v="26"/>
    </i>
    <i>
      <x v="88"/>
    </i>
    <i r="1">
      <x v="8"/>
    </i>
    <i r="1">
      <x v="10"/>
    </i>
    <i r="1">
      <x v="26"/>
    </i>
    <i r="1">
      <x v="46"/>
    </i>
    <i r="1">
      <x v="47"/>
    </i>
    <i>
      <x v="89"/>
    </i>
    <i r="1">
      <x v="25"/>
    </i>
    <i>
      <x v="90"/>
    </i>
    <i r="1">
      <x v="26"/>
    </i>
    <i>
      <x v="91"/>
    </i>
    <i r="1">
      <x v="24"/>
    </i>
    <i>
      <x v="92"/>
    </i>
    <i r="1">
      <x v="9"/>
    </i>
    <i r="1">
      <x v="23"/>
    </i>
    <i>
      <x v="93"/>
    </i>
    <i r="1">
      <x v="28"/>
    </i>
    <i>
      <x v="94"/>
    </i>
    <i r="1">
      <x v="18"/>
    </i>
    <i>
      <x v="95"/>
    </i>
    <i r="1">
      <x v="26"/>
    </i>
    <i>
      <x v="96"/>
    </i>
    <i r="1">
      <x v="25"/>
    </i>
    <i>
      <x v="97"/>
    </i>
    <i r="1">
      <x v="26"/>
    </i>
    <i>
      <x v="98"/>
    </i>
    <i r="1">
      <x v="26"/>
    </i>
    <i>
      <x v="99"/>
    </i>
    <i r="1">
      <x v="15"/>
    </i>
    <i>
      <x v="100"/>
    </i>
    <i r="1">
      <x v="28"/>
    </i>
    <i>
      <x v="101"/>
    </i>
    <i r="1">
      <x v="15"/>
    </i>
    <i r="1">
      <x v="18"/>
    </i>
    <i r="1">
      <x v="26"/>
    </i>
    <i>
      <x v="102"/>
    </i>
    <i r="1">
      <x v="26"/>
    </i>
    <i>
      <x v="103"/>
    </i>
    <i r="1">
      <x v="25"/>
    </i>
    <i>
      <x v="104"/>
    </i>
    <i r="1">
      <x v="25"/>
    </i>
    <i>
      <x v="105"/>
    </i>
    <i r="1">
      <x v="26"/>
    </i>
    <i>
      <x v="106"/>
    </i>
    <i r="1">
      <x v="9"/>
    </i>
    <i r="1">
      <x v="12"/>
    </i>
    <i r="1">
      <x v="22"/>
    </i>
    <i r="1">
      <x v="23"/>
    </i>
    <i r="1">
      <x v="24"/>
    </i>
    <i>
      <x v="107"/>
    </i>
    <i r="1">
      <x v="25"/>
    </i>
    <i r="1">
      <x v="28"/>
    </i>
    <i>
      <x v="108"/>
    </i>
    <i r="1">
      <x v="26"/>
    </i>
    <i>
      <x v="109"/>
    </i>
    <i r="1">
      <x v="26"/>
    </i>
    <i>
      <x v="110"/>
    </i>
    <i r="1">
      <x v="26"/>
    </i>
    <i r="1">
      <x v="28"/>
    </i>
    <i>
      <x v="111"/>
    </i>
    <i r="1">
      <x v="28"/>
    </i>
    <i>
      <x v="112"/>
    </i>
    <i r="1">
      <x v="25"/>
    </i>
    <i r="1">
      <x v="26"/>
    </i>
    <i>
      <x v="113"/>
    </i>
    <i r="1">
      <x v="26"/>
    </i>
    <i>
      <x v="114"/>
    </i>
    <i r="1">
      <x v="28"/>
    </i>
    <i>
      <x v="115"/>
    </i>
    <i r="1">
      <x v="15"/>
    </i>
    <i>
      <x v="116"/>
    </i>
    <i r="1">
      <x v="15"/>
    </i>
    <i>
      <x v="117"/>
    </i>
    <i r="1">
      <x v="6"/>
    </i>
    <i r="1">
      <x v="7"/>
    </i>
    <i r="1">
      <x v="11"/>
    </i>
    <i r="1">
      <x v="14"/>
    </i>
    <i r="1">
      <x v="19"/>
    </i>
    <i>
      <x v="118"/>
    </i>
    <i r="1">
      <x v="26"/>
    </i>
    <i>
      <x v="119"/>
    </i>
    <i r="1">
      <x v="26"/>
    </i>
    <i>
      <x v="152"/>
    </i>
    <i r="1">
      <x v="26"/>
    </i>
    <i>
      <x v="153"/>
    </i>
    <i r="1">
      <x v="18"/>
    </i>
    <i>
      <x v="154"/>
    </i>
    <i r="1">
      <x v="18"/>
    </i>
    <i>
      <x v="155"/>
    </i>
    <i r="1">
      <x v="18"/>
    </i>
    <i>
      <x v="156"/>
    </i>
    <i r="1">
      <x v="23"/>
    </i>
    <i r="1">
      <x v="24"/>
    </i>
    <i>
      <x v="157"/>
    </i>
    <i r="1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53"/>
  </dataFields>
  <pivotTableStyleInfo name="PivotStyleLight16" showRowHeaders="1" showColHeaders="1" showRowStripes="0" showColStripes="0" showLastColumn="1"/>
  <filters count="1">
    <filter fld="0" type="dateBetween" evalOrder="-1" id="7">
      <autoFilter ref="A1">
        <filterColumn colId="0">
          <customFilters and="1">
            <customFilter operator="greaterThanOrEqual" val="41091"/>
            <customFilter operator="lessThanOrEqual" val="4145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O70" firstHeaderRow="0" firstDataRow="1" firstDataCol="1"/>
  <pivotFields count="15">
    <pivotField axis="axisRow" numFmtId="14" showAll="0" sortType="ascending">
      <items count="2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showAll="0"/>
    <pivotField showAll="0" defaultSubtotal="0"/>
    <pivotField axis="axisRow" showAll="0">
      <items count="49">
        <item x="20"/>
        <item x="26"/>
        <item x="21"/>
        <item h="1" x="28"/>
        <item x="27"/>
        <item x="24"/>
        <item x="23"/>
        <item x="15"/>
        <item x="9"/>
        <item x="3"/>
        <item x="10"/>
        <item x="33"/>
        <item x="32"/>
        <item x="16"/>
        <item x="25"/>
        <item x="8"/>
        <item x="22"/>
        <item x="17"/>
        <item x="12"/>
        <item x="34"/>
        <item x="18"/>
        <item x="4"/>
        <item x="1"/>
        <item x="0"/>
        <item x="19"/>
        <item x="11"/>
        <item x="29"/>
        <item x="30"/>
        <item x="2"/>
        <item x="5"/>
        <item x="6"/>
        <item x="7"/>
        <item x="31"/>
        <item x="13"/>
        <item x="1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67">
    <i>
      <x v="6"/>
    </i>
    <i r="1">
      <x v="9"/>
    </i>
    <i r="1">
      <x v="22"/>
    </i>
    <i r="1">
      <x v="23"/>
    </i>
    <i r="1">
      <x v="28"/>
    </i>
    <i>
      <x v="7"/>
    </i>
    <i r="1">
      <x v="22"/>
    </i>
    <i r="1">
      <x v="23"/>
    </i>
    <i r="1">
      <x v="28"/>
    </i>
    <i>
      <x v="8"/>
    </i>
    <i r="1">
      <x v="9"/>
    </i>
    <i r="1">
      <x v="21"/>
    </i>
    <i r="1">
      <x v="22"/>
    </i>
    <i r="1">
      <x v="23"/>
    </i>
    <i r="1">
      <x v="28"/>
    </i>
    <i>
      <x v="9"/>
    </i>
    <i r="1">
      <x v="9"/>
    </i>
    <i r="1">
      <x v="22"/>
    </i>
    <i r="1">
      <x v="23"/>
    </i>
    <i r="1">
      <x v="28"/>
    </i>
    <i>
      <x v="10"/>
    </i>
    <i r="1">
      <x v="9"/>
    </i>
    <i r="1">
      <x v="22"/>
    </i>
    <i r="1">
      <x v="23"/>
    </i>
    <i r="1">
      <x v="28"/>
    </i>
    <i>
      <x v="11"/>
    </i>
    <i r="1">
      <x v="15"/>
    </i>
    <i>
      <x v="12"/>
    </i>
    <i r="1">
      <x v="9"/>
    </i>
    <i r="1">
      <x v="21"/>
    </i>
    <i r="1">
      <x v="22"/>
    </i>
    <i r="1">
      <x v="23"/>
    </i>
    <i r="1">
      <x v="28"/>
    </i>
    <i r="1">
      <x v="29"/>
    </i>
    <i>
      <x v="13"/>
    </i>
    <i r="1">
      <x v="8"/>
    </i>
    <i r="1">
      <x v="10"/>
    </i>
    <i>
      <x v="14"/>
    </i>
    <i r="1">
      <x v="22"/>
    </i>
    <i r="1">
      <x v="28"/>
    </i>
    <i>
      <x v="15"/>
    </i>
    <i r="1">
      <x v="9"/>
    </i>
    <i r="1">
      <x v="22"/>
    </i>
    <i r="1">
      <x v="23"/>
    </i>
    <i r="1">
      <x v="28"/>
    </i>
    <i>
      <x v="16"/>
    </i>
    <i r="1">
      <x v="9"/>
    </i>
    <i r="1">
      <x v="22"/>
    </i>
    <i r="1">
      <x v="23"/>
    </i>
    <i r="1">
      <x v="28"/>
    </i>
    <i>
      <x v="17"/>
    </i>
    <i r="1">
      <x v="9"/>
    </i>
    <i r="1">
      <x v="22"/>
    </i>
    <i r="1">
      <x v="23"/>
    </i>
    <i r="1">
      <x v="28"/>
    </i>
    <i>
      <x v="18"/>
    </i>
    <i r="1">
      <x v="9"/>
    </i>
    <i r="1">
      <x v="22"/>
    </i>
    <i r="1">
      <x v="23"/>
    </i>
    <i r="1">
      <x v="28"/>
    </i>
    <i r="1">
      <x v="29"/>
    </i>
    <i>
      <x v="19"/>
    </i>
    <i r="1">
      <x v="22"/>
    </i>
    <i r="1">
      <x v="23"/>
    </i>
    <i r="1">
      <x v="28"/>
    </i>
    <i r="1"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0"/>
  </dataFields>
  <pivotTableStyleInfo name="PivotStyleLight16" showRowHeaders="1" showColHeaders="1" showRowStripes="0" showColStripes="0" showLastColumn="1"/>
  <filters count="1">
    <filter fld="0" type="dateBetween" evalOrder="-1" id="10">
      <autoFilter ref="A1">
        <filterColumn colId="0">
          <customFilters and="1">
            <customFilter operator="greaterThanOrEqual" val="40360"/>
            <customFilter operator="lessThanOrEqual" val="4072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5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71" firstHeaderRow="1" firstDataRow="2" firstDataCol="1"/>
  <pivotFields count="15">
    <pivotField axis="axisRow" showAll="0" sortType="ascending">
      <items count="2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showAll="0"/>
    <pivotField showAll="0" defaultSubtotal="0"/>
    <pivotField axis="axisRow" showAll="0" sortType="ascending">
      <items count="49">
        <item x="20"/>
        <item x="47"/>
        <item x="45"/>
        <item x="26"/>
        <item x="21"/>
        <item x="39"/>
        <item x="38"/>
        <item x="28"/>
        <item x="27"/>
        <item x="44"/>
        <item x="24"/>
        <item x="23"/>
        <item x="37"/>
        <item x="15"/>
        <item x="9"/>
        <item x="3"/>
        <item x="10"/>
        <item x="7"/>
        <item x="33"/>
        <item x="32"/>
        <item x="16"/>
        <item x="25"/>
        <item x="8"/>
        <item x="22"/>
        <item x="17"/>
        <item x="12"/>
        <item x="13"/>
        <item x="34"/>
        <item x="40"/>
        <item x="41"/>
        <item x="18"/>
        <item x="4"/>
        <item x="5"/>
        <item x="42"/>
        <item x="1"/>
        <item x="43"/>
        <item x="0"/>
        <item x="31"/>
        <item x="2"/>
        <item x="19"/>
        <item x="11"/>
        <item x="36"/>
        <item x="29"/>
        <item x="35"/>
        <item x="6"/>
        <item x="14"/>
        <item x="30"/>
        <item x="4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67">
    <i>
      <x v="144"/>
    </i>
    <i r="1">
      <x v="22"/>
    </i>
    <i>
      <x v="145"/>
    </i>
    <i r="1">
      <x v="46"/>
    </i>
    <i>
      <x v="146"/>
    </i>
    <i r="1">
      <x v="25"/>
    </i>
    <i>
      <x v="147"/>
    </i>
    <i r="1">
      <x v="40"/>
    </i>
    <i r="1">
      <x v="46"/>
    </i>
    <i>
      <x v="148"/>
    </i>
    <i r="1">
      <x v="22"/>
    </i>
    <i>
      <x v="149"/>
    </i>
    <i r="1">
      <x v="39"/>
    </i>
    <i r="1">
      <x v="40"/>
    </i>
    <i>
      <x v="150"/>
    </i>
    <i r="1">
      <x v="40"/>
    </i>
    <i>
      <x v="151"/>
    </i>
    <i r="1">
      <x v="46"/>
    </i>
    <i>
      <x v="152"/>
    </i>
    <i r="1">
      <x v="36"/>
    </i>
    <i>
      <x v="153"/>
    </i>
    <i r="1">
      <x v="14"/>
    </i>
    <i>
      <x v="154"/>
    </i>
    <i r="1">
      <x v="40"/>
    </i>
    <i>
      <x v="155"/>
    </i>
    <i r="1">
      <x v="25"/>
    </i>
    <i>
      <x v="156"/>
    </i>
    <i r="1">
      <x v="40"/>
    </i>
    <i>
      <x v="157"/>
    </i>
    <i r="1">
      <x v="37"/>
    </i>
    <i r="1">
      <x v="40"/>
    </i>
    <i r="1">
      <x v="43"/>
    </i>
    <i>
      <x v="158"/>
    </i>
    <i r="1">
      <x v="22"/>
    </i>
    <i>
      <x v="159"/>
    </i>
    <i r="1">
      <x v="25"/>
    </i>
    <i>
      <x v="160"/>
    </i>
    <i r="1">
      <x v="40"/>
    </i>
    <i>
      <x v="161"/>
    </i>
    <i r="1">
      <x v="46"/>
    </i>
    <i>
      <x v="162"/>
    </i>
    <i r="1">
      <x v="40"/>
    </i>
    <i>
      <x v="163"/>
    </i>
    <i r="1">
      <x v="36"/>
    </i>
    <i r="1">
      <x v="40"/>
    </i>
    <i>
      <x v="164"/>
    </i>
    <i r="1">
      <x v="25"/>
    </i>
    <i>
      <x v="165"/>
    </i>
    <i r="1">
      <x v="37"/>
    </i>
    <i r="1">
      <x v="40"/>
    </i>
    <i>
      <x v="166"/>
    </i>
    <i r="1">
      <x v="18"/>
    </i>
    <i r="1">
      <x v="27"/>
    </i>
    <i r="1">
      <x v="39"/>
    </i>
    <i>
      <x v="167"/>
    </i>
    <i r="1">
      <x v="39"/>
    </i>
    <i>
      <x v="168"/>
    </i>
    <i r="1">
      <x v="41"/>
    </i>
    <i>
      <x v="169"/>
    </i>
    <i r="1">
      <x v="22"/>
    </i>
    <i>
      <x v="170"/>
    </i>
    <i r="1">
      <x v="46"/>
    </i>
    <i>
      <x v="171"/>
    </i>
    <i r="1">
      <x v="37"/>
    </i>
    <i>
      <x v="172"/>
    </i>
    <i r="1">
      <x v="25"/>
    </i>
    <i>
      <x v="173"/>
    </i>
    <i r="1">
      <x v="40"/>
    </i>
    <i>
      <x v="174"/>
    </i>
    <i r="1">
      <x v="5"/>
    </i>
    <i r="1">
      <x v="6"/>
    </i>
    <i r="1">
      <x v="12"/>
    </i>
    <i r="1">
      <x v="13"/>
    </i>
    <i r="1">
      <x v="27"/>
    </i>
    <i r="1">
      <x v="39"/>
    </i>
    <i>
      <x v="175"/>
    </i>
    <i r="1">
      <x v="34"/>
    </i>
    <i r="1">
      <x v="36"/>
    </i>
    <i>
      <x v="176"/>
    </i>
    <i r="1">
      <x v="40"/>
    </i>
    <i>
      <x v="177"/>
    </i>
    <i r="1">
      <x v="37"/>
    </i>
    <i>
      <x v="178"/>
    </i>
    <i r="1">
      <x v="25"/>
    </i>
    <i>
      <x v="179"/>
    </i>
    <i r="1">
      <x v="40"/>
    </i>
    <i>
      <x v="180"/>
    </i>
    <i r="1">
      <x v="16"/>
    </i>
    <i r="1">
      <x v="26"/>
    </i>
    <i r="1">
      <x v="36"/>
    </i>
    <i r="1">
      <x v="45"/>
    </i>
    <i>
      <x v="181"/>
    </i>
    <i r="1">
      <x v="22"/>
    </i>
    <i r="1">
      <x v="37"/>
    </i>
    <i r="1">
      <x v="40"/>
    </i>
    <i>
      <x v="182"/>
    </i>
    <i r="1">
      <x v="40"/>
    </i>
    <i>
      <x v="183"/>
    </i>
    <i r="1">
      <x v="25"/>
    </i>
    <i r="1">
      <x v="46"/>
    </i>
    <i>
      <x v="184"/>
    </i>
    <i r="1">
      <x v="40"/>
    </i>
    <i>
      <x v="185"/>
    </i>
    <i r="1">
      <x v="34"/>
    </i>
    <i r="1">
      <x v="36"/>
    </i>
    <i>
      <x v="186"/>
    </i>
    <i r="1">
      <x v="46"/>
    </i>
    <i>
      <x v="187"/>
    </i>
    <i r="1">
      <x v="37"/>
    </i>
    <i>
      <x v="188"/>
    </i>
    <i r="1">
      <x v="25"/>
    </i>
    <i r="1">
      <x v="40"/>
    </i>
    <i>
      <x v="189"/>
    </i>
    <i r="1">
      <x v="39"/>
    </i>
    <i>
      <x v="190"/>
    </i>
    <i r="1">
      <x v="10"/>
    </i>
    <i r="1">
      <x v="28"/>
    </i>
    <i r="1">
      <x v="29"/>
    </i>
    <i r="1">
      <x v="33"/>
    </i>
    <i r="1">
      <x v="37"/>
    </i>
    <i r="1">
      <x v="39"/>
    </i>
    <i>
      <x v="191"/>
    </i>
    <i r="1">
      <x v="25"/>
    </i>
    <i r="1">
      <x v="34"/>
    </i>
    <i r="1">
      <x v="35"/>
    </i>
    <i r="1">
      <x v="36"/>
    </i>
    <i r="1">
      <x v="40"/>
    </i>
    <i>
      <x v="192"/>
    </i>
    <i r="1">
      <x v="36"/>
    </i>
    <i>
      <x v="193"/>
    </i>
    <i r="1">
      <x v="40"/>
    </i>
    <i r="1">
      <x v="46"/>
    </i>
    <i>
      <x v="194"/>
    </i>
    <i r="1">
      <x v="41"/>
    </i>
    <i>
      <x v="195"/>
    </i>
    <i r="1">
      <x v="25"/>
    </i>
    <i r="1">
      <x v="37"/>
    </i>
    <i r="1">
      <x v="40"/>
    </i>
    <i>
      <x v="196"/>
    </i>
    <i r="1">
      <x v="22"/>
    </i>
    <i>
      <x v="197"/>
    </i>
    <i r="1">
      <x v="46"/>
    </i>
    <i>
      <x v="198"/>
    </i>
    <i r="1">
      <x v="40"/>
    </i>
    <i>
      <x v="199"/>
    </i>
    <i r="1">
      <x v="25"/>
    </i>
    <i r="1">
      <x v="40"/>
    </i>
    <i>
      <x v="200"/>
    </i>
    <i r="1">
      <x v="39"/>
    </i>
    <i>
      <x v="201"/>
    </i>
    <i r="1">
      <x v="40"/>
    </i>
    <i>
      <x v="202"/>
    </i>
    <i r="1">
      <x v="1"/>
    </i>
    <i r="1">
      <x v="2"/>
    </i>
    <i r="1">
      <x v="9"/>
    </i>
    <i r="1">
      <x v="28"/>
    </i>
    <i r="1">
      <x v="47"/>
    </i>
    <i>
      <x v="203"/>
    </i>
    <i r="1">
      <x v="34"/>
    </i>
    <i r="1">
      <x v="35"/>
    </i>
    <i r="1">
      <x v="36"/>
    </i>
    <i>
      <x v="204"/>
    </i>
    <i r="1">
      <x v="25"/>
    </i>
    <i r="1">
      <x v="40"/>
    </i>
    <i>
      <x v="205"/>
    </i>
    <i r="1"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144"/>
  </dataFields>
  <formats count="1"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456"/>
            <customFilter operator="lessThanOrEqual" val="418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O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9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3">
      <autoFilter ref="A1">
        <filterColumn colId="0">
          <customFilters and="1">
            <customFilter operator="greaterThanOrEqual" val="40360"/>
            <customFilter operator="lessThanOrEqual" val="4072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K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0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3">
      <autoFilter ref="A1">
        <filterColumn colId="0">
          <customFilters and="1">
            <customFilter operator="greaterThanOrEqual" val="40725"/>
            <customFilter operator="lessThanOrEqual" val="4109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:G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1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2">
      <autoFilter ref="A1">
        <filterColumn colId="0">
          <customFilters and="1">
            <customFilter operator="greaterThanOrEqual" val="41091"/>
            <customFilter operator="lessThanOrEqual" val="4145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6" firstHeaderRow="0" firstDataRow="1" firstDataCol="1"/>
  <pivotFields count="13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nnage" fld="5" baseField="1" baseItem="0"/>
    <dataField name="Sum of Total per pick up" fld="11" baseField="0" baseItem="0"/>
  </dataFields>
  <formats count="1">
    <format dxfId="12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dateBetween" evalOrder="-1" id="3">
      <autoFilter ref="A1">
        <filterColumn colId="0">
          <customFilters and="1">
            <customFilter operator="greaterThanOrEqual" val="41456"/>
            <customFilter operator="lessThanOrEqual" val="418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:G190" firstHeaderRow="0" firstDataRow="1" firstDataCol="1"/>
  <pivotFields count="15">
    <pivotField axis="axisRow" numFmtId="14" showAll="0">
      <items count="213">
        <item x="11"/>
        <item x="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5"/>
        <item x="126"/>
        <item x="127"/>
        <item x="128"/>
        <item x="129"/>
        <item x="131"/>
        <item x="132"/>
        <item x="133"/>
        <item x="135"/>
        <item x="136"/>
        <item x="137"/>
        <item x="138"/>
        <item x="140"/>
        <item x="141"/>
        <item x="143"/>
        <item x="144"/>
        <item x="145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147"/>
        <item x="148"/>
        <item x="149"/>
        <item x="150"/>
        <item x="151"/>
        <item x="152"/>
        <item x="153"/>
        <item x="154"/>
        <item x="157"/>
        <item x="158"/>
        <item x="162"/>
        <item x="163"/>
        <item x="120"/>
        <item x="124"/>
        <item x="130"/>
        <item x="134"/>
        <item x="139"/>
        <item x="142"/>
        <item x="146"/>
        <item x="155"/>
        <item x="156"/>
        <item x="159"/>
        <item x="160"/>
        <item x="161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7"/>
        <item x="208"/>
        <item x="209"/>
        <item x="210"/>
        <item m="1" x="211"/>
        <item x="192"/>
        <item x="205"/>
        <item t="default"/>
      </items>
    </pivotField>
    <pivotField showAll="0"/>
    <pivotField showAll="0" defaultSubtotal="0"/>
    <pivotField axis="axisRow" showAll="0">
      <items count="49">
        <item x="18"/>
        <item x="24"/>
        <item x="19"/>
        <item h="1" x="26"/>
        <item x="25"/>
        <item x="22"/>
        <item x="21"/>
        <item x="13"/>
        <item x="9"/>
        <item x="3"/>
        <item x="10"/>
        <item x="32"/>
        <item x="30"/>
        <item x="14"/>
        <item x="23"/>
        <item x="8"/>
        <item x="20"/>
        <item x="15"/>
        <item x="12"/>
        <item x="33"/>
        <item x="16"/>
        <item x="4"/>
        <item x="1"/>
        <item x="0"/>
        <item x="29"/>
        <item x="31"/>
        <item x="17"/>
        <item x="11"/>
        <item x="27"/>
        <item x="28"/>
        <item x="2"/>
        <item x="5"/>
        <item x="6"/>
        <item x="7"/>
        <item m="1" x="47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87">
    <i>
      <x v="53"/>
    </i>
    <i r="1">
      <x v="9"/>
    </i>
    <i r="1">
      <x v="22"/>
    </i>
    <i r="1">
      <x v="23"/>
    </i>
    <i>
      <x v="54"/>
    </i>
    <i r="1">
      <x v="18"/>
    </i>
    <i>
      <x v="55"/>
    </i>
    <i r="1">
      <x v="27"/>
    </i>
    <i>
      <x v="56"/>
    </i>
    <i r="1">
      <x v="27"/>
    </i>
    <i>
      <x v="57"/>
    </i>
    <i r="1">
      <x v="26"/>
    </i>
    <i>
      <x v="58"/>
    </i>
    <i r="1">
      <x v="15"/>
    </i>
    <i>
      <x v="59"/>
    </i>
    <i r="1">
      <x v="27"/>
    </i>
    <i>
      <x v="60"/>
    </i>
    <i r="1">
      <x v="18"/>
    </i>
    <i>
      <x v="61"/>
    </i>
    <i r="1">
      <x v="27"/>
    </i>
    <i>
      <x v="62"/>
    </i>
    <i r="1">
      <x v="17"/>
    </i>
    <i r="1">
      <x v="22"/>
    </i>
    <i r="1">
      <x v="23"/>
    </i>
    <i>
      <x v="63"/>
    </i>
    <i r="1">
      <x/>
    </i>
    <i r="1">
      <x v="2"/>
    </i>
    <i r="1">
      <x v="27"/>
    </i>
    <i>
      <x v="64"/>
    </i>
    <i r="1">
      <x v="27"/>
    </i>
    <i>
      <x v="65"/>
    </i>
    <i r="1">
      <x v="26"/>
    </i>
    <i>
      <x v="66"/>
    </i>
    <i r="1">
      <x v="18"/>
    </i>
    <i r="1">
      <x v="21"/>
    </i>
    <i r="1">
      <x v="23"/>
    </i>
    <i>
      <x v="67"/>
    </i>
    <i r="1">
      <x v="16"/>
    </i>
    <i>
      <x v="68"/>
    </i>
    <i r="1">
      <x v="27"/>
    </i>
    <i>
      <x v="69"/>
    </i>
    <i r="1">
      <x v="27"/>
    </i>
    <i>
      <x v="70"/>
    </i>
    <i r="1">
      <x v="26"/>
    </i>
    <i>
      <x v="71"/>
    </i>
    <i r="1">
      <x v="9"/>
    </i>
    <i r="1">
      <x v="21"/>
    </i>
    <i r="1">
      <x v="23"/>
    </i>
    <i>
      <x v="72"/>
    </i>
    <i r="1">
      <x v="17"/>
    </i>
    <i r="1">
      <x v="27"/>
    </i>
    <i>
      <x v="73"/>
    </i>
    <i r="1">
      <x/>
    </i>
    <i r="1">
      <x v="1"/>
    </i>
    <i r="1">
      <x v="4"/>
    </i>
    <i r="1">
      <x v="5"/>
    </i>
    <i r="1">
      <x v="6"/>
    </i>
    <i r="1">
      <x v="14"/>
    </i>
    <i r="1">
      <x v="18"/>
    </i>
    <i r="1">
      <x v="27"/>
    </i>
    <i>
      <x v="74"/>
    </i>
    <i r="1">
      <x v="15"/>
    </i>
    <i>
      <x v="75"/>
    </i>
    <i r="1">
      <x v="27"/>
    </i>
    <i>
      <x v="77"/>
    </i>
    <i r="1">
      <x v="27"/>
    </i>
    <i>
      <x v="78"/>
    </i>
    <i r="1">
      <x v="9"/>
    </i>
    <i r="1">
      <x v="18"/>
    </i>
    <i r="1">
      <x v="21"/>
    </i>
    <i r="1">
      <x v="23"/>
    </i>
    <i r="1">
      <x v="27"/>
    </i>
    <i>
      <x v="79"/>
    </i>
    <i r="1">
      <x v="28"/>
    </i>
    <i>
      <x v="80"/>
    </i>
    <i r="1">
      <x v="26"/>
    </i>
    <i>
      <x v="81"/>
    </i>
    <i r="1">
      <x v="27"/>
    </i>
    <i>
      <x v="82"/>
    </i>
    <i r="1">
      <x v="27"/>
    </i>
    <i r="1">
      <x v="28"/>
    </i>
    <i>
      <x v="83"/>
    </i>
    <i r="1">
      <x v="28"/>
    </i>
    <i>
      <x v="84"/>
    </i>
    <i r="1">
      <x v="18"/>
    </i>
    <i>
      <x v="85"/>
    </i>
    <i r="1">
      <x v="29"/>
    </i>
    <i>
      <x v="86"/>
    </i>
    <i r="1">
      <x v="9"/>
    </i>
    <i r="1">
      <x v="21"/>
    </i>
    <i r="1">
      <x v="23"/>
    </i>
    <i>
      <x v="87"/>
    </i>
    <i r="1">
      <x v="27"/>
    </i>
    <i>
      <x v="88"/>
    </i>
    <i r="1">
      <x v="8"/>
    </i>
    <i r="1">
      <x v="10"/>
    </i>
    <i r="1">
      <x v="27"/>
    </i>
    <i>
      <x v="89"/>
    </i>
    <i r="1">
      <x v="26"/>
    </i>
    <i>
      <x v="90"/>
    </i>
    <i r="1">
      <x v="27"/>
    </i>
    <i>
      <x v="91"/>
    </i>
    <i r="1">
      <x v="24"/>
    </i>
    <i>
      <x v="92"/>
    </i>
    <i r="1">
      <x v="9"/>
    </i>
    <i r="1">
      <x v="23"/>
    </i>
    <i>
      <x v="93"/>
    </i>
    <i r="1">
      <x v="29"/>
    </i>
    <i>
      <x v="94"/>
    </i>
    <i r="1">
      <x v="18"/>
    </i>
    <i>
      <x v="95"/>
    </i>
    <i r="1">
      <x v="27"/>
    </i>
    <i>
      <x v="96"/>
    </i>
    <i r="1">
      <x v="26"/>
    </i>
    <i>
      <x v="97"/>
    </i>
    <i r="1">
      <x v="27"/>
    </i>
    <i>
      <x v="98"/>
    </i>
    <i r="1">
      <x v="27"/>
    </i>
    <i>
      <x v="99"/>
    </i>
    <i r="1">
      <x v="15"/>
    </i>
    <i>
      <x v="100"/>
    </i>
    <i r="1">
      <x v="29"/>
    </i>
    <i>
      <x v="101"/>
    </i>
    <i r="1">
      <x v="15"/>
    </i>
    <i r="1">
      <x v="18"/>
    </i>
    <i r="1">
      <x v="27"/>
    </i>
    <i>
      <x v="102"/>
    </i>
    <i r="1">
      <x v="27"/>
    </i>
    <i>
      <x v="103"/>
    </i>
    <i r="1">
      <x v="26"/>
    </i>
    <i>
      <x v="104"/>
    </i>
    <i r="1">
      <x v="26"/>
    </i>
    <i>
      <x v="105"/>
    </i>
    <i r="1">
      <x v="27"/>
    </i>
    <i>
      <x v="106"/>
    </i>
    <i r="1">
      <x v="9"/>
    </i>
    <i r="1">
      <x v="12"/>
    </i>
    <i r="1">
      <x v="22"/>
    </i>
    <i r="1">
      <x v="23"/>
    </i>
    <i r="1">
      <x v="24"/>
    </i>
    <i>
      <x v="107"/>
    </i>
    <i r="1">
      <x v="26"/>
    </i>
    <i r="1">
      <x v="29"/>
    </i>
    <i>
      <x v="108"/>
    </i>
    <i r="1">
      <x v="27"/>
    </i>
    <i>
      <x v="109"/>
    </i>
    <i r="1">
      <x v="27"/>
    </i>
    <i>
      <x v="110"/>
    </i>
    <i r="1">
      <x v="27"/>
    </i>
    <i r="1">
      <x v="29"/>
    </i>
    <i>
      <x v="111"/>
    </i>
    <i r="1">
      <x v="29"/>
    </i>
    <i>
      <x v="112"/>
    </i>
    <i r="1">
      <x v="26"/>
    </i>
    <i r="1">
      <x v="27"/>
    </i>
    <i>
      <x v="113"/>
    </i>
    <i r="1">
      <x v="27"/>
    </i>
    <i>
      <x v="114"/>
    </i>
    <i r="1">
      <x v="29"/>
    </i>
    <i>
      <x v="115"/>
    </i>
    <i r="1">
      <x v="15"/>
    </i>
    <i>
      <x v="116"/>
    </i>
    <i r="1">
      <x v="15"/>
    </i>
    <i>
      <x v="117"/>
    </i>
    <i r="1">
      <x v="6"/>
    </i>
    <i r="1">
      <x v="7"/>
    </i>
    <i r="1">
      <x v="11"/>
    </i>
    <i r="1">
      <x v="14"/>
    </i>
    <i r="1">
      <x v="19"/>
    </i>
    <i>
      <x v="118"/>
    </i>
    <i r="1">
      <x v="27"/>
    </i>
    <i>
      <x v="119"/>
    </i>
    <i r="1">
      <x v="27"/>
    </i>
    <i>
      <x v="152"/>
    </i>
    <i r="1">
      <x v="27"/>
    </i>
    <i>
      <x v="153"/>
    </i>
    <i r="1">
      <x v="18"/>
    </i>
    <i>
      <x v="154"/>
    </i>
    <i r="1">
      <x v="18"/>
    </i>
    <i>
      <x v="155"/>
    </i>
    <i r="1">
      <x v="18"/>
    </i>
    <i>
      <x v="156"/>
    </i>
    <i r="1">
      <x v="23"/>
    </i>
    <i r="1">
      <x v="25"/>
    </i>
    <i>
      <x v="157"/>
    </i>
    <i r="1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53"/>
  </dataFields>
  <pivotTableStyleInfo name="PivotStyleLight16" showRowHeaders="1" showColHeaders="1" showRowStripes="0" showColStripes="0" showLastColumn="1"/>
  <filters count="1">
    <filter fld="0" type="dateBetween" evalOrder="-1" id="7">
      <autoFilter ref="A1">
        <filterColumn colId="0">
          <customFilters and="1">
            <customFilter operator="greaterThanOrEqual" val="41091"/>
            <customFilter operator="lessThanOrEqual" val="4145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K144" firstHeaderRow="0" firstDataRow="1" firstDataCol="1"/>
  <pivotFields count="15">
    <pivotField axis="axisRow" numFmtId="14" showAll="0">
      <items count="203">
        <item x="11"/>
        <item x="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5"/>
        <item x="126"/>
        <item x="127"/>
        <item x="128"/>
        <item x="129"/>
        <item x="131"/>
        <item x="132"/>
        <item x="133"/>
        <item x="135"/>
        <item x="136"/>
        <item x="137"/>
        <item x="138"/>
        <item m="1" x="188"/>
        <item m="1" x="172"/>
        <item m="1" x="183"/>
        <item m="1" x="143"/>
        <item m="1" x="184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m="1" x="200"/>
        <item x="139"/>
        <item x="120"/>
        <item m="1" x="168"/>
        <item m="1" x="159"/>
        <item m="1" x="187"/>
        <item m="1" x="189"/>
        <item m="1" x="145"/>
        <item m="1" x="192"/>
        <item m="1" x="151"/>
        <item m="1" x="199"/>
        <item m="1" x="154"/>
        <item m="1" x="142"/>
        <item m="1" x="182"/>
        <item m="1" x="162"/>
        <item m="1" x="164"/>
        <item m="1" x="175"/>
        <item m="1" x="144"/>
        <item m="1" x="163"/>
        <item m="1" x="179"/>
        <item m="1" x="195"/>
        <item m="1" x="165"/>
        <item m="1" x="156"/>
        <item m="1" x="171"/>
        <item m="1" x="173"/>
        <item m="1" x="186"/>
        <item m="1" x="161"/>
        <item m="1" x="147"/>
        <item m="1" x="191"/>
        <item m="1" x="150"/>
        <item m="1" x="197"/>
        <item m="1" x="177"/>
        <item m="1" x="149"/>
        <item m="1" x="178"/>
        <item m="1" x="196"/>
        <item m="1" x="180"/>
        <item m="1" x="153"/>
        <item m="1" x="170"/>
        <item m="1" x="140"/>
        <item m="1" x="169"/>
        <item m="1" x="201"/>
        <item m="1" x="157"/>
        <item m="1" x="181"/>
        <item m="1" x="141"/>
        <item m="1" x="160"/>
        <item m="1" x="185"/>
        <item m="1" x="174"/>
        <item m="1" x="194"/>
        <item m="1" x="146"/>
        <item m="1" x="176"/>
        <item m="1" x="190"/>
        <item m="1" x="148"/>
        <item m="1" x="193"/>
        <item m="1" x="152"/>
        <item m="1" x="198"/>
        <item m="1" x="166"/>
        <item m="1" x="155"/>
        <item m="1" x="167"/>
        <item m="1" x="158"/>
        <item x="134"/>
        <item x="130"/>
        <item x="124"/>
        <item t="default"/>
      </items>
    </pivotField>
    <pivotField showAll="0"/>
    <pivotField showAll="0" defaultSubtotal="0"/>
    <pivotField axis="axisRow" showAll="0">
      <items count="56">
        <item x="20"/>
        <item x="26"/>
        <item x="21"/>
        <item h="1" x="28"/>
        <item x="27"/>
        <item x="24"/>
        <item x="23"/>
        <item x="15"/>
        <item x="9"/>
        <item x="3"/>
        <item x="10"/>
        <item m="1" x="34"/>
        <item x="32"/>
        <item x="16"/>
        <item x="25"/>
        <item x="8"/>
        <item x="22"/>
        <item x="17"/>
        <item x="12"/>
        <item m="1" x="51"/>
        <item x="18"/>
        <item m="1" x="36"/>
        <item x="4"/>
        <item x="1"/>
        <item x="0"/>
        <item m="1" x="54"/>
        <item x="31"/>
        <item x="19"/>
        <item m="1" x="37"/>
        <item x="11"/>
        <item m="1" x="46"/>
        <item x="29"/>
        <item x="30"/>
        <item x="2"/>
        <item x="5"/>
        <item x="6"/>
        <item x="7"/>
        <item m="1" x="40"/>
        <item m="1" x="42"/>
        <item m="1" x="33"/>
        <item h="1" m="1" x="53"/>
        <item h="1" m="1" x="43"/>
        <item h="1" m="1" x="47"/>
        <item h="1" m="1" x="39"/>
        <item h="1" m="1" x="44"/>
        <item h="1" m="1" x="41"/>
        <item h="1" m="1" x="48"/>
        <item h="1" m="1" x="50"/>
        <item h="1" m="1" x="35"/>
        <item h="1" m="1" x="49"/>
        <item h="1" m="1" x="38"/>
        <item h="1" m="1" x="45"/>
        <item h="1" m="1" x="52"/>
        <item h="1" x="13"/>
        <item h="1"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141">
    <i>
      <x v="2"/>
    </i>
    <i r="1">
      <x v="29"/>
    </i>
    <i>
      <x v="3"/>
    </i>
    <i r="1">
      <x v="23"/>
    </i>
    <i r="1">
      <x v="24"/>
    </i>
    <i r="1">
      <x v="29"/>
    </i>
    <i r="1">
      <x v="33"/>
    </i>
    <i>
      <x v="4"/>
    </i>
    <i r="1">
      <x v="29"/>
    </i>
    <i>
      <x v="5"/>
    </i>
    <i r="1">
      <x v="29"/>
    </i>
    <i>
      <x v="6"/>
    </i>
    <i r="1">
      <x v="9"/>
    </i>
    <i r="1">
      <x v="23"/>
    </i>
    <i r="1">
      <x v="24"/>
    </i>
    <i r="1">
      <x v="29"/>
    </i>
    <i r="1">
      <x v="33"/>
    </i>
    <i>
      <x v="7"/>
    </i>
    <i r="1">
      <x v="23"/>
    </i>
    <i r="1">
      <x v="24"/>
    </i>
    <i>
      <x v="8"/>
    </i>
    <i r="1">
      <x v="29"/>
    </i>
    <i>
      <x v="9"/>
    </i>
    <i r="1">
      <x v="29"/>
    </i>
    <i>
      <x v="10"/>
    </i>
    <i r="1">
      <x v="18"/>
    </i>
    <i>
      <x v="11"/>
    </i>
    <i r="1">
      <x v="29"/>
    </i>
    <i>
      <x v="12"/>
    </i>
    <i r="1">
      <x v="23"/>
    </i>
    <i r="1">
      <x v="24"/>
    </i>
    <i>
      <x v="13"/>
    </i>
    <i r="1">
      <x v="29"/>
    </i>
    <i>
      <x v="14"/>
    </i>
    <i r="1">
      <x v="29"/>
    </i>
    <i>
      <x v="15"/>
    </i>
    <i r="1">
      <x v="29"/>
    </i>
    <i>
      <x v="16"/>
    </i>
    <i r="1">
      <x v="29"/>
    </i>
    <i>
      <x v="17"/>
    </i>
    <i r="1">
      <x v="9"/>
    </i>
    <i r="1">
      <x v="23"/>
    </i>
    <i r="1">
      <x v="24"/>
    </i>
    <i>
      <x v="18"/>
    </i>
    <i r="1">
      <x v="29"/>
    </i>
    <i>
      <x v="19"/>
    </i>
    <i r="1">
      <x v="18"/>
    </i>
    <i>
      <x v="20"/>
    </i>
    <i r="1">
      <x v="29"/>
    </i>
    <i>
      <x v="21"/>
    </i>
    <i r="1">
      <x v="29"/>
    </i>
    <i>
      <x v="22"/>
    </i>
    <i r="1">
      <x v="29"/>
    </i>
    <i>
      <x v="23"/>
    </i>
    <i r="1">
      <x v="8"/>
    </i>
    <i r="1">
      <x v="10"/>
    </i>
    <i>
      <x v="24"/>
    </i>
    <i r="1">
      <x v="15"/>
    </i>
    <i>
      <x v="25"/>
    </i>
    <i r="1">
      <x v="9"/>
    </i>
    <i r="1">
      <x v="22"/>
    </i>
    <i r="1">
      <x v="23"/>
    </i>
    <i r="1">
      <x v="24"/>
    </i>
    <i>
      <x v="26"/>
    </i>
    <i r="1">
      <x v="29"/>
    </i>
    <i>
      <x v="27"/>
    </i>
    <i r="1">
      <x v="18"/>
    </i>
    <i>
      <x v="28"/>
    </i>
    <i r="1">
      <x v="9"/>
    </i>
    <i r="1">
      <x v="23"/>
    </i>
    <i r="1">
      <x v="24"/>
    </i>
    <i r="1">
      <x v="29"/>
    </i>
    <i>
      <x v="29"/>
    </i>
    <i r="1">
      <x v="29"/>
    </i>
    <i>
      <x v="30"/>
    </i>
    <i r="1">
      <x v="29"/>
    </i>
    <i>
      <x v="31"/>
    </i>
    <i r="1">
      <x v="7"/>
    </i>
    <i r="1">
      <x v="13"/>
    </i>
    <i>
      <x v="32"/>
    </i>
    <i r="1">
      <x v="9"/>
    </i>
    <i r="1">
      <x v="17"/>
    </i>
    <i r="1">
      <x v="20"/>
    </i>
    <i r="1">
      <x v="23"/>
    </i>
    <i r="1">
      <x v="24"/>
    </i>
    <i>
      <x v="33"/>
    </i>
    <i r="1">
      <x v="29"/>
    </i>
    <i>
      <x v="34"/>
    </i>
    <i r="1">
      <x v="18"/>
    </i>
    <i r="1">
      <x v="29"/>
    </i>
    <i>
      <x v="35"/>
    </i>
    <i r="1">
      <x v="9"/>
    </i>
    <i r="1">
      <x v="17"/>
    </i>
    <i r="1">
      <x v="20"/>
    </i>
    <i r="1">
      <x v="23"/>
    </i>
    <i r="1">
      <x v="24"/>
    </i>
    <i>
      <x v="36"/>
    </i>
    <i r="1">
      <x v="9"/>
    </i>
    <i r="1">
      <x v="17"/>
    </i>
    <i r="1">
      <x v="23"/>
    </i>
    <i r="1">
      <x v="24"/>
    </i>
    <i>
      <x v="37"/>
    </i>
    <i r="1">
      <x v="29"/>
    </i>
    <i>
      <x v="38"/>
    </i>
    <i r="1">
      <x v="29"/>
    </i>
    <i>
      <x v="39"/>
    </i>
    <i r="1">
      <x v="9"/>
    </i>
    <i r="1">
      <x v="18"/>
    </i>
    <i r="1">
      <x v="20"/>
    </i>
    <i r="1">
      <x v="24"/>
    </i>
    <i r="1">
      <x v="29"/>
    </i>
    <i>
      <x v="40"/>
    </i>
    <i r="1">
      <x v="29"/>
    </i>
    <i>
      <x v="41"/>
    </i>
    <i r="1">
      <x v="29"/>
    </i>
    <i>
      <x v="42"/>
    </i>
    <i r="1">
      <x v="29"/>
    </i>
    <i>
      <x v="43"/>
    </i>
    <i r="1">
      <x v="9"/>
    </i>
    <i r="1">
      <x v="23"/>
    </i>
    <i r="1">
      <x v="24"/>
    </i>
    <i>
      <x v="44"/>
    </i>
    <i r="1">
      <x v="18"/>
    </i>
    <i>
      <x v="45"/>
    </i>
    <i r="1">
      <x v="29"/>
    </i>
    <i>
      <x v="46"/>
    </i>
    <i r="1">
      <x v="29"/>
    </i>
    <i>
      <x v="47"/>
    </i>
    <i r="1">
      <x v="15"/>
    </i>
    <i>
      <x v="48"/>
    </i>
    <i r="1">
      <x v="23"/>
    </i>
    <i r="1">
      <x v="24"/>
    </i>
    <i>
      <x v="49"/>
    </i>
    <i r="1">
      <x v="18"/>
    </i>
    <i>
      <x v="50"/>
    </i>
    <i r="1">
      <x v="15"/>
    </i>
    <i>
      <x v="51"/>
    </i>
    <i r="1">
      <x v="29"/>
    </i>
    <i>
      <x v="52"/>
    </i>
    <i r="1"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2"/>
  </dataFields>
  <pivotTableStyleInfo name="PivotStyleLight16" showRowHeaders="1" showColHeaders="1" showRowStripes="0" showColStripes="0" showLastColumn="1"/>
  <filters count="1">
    <filter fld="0" type="dateBetween" evalOrder="-1" id="3">
      <autoFilter ref="A1">
        <filterColumn colId="0">
          <customFilters and="1">
            <customFilter operator="greaterThanOrEqual" val="40725"/>
            <customFilter operator="lessThanOrEqual" val="4109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 chartFormat="1">
  <location ref="A3:C14" firstHeaderRow="1" firstDataRow="2" firstDataCol="1" rowPageCount="1" colPageCount="1"/>
  <pivotFields count="15">
    <pivotField axis="axisPage" multipleItemSelectionAllowed="1" showAll="0" sortType="ascending">
      <items count="20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t="default"/>
      </items>
    </pivotField>
    <pivotField showAll="0"/>
    <pivotField axis="axisRow" multipleItemSelectionAllowed="1" showAll="0" defaultSubtotal="0">
      <items count="11">
        <item x="1"/>
        <item x="3"/>
        <item x="6"/>
        <item x="7"/>
        <item x="10"/>
        <item x="0"/>
        <item x="2"/>
        <item x="5"/>
        <item x="8"/>
        <item x="9"/>
        <item x="4"/>
      </items>
    </pivotField>
    <pivotField showAll="0" sortType="ascending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Weight ton" fld="7" baseField="0" baseItem="0" numFmtId="167"/>
    <dataField name="Sum of Payment" fld="11" baseField="2" baseItem="0" numFmtId="164"/>
  </dataFields>
  <formats count="2"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O70" firstHeaderRow="0" firstDataRow="1" firstDataCol="1"/>
  <pivotFields count="15">
    <pivotField axis="axisRow" numFmtId="14" showAll="0" sortType="ascending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m="1" x="141"/>
        <item m="1" x="143"/>
        <item m="1" x="144"/>
        <item m="1" x="142"/>
        <item t="default"/>
      </items>
    </pivotField>
    <pivotField showAll="0"/>
    <pivotField showAll="0" defaultSubtotal="0"/>
    <pivotField axis="axisRow" showAll="0">
      <items count="35">
        <item x="18"/>
        <item x="24"/>
        <item x="19"/>
        <item h="1" x="26"/>
        <item x="25"/>
        <item x="22"/>
        <item x="21"/>
        <item x="13"/>
        <item x="9"/>
        <item x="3"/>
        <item x="10"/>
        <item m="1" x="32"/>
        <item x="30"/>
        <item x="14"/>
        <item x="23"/>
        <item x="8"/>
        <item x="20"/>
        <item x="15"/>
        <item x="12"/>
        <item m="1" x="33"/>
        <item x="16"/>
        <item x="4"/>
        <item x="1"/>
        <item x="0"/>
        <item x="29"/>
        <item x="17"/>
        <item x="11"/>
        <item x="27"/>
        <item x="28"/>
        <item x="2"/>
        <item x="5"/>
        <item x="6"/>
        <item x="7"/>
        <item h="1" x="3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67">
    <i>
      <x v="6"/>
    </i>
    <i r="1">
      <x v="9"/>
    </i>
    <i r="1">
      <x v="22"/>
    </i>
    <i r="1">
      <x v="23"/>
    </i>
    <i r="1">
      <x v="29"/>
    </i>
    <i>
      <x v="7"/>
    </i>
    <i r="1">
      <x v="22"/>
    </i>
    <i r="1">
      <x v="23"/>
    </i>
    <i r="1">
      <x v="29"/>
    </i>
    <i>
      <x v="8"/>
    </i>
    <i r="1">
      <x v="9"/>
    </i>
    <i r="1">
      <x v="21"/>
    </i>
    <i r="1">
      <x v="22"/>
    </i>
    <i r="1">
      <x v="23"/>
    </i>
    <i r="1">
      <x v="29"/>
    </i>
    <i>
      <x v="9"/>
    </i>
    <i r="1">
      <x v="9"/>
    </i>
    <i r="1">
      <x v="22"/>
    </i>
    <i r="1">
      <x v="23"/>
    </i>
    <i r="1">
      <x v="29"/>
    </i>
    <i>
      <x v="10"/>
    </i>
    <i r="1">
      <x v="9"/>
    </i>
    <i r="1">
      <x v="22"/>
    </i>
    <i r="1">
      <x v="23"/>
    </i>
    <i r="1">
      <x v="29"/>
    </i>
    <i>
      <x v="11"/>
    </i>
    <i r="1">
      <x v="15"/>
    </i>
    <i>
      <x v="12"/>
    </i>
    <i r="1">
      <x v="9"/>
    </i>
    <i r="1">
      <x v="21"/>
    </i>
    <i r="1">
      <x v="22"/>
    </i>
    <i r="1">
      <x v="23"/>
    </i>
    <i r="1">
      <x v="29"/>
    </i>
    <i r="1">
      <x v="30"/>
    </i>
    <i>
      <x v="13"/>
    </i>
    <i r="1">
      <x v="8"/>
    </i>
    <i r="1">
      <x v="10"/>
    </i>
    <i>
      <x v="14"/>
    </i>
    <i r="1">
      <x v="22"/>
    </i>
    <i r="1">
      <x v="29"/>
    </i>
    <i>
      <x v="15"/>
    </i>
    <i r="1">
      <x v="9"/>
    </i>
    <i r="1">
      <x v="22"/>
    </i>
    <i r="1">
      <x v="23"/>
    </i>
    <i r="1">
      <x v="29"/>
    </i>
    <i>
      <x v="16"/>
    </i>
    <i r="1">
      <x v="9"/>
    </i>
    <i r="1">
      <x v="22"/>
    </i>
    <i r="1">
      <x v="23"/>
    </i>
    <i r="1">
      <x v="29"/>
    </i>
    <i>
      <x v="17"/>
    </i>
    <i r="1">
      <x v="9"/>
    </i>
    <i r="1">
      <x v="22"/>
    </i>
    <i r="1">
      <x v="23"/>
    </i>
    <i r="1">
      <x v="29"/>
    </i>
    <i>
      <x v="18"/>
    </i>
    <i r="1">
      <x v="9"/>
    </i>
    <i r="1">
      <x v="22"/>
    </i>
    <i r="1">
      <x v="23"/>
    </i>
    <i r="1">
      <x v="29"/>
    </i>
    <i r="1">
      <x v="30"/>
    </i>
    <i>
      <x v="19"/>
    </i>
    <i r="1">
      <x v="22"/>
    </i>
    <i r="1">
      <x v="23"/>
    </i>
    <i r="1">
      <x v="29"/>
    </i>
    <i r="1"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ton" fld="7" baseField="0" baseItem="0"/>
    <dataField name="Sum of Payment" fld="11" baseField="0" baseItem="0"/>
  </dataFields>
  <pivotTableStyleInfo name="PivotStyleLight16" showRowHeaders="1" showColHeaders="1" showRowStripes="0" showColStripes="0" showLastColumn="1"/>
  <filters count="1">
    <filter fld="0" type="dateBetween" evalOrder="-1" id="10">
      <autoFilter ref="A1">
        <filterColumn colId="0">
          <customFilters and="1">
            <customFilter operator="greaterThanOrEqual" val="40360"/>
            <customFilter operator="lessThanOrEqual" val="4072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pivotTable" Target="../pivotTables/pivotTable1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4" Type="http://schemas.openxmlformats.org/officeDocument/2006/relationships/pivotTable" Target="../pivotTables/pivot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2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XFD3"/>
    </sheetView>
  </sheetViews>
  <sheetFormatPr defaultColWidth="8.85546875" defaultRowHeight="15" x14ac:dyDescent="0.25"/>
  <cols>
    <col min="1" max="1" width="21.7109375" customWidth="1"/>
    <col min="2" max="2" width="13.42578125" customWidth="1"/>
    <col min="3" max="4" width="11.42578125" customWidth="1"/>
    <col min="5" max="6" width="11.28515625" customWidth="1"/>
    <col min="7" max="7" width="13.42578125" customWidth="1"/>
    <col min="8" max="8" width="10.42578125" customWidth="1"/>
    <col min="9" max="9" width="14.42578125" customWidth="1"/>
    <col min="10" max="10" width="10.42578125" customWidth="1"/>
    <col min="11" max="11" width="9.7109375" customWidth="1"/>
  </cols>
  <sheetData>
    <row r="1" spans="1:11" s="33" customFormat="1" ht="45" x14ac:dyDescent="0.25">
      <c r="A1" s="39" t="s">
        <v>346</v>
      </c>
      <c r="B1" s="39" t="s">
        <v>246</v>
      </c>
      <c r="C1" s="39" t="s">
        <v>243</v>
      </c>
      <c r="D1" s="39" t="s">
        <v>247</v>
      </c>
      <c r="E1" s="39" t="s">
        <v>242</v>
      </c>
      <c r="F1" s="39" t="s">
        <v>248</v>
      </c>
      <c r="G1" s="39" t="s">
        <v>249</v>
      </c>
      <c r="H1" s="39" t="s">
        <v>250</v>
      </c>
      <c r="I1" s="39" t="s">
        <v>254</v>
      </c>
      <c r="J1" s="39" t="s">
        <v>16</v>
      </c>
      <c r="K1" s="39" t="s">
        <v>11</v>
      </c>
    </row>
    <row r="2" spans="1:11" s="33" customFormat="1" x14ac:dyDescent="0.25">
      <c r="A2" s="70" t="s">
        <v>348</v>
      </c>
      <c r="B2" s="71">
        <f>'calendar trash pivot tables'!$B$10</f>
        <v>280.904</v>
      </c>
      <c r="C2" s="72">
        <f>'calendar trash pivot tables'!$C$10</f>
        <v>13497.82</v>
      </c>
      <c r="D2" s="73">
        <f>'calendar recycling pivot table'!$B$124</f>
        <v>260.56940000000003</v>
      </c>
      <c r="E2" s="75">
        <f>'calendar recycling pivot table'!$C$124</f>
        <v>9516.7214999999978</v>
      </c>
      <c r="F2" s="70">
        <f>78678/2000</f>
        <v>39.338999999999999</v>
      </c>
      <c r="G2" s="71">
        <f>D2+F2</f>
        <v>299.90840000000003</v>
      </c>
      <c r="H2" s="70">
        <v>13.9</v>
      </c>
      <c r="I2" s="71">
        <f>SUM(G2:H2)</f>
        <v>313.80840000000001</v>
      </c>
      <c r="J2" s="74">
        <f>G2/(B2+G2)</f>
        <v>0.51636018790232441</v>
      </c>
      <c r="K2" s="74">
        <f>I2/(B2+I2)</f>
        <v>0.52766412807266172</v>
      </c>
    </row>
    <row r="3" spans="1:11" s="33" customFormat="1" x14ac:dyDescent="0.25">
      <c r="A3" s="39">
        <v>2013</v>
      </c>
      <c r="B3" s="38">
        <f>'calendar trash pivot tables'!$F$16</f>
        <v>557.34400000000005</v>
      </c>
      <c r="C3" s="67">
        <f>'calendar trash pivot tables'!$G$16</f>
        <v>27334.650000000005</v>
      </c>
      <c r="D3" s="38">
        <f>'calendar recycling pivot table'!$F$184</f>
        <v>334.24540000000007</v>
      </c>
      <c r="E3" s="39">
        <f>'calendar recycling pivot table'!$G$184</f>
        <v>15778.510000000002</v>
      </c>
      <c r="F3" s="39">
        <f>74010/2000</f>
        <v>37.005000000000003</v>
      </c>
      <c r="G3" s="38">
        <f>D3+F3</f>
        <v>371.25040000000007</v>
      </c>
      <c r="H3" s="39">
        <v>57.9</v>
      </c>
      <c r="I3" s="38">
        <f>SUM(G3:H3)</f>
        <v>429.15040000000005</v>
      </c>
      <c r="J3" s="4">
        <f>G3/(B3+G3)</f>
        <v>0.39979823268372067</v>
      </c>
      <c r="K3" s="4">
        <f>I3/(B3+I3)</f>
        <v>0.43502568286246734</v>
      </c>
    </row>
    <row r="4" spans="1:11" s="33" customFormat="1" x14ac:dyDescent="0.25">
      <c r="A4" s="39">
        <v>2012</v>
      </c>
      <c r="B4" s="38">
        <f>'calendar trash pivot tables'!$J$16</f>
        <v>540.93999999999994</v>
      </c>
      <c r="C4" s="67">
        <f>'calendar trash pivot tables'!$K$16</f>
        <v>30764.909999999993</v>
      </c>
      <c r="D4" s="38">
        <f>'calendar recycling pivot table'!$J$187</f>
        <v>301.94200000000006</v>
      </c>
      <c r="E4" s="39">
        <f>'calendar recycling pivot table'!$K$187</f>
        <v>15670.650000000001</v>
      </c>
      <c r="F4" s="39">
        <f>63727/2000</f>
        <v>31.863499999999998</v>
      </c>
      <c r="G4" s="38">
        <f>D4+F4</f>
        <v>333.80550000000005</v>
      </c>
      <c r="H4" s="39"/>
      <c r="I4" s="38">
        <f>SUM(G4:H4)</f>
        <v>333.80550000000005</v>
      </c>
      <c r="J4" s="4">
        <f>G4/(B4+G4)</f>
        <v>0.3816029919559461</v>
      </c>
      <c r="K4" s="4">
        <f>I4/(B4+I4)</f>
        <v>0.3816029919559461</v>
      </c>
    </row>
    <row r="5" spans="1:11" s="33" customFormat="1" x14ac:dyDescent="0.25">
      <c r="A5" s="39">
        <v>2011</v>
      </c>
      <c r="B5" s="38">
        <f>'calendar trash pivot tables'!$N$16</f>
        <v>726.07999999999993</v>
      </c>
      <c r="C5" s="67">
        <f>'calendar trash pivot tables'!$O$16</f>
        <v>47572.58</v>
      </c>
      <c r="D5" s="38">
        <f>'calendar recycling pivot table'!$N$91</f>
        <v>182.64699999999993</v>
      </c>
      <c r="E5" s="39">
        <f>'calendar recycling pivot table'!$O$91</f>
        <v>15129.98</v>
      </c>
      <c r="F5" s="39">
        <v>2.2000000000000002</v>
      </c>
      <c r="G5" s="38">
        <f>D5+F5</f>
        <v>184.84699999999992</v>
      </c>
      <c r="H5" s="39"/>
      <c r="I5" s="38">
        <f>SUM(G5:H5)</f>
        <v>184.84699999999992</v>
      </c>
      <c r="J5" s="4">
        <f>G5/(B5+G5)</f>
        <v>0.20292185872193924</v>
      </c>
      <c r="K5" s="4">
        <f>I5/(B5+I5)</f>
        <v>0.20292185872193924</v>
      </c>
    </row>
    <row r="6" spans="1:11" s="33" customFormat="1" x14ac:dyDescent="0.25">
      <c r="A6" s="39">
        <v>2010</v>
      </c>
      <c r="B6" s="38">
        <f>'calendar trash pivot tables'!$R$16</f>
        <v>841.04000000000008</v>
      </c>
      <c r="C6" s="67">
        <f>'calendar trash pivot tables'!$S$16</f>
        <v>53084.979999999996</v>
      </c>
      <c r="D6" s="38">
        <f>'calendar recycling pivot table'!$R$73</f>
        <v>143.41949999999994</v>
      </c>
      <c r="E6" s="39">
        <f>'calendar recycling pivot table'!$S$73</f>
        <v>9640.02</v>
      </c>
      <c r="F6" s="39">
        <v>2.2000000000000002</v>
      </c>
      <c r="G6" s="38">
        <f>D6+F6</f>
        <v>145.61949999999993</v>
      </c>
      <c r="H6" s="39"/>
      <c r="I6" s="38">
        <f>SUM(G6:H6)</f>
        <v>145.61949999999993</v>
      </c>
      <c r="J6" s="4">
        <f>G6/(B6+G6)</f>
        <v>0.14758840309144131</v>
      </c>
      <c r="K6" s="4">
        <f>I6/(B6+I6)</f>
        <v>0.14758840309144131</v>
      </c>
    </row>
    <row r="7" spans="1:11" s="33" customFormat="1" x14ac:dyDescent="0.25">
      <c r="A7" s="39"/>
      <c r="B7" s="38"/>
      <c r="C7" s="67"/>
      <c r="D7" s="38"/>
      <c r="E7" s="39"/>
      <c r="F7" s="39"/>
      <c r="G7" s="38"/>
      <c r="H7" s="39"/>
      <c r="I7" s="38"/>
      <c r="J7" s="4"/>
      <c r="K7" s="4"/>
    </row>
    <row r="8" spans="1:11" s="33" customForma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1" x14ac:dyDescent="0.25">
      <c r="C9" s="65"/>
    </row>
    <row r="11" spans="1:11" ht="26.25" x14ac:dyDescent="0.25">
      <c r="A11" s="41" t="s">
        <v>251</v>
      </c>
    </row>
    <row r="12" spans="1:11" ht="90" x14ac:dyDescent="0.25">
      <c r="A12" s="40" t="s">
        <v>255</v>
      </c>
    </row>
    <row r="13" spans="1:11" ht="51.75" x14ac:dyDescent="0.25">
      <c r="A13" s="40" t="s">
        <v>21</v>
      </c>
    </row>
    <row r="14" spans="1:11" ht="39" x14ac:dyDescent="0.25">
      <c r="A14" s="40" t="s">
        <v>17</v>
      </c>
    </row>
    <row r="15" spans="1:11" ht="26.25" x14ac:dyDescent="0.25">
      <c r="A15" s="40" t="s">
        <v>25</v>
      </c>
    </row>
    <row r="16" spans="1:11" ht="26.25" x14ac:dyDescent="0.25">
      <c r="A16" s="40" t="s">
        <v>9</v>
      </c>
    </row>
    <row r="17" spans="1:1" ht="39" x14ac:dyDescent="0.25">
      <c r="A17" s="40" t="s">
        <v>252</v>
      </c>
    </row>
    <row r="18" spans="1:1" ht="26.25" x14ac:dyDescent="0.25">
      <c r="A18" s="40" t="s">
        <v>253</v>
      </c>
    </row>
    <row r="19" spans="1:1" ht="64.5" x14ac:dyDescent="0.25">
      <c r="A19" s="40" t="s">
        <v>256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A3" sqref="A3"/>
    </sheetView>
  </sheetViews>
  <sheetFormatPr defaultColWidth="8.85546875" defaultRowHeight="15" x14ac:dyDescent="0.25"/>
  <cols>
    <col min="1" max="1" width="15.85546875" customWidth="1"/>
    <col min="2" max="2" width="15.28515625" bestFit="1" customWidth="1"/>
    <col min="3" max="3" width="22.5703125" bestFit="1" customWidth="1"/>
    <col min="5" max="5" width="13.140625" customWidth="1"/>
    <col min="6" max="6" width="15.28515625" customWidth="1"/>
    <col min="7" max="7" width="22.5703125" customWidth="1"/>
    <col min="9" max="9" width="13.140625" customWidth="1"/>
    <col min="10" max="10" width="15.28515625" customWidth="1"/>
    <col min="11" max="11" width="22.5703125" customWidth="1"/>
    <col min="13" max="13" width="13.140625" customWidth="1"/>
    <col min="14" max="14" width="15.28515625" customWidth="1"/>
    <col min="15" max="15" width="22.5703125" customWidth="1"/>
    <col min="17" max="17" width="13.140625" customWidth="1"/>
    <col min="18" max="18" width="15.28515625" customWidth="1"/>
    <col min="19" max="19" width="22.5703125" customWidth="1"/>
  </cols>
  <sheetData>
    <row r="1" spans="1:19" x14ac:dyDescent="0.25">
      <c r="A1" t="s">
        <v>1</v>
      </c>
    </row>
    <row r="2" spans="1:19" x14ac:dyDescent="0.25">
      <c r="A2">
        <v>2014</v>
      </c>
      <c r="E2">
        <v>2013</v>
      </c>
      <c r="I2">
        <v>2012</v>
      </c>
      <c r="M2">
        <v>2011</v>
      </c>
      <c r="Q2">
        <v>2010</v>
      </c>
    </row>
    <row r="3" spans="1:19" x14ac:dyDescent="0.25">
      <c r="A3" s="36" t="s">
        <v>195</v>
      </c>
      <c r="B3" t="s">
        <v>197</v>
      </c>
      <c r="C3" t="s">
        <v>196</v>
      </c>
      <c r="E3" s="36" t="s">
        <v>195</v>
      </c>
      <c r="F3" t="s">
        <v>197</v>
      </c>
      <c r="G3" t="s">
        <v>196</v>
      </c>
      <c r="I3" s="36" t="s">
        <v>195</v>
      </c>
      <c r="J3" t="s">
        <v>197</v>
      </c>
      <c r="K3" t="s">
        <v>196</v>
      </c>
      <c r="M3" s="36" t="s">
        <v>195</v>
      </c>
      <c r="N3" t="s">
        <v>197</v>
      </c>
      <c r="O3" t="s">
        <v>196</v>
      </c>
      <c r="Q3" s="36" t="s">
        <v>195</v>
      </c>
      <c r="R3" t="s">
        <v>197</v>
      </c>
      <c r="S3" t="s">
        <v>196</v>
      </c>
    </row>
    <row r="4" spans="1:19" x14ac:dyDescent="0.25">
      <c r="A4" s="32" t="s">
        <v>273</v>
      </c>
      <c r="B4" s="6">
        <v>49.713999999999999</v>
      </c>
      <c r="C4" s="6">
        <v>2730.2299999999996</v>
      </c>
      <c r="E4" s="32" t="s">
        <v>273</v>
      </c>
      <c r="F4" s="6">
        <v>34.26</v>
      </c>
      <c r="G4" s="6">
        <v>1727.3799999999999</v>
      </c>
      <c r="I4" s="32" t="s">
        <v>273</v>
      </c>
      <c r="J4" s="6">
        <v>48.029999999999994</v>
      </c>
      <c r="K4" s="6">
        <v>3482.0099999999998</v>
      </c>
      <c r="M4" s="32" t="s">
        <v>273</v>
      </c>
      <c r="N4" s="6">
        <v>45.160000000000004</v>
      </c>
      <c r="O4" s="6">
        <v>3148.0000000000005</v>
      </c>
      <c r="Q4" s="32" t="s">
        <v>273</v>
      </c>
      <c r="R4" s="6">
        <v>54.589999999999989</v>
      </c>
      <c r="S4" s="6">
        <v>3582.53</v>
      </c>
    </row>
    <row r="5" spans="1:19" x14ac:dyDescent="0.25">
      <c r="A5" s="32" t="s">
        <v>274</v>
      </c>
      <c r="B5" s="6">
        <v>32.454000000000001</v>
      </c>
      <c r="C5" s="6">
        <v>1653.21</v>
      </c>
      <c r="E5" s="32" t="s">
        <v>274</v>
      </c>
      <c r="F5" s="6">
        <v>52.763999999999996</v>
      </c>
      <c r="G5" s="6">
        <v>2661.58</v>
      </c>
      <c r="I5" s="32" t="s">
        <v>274</v>
      </c>
      <c r="J5" s="6">
        <v>59.01</v>
      </c>
      <c r="K5" s="6">
        <v>3548.4700000000003</v>
      </c>
      <c r="M5" s="32" t="s">
        <v>274</v>
      </c>
      <c r="N5" s="6">
        <v>58.58</v>
      </c>
      <c r="O5" s="6">
        <v>3743.56</v>
      </c>
      <c r="Q5" s="32" t="s">
        <v>274</v>
      </c>
      <c r="R5" s="6">
        <v>72.38000000000001</v>
      </c>
      <c r="S5" s="6">
        <v>4193.1800000000012</v>
      </c>
    </row>
    <row r="6" spans="1:19" x14ac:dyDescent="0.25">
      <c r="A6" s="32" t="s">
        <v>275</v>
      </c>
      <c r="B6" s="6">
        <v>42.134</v>
      </c>
      <c r="C6" s="6">
        <v>2065.5700000000002</v>
      </c>
      <c r="E6" s="32" t="s">
        <v>275</v>
      </c>
      <c r="F6" s="6">
        <v>30.884</v>
      </c>
      <c r="G6" s="6">
        <v>1495.8200000000002</v>
      </c>
      <c r="I6" s="32" t="s">
        <v>275</v>
      </c>
      <c r="J6" s="6">
        <v>49.57</v>
      </c>
      <c r="K6" s="6">
        <v>2948.59</v>
      </c>
      <c r="M6" s="32" t="s">
        <v>275</v>
      </c>
      <c r="N6" s="6">
        <v>72.559999999999988</v>
      </c>
      <c r="O6" s="6">
        <v>4810.1499999999987</v>
      </c>
      <c r="Q6" s="32" t="s">
        <v>275</v>
      </c>
      <c r="R6" s="6">
        <v>77.62</v>
      </c>
      <c r="S6" s="6">
        <v>4865.6900000000005</v>
      </c>
    </row>
    <row r="7" spans="1:19" x14ac:dyDescent="0.25">
      <c r="A7" s="32" t="s">
        <v>276</v>
      </c>
      <c r="B7" s="6">
        <v>65.804000000000002</v>
      </c>
      <c r="C7" s="6">
        <v>2898.66</v>
      </c>
      <c r="E7" s="32" t="s">
        <v>276</v>
      </c>
      <c r="F7" s="6">
        <v>58.334000000000003</v>
      </c>
      <c r="G7" s="6">
        <v>2811.97</v>
      </c>
      <c r="I7" s="32" t="s">
        <v>276</v>
      </c>
      <c r="J7" s="6">
        <v>53.09</v>
      </c>
      <c r="K7" s="6">
        <v>2928.6299999999997</v>
      </c>
      <c r="M7" s="32" t="s">
        <v>276</v>
      </c>
      <c r="N7" s="6">
        <v>59.849999999999994</v>
      </c>
      <c r="O7" s="6">
        <v>4376.3599999999997</v>
      </c>
      <c r="Q7" s="32" t="s">
        <v>276</v>
      </c>
      <c r="R7" s="6">
        <v>73.310000000000016</v>
      </c>
      <c r="S7" s="6">
        <v>4232.5200000000004</v>
      </c>
    </row>
    <row r="8" spans="1:19" x14ac:dyDescent="0.25">
      <c r="A8" s="32" t="s">
        <v>277</v>
      </c>
      <c r="B8" s="6">
        <v>30.323999999999998</v>
      </c>
      <c r="C8" s="6">
        <v>1395.4</v>
      </c>
      <c r="E8" s="32" t="s">
        <v>277</v>
      </c>
      <c r="F8" s="6">
        <v>60.114000000000004</v>
      </c>
      <c r="G8" s="6">
        <v>2745.03</v>
      </c>
      <c r="I8" s="32" t="s">
        <v>277</v>
      </c>
      <c r="J8" s="6">
        <v>49.269999999999996</v>
      </c>
      <c r="K8" s="6">
        <v>2443.79</v>
      </c>
      <c r="M8" s="32" t="s">
        <v>277</v>
      </c>
      <c r="N8" s="6">
        <v>60.35</v>
      </c>
      <c r="O8" s="6">
        <v>3986.7799999999997</v>
      </c>
      <c r="Q8" s="32" t="s">
        <v>277</v>
      </c>
      <c r="R8" s="6">
        <v>80.160000000000011</v>
      </c>
      <c r="S8" s="6">
        <v>4814.1099999999997</v>
      </c>
    </row>
    <row r="9" spans="1:19" x14ac:dyDescent="0.25">
      <c r="A9" s="32" t="s">
        <v>278</v>
      </c>
      <c r="B9" s="6">
        <v>60.474000000000004</v>
      </c>
      <c r="C9" s="6">
        <v>2754.75</v>
      </c>
      <c r="E9" s="32" t="s">
        <v>278</v>
      </c>
      <c r="F9" s="6">
        <v>17.344000000000001</v>
      </c>
      <c r="G9" s="6">
        <v>1015.24</v>
      </c>
      <c r="I9" s="32" t="s">
        <v>278</v>
      </c>
      <c r="J9" s="6">
        <v>48.18</v>
      </c>
      <c r="K9" s="6">
        <v>2759.3599999999997</v>
      </c>
      <c r="M9" s="32" t="s">
        <v>278</v>
      </c>
      <c r="N9" s="6">
        <v>55.009999999999991</v>
      </c>
      <c r="O9" s="6">
        <v>3935.2999999999997</v>
      </c>
      <c r="Q9" s="32" t="s">
        <v>278</v>
      </c>
      <c r="R9" s="6">
        <v>64.98</v>
      </c>
      <c r="S9" s="6">
        <v>3870.8000000000006</v>
      </c>
    </row>
    <row r="10" spans="1:19" x14ac:dyDescent="0.25">
      <c r="A10" s="32" t="s">
        <v>347</v>
      </c>
      <c r="B10" s="6">
        <v>280.904</v>
      </c>
      <c r="C10" s="66">
        <v>13497.82</v>
      </c>
      <c r="E10" s="32" t="s">
        <v>279</v>
      </c>
      <c r="F10" s="6">
        <v>50.713999999999999</v>
      </c>
      <c r="G10" s="6">
        <v>2376.23</v>
      </c>
      <c r="I10" s="32" t="s">
        <v>279</v>
      </c>
      <c r="J10" s="6">
        <v>35.64</v>
      </c>
      <c r="K10" s="6">
        <v>2075.7800000000002</v>
      </c>
      <c r="M10" s="32" t="s">
        <v>279</v>
      </c>
      <c r="N10" s="6">
        <v>54.019999999999996</v>
      </c>
      <c r="O10" s="6">
        <v>3662.43</v>
      </c>
      <c r="Q10" s="32" t="s">
        <v>279</v>
      </c>
      <c r="R10" s="6">
        <v>68.559999999999988</v>
      </c>
      <c r="S10" s="6">
        <v>4619.8900000000003</v>
      </c>
    </row>
    <row r="11" spans="1:19" x14ac:dyDescent="0.25">
      <c r="E11" s="32" t="s">
        <v>280</v>
      </c>
      <c r="F11" s="6">
        <v>56.924000000000007</v>
      </c>
      <c r="G11" s="6">
        <v>2773.9</v>
      </c>
      <c r="I11" s="32" t="s">
        <v>280</v>
      </c>
      <c r="J11" s="6">
        <v>42.29</v>
      </c>
      <c r="K11" s="6">
        <v>2392.7399999999998</v>
      </c>
      <c r="M11" s="32" t="s">
        <v>280</v>
      </c>
      <c r="N11" s="6">
        <v>72.929999999999964</v>
      </c>
      <c r="O11" s="6">
        <v>5071.869999999999</v>
      </c>
      <c r="Q11" s="32" t="s">
        <v>280</v>
      </c>
      <c r="R11" s="6">
        <v>59.650000000000006</v>
      </c>
      <c r="S11" s="6">
        <v>4386.7699999999995</v>
      </c>
    </row>
    <row r="12" spans="1:19" x14ac:dyDescent="0.25">
      <c r="E12" s="32" t="s">
        <v>281</v>
      </c>
      <c r="F12" s="6">
        <v>51.994</v>
      </c>
      <c r="G12" s="6">
        <v>2525.79</v>
      </c>
      <c r="I12" s="32" t="s">
        <v>281</v>
      </c>
      <c r="J12" s="6">
        <v>63.140000000000008</v>
      </c>
      <c r="K12" s="6">
        <v>3031.5999999999995</v>
      </c>
      <c r="M12" s="32" t="s">
        <v>281</v>
      </c>
      <c r="N12" s="6">
        <v>61.460000000000008</v>
      </c>
      <c r="O12" s="6">
        <v>3716.2100000000009</v>
      </c>
      <c r="Q12" s="32" t="s">
        <v>281</v>
      </c>
      <c r="R12" s="6">
        <v>78.109999999999985</v>
      </c>
      <c r="S12" s="6">
        <v>5143.79</v>
      </c>
    </row>
    <row r="13" spans="1:19" x14ac:dyDescent="0.25">
      <c r="E13" s="32" t="s">
        <v>282</v>
      </c>
      <c r="F13" s="6">
        <v>63.823999999999991</v>
      </c>
      <c r="G13" s="6">
        <v>3193.8799999999997</v>
      </c>
      <c r="I13" s="32" t="s">
        <v>282</v>
      </c>
      <c r="J13" s="6">
        <v>23.73</v>
      </c>
      <c r="K13" s="6">
        <v>1409.21</v>
      </c>
      <c r="M13" s="32" t="s">
        <v>282</v>
      </c>
      <c r="N13" s="6">
        <v>61.33</v>
      </c>
      <c r="O13" s="6">
        <v>3841.1099999999997</v>
      </c>
      <c r="Q13" s="32" t="s">
        <v>282</v>
      </c>
      <c r="R13" s="6">
        <v>74.81</v>
      </c>
      <c r="S13" s="6">
        <v>4537.2399999999989</v>
      </c>
    </row>
    <row r="14" spans="1:19" x14ac:dyDescent="0.25">
      <c r="E14" s="32" t="s">
        <v>283</v>
      </c>
      <c r="F14" s="6">
        <v>48.594000000000008</v>
      </c>
      <c r="G14" s="6">
        <v>2456.84</v>
      </c>
      <c r="I14" s="32" t="s">
        <v>283</v>
      </c>
      <c r="J14" s="6">
        <v>39.21</v>
      </c>
      <c r="K14" s="6">
        <v>2287.17</v>
      </c>
      <c r="M14" s="32" t="s">
        <v>283</v>
      </c>
      <c r="N14" s="6">
        <v>76.890000000000015</v>
      </c>
      <c r="O14" s="6">
        <v>4261.2299999999996</v>
      </c>
      <c r="Q14" s="32" t="s">
        <v>283</v>
      </c>
      <c r="R14" s="6">
        <v>81.080000000000013</v>
      </c>
      <c r="S14" s="6">
        <v>5239.2</v>
      </c>
    </row>
    <row r="15" spans="1:19" x14ac:dyDescent="0.25">
      <c r="E15" s="32" t="s">
        <v>284</v>
      </c>
      <c r="F15" s="6">
        <v>31.593999999999998</v>
      </c>
      <c r="G15" s="6">
        <v>1550.9900000000002</v>
      </c>
      <c r="I15" s="32" t="s">
        <v>284</v>
      </c>
      <c r="J15" s="6">
        <v>29.78</v>
      </c>
      <c r="K15" s="6">
        <v>1457.5599999999997</v>
      </c>
      <c r="M15" s="32" t="s">
        <v>284</v>
      </c>
      <c r="N15" s="6">
        <v>47.94</v>
      </c>
      <c r="O15" s="6">
        <v>3019.58</v>
      </c>
      <c r="Q15" s="32" t="s">
        <v>284</v>
      </c>
      <c r="R15" s="6">
        <v>55.790000000000006</v>
      </c>
      <c r="S15" s="6">
        <v>3599.26</v>
      </c>
    </row>
    <row r="16" spans="1:19" x14ac:dyDescent="0.25">
      <c r="E16" s="32" t="s">
        <v>198</v>
      </c>
      <c r="F16" s="6">
        <v>557.34400000000005</v>
      </c>
      <c r="G16" s="66">
        <v>27334.650000000005</v>
      </c>
      <c r="I16" s="32" t="s">
        <v>198</v>
      </c>
      <c r="J16" s="6">
        <v>540.93999999999994</v>
      </c>
      <c r="K16" s="66">
        <v>30764.909999999993</v>
      </c>
      <c r="M16" s="32" t="s">
        <v>198</v>
      </c>
      <c r="N16" s="6">
        <v>726.07999999999993</v>
      </c>
      <c r="O16" s="66">
        <v>47572.58</v>
      </c>
      <c r="Q16" s="32" t="s">
        <v>198</v>
      </c>
      <c r="R16" s="6">
        <v>841.04000000000008</v>
      </c>
      <c r="S16" s="66">
        <v>53084.979999999996</v>
      </c>
    </row>
  </sheetData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7"/>
  <sheetViews>
    <sheetView topLeftCell="B1" zoomScale="60" zoomScaleNormal="60" workbookViewId="0">
      <selection activeCell="E3" sqref="E3"/>
    </sheetView>
  </sheetViews>
  <sheetFormatPr defaultColWidth="8.85546875" defaultRowHeight="15" x14ac:dyDescent="0.25"/>
  <cols>
    <col min="1" max="1" width="29.28515625" customWidth="1"/>
    <col min="2" max="2" width="24.7109375" customWidth="1"/>
    <col min="3" max="3" width="22.28515625" customWidth="1"/>
    <col min="4" max="4" width="15.5703125" customWidth="1"/>
    <col min="5" max="5" width="26.7109375" customWidth="1"/>
    <col min="6" max="6" width="24.7109375" customWidth="1"/>
    <col min="7" max="7" width="22.28515625" customWidth="1"/>
    <col min="8" max="8" width="11.28515625" bestFit="1" customWidth="1"/>
    <col min="9" max="9" width="29.5703125" customWidth="1"/>
    <col min="10" max="10" width="24.7109375" customWidth="1"/>
    <col min="11" max="11" width="22.28515625" customWidth="1"/>
    <col min="12" max="12" width="15.42578125" customWidth="1"/>
    <col min="13" max="13" width="26.7109375" customWidth="1"/>
    <col min="14" max="14" width="24.7109375" customWidth="1"/>
    <col min="15" max="15" width="22.28515625" customWidth="1"/>
    <col min="16" max="16" width="9" customWidth="1"/>
    <col min="17" max="17" width="19.7109375" customWidth="1"/>
    <col min="18" max="18" width="24.7109375" customWidth="1"/>
    <col min="19" max="19" width="22.28515625" customWidth="1"/>
    <col min="20" max="20" width="12.28515625" bestFit="1" customWidth="1"/>
    <col min="21" max="21" width="9.42578125" customWidth="1"/>
    <col min="22" max="22" width="8.140625" customWidth="1"/>
    <col min="23" max="23" width="24.140625" customWidth="1"/>
    <col min="24" max="24" width="8.42578125" customWidth="1"/>
    <col min="25" max="25" width="6" customWidth="1"/>
    <col min="26" max="26" width="16.42578125" customWidth="1"/>
    <col min="27" max="27" width="12.28515625" customWidth="1"/>
    <col min="28" max="29" width="7" customWidth="1"/>
    <col min="30" max="30" width="6.140625" customWidth="1"/>
    <col min="31" max="31" width="7" customWidth="1"/>
    <col min="32" max="32" width="10.140625" customWidth="1"/>
    <col min="33" max="33" width="12.42578125" customWidth="1"/>
    <col min="34" max="34" width="13.28515625" customWidth="1"/>
    <col min="35" max="35" width="29" bestFit="1" customWidth="1"/>
    <col min="36" max="36" width="6" customWidth="1"/>
    <col min="37" max="37" width="12.42578125" customWidth="1"/>
    <col min="38" max="38" width="11.28515625" customWidth="1"/>
    <col min="39" max="39" width="6" customWidth="1"/>
    <col min="40" max="40" width="12.42578125" bestFit="1" customWidth="1"/>
    <col min="41" max="41" width="11.28515625" bestFit="1" customWidth="1"/>
  </cols>
  <sheetData>
    <row r="2" spans="1:19" x14ac:dyDescent="0.25">
      <c r="A2">
        <v>2014</v>
      </c>
      <c r="E2">
        <v>2013</v>
      </c>
      <c r="I2">
        <v>2012</v>
      </c>
      <c r="M2">
        <v>2011</v>
      </c>
      <c r="Q2">
        <v>2010</v>
      </c>
    </row>
    <row r="3" spans="1:19" x14ac:dyDescent="0.25">
      <c r="B3" s="36" t="s">
        <v>272</v>
      </c>
      <c r="E3" s="36" t="s">
        <v>195</v>
      </c>
      <c r="F3" t="s">
        <v>229</v>
      </c>
      <c r="G3" t="s">
        <v>241</v>
      </c>
      <c r="I3" s="36" t="s">
        <v>195</v>
      </c>
      <c r="J3" t="s">
        <v>229</v>
      </c>
      <c r="K3" t="s">
        <v>241</v>
      </c>
      <c r="M3" s="36" t="s">
        <v>195</v>
      </c>
      <c r="N3" t="s">
        <v>229</v>
      </c>
      <c r="O3" t="s">
        <v>241</v>
      </c>
      <c r="Q3" s="36" t="s">
        <v>195</v>
      </c>
      <c r="R3" t="s">
        <v>229</v>
      </c>
      <c r="S3" t="s">
        <v>241</v>
      </c>
    </row>
    <row r="4" spans="1:19" x14ac:dyDescent="0.25">
      <c r="A4" s="36" t="s">
        <v>195</v>
      </c>
      <c r="B4" t="s">
        <v>229</v>
      </c>
      <c r="C4" t="s">
        <v>241</v>
      </c>
      <c r="E4" s="32">
        <v>41277</v>
      </c>
      <c r="F4" s="6">
        <v>5.39</v>
      </c>
      <c r="G4" s="6">
        <v>924.95</v>
      </c>
      <c r="I4" s="32">
        <v>40911</v>
      </c>
      <c r="J4" s="6">
        <v>2.1465000000000001</v>
      </c>
      <c r="K4" s="6"/>
      <c r="L4" s="6"/>
      <c r="M4" s="32">
        <v>40573</v>
      </c>
      <c r="N4" s="6">
        <v>4.13</v>
      </c>
      <c r="O4" s="6">
        <v>157.96</v>
      </c>
      <c r="Q4" s="32">
        <v>40208</v>
      </c>
      <c r="R4" s="6">
        <v>4.25</v>
      </c>
      <c r="S4" s="6">
        <v>205.44</v>
      </c>
    </row>
    <row r="5" spans="1:19" x14ac:dyDescent="0.25">
      <c r="A5" s="63">
        <v>41655</v>
      </c>
      <c r="B5" s="6">
        <v>7.9924999999999997</v>
      </c>
      <c r="C5" s="6">
        <v>237.48</v>
      </c>
      <c r="E5" s="37" t="s">
        <v>77</v>
      </c>
      <c r="F5" s="6">
        <v>5.39</v>
      </c>
      <c r="G5" s="6">
        <v>924.95</v>
      </c>
      <c r="I5" s="37" t="s">
        <v>3</v>
      </c>
      <c r="J5" s="6">
        <v>2.1465000000000001</v>
      </c>
      <c r="K5" s="6"/>
      <c r="L5" s="6"/>
      <c r="M5" s="37" t="s">
        <v>70</v>
      </c>
      <c r="N5" s="6">
        <v>3.9</v>
      </c>
      <c r="O5" s="6">
        <v>157.96</v>
      </c>
      <c r="Q5" s="37" t="s">
        <v>70</v>
      </c>
      <c r="R5" s="6">
        <v>2.42</v>
      </c>
      <c r="S5" s="6"/>
    </row>
    <row r="6" spans="1:19" x14ac:dyDescent="0.25">
      <c r="A6" s="37" t="s">
        <v>3</v>
      </c>
      <c r="B6" s="6">
        <v>1.0874999999999999</v>
      </c>
      <c r="C6" s="6"/>
      <c r="E6" s="32">
        <v>41282</v>
      </c>
      <c r="F6" s="6">
        <v>6.31</v>
      </c>
      <c r="G6" s="6">
        <v>157.75</v>
      </c>
      <c r="I6" s="32">
        <v>40912</v>
      </c>
      <c r="J6" s="6">
        <v>6.99</v>
      </c>
      <c r="K6" s="6">
        <v>174.76</v>
      </c>
      <c r="L6" s="6"/>
      <c r="M6" s="37" t="s">
        <v>231</v>
      </c>
      <c r="N6" s="6">
        <v>0.23</v>
      </c>
      <c r="O6" s="6">
        <v>0</v>
      </c>
      <c r="Q6" s="37" t="s">
        <v>69</v>
      </c>
      <c r="R6" s="6">
        <v>1.62</v>
      </c>
      <c r="S6" s="6">
        <v>205.44</v>
      </c>
    </row>
    <row r="7" spans="1:19" x14ac:dyDescent="0.25">
      <c r="A7" s="37" t="s">
        <v>258</v>
      </c>
      <c r="B7" s="6">
        <v>0.55500000000000005</v>
      </c>
      <c r="C7" s="6">
        <v>78</v>
      </c>
      <c r="E7" s="37" t="s">
        <v>50</v>
      </c>
      <c r="F7" s="6">
        <v>6.31</v>
      </c>
      <c r="G7" s="6">
        <v>157.75</v>
      </c>
      <c r="I7" s="37" t="s">
        <v>236</v>
      </c>
      <c r="J7" s="6">
        <v>3.59</v>
      </c>
      <c r="K7" s="6">
        <v>71.8</v>
      </c>
      <c r="L7" s="6"/>
      <c r="M7" s="32">
        <v>40602</v>
      </c>
      <c r="N7" s="6">
        <v>14.795</v>
      </c>
      <c r="O7" s="6">
        <v>779.88</v>
      </c>
      <c r="Q7" s="37" t="s">
        <v>231</v>
      </c>
      <c r="R7" s="6">
        <v>0.21</v>
      </c>
      <c r="S7" s="6"/>
    </row>
    <row r="8" spans="1:19" x14ac:dyDescent="0.25">
      <c r="A8" s="37" t="s">
        <v>50</v>
      </c>
      <c r="B8" s="6">
        <v>6.35</v>
      </c>
      <c r="C8" s="6">
        <v>159.47999999999999</v>
      </c>
      <c r="E8" s="32">
        <v>41286</v>
      </c>
      <c r="F8" s="6">
        <v>0.55500000000000005</v>
      </c>
      <c r="G8" s="6">
        <v>72</v>
      </c>
      <c r="I8" s="37" t="s">
        <v>237</v>
      </c>
      <c r="J8" s="6">
        <v>0.43</v>
      </c>
      <c r="K8" s="6">
        <v>2.15</v>
      </c>
      <c r="L8" s="6"/>
      <c r="M8" s="37" t="s">
        <v>236</v>
      </c>
      <c r="N8" s="6">
        <v>6.5549999999999997</v>
      </c>
      <c r="O8" s="6">
        <v>229.43</v>
      </c>
      <c r="Q8" s="32">
        <v>40237</v>
      </c>
      <c r="R8" s="6">
        <v>12.635</v>
      </c>
      <c r="S8" s="6">
        <v>761.54</v>
      </c>
    </row>
    <row r="9" spans="1:19" x14ac:dyDescent="0.25">
      <c r="A9" s="63">
        <v>41656</v>
      </c>
      <c r="B9" s="6">
        <v>4.45</v>
      </c>
      <c r="C9" s="6">
        <v>88.33</v>
      </c>
      <c r="E9" s="37" t="s">
        <v>258</v>
      </c>
      <c r="F9" s="6">
        <v>0.55500000000000005</v>
      </c>
      <c r="G9" s="6">
        <v>72</v>
      </c>
      <c r="I9" s="37" t="s">
        <v>70</v>
      </c>
      <c r="J9" s="6">
        <v>0.29249999999999998</v>
      </c>
      <c r="K9" s="6">
        <v>20.48</v>
      </c>
      <c r="L9" s="6"/>
      <c r="M9" s="37" t="s">
        <v>70</v>
      </c>
      <c r="N9" s="6">
        <v>1.9350000000000001</v>
      </c>
      <c r="O9" s="6">
        <v>78.37</v>
      </c>
      <c r="Q9" s="37" t="s">
        <v>236</v>
      </c>
      <c r="R9" s="6">
        <v>5.61</v>
      </c>
      <c r="S9" s="6"/>
    </row>
    <row r="10" spans="1:19" x14ac:dyDescent="0.25">
      <c r="A10" s="37" t="s">
        <v>50</v>
      </c>
      <c r="B10" s="6">
        <v>4.45</v>
      </c>
      <c r="C10" s="6">
        <v>88.33</v>
      </c>
      <c r="E10" s="32">
        <v>41290</v>
      </c>
      <c r="F10" s="6">
        <v>5.2949999999999999</v>
      </c>
      <c r="G10" s="6">
        <v>394.04999999999995</v>
      </c>
      <c r="I10" s="37" t="s">
        <v>69</v>
      </c>
      <c r="J10" s="6">
        <v>2.6775000000000002</v>
      </c>
      <c r="K10" s="6">
        <v>80.33</v>
      </c>
      <c r="L10" s="6"/>
      <c r="M10" s="37" t="s">
        <v>69</v>
      </c>
      <c r="N10" s="6">
        <v>5.62</v>
      </c>
      <c r="O10" s="6">
        <v>472.08</v>
      </c>
      <c r="Q10" s="37" t="s">
        <v>70</v>
      </c>
      <c r="R10" s="6">
        <v>1.67</v>
      </c>
      <c r="S10" s="6"/>
    </row>
    <row r="11" spans="1:19" x14ac:dyDescent="0.25">
      <c r="A11" s="63">
        <v>41667</v>
      </c>
      <c r="B11" s="6">
        <v>1.5879999999999999</v>
      </c>
      <c r="C11" s="6"/>
      <c r="E11" s="37" t="s">
        <v>236</v>
      </c>
      <c r="F11" s="6">
        <v>1.4775</v>
      </c>
      <c r="G11" s="6">
        <v>88.65</v>
      </c>
      <c r="I11" s="32">
        <v>40924</v>
      </c>
      <c r="J11" s="6">
        <v>4.4000000000000004</v>
      </c>
      <c r="K11" s="6">
        <v>198</v>
      </c>
      <c r="L11" s="6"/>
      <c r="M11" s="37" t="s">
        <v>231</v>
      </c>
      <c r="N11" s="6">
        <v>0.68500000000000005</v>
      </c>
      <c r="O11" s="6">
        <v>0</v>
      </c>
      <c r="Q11" s="37" t="s">
        <v>69</v>
      </c>
      <c r="R11" s="6">
        <v>5.0449999999999999</v>
      </c>
      <c r="S11" s="6">
        <v>761.54</v>
      </c>
    </row>
    <row r="12" spans="1:19" x14ac:dyDescent="0.25">
      <c r="A12" s="37" t="s">
        <v>58</v>
      </c>
      <c r="B12" s="6">
        <v>0.16800000000000001</v>
      </c>
      <c r="C12" s="6"/>
      <c r="E12" s="37" t="s">
        <v>69</v>
      </c>
      <c r="F12" s="6">
        <v>3.8174999999999999</v>
      </c>
      <c r="G12" s="6">
        <v>305.39999999999998</v>
      </c>
      <c r="I12" s="37" t="s">
        <v>50</v>
      </c>
      <c r="J12" s="6">
        <v>4.4000000000000004</v>
      </c>
      <c r="K12" s="6">
        <v>198</v>
      </c>
      <c r="L12" s="6"/>
      <c r="M12" s="32">
        <v>40632</v>
      </c>
      <c r="N12" s="6">
        <v>11.84</v>
      </c>
      <c r="O12" s="6">
        <v>609.25</v>
      </c>
      <c r="Q12" s="37" t="s">
        <v>231</v>
      </c>
      <c r="R12" s="6">
        <v>0.31</v>
      </c>
      <c r="S12" s="6"/>
    </row>
    <row r="13" spans="1:19" x14ac:dyDescent="0.25">
      <c r="A13" s="37" t="s">
        <v>108</v>
      </c>
      <c r="B13" s="6">
        <v>1.42</v>
      </c>
      <c r="C13" s="6"/>
      <c r="E13" s="32">
        <v>41291</v>
      </c>
      <c r="F13" s="6">
        <v>2.21</v>
      </c>
      <c r="G13" s="6"/>
      <c r="I13" s="32">
        <v>40926</v>
      </c>
      <c r="J13" s="6">
        <v>5.94</v>
      </c>
      <c r="K13" s="6"/>
      <c r="L13" s="6"/>
      <c r="M13" s="37" t="s">
        <v>236</v>
      </c>
      <c r="N13" s="6">
        <v>2.7549999999999999</v>
      </c>
      <c r="O13" s="6">
        <v>96.43</v>
      </c>
      <c r="Q13" s="32">
        <v>40267</v>
      </c>
      <c r="R13" s="6">
        <v>19.669999999999998</v>
      </c>
      <c r="S13" s="6">
        <v>941.95</v>
      </c>
    </row>
    <row r="14" spans="1:19" x14ac:dyDescent="0.25">
      <c r="A14" s="63">
        <v>41669</v>
      </c>
      <c r="B14" s="6">
        <v>8.6736000000000004</v>
      </c>
      <c r="C14" s="6"/>
      <c r="E14" s="37" t="s">
        <v>108</v>
      </c>
      <c r="F14" s="6">
        <v>2.21</v>
      </c>
      <c r="G14" s="6"/>
      <c r="I14" s="37" t="s">
        <v>58</v>
      </c>
      <c r="J14" s="6">
        <v>5.94</v>
      </c>
      <c r="K14" s="6"/>
      <c r="L14" s="6"/>
      <c r="M14" s="37" t="s">
        <v>70</v>
      </c>
      <c r="N14" s="6">
        <v>4.21</v>
      </c>
      <c r="O14" s="6">
        <v>170.52</v>
      </c>
      <c r="Q14" s="37" t="s">
        <v>236</v>
      </c>
      <c r="R14" s="6">
        <v>10.33</v>
      </c>
      <c r="S14" s="6"/>
    </row>
    <row r="15" spans="1:19" x14ac:dyDescent="0.25">
      <c r="A15" s="37" t="s">
        <v>50</v>
      </c>
      <c r="B15" s="6">
        <v>8.6736000000000004</v>
      </c>
      <c r="C15" s="6"/>
      <c r="E15" s="32">
        <v>41302</v>
      </c>
      <c r="F15" s="6">
        <v>0.16800000000000001</v>
      </c>
      <c r="G15" s="6"/>
      <c r="I15" s="32">
        <v>40938</v>
      </c>
      <c r="J15" s="6">
        <v>7.7335000000000012</v>
      </c>
      <c r="K15" s="6">
        <v>262.01</v>
      </c>
      <c r="L15" s="6"/>
      <c r="M15" s="37" t="s">
        <v>69</v>
      </c>
      <c r="N15" s="6">
        <v>4.0750000000000002</v>
      </c>
      <c r="O15" s="6">
        <v>342.3</v>
      </c>
      <c r="Q15" s="37" t="s">
        <v>237</v>
      </c>
      <c r="R15" s="6">
        <v>0.375</v>
      </c>
      <c r="S15" s="6"/>
    </row>
    <row r="16" spans="1:19" x14ac:dyDescent="0.25">
      <c r="A16" s="63">
        <v>41682</v>
      </c>
      <c r="B16" s="6">
        <v>8.5510000000000002</v>
      </c>
      <c r="C16" s="6">
        <v>839.72149999999999</v>
      </c>
      <c r="E16" s="37" t="s">
        <v>58</v>
      </c>
      <c r="F16" s="6">
        <v>0.16800000000000001</v>
      </c>
      <c r="G16" s="6"/>
      <c r="I16" s="37" t="s">
        <v>236</v>
      </c>
      <c r="J16" s="6">
        <v>0.9</v>
      </c>
      <c r="K16" s="6">
        <v>45</v>
      </c>
      <c r="L16" s="6"/>
      <c r="M16" s="37" t="s">
        <v>231</v>
      </c>
      <c r="N16" s="6">
        <v>0.8</v>
      </c>
      <c r="O16" s="6">
        <v>0</v>
      </c>
      <c r="Q16" s="37" t="s">
        <v>70</v>
      </c>
      <c r="R16" s="6">
        <v>3.0750000000000002</v>
      </c>
      <c r="S16" s="6"/>
    </row>
    <row r="17" spans="1:19" x14ac:dyDescent="0.25">
      <c r="A17" s="37" t="s">
        <v>70</v>
      </c>
      <c r="B17" s="6">
        <v>0.38</v>
      </c>
      <c r="C17" s="6">
        <v>30.78</v>
      </c>
      <c r="E17" s="32">
        <v>41304</v>
      </c>
      <c r="F17" s="6">
        <v>2.5</v>
      </c>
      <c r="G17" s="6"/>
      <c r="I17" s="37" t="s">
        <v>70</v>
      </c>
      <c r="J17" s="6">
        <v>0.42</v>
      </c>
      <c r="K17" s="6">
        <v>25.2</v>
      </c>
      <c r="L17" s="6"/>
      <c r="M17" s="32">
        <v>40663</v>
      </c>
      <c r="N17" s="6">
        <v>10.324999999999999</v>
      </c>
      <c r="O17" s="6">
        <v>600.12</v>
      </c>
      <c r="Q17" s="37" t="s">
        <v>69</v>
      </c>
      <c r="R17" s="6">
        <v>4</v>
      </c>
      <c r="S17" s="6">
        <v>941.95</v>
      </c>
    </row>
    <row r="18" spans="1:19" x14ac:dyDescent="0.25">
      <c r="A18" s="37" t="s">
        <v>69</v>
      </c>
      <c r="B18" s="6">
        <v>8.1709999999999994</v>
      </c>
      <c r="C18" s="6">
        <v>808.94150000000002</v>
      </c>
      <c r="E18" s="37" t="s">
        <v>50</v>
      </c>
      <c r="F18" s="6">
        <v>2.5</v>
      </c>
      <c r="G18" s="6"/>
      <c r="I18" s="37" t="s">
        <v>69</v>
      </c>
      <c r="J18" s="6">
        <v>2.74</v>
      </c>
      <c r="K18" s="6">
        <v>191.81</v>
      </c>
      <c r="L18" s="6"/>
      <c r="M18" s="37" t="s">
        <v>236</v>
      </c>
      <c r="N18" s="6">
        <v>3.0350000000000001</v>
      </c>
      <c r="O18" s="6">
        <v>209.18</v>
      </c>
      <c r="Q18" s="37" t="s">
        <v>231</v>
      </c>
      <c r="R18" s="6">
        <v>0.86</v>
      </c>
      <c r="S18" s="6"/>
    </row>
    <row r="19" spans="1:19" x14ac:dyDescent="0.25">
      <c r="A19" s="63">
        <v>41695</v>
      </c>
      <c r="B19" s="6">
        <v>2.0499999999999998</v>
      </c>
      <c r="C19" s="6"/>
      <c r="E19" s="32">
        <v>41311</v>
      </c>
      <c r="F19" s="6">
        <v>2.31</v>
      </c>
      <c r="G19" s="6">
        <v>247.35</v>
      </c>
      <c r="I19" s="37" t="s">
        <v>50</v>
      </c>
      <c r="J19" s="6">
        <v>3.6735000000000002</v>
      </c>
      <c r="K19" s="6"/>
      <c r="L19" s="6"/>
      <c r="M19" s="37" t="s">
        <v>70</v>
      </c>
      <c r="N19" s="6">
        <v>3.62</v>
      </c>
      <c r="O19" s="6">
        <v>146.62</v>
      </c>
      <c r="Q19" s="37" t="s">
        <v>240</v>
      </c>
      <c r="R19" s="6">
        <v>0.63</v>
      </c>
      <c r="S19" s="6"/>
    </row>
    <row r="20" spans="1:19" x14ac:dyDescent="0.25">
      <c r="A20" s="37" t="s">
        <v>108</v>
      </c>
      <c r="B20" s="6">
        <v>2.0499999999999998</v>
      </c>
      <c r="C20" s="6"/>
      <c r="E20" s="37" t="s">
        <v>77</v>
      </c>
      <c r="F20" s="6">
        <v>2.31</v>
      </c>
      <c r="G20" s="6">
        <v>247.35</v>
      </c>
      <c r="I20" s="32">
        <v>40940</v>
      </c>
      <c r="J20" s="6">
        <v>4.1100000000000003</v>
      </c>
      <c r="K20" s="6">
        <v>246.6</v>
      </c>
      <c r="L20" s="6"/>
      <c r="M20" s="37" t="s">
        <v>69</v>
      </c>
      <c r="N20" s="6">
        <v>2.5449999999999999</v>
      </c>
      <c r="O20" s="6">
        <v>244.32</v>
      </c>
      <c r="Q20" s="37" t="s">
        <v>238</v>
      </c>
      <c r="R20" s="6">
        <v>0.4</v>
      </c>
      <c r="S20" s="6"/>
    </row>
    <row r="21" spans="1:19" x14ac:dyDescent="0.25">
      <c r="A21" s="63">
        <v>41696</v>
      </c>
      <c r="B21" s="6">
        <v>0.74</v>
      </c>
      <c r="C21" s="6">
        <v>95</v>
      </c>
      <c r="E21" s="32">
        <v>41312</v>
      </c>
      <c r="F21" s="6">
        <v>3.5</v>
      </c>
      <c r="G21" s="6"/>
      <c r="I21" s="37" t="s">
        <v>50</v>
      </c>
      <c r="J21" s="6">
        <v>4.1100000000000003</v>
      </c>
      <c r="K21" s="6">
        <v>246.6</v>
      </c>
      <c r="L21" s="6"/>
      <c r="M21" s="37" t="s">
        <v>231</v>
      </c>
      <c r="N21" s="6">
        <v>1.125</v>
      </c>
      <c r="O21" s="6">
        <v>0</v>
      </c>
      <c r="Q21" s="32">
        <v>40298</v>
      </c>
      <c r="R21" s="6">
        <v>5.0500000000000007</v>
      </c>
      <c r="S21" s="6">
        <v>244.85</v>
      </c>
    </row>
    <row r="22" spans="1:19" x14ac:dyDescent="0.25">
      <c r="A22" s="37" t="s">
        <v>258</v>
      </c>
      <c r="B22" s="6">
        <v>0.74</v>
      </c>
      <c r="C22" s="6">
        <v>95</v>
      </c>
      <c r="E22" s="37" t="s">
        <v>50</v>
      </c>
      <c r="F22" s="6">
        <v>3.5</v>
      </c>
      <c r="G22" s="6"/>
      <c r="I22" s="32">
        <v>40941</v>
      </c>
      <c r="J22" s="6">
        <v>3.52</v>
      </c>
      <c r="K22" s="6">
        <v>211.2</v>
      </c>
      <c r="L22" s="6"/>
      <c r="M22" s="32">
        <v>40693</v>
      </c>
      <c r="N22" s="6">
        <v>6.47</v>
      </c>
      <c r="O22" s="6">
        <v>372.36</v>
      </c>
      <c r="Q22" s="37" t="s">
        <v>70</v>
      </c>
      <c r="R22" s="6">
        <v>3.13</v>
      </c>
      <c r="S22" s="6"/>
    </row>
    <row r="23" spans="1:19" x14ac:dyDescent="0.25">
      <c r="A23" s="63">
        <v>41698</v>
      </c>
      <c r="B23" s="6">
        <v>8.8415999999999997</v>
      </c>
      <c r="C23" s="6"/>
      <c r="E23" s="32">
        <v>41313</v>
      </c>
      <c r="F23" s="6">
        <v>2.66</v>
      </c>
      <c r="G23" s="6">
        <v>45.34</v>
      </c>
      <c r="I23" s="37" t="s">
        <v>50</v>
      </c>
      <c r="J23" s="6">
        <v>3.52</v>
      </c>
      <c r="K23" s="6">
        <v>211.2</v>
      </c>
      <c r="L23" s="6"/>
      <c r="M23" s="37" t="s">
        <v>236</v>
      </c>
      <c r="N23" s="6">
        <v>1.425</v>
      </c>
      <c r="O23" s="6">
        <v>42.08</v>
      </c>
      <c r="Q23" s="37" t="s">
        <v>69</v>
      </c>
      <c r="R23" s="6">
        <v>1.44</v>
      </c>
      <c r="S23" s="6">
        <v>244.85</v>
      </c>
    </row>
    <row r="24" spans="1:19" x14ac:dyDescent="0.25">
      <c r="A24" s="37" t="s">
        <v>58</v>
      </c>
      <c r="B24" s="6">
        <v>0.16800000000000001</v>
      </c>
      <c r="C24" s="6"/>
      <c r="E24" s="37" t="s">
        <v>50</v>
      </c>
      <c r="F24" s="6">
        <v>2.66</v>
      </c>
      <c r="G24" s="6">
        <v>45.34</v>
      </c>
      <c r="I24" s="32">
        <v>40942</v>
      </c>
      <c r="J24" s="6">
        <v>0.97000000000000008</v>
      </c>
      <c r="K24" s="6">
        <v>581</v>
      </c>
      <c r="L24" s="6"/>
      <c r="M24" s="37" t="s">
        <v>70</v>
      </c>
      <c r="N24" s="6">
        <v>2.5099999999999998</v>
      </c>
      <c r="O24" s="6">
        <v>105.42</v>
      </c>
      <c r="Q24" s="37" t="s">
        <v>231</v>
      </c>
      <c r="R24" s="6">
        <v>0.48</v>
      </c>
      <c r="S24" s="6"/>
    </row>
    <row r="25" spans="1:19" x14ac:dyDescent="0.25">
      <c r="A25" s="37" t="s">
        <v>50</v>
      </c>
      <c r="B25" s="6">
        <v>8.6736000000000004</v>
      </c>
      <c r="C25" s="6"/>
      <c r="E25" s="32">
        <v>41320</v>
      </c>
      <c r="F25" s="6">
        <v>2.2250000000000001</v>
      </c>
      <c r="G25" s="6"/>
      <c r="I25" s="37" t="s">
        <v>66</v>
      </c>
      <c r="J25" s="6">
        <v>0.81</v>
      </c>
      <c r="K25" s="6">
        <v>405</v>
      </c>
      <c r="L25" s="6"/>
      <c r="M25" s="37" t="s">
        <v>69</v>
      </c>
      <c r="N25" s="6">
        <v>1.75</v>
      </c>
      <c r="O25" s="6">
        <v>182</v>
      </c>
      <c r="Q25" s="32">
        <v>40328</v>
      </c>
      <c r="R25" s="6">
        <v>11.815000000000001</v>
      </c>
      <c r="S25" s="6">
        <v>413.97</v>
      </c>
    </row>
    <row r="26" spans="1:19" x14ac:dyDescent="0.25">
      <c r="A26" s="63">
        <v>41704</v>
      </c>
      <c r="B26" s="6">
        <v>3.2</v>
      </c>
      <c r="C26" s="6">
        <v>412</v>
      </c>
      <c r="E26" s="37" t="s">
        <v>3</v>
      </c>
      <c r="F26" s="6">
        <v>2.2250000000000001</v>
      </c>
      <c r="G26" s="6"/>
      <c r="I26" s="37" t="s">
        <v>68</v>
      </c>
      <c r="J26" s="6">
        <v>0.16</v>
      </c>
      <c r="K26" s="6">
        <v>176</v>
      </c>
      <c r="L26" s="6"/>
      <c r="M26" s="37" t="s">
        <v>231</v>
      </c>
      <c r="N26" s="6">
        <v>0.36</v>
      </c>
      <c r="O26" s="6">
        <v>25.6</v>
      </c>
      <c r="Q26" s="37" t="s">
        <v>236</v>
      </c>
      <c r="R26" s="6">
        <v>0.39</v>
      </c>
      <c r="S26" s="6"/>
    </row>
    <row r="27" spans="1:19" x14ac:dyDescent="0.25">
      <c r="A27" s="37" t="s">
        <v>77</v>
      </c>
      <c r="B27" s="6">
        <v>3.2</v>
      </c>
      <c r="C27" s="6">
        <v>412</v>
      </c>
      <c r="E27" s="32">
        <v>41323</v>
      </c>
      <c r="F27" s="6">
        <v>2.42</v>
      </c>
      <c r="G27" s="6"/>
      <c r="I27" s="32">
        <v>40954</v>
      </c>
      <c r="J27" s="6">
        <v>4.5500000000000007</v>
      </c>
      <c r="K27" s="6">
        <v>338.8</v>
      </c>
      <c r="L27" s="6"/>
      <c r="M27" s="37" t="s">
        <v>240</v>
      </c>
      <c r="N27" s="6">
        <v>0.42499999999999999</v>
      </c>
      <c r="O27" s="6">
        <v>17.260000000000002</v>
      </c>
      <c r="Q27" s="37" t="s">
        <v>70</v>
      </c>
      <c r="R27" s="6">
        <v>1.22</v>
      </c>
      <c r="S27" s="6"/>
    </row>
    <row r="28" spans="1:19" x14ac:dyDescent="0.25">
      <c r="A28" s="63">
        <v>41716</v>
      </c>
      <c r="B28" s="6">
        <v>0.66300000000000003</v>
      </c>
      <c r="C28" s="6">
        <v>111.15</v>
      </c>
      <c r="E28" s="37" t="s">
        <v>108</v>
      </c>
      <c r="F28" s="6">
        <v>2.42</v>
      </c>
      <c r="G28" s="6"/>
      <c r="I28" s="37" t="s">
        <v>236</v>
      </c>
      <c r="J28" s="6">
        <v>0.38</v>
      </c>
      <c r="K28" s="6">
        <v>30.4</v>
      </c>
      <c r="L28" s="6"/>
      <c r="M28" s="32">
        <v>40724</v>
      </c>
      <c r="N28" s="6">
        <v>15.39</v>
      </c>
      <c r="O28" s="6">
        <v>1294.01</v>
      </c>
      <c r="Q28" s="37" t="s">
        <v>69</v>
      </c>
      <c r="R28" s="6">
        <v>3.71</v>
      </c>
      <c r="S28" s="6">
        <v>413.97</v>
      </c>
    </row>
    <row r="29" spans="1:19" x14ac:dyDescent="0.25">
      <c r="A29" s="37" t="s">
        <v>93</v>
      </c>
      <c r="B29" s="6">
        <v>2.3E-2</v>
      </c>
      <c r="C29" s="6">
        <v>20.239999999999998</v>
      </c>
      <c r="E29" s="32">
        <v>41333</v>
      </c>
      <c r="F29" s="6">
        <v>12.254100000000001</v>
      </c>
      <c r="G29" s="6"/>
      <c r="I29" s="37" t="s">
        <v>71</v>
      </c>
      <c r="J29" s="6">
        <v>0.70250000000000001</v>
      </c>
      <c r="K29" s="6">
        <v>-35.15</v>
      </c>
      <c r="L29" s="6"/>
      <c r="M29" s="37" t="s">
        <v>70</v>
      </c>
      <c r="N29" s="6">
        <v>2.2050000000000001</v>
      </c>
      <c r="O29" s="6">
        <v>92.61</v>
      </c>
      <c r="Q29" s="37" t="s">
        <v>231</v>
      </c>
      <c r="R29" s="6">
        <v>0.28999999999999998</v>
      </c>
      <c r="S29" s="6"/>
    </row>
    <row r="30" spans="1:19" x14ac:dyDescent="0.25">
      <c r="A30" s="37" t="s">
        <v>306</v>
      </c>
      <c r="B30" s="6">
        <v>2.5000000000000001E-3</v>
      </c>
      <c r="C30" s="6">
        <v>0.75</v>
      </c>
      <c r="E30" s="37" t="s">
        <v>3</v>
      </c>
      <c r="F30" s="6">
        <v>0.91249999999999998</v>
      </c>
      <c r="G30" s="6"/>
      <c r="I30" s="37" t="s">
        <v>72</v>
      </c>
      <c r="J30" s="6">
        <v>0.02</v>
      </c>
      <c r="K30" s="6">
        <v>2</v>
      </c>
      <c r="L30" s="6"/>
      <c r="M30" s="37" t="s">
        <v>69</v>
      </c>
      <c r="N30" s="6">
        <v>10.86</v>
      </c>
      <c r="O30" s="6">
        <v>1129.44</v>
      </c>
      <c r="Q30" s="37" t="s">
        <v>239</v>
      </c>
      <c r="R30" s="6">
        <v>6.2050000000000001</v>
      </c>
      <c r="S30" s="6"/>
    </row>
    <row r="31" spans="1:19" x14ac:dyDescent="0.25">
      <c r="A31" s="37" t="s">
        <v>307</v>
      </c>
      <c r="B31" s="6">
        <v>1.95E-2</v>
      </c>
      <c r="C31" s="6">
        <v>14.82</v>
      </c>
      <c r="E31" s="37" t="s">
        <v>58</v>
      </c>
      <c r="F31" s="6">
        <v>0.16800000000000001</v>
      </c>
      <c r="G31" s="6"/>
      <c r="I31" s="37" t="s">
        <v>70</v>
      </c>
      <c r="J31" s="6">
        <v>0.08</v>
      </c>
      <c r="K31" s="6">
        <v>4.8</v>
      </c>
      <c r="L31" s="6"/>
      <c r="M31" s="37" t="s">
        <v>231</v>
      </c>
      <c r="N31" s="6">
        <v>0.48</v>
      </c>
      <c r="O31" s="6">
        <v>0</v>
      </c>
      <c r="Q31" s="32">
        <v>40359</v>
      </c>
      <c r="R31" s="6">
        <v>13.954999999999998</v>
      </c>
      <c r="S31" s="6">
        <v>728.77</v>
      </c>
    </row>
    <row r="32" spans="1:19" x14ac:dyDescent="0.25">
      <c r="A32" s="37" t="s">
        <v>308</v>
      </c>
      <c r="B32" s="6">
        <v>3.0000000000000001E-3</v>
      </c>
      <c r="C32" s="6">
        <v>3.24</v>
      </c>
      <c r="E32" s="37" t="s">
        <v>50</v>
      </c>
      <c r="F32" s="6">
        <v>11.1736</v>
      </c>
      <c r="G32" s="6"/>
      <c r="I32" s="37" t="s">
        <v>69</v>
      </c>
      <c r="J32" s="6">
        <v>3.3675000000000002</v>
      </c>
      <c r="K32" s="6">
        <v>336.75</v>
      </c>
      <c r="L32" s="6"/>
      <c r="M32" s="37" t="s">
        <v>240</v>
      </c>
      <c r="N32" s="6">
        <v>1.845</v>
      </c>
      <c r="O32" s="6">
        <v>71.959999999999994</v>
      </c>
      <c r="Q32" s="37" t="s">
        <v>236</v>
      </c>
      <c r="R32" s="6">
        <v>3.9849999999999999</v>
      </c>
      <c r="S32" s="6"/>
    </row>
    <row r="33" spans="1:19" x14ac:dyDescent="0.25">
      <c r="A33" s="37" t="s">
        <v>258</v>
      </c>
      <c r="B33" s="6">
        <v>0.55500000000000005</v>
      </c>
      <c r="C33" s="6">
        <v>61</v>
      </c>
      <c r="E33" s="32">
        <v>41339</v>
      </c>
      <c r="F33" s="6">
        <v>4.37</v>
      </c>
      <c r="G33" s="6">
        <v>129.13</v>
      </c>
      <c r="I33" s="32">
        <v>40966</v>
      </c>
      <c r="J33" s="6">
        <v>3.86</v>
      </c>
      <c r="K33" s="6">
        <v>231.6</v>
      </c>
      <c r="L33" s="6"/>
      <c r="M33" s="32">
        <v>40749</v>
      </c>
      <c r="N33" s="6">
        <v>3.8</v>
      </c>
      <c r="O33" s="6">
        <v>220</v>
      </c>
      <c r="Q33" s="37" t="s">
        <v>70</v>
      </c>
      <c r="R33" s="6">
        <v>2.34</v>
      </c>
      <c r="S33" s="6"/>
    </row>
    <row r="34" spans="1:19" x14ac:dyDescent="0.25">
      <c r="A34" s="37" t="s">
        <v>77</v>
      </c>
      <c r="B34" s="6">
        <v>0.06</v>
      </c>
      <c r="C34" s="6">
        <v>11.1</v>
      </c>
      <c r="E34" s="37" t="s">
        <v>50</v>
      </c>
      <c r="F34" s="6">
        <v>4.37</v>
      </c>
      <c r="G34" s="6">
        <v>129.13</v>
      </c>
      <c r="I34" s="37" t="s">
        <v>50</v>
      </c>
      <c r="J34" s="6">
        <v>3.86</v>
      </c>
      <c r="K34" s="6">
        <v>231.6</v>
      </c>
      <c r="L34" s="6"/>
      <c r="M34" s="37" t="s">
        <v>50</v>
      </c>
      <c r="N34" s="6">
        <v>3.8</v>
      </c>
      <c r="O34" s="6">
        <v>220</v>
      </c>
      <c r="Q34" s="37" t="s">
        <v>69</v>
      </c>
      <c r="R34" s="6">
        <v>7.38</v>
      </c>
      <c r="S34" s="6">
        <v>728.77</v>
      </c>
    </row>
    <row r="35" spans="1:19" x14ac:dyDescent="0.25">
      <c r="A35" s="63">
        <v>41726</v>
      </c>
      <c r="B35" s="6">
        <v>17.421599999999998</v>
      </c>
      <c r="C35" s="6">
        <v>913.4899999999999</v>
      </c>
      <c r="E35" s="32">
        <v>41351</v>
      </c>
      <c r="F35" s="6">
        <v>1.58</v>
      </c>
      <c r="G35" s="6">
        <v>151.80000000000001</v>
      </c>
      <c r="I35" s="32">
        <v>40967</v>
      </c>
      <c r="J35" s="6">
        <v>8.4834999999999994</v>
      </c>
      <c r="K35" s="6"/>
      <c r="L35" s="6"/>
      <c r="M35" s="32">
        <v>40754</v>
      </c>
      <c r="N35" s="6">
        <v>5.5</v>
      </c>
      <c r="O35" s="6">
        <v>479.95</v>
      </c>
      <c r="Q35" s="37" t="s">
        <v>231</v>
      </c>
      <c r="R35" s="6">
        <v>0.25</v>
      </c>
      <c r="S35" s="6"/>
    </row>
    <row r="36" spans="1:19" x14ac:dyDescent="0.25">
      <c r="A36" s="37" t="s">
        <v>58</v>
      </c>
      <c r="B36" s="6">
        <v>0.16800000000000001</v>
      </c>
      <c r="C36" s="6"/>
      <c r="E36" s="37" t="s">
        <v>77</v>
      </c>
      <c r="F36" s="6">
        <v>1.58</v>
      </c>
      <c r="G36" s="6">
        <v>151.80000000000001</v>
      </c>
      <c r="I36" s="37" t="s">
        <v>58</v>
      </c>
      <c r="J36" s="6">
        <v>4.8099999999999996</v>
      </c>
      <c r="K36" s="6"/>
      <c r="L36" s="6"/>
      <c r="M36" s="37" t="s">
        <v>70</v>
      </c>
      <c r="N36" s="6">
        <v>1.1000000000000001</v>
      </c>
      <c r="O36" s="6">
        <v>51.15</v>
      </c>
      <c r="Q36" s="32">
        <v>40389</v>
      </c>
      <c r="R36" s="6">
        <v>8.4799999999999986</v>
      </c>
      <c r="S36" s="6">
        <v>306.51</v>
      </c>
    </row>
    <row r="37" spans="1:19" x14ac:dyDescent="0.25">
      <c r="A37" s="37" t="s">
        <v>70</v>
      </c>
      <c r="B37" s="6">
        <v>0.12</v>
      </c>
      <c r="C37" s="6">
        <v>10.799999999999999</v>
      </c>
      <c r="E37" s="32">
        <v>41352</v>
      </c>
      <c r="F37" s="6">
        <v>1.79</v>
      </c>
      <c r="G37" s="6">
        <v>195.9</v>
      </c>
      <c r="I37" s="37" t="s">
        <v>50</v>
      </c>
      <c r="J37" s="6">
        <v>3.6735000000000002</v>
      </c>
      <c r="K37" s="6"/>
      <c r="L37" s="6"/>
      <c r="M37" s="37" t="s">
        <v>69</v>
      </c>
      <c r="N37" s="6">
        <v>0.57999999999999996</v>
      </c>
      <c r="O37" s="6">
        <v>63.8</v>
      </c>
      <c r="Q37" s="37" t="s">
        <v>236</v>
      </c>
      <c r="R37" s="6">
        <v>4.92</v>
      </c>
      <c r="S37" s="6"/>
    </row>
    <row r="38" spans="1:19" x14ac:dyDescent="0.25">
      <c r="A38" s="37" t="s">
        <v>310</v>
      </c>
      <c r="B38" s="6">
        <v>0.35</v>
      </c>
      <c r="C38" s="6">
        <v>17.324999999999999</v>
      </c>
      <c r="E38" s="37" t="s">
        <v>77</v>
      </c>
      <c r="F38" s="6">
        <v>1.79</v>
      </c>
      <c r="G38" s="6">
        <v>195.9</v>
      </c>
      <c r="I38" s="32">
        <v>40968</v>
      </c>
      <c r="J38" s="6">
        <v>10.469999999999999</v>
      </c>
      <c r="K38" s="6">
        <v>941.77</v>
      </c>
      <c r="L38" s="6"/>
      <c r="M38" s="37" t="s">
        <v>50</v>
      </c>
      <c r="N38" s="6">
        <v>3.65</v>
      </c>
      <c r="O38" s="6">
        <v>365</v>
      </c>
      <c r="Q38" s="37" t="s">
        <v>70</v>
      </c>
      <c r="R38" s="6">
        <v>2.27</v>
      </c>
      <c r="S38" s="6"/>
    </row>
    <row r="39" spans="1:19" x14ac:dyDescent="0.25">
      <c r="A39" s="37" t="s">
        <v>69</v>
      </c>
      <c r="B39" s="6">
        <v>8.11</v>
      </c>
      <c r="C39" s="6">
        <v>885.3649999999999</v>
      </c>
      <c r="E39" s="32">
        <v>41363</v>
      </c>
      <c r="F39" s="6">
        <v>13.5136</v>
      </c>
      <c r="G39" s="6">
        <v>152.16</v>
      </c>
      <c r="I39" s="37" t="s">
        <v>236</v>
      </c>
      <c r="J39" s="6">
        <v>2.5274999999999999</v>
      </c>
      <c r="K39" s="6">
        <v>202.2</v>
      </c>
      <c r="L39" s="6"/>
      <c r="M39" s="37" t="s">
        <v>231</v>
      </c>
      <c r="N39" s="6">
        <v>0.17</v>
      </c>
      <c r="O39" s="6">
        <v>0</v>
      </c>
      <c r="Q39" s="37" t="s">
        <v>69</v>
      </c>
      <c r="R39" s="6">
        <v>1</v>
      </c>
      <c r="S39" s="6">
        <v>306.51</v>
      </c>
    </row>
    <row r="40" spans="1:19" x14ac:dyDescent="0.25">
      <c r="A40" s="37" t="s">
        <v>50</v>
      </c>
      <c r="B40" s="6">
        <v>8.6736000000000004</v>
      </c>
      <c r="C40" s="6"/>
      <c r="E40" s="37" t="s">
        <v>50</v>
      </c>
      <c r="F40" s="6">
        <v>13.5136</v>
      </c>
      <c r="G40" s="6">
        <v>152.16</v>
      </c>
      <c r="I40" s="37" t="s">
        <v>71</v>
      </c>
      <c r="J40" s="6">
        <v>0.28249999999999997</v>
      </c>
      <c r="K40" s="6">
        <v>-14.13</v>
      </c>
      <c r="L40" s="6"/>
      <c r="M40" s="32">
        <v>40765</v>
      </c>
      <c r="N40" s="6">
        <v>3.7</v>
      </c>
      <c r="O40" s="6">
        <v>370</v>
      </c>
      <c r="Q40" s="37" t="s">
        <v>231</v>
      </c>
      <c r="R40" s="6">
        <v>0.28999999999999998</v>
      </c>
      <c r="S40" s="6"/>
    </row>
    <row r="41" spans="1:19" x14ac:dyDescent="0.25">
      <c r="A41" s="63">
        <v>41729</v>
      </c>
      <c r="B41" s="6">
        <v>5.9</v>
      </c>
      <c r="C41" s="6"/>
      <c r="E41" s="32">
        <v>41366</v>
      </c>
      <c r="F41" s="6">
        <v>7.5674999999999999</v>
      </c>
      <c r="G41" s="6">
        <v>697.56000000000006</v>
      </c>
      <c r="I41" s="37" t="s">
        <v>72</v>
      </c>
      <c r="J41" s="6">
        <v>0.09</v>
      </c>
      <c r="K41" s="6">
        <v>9</v>
      </c>
      <c r="L41" s="6"/>
      <c r="M41" s="37" t="s">
        <v>50</v>
      </c>
      <c r="N41" s="6">
        <v>3.7</v>
      </c>
      <c r="O41" s="6">
        <v>370</v>
      </c>
      <c r="Q41" s="32">
        <v>40420</v>
      </c>
      <c r="R41" s="6">
        <v>6.85</v>
      </c>
      <c r="S41" s="6">
        <v>319.48</v>
      </c>
    </row>
    <row r="42" spans="1:19" x14ac:dyDescent="0.25">
      <c r="A42" s="37" t="s">
        <v>69</v>
      </c>
      <c r="B42" s="6">
        <v>5.9</v>
      </c>
      <c r="C42" s="6"/>
      <c r="E42" s="37" t="s">
        <v>236</v>
      </c>
      <c r="F42" s="6">
        <v>9.35E-2</v>
      </c>
      <c r="G42" s="6">
        <v>4.6500000000000004</v>
      </c>
      <c r="I42" s="37" t="s">
        <v>70</v>
      </c>
      <c r="J42" s="6">
        <v>0.3075</v>
      </c>
      <c r="K42" s="6">
        <v>18.45</v>
      </c>
      <c r="L42" s="6"/>
      <c r="M42" s="32">
        <v>40784</v>
      </c>
      <c r="N42" s="6">
        <v>4.1100000000000003</v>
      </c>
      <c r="O42" s="6">
        <v>411</v>
      </c>
      <c r="Q42" s="37" t="s">
        <v>70</v>
      </c>
      <c r="R42" s="6">
        <v>3.94</v>
      </c>
      <c r="S42" s="6"/>
    </row>
    <row r="43" spans="1:19" x14ac:dyDescent="0.25">
      <c r="A43" s="63">
        <v>41737</v>
      </c>
      <c r="B43" s="6">
        <v>7.84</v>
      </c>
      <c r="C43" s="6">
        <v>135.99</v>
      </c>
      <c r="E43" s="37" t="s">
        <v>124</v>
      </c>
      <c r="F43" s="6">
        <v>0.70299999999999996</v>
      </c>
      <c r="G43" s="6">
        <v>4.6500000000000004</v>
      </c>
      <c r="I43" s="37" t="s">
        <v>69</v>
      </c>
      <c r="J43" s="6">
        <v>7.2625000000000002</v>
      </c>
      <c r="K43" s="6">
        <v>726.25</v>
      </c>
      <c r="L43" s="6"/>
      <c r="M43" s="37" t="s">
        <v>50</v>
      </c>
      <c r="N43" s="6">
        <v>4.1100000000000003</v>
      </c>
      <c r="O43" s="6">
        <v>411</v>
      </c>
      <c r="Q43" s="37" t="s">
        <v>69</v>
      </c>
      <c r="R43" s="6">
        <v>2.2200000000000002</v>
      </c>
      <c r="S43" s="6">
        <v>319.48</v>
      </c>
    </row>
    <row r="44" spans="1:19" x14ac:dyDescent="0.25">
      <c r="A44" s="37" t="s">
        <v>50</v>
      </c>
      <c r="B44" s="6">
        <v>5.74</v>
      </c>
      <c r="C44" s="6">
        <v>135.99</v>
      </c>
      <c r="E44" s="37" t="s">
        <v>70</v>
      </c>
      <c r="F44" s="6">
        <v>0.224</v>
      </c>
      <c r="G44" s="6">
        <v>20.16</v>
      </c>
      <c r="I44" s="32">
        <v>40976</v>
      </c>
      <c r="J44" s="6">
        <v>1.84</v>
      </c>
      <c r="K44" s="6">
        <v>151.82999999999998</v>
      </c>
      <c r="L44" s="6"/>
      <c r="M44" s="32">
        <v>40785</v>
      </c>
      <c r="N44" s="6">
        <v>8.7180000000000017</v>
      </c>
      <c r="O44" s="6">
        <v>593.57999999999993</v>
      </c>
      <c r="Q44" s="37" t="s">
        <v>231</v>
      </c>
      <c r="R44" s="6">
        <v>0.69</v>
      </c>
      <c r="S44" s="6"/>
    </row>
    <row r="45" spans="1:19" x14ac:dyDescent="0.25">
      <c r="A45" s="37" t="s">
        <v>108</v>
      </c>
      <c r="B45" s="6">
        <v>2.1</v>
      </c>
      <c r="C45" s="6"/>
      <c r="E45" s="37" t="s">
        <v>69</v>
      </c>
      <c r="F45" s="6">
        <v>6.0960000000000001</v>
      </c>
      <c r="G45" s="6">
        <v>668.1</v>
      </c>
      <c r="I45" s="37" t="s">
        <v>236</v>
      </c>
      <c r="J45" s="6">
        <v>0.91749999999999998</v>
      </c>
      <c r="K45" s="6">
        <v>73.400000000000006</v>
      </c>
      <c r="L45" s="6"/>
      <c r="M45" s="37" t="s">
        <v>236</v>
      </c>
      <c r="N45" s="6">
        <v>5.0225</v>
      </c>
      <c r="O45" s="6">
        <v>326.45999999999998</v>
      </c>
      <c r="Q45" s="32">
        <v>40451</v>
      </c>
      <c r="R45" s="6">
        <v>16.36</v>
      </c>
      <c r="S45" s="6">
        <v>879.01</v>
      </c>
    </row>
    <row r="46" spans="1:19" x14ac:dyDescent="0.25">
      <c r="A46" s="63">
        <v>41752</v>
      </c>
      <c r="B46" s="6"/>
      <c r="C46" s="6">
        <v>830.7</v>
      </c>
      <c r="E46" s="37" t="s">
        <v>258</v>
      </c>
      <c r="F46" s="6">
        <v>0.45100000000000001</v>
      </c>
      <c r="G46" s="6"/>
      <c r="I46" s="37" t="s">
        <v>71</v>
      </c>
      <c r="J46" s="6">
        <v>0.20250000000000001</v>
      </c>
      <c r="K46" s="6">
        <v>10.130000000000001</v>
      </c>
      <c r="L46" s="6"/>
      <c r="M46" s="37" t="s">
        <v>70</v>
      </c>
      <c r="N46" s="6">
        <v>0.2525</v>
      </c>
      <c r="O46" s="6">
        <v>12.5</v>
      </c>
      <c r="Q46" s="37" t="s">
        <v>236</v>
      </c>
      <c r="R46" s="6">
        <v>3.7</v>
      </c>
      <c r="S46" s="6">
        <v>55.5</v>
      </c>
    </row>
    <row r="47" spans="1:19" x14ac:dyDescent="0.25">
      <c r="A47" s="37" t="s">
        <v>291</v>
      </c>
      <c r="B47" s="6"/>
      <c r="C47" s="6">
        <v>830.7</v>
      </c>
      <c r="E47" s="32">
        <v>41373</v>
      </c>
      <c r="F47" s="6">
        <v>5.66</v>
      </c>
      <c r="G47" s="6">
        <v>576</v>
      </c>
      <c r="I47" s="37" t="s">
        <v>70</v>
      </c>
      <c r="J47" s="6">
        <v>9.2499999999999999E-2</v>
      </c>
      <c r="K47" s="6">
        <v>5.55</v>
      </c>
      <c r="L47" s="6"/>
      <c r="M47" s="37" t="s">
        <v>69</v>
      </c>
      <c r="N47" s="6">
        <v>2.1949999999999998</v>
      </c>
      <c r="O47" s="6">
        <v>254.62</v>
      </c>
      <c r="Q47" s="37" t="s">
        <v>237</v>
      </c>
      <c r="R47" s="6">
        <v>0.42</v>
      </c>
      <c r="S47" s="6">
        <v>0</v>
      </c>
    </row>
    <row r="48" spans="1:19" x14ac:dyDescent="0.25">
      <c r="A48" s="63">
        <v>41757</v>
      </c>
      <c r="B48" s="6">
        <v>9.5815999999999999</v>
      </c>
      <c r="C48" s="6">
        <v>143</v>
      </c>
      <c r="E48" s="37" t="s">
        <v>77</v>
      </c>
      <c r="F48" s="6">
        <v>3.78</v>
      </c>
      <c r="G48" s="6">
        <v>576</v>
      </c>
      <c r="I48" s="37" t="s">
        <v>69</v>
      </c>
      <c r="J48" s="6">
        <v>0.62749999999999995</v>
      </c>
      <c r="K48" s="6">
        <v>62.75</v>
      </c>
      <c r="L48" s="6"/>
      <c r="M48" s="37" t="s">
        <v>50</v>
      </c>
      <c r="N48" s="6">
        <v>1.2230000000000001</v>
      </c>
      <c r="O48" s="6"/>
      <c r="Q48" s="37" t="s">
        <v>70</v>
      </c>
      <c r="R48" s="6">
        <v>3.71</v>
      </c>
      <c r="S48" s="6">
        <v>116.87</v>
      </c>
    </row>
    <row r="49" spans="1:19" x14ac:dyDescent="0.25">
      <c r="A49" s="37" t="s">
        <v>58</v>
      </c>
      <c r="B49" s="6">
        <v>0.16800000000000001</v>
      </c>
      <c r="C49" s="6"/>
      <c r="E49" s="37" t="s">
        <v>108</v>
      </c>
      <c r="F49" s="6">
        <v>1.88</v>
      </c>
      <c r="G49" s="6"/>
      <c r="I49" s="32">
        <v>40992</v>
      </c>
      <c r="J49" s="6">
        <v>3.32</v>
      </c>
      <c r="K49" s="6">
        <v>116.2</v>
      </c>
      <c r="L49" s="6"/>
      <c r="M49" s="37" t="s">
        <v>231</v>
      </c>
      <c r="N49" s="6">
        <v>2.5000000000000001E-2</v>
      </c>
      <c r="O49" s="6">
        <v>0</v>
      </c>
      <c r="Q49" s="37" t="s">
        <v>69</v>
      </c>
      <c r="R49" s="6">
        <v>8.0299999999999994</v>
      </c>
      <c r="S49" s="6">
        <v>706.64</v>
      </c>
    </row>
    <row r="50" spans="1:19" x14ac:dyDescent="0.25">
      <c r="A50" s="37" t="s">
        <v>258</v>
      </c>
      <c r="B50" s="6">
        <v>0.74</v>
      </c>
      <c r="C50" s="6">
        <v>143</v>
      </c>
      <c r="E50" s="32">
        <v>41375</v>
      </c>
      <c r="F50" s="6">
        <v>2.77</v>
      </c>
      <c r="G50" s="6">
        <v>50.73</v>
      </c>
      <c r="I50" s="37" t="s">
        <v>50</v>
      </c>
      <c r="J50" s="6">
        <v>3.32</v>
      </c>
      <c r="K50" s="6">
        <v>116.2</v>
      </c>
      <c r="L50" s="6"/>
      <c r="M50" s="32">
        <v>40803</v>
      </c>
      <c r="N50" s="6">
        <v>5.1749999999999998</v>
      </c>
      <c r="O50" s="6">
        <v>644.38</v>
      </c>
      <c r="Q50" s="37" t="s">
        <v>231</v>
      </c>
      <c r="R50" s="6">
        <v>0.5</v>
      </c>
      <c r="S50" s="6">
        <v>0</v>
      </c>
    </row>
    <row r="51" spans="1:19" x14ac:dyDescent="0.25">
      <c r="A51" s="37" t="s">
        <v>50</v>
      </c>
      <c r="B51" s="6">
        <v>8.6736000000000004</v>
      </c>
      <c r="C51" s="6"/>
      <c r="E51" s="37" t="s">
        <v>50</v>
      </c>
      <c r="F51" s="6">
        <v>2.77</v>
      </c>
      <c r="G51" s="6">
        <v>50.73</v>
      </c>
      <c r="I51" s="32">
        <v>40998</v>
      </c>
      <c r="J51" s="6">
        <v>3.6735000000000002</v>
      </c>
      <c r="K51" s="6"/>
      <c r="L51" s="6"/>
      <c r="M51" s="37" t="s">
        <v>70</v>
      </c>
      <c r="N51" s="6">
        <v>0.1</v>
      </c>
      <c r="O51" s="6">
        <v>10</v>
      </c>
      <c r="Q51" s="32">
        <v>40481</v>
      </c>
      <c r="R51" s="6">
        <v>13.915000000000001</v>
      </c>
      <c r="S51" s="6">
        <v>780.92000000000007</v>
      </c>
    </row>
    <row r="52" spans="1:19" x14ac:dyDescent="0.25">
      <c r="A52" s="63">
        <v>41779</v>
      </c>
      <c r="B52" s="6">
        <v>1.4315</v>
      </c>
      <c r="C52" s="6"/>
      <c r="E52" s="32">
        <v>41389</v>
      </c>
      <c r="F52" s="6">
        <v>5.16</v>
      </c>
      <c r="G52" s="6">
        <v>167.84</v>
      </c>
      <c r="I52" s="37" t="s">
        <v>50</v>
      </c>
      <c r="J52" s="6">
        <v>3.6735000000000002</v>
      </c>
      <c r="K52" s="6"/>
      <c r="L52" s="6"/>
      <c r="M52" s="37" t="s">
        <v>69</v>
      </c>
      <c r="N52" s="6">
        <v>5.0750000000000002</v>
      </c>
      <c r="O52" s="6">
        <v>634.38</v>
      </c>
      <c r="Q52" s="37" t="s">
        <v>236</v>
      </c>
      <c r="R52" s="6">
        <v>6.3650000000000002</v>
      </c>
      <c r="S52" s="6">
        <v>318.25</v>
      </c>
    </row>
    <row r="53" spans="1:19" x14ac:dyDescent="0.25">
      <c r="A53" s="37" t="s">
        <v>3</v>
      </c>
      <c r="B53" s="6">
        <v>1.4315</v>
      </c>
      <c r="C53" s="6"/>
      <c r="E53" s="37" t="s">
        <v>50</v>
      </c>
      <c r="F53" s="6">
        <v>5.16</v>
      </c>
      <c r="G53" s="6">
        <v>167.84</v>
      </c>
      <c r="I53" s="32">
        <v>41005</v>
      </c>
      <c r="J53" s="6">
        <v>13.015000000000001</v>
      </c>
      <c r="K53" s="6">
        <v>548.29999999999995</v>
      </c>
      <c r="L53" s="6"/>
      <c r="M53" s="32">
        <v>40806</v>
      </c>
      <c r="N53" s="6">
        <v>4.0199999999999996</v>
      </c>
      <c r="O53" s="6">
        <v>402</v>
      </c>
      <c r="Q53" s="37" t="s">
        <v>70</v>
      </c>
      <c r="R53" s="6">
        <v>2.74</v>
      </c>
      <c r="S53" s="6">
        <v>102.75</v>
      </c>
    </row>
    <row r="54" spans="1:19" x14ac:dyDescent="0.25">
      <c r="A54" s="63">
        <v>41780</v>
      </c>
      <c r="B54" s="6">
        <v>2.58</v>
      </c>
      <c r="C54" s="6"/>
      <c r="E54" s="32">
        <v>41394</v>
      </c>
      <c r="F54" s="6">
        <v>4.74</v>
      </c>
      <c r="G54" s="6"/>
      <c r="I54" s="37" t="s">
        <v>236</v>
      </c>
      <c r="J54" s="6">
        <v>2.48</v>
      </c>
      <c r="K54" s="6">
        <v>198.4</v>
      </c>
      <c r="L54" s="6"/>
      <c r="M54" s="37" t="s">
        <v>50</v>
      </c>
      <c r="N54" s="6">
        <v>4.0199999999999996</v>
      </c>
      <c r="O54" s="6">
        <v>402</v>
      </c>
      <c r="Q54" s="37" t="s">
        <v>69</v>
      </c>
      <c r="R54" s="6">
        <v>4.09</v>
      </c>
      <c r="S54" s="6">
        <v>359.92</v>
      </c>
    </row>
    <row r="55" spans="1:19" x14ac:dyDescent="0.25">
      <c r="A55" s="37" t="s">
        <v>108</v>
      </c>
      <c r="B55" s="6">
        <v>2.58</v>
      </c>
      <c r="C55" s="6"/>
      <c r="E55" s="37" t="s">
        <v>50</v>
      </c>
      <c r="F55" s="6">
        <v>2.37</v>
      </c>
      <c r="G55" s="6"/>
      <c r="I55" s="37" t="s">
        <v>58</v>
      </c>
      <c r="J55" s="6">
        <v>4.93</v>
      </c>
      <c r="K55" s="6"/>
      <c r="L55" s="6"/>
      <c r="M55" s="32">
        <v>40816</v>
      </c>
      <c r="N55" s="6">
        <v>1.218</v>
      </c>
      <c r="O55" s="6"/>
      <c r="Q55" s="37" t="s">
        <v>231</v>
      </c>
      <c r="R55" s="6">
        <v>0.72</v>
      </c>
      <c r="S55" s="6">
        <v>0</v>
      </c>
    </row>
    <row r="56" spans="1:19" x14ac:dyDescent="0.25">
      <c r="A56" s="63">
        <v>41782</v>
      </c>
      <c r="B56" s="6">
        <v>7.15</v>
      </c>
      <c r="C56" s="6">
        <v>204.14</v>
      </c>
      <c r="E56" s="37" t="s">
        <v>108</v>
      </c>
      <c r="F56" s="6">
        <v>2.37</v>
      </c>
      <c r="G56" s="6"/>
      <c r="I56" s="37" t="s">
        <v>72</v>
      </c>
      <c r="J56" s="6">
        <v>0.04</v>
      </c>
      <c r="K56" s="6">
        <v>4</v>
      </c>
      <c r="L56" s="6"/>
      <c r="M56" s="37" t="s">
        <v>50</v>
      </c>
      <c r="N56" s="6">
        <v>1.218</v>
      </c>
      <c r="O56" s="6"/>
      <c r="Q56" s="32">
        <v>40512</v>
      </c>
      <c r="R56" s="6">
        <v>8.08</v>
      </c>
      <c r="S56" s="6">
        <v>341.53999999999996</v>
      </c>
    </row>
    <row r="57" spans="1:19" x14ac:dyDescent="0.25">
      <c r="A57" s="37" t="s">
        <v>50</v>
      </c>
      <c r="B57" s="6">
        <v>7.15</v>
      </c>
      <c r="C57" s="6">
        <v>204.14</v>
      </c>
      <c r="E57" s="32">
        <v>41412</v>
      </c>
      <c r="F57" s="6">
        <v>1.92</v>
      </c>
      <c r="G57" s="6"/>
      <c r="I57" s="37" t="s">
        <v>69</v>
      </c>
      <c r="J57" s="6">
        <v>2.3249999999999997</v>
      </c>
      <c r="K57" s="6">
        <v>232.5</v>
      </c>
      <c r="L57" s="6"/>
      <c r="M57" s="32">
        <v>40823</v>
      </c>
      <c r="N57" s="6">
        <v>4.47</v>
      </c>
      <c r="O57" s="6"/>
      <c r="Q57" s="37" t="s">
        <v>236</v>
      </c>
      <c r="R57" s="6">
        <v>4.41</v>
      </c>
      <c r="S57" s="6">
        <v>176.4</v>
      </c>
    </row>
    <row r="58" spans="1:19" x14ac:dyDescent="0.25">
      <c r="A58" s="63">
        <v>41787</v>
      </c>
      <c r="B58" s="6">
        <v>8.8415999999999997</v>
      </c>
      <c r="C58" s="6"/>
      <c r="E58" s="37" t="s">
        <v>108</v>
      </c>
      <c r="F58" s="6">
        <v>1.92</v>
      </c>
      <c r="G58" s="6"/>
      <c r="I58" s="37" t="s">
        <v>50</v>
      </c>
      <c r="J58" s="6">
        <v>3.24</v>
      </c>
      <c r="K58" s="6">
        <v>113.4</v>
      </c>
      <c r="L58" s="6"/>
      <c r="M58" s="37" t="s">
        <v>58</v>
      </c>
      <c r="N58" s="6">
        <v>4.47</v>
      </c>
      <c r="O58" s="6"/>
      <c r="Q58" s="37" t="s">
        <v>70</v>
      </c>
      <c r="R58" s="6">
        <v>2.75</v>
      </c>
      <c r="S58" s="6">
        <v>111.38</v>
      </c>
    </row>
    <row r="59" spans="1:19" x14ac:dyDescent="0.25">
      <c r="A59" s="37" t="s">
        <v>58</v>
      </c>
      <c r="B59" s="6">
        <v>0.16800000000000001</v>
      </c>
      <c r="C59" s="6"/>
      <c r="E59" s="32">
        <v>41415</v>
      </c>
      <c r="F59" s="6">
        <v>11.3</v>
      </c>
      <c r="G59" s="6">
        <v>684.9</v>
      </c>
      <c r="I59" s="32">
        <v>41022</v>
      </c>
      <c r="J59" s="6">
        <v>2.59</v>
      </c>
      <c r="K59" s="6">
        <v>88.84</v>
      </c>
      <c r="L59" s="6"/>
      <c r="M59" s="32">
        <v>40830</v>
      </c>
      <c r="N59" s="6">
        <v>4.46</v>
      </c>
      <c r="O59" s="6">
        <v>446</v>
      </c>
      <c r="Q59" s="37" t="s">
        <v>69</v>
      </c>
      <c r="R59" s="6">
        <v>0.64</v>
      </c>
      <c r="S59" s="6">
        <v>53.76</v>
      </c>
    </row>
    <row r="60" spans="1:19" x14ac:dyDescent="0.25">
      <c r="A60" s="37" t="s">
        <v>50</v>
      </c>
      <c r="B60" s="6">
        <v>8.6736000000000004</v>
      </c>
      <c r="C60" s="6"/>
      <c r="E60" s="37" t="s">
        <v>77</v>
      </c>
      <c r="F60" s="6">
        <v>3.5</v>
      </c>
      <c r="G60" s="6">
        <v>415</v>
      </c>
      <c r="I60" s="37" t="s">
        <v>50</v>
      </c>
      <c r="J60" s="6">
        <v>2.59</v>
      </c>
      <c r="K60" s="6">
        <v>88.84</v>
      </c>
      <c r="L60" s="6"/>
      <c r="M60" s="37" t="s">
        <v>50</v>
      </c>
      <c r="N60" s="6">
        <v>4.46</v>
      </c>
      <c r="O60" s="6">
        <v>446</v>
      </c>
      <c r="Q60" s="37" t="s">
        <v>231</v>
      </c>
      <c r="R60" s="6">
        <v>0.28000000000000003</v>
      </c>
      <c r="S60" s="6">
        <v>0</v>
      </c>
    </row>
    <row r="61" spans="1:19" x14ac:dyDescent="0.25">
      <c r="A61" s="63">
        <v>41788</v>
      </c>
      <c r="B61" s="6">
        <v>5.25</v>
      </c>
      <c r="C61" s="6">
        <v>738.75</v>
      </c>
      <c r="E61" s="37" t="s">
        <v>50</v>
      </c>
      <c r="F61" s="6">
        <v>7.8</v>
      </c>
      <c r="G61" s="6">
        <v>269.89999999999998</v>
      </c>
      <c r="I61" s="32">
        <v>41029</v>
      </c>
      <c r="J61" s="6">
        <v>2.6644999999999999</v>
      </c>
      <c r="K61" s="6"/>
      <c r="L61" s="6"/>
      <c r="M61" s="32">
        <v>40834</v>
      </c>
      <c r="N61" s="6">
        <v>6.39</v>
      </c>
      <c r="O61" s="6">
        <v>795.63</v>
      </c>
      <c r="Q61" s="32">
        <v>40519</v>
      </c>
      <c r="R61" s="6">
        <v>0.34150000000000003</v>
      </c>
      <c r="S61" s="6"/>
    </row>
    <row r="62" spans="1:19" x14ac:dyDescent="0.25">
      <c r="A62" s="37" t="s">
        <v>77</v>
      </c>
      <c r="B62" s="6">
        <v>5.25</v>
      </c>
      <c r="C62" s="6">
        <v>738.75</v>
      </c>
      <c r="E62" s="32">
        <v>41424</v>
      </c>
      <c r="F62" s="6">
        <v>7.8</v>
      </c>
      <c r="G62" s="6"/>
      <c r="I62" s="37" t="s">
        <v>50</v>
      </c>
      <c r="J62" s="6">
        <v>2.6644999999999999</v>
      </c>
      <c r="K62" s="6"/>
      <c r="L62" s="6"/>
      <c r="M62" s="37" t="s">
        <v>70</v>
      </c>
      <c r="N62" s="6">
        <v>0.125</v>
      </c>
      <c r="O62" s="6">
        <v>12.5</v>
      </c>
      <c r="Q62" s="37" t="s">
        <v>3</v>
      </c>
      <c r="R62" s="6">
        <v>0.34150000000000003</v>
      </c>
      <c r="S62" s="6"/>
    </row>
    <row r="63" spans="1:19" x14ac:dyDescent="0.25">
      <c r="A63" s="63">
        <v>41796</v>
      </c>
      <c r="B63" s="6">
        <v>5.71</v>
      </c>
      <c r="C63" s="6">
        <v>326.12</v>
      </c>
      <c r="E63" s="37" t="s">
        <v>50</v>
      </c>
      <c r="F63" s="6">
        <v>7.8</v>
      </c>
      <c r="G63" s="6"/>
      <c r="I63" s="32">
        <v>41034</v>
      </c>
      <c r="J63" s="6">
        <v>5</v>
      </c>
      <c r="K63" s="6"/>
      <c r="L63" s="6"/>
      <c r="M63" s="37" t="s">
        <v>69</v>
      </c>
      <c r="N63" s="6">
        <v>6.2649999999999997</v>
      </c>
      <c r="O63" s="6">
        <v>783.13</v>
      </c>
      <c r="Q63" s="32">
        <v>40542</v>
      </c>
      <c r="R63" s="6">
        <v>15.265000000000002</v>
      </c>
      <c r="S63" s="6">
        <v>556.04</v>
      </c>
    </row>
    <row r="64" spans="1:19" x14ac:dyDescent="0.25">
      <c r="A64" s="37" t="s">
        <v>50</v>
      </c>
      <c r="B64" s="6">
        <v>5.71</v>
      </c>
      <c r="C64" s="6">
        <v>326.12</v>
      </c>
      <c r="E64" s="32">
        <v>41428</v>
      </c>
      <c r="F64" s="6">
        <v>5.57</v>
      </c>
      <c r="G64" s="6"/>
      <c r="I64" s="37" t="s">
        <v>50</v>
      </c>
      <c r="J64" s="6">
        <v>5</v>
      </c>
      <c r="K64" s="6"/>
      <c r="L64" s="6"/>
      <c r="M64" s="32">
        <v>40835</v>
      </c>
      <c r="N64" s="6">
        <v>1.04</v>
      </c>
      <c r="O64" s="6">
        <v>104</v>
      </c>
      <c r="Q64" s="37" t="s">
        <v>236</v>
      </c>
      <c r="R64" s="6">
        <v>3.71</v>
      </c>
      <c r="S64" s="6">
        <v>111.3</v>
      </c>
    </row>
    <row r="65" spans="1:19" x14ac:dyDescent="0.25">
      <c r="A65" s="63">
        <v>41808</v>
      </c>
      <c r="B65" s="6">
        <v>0.81100000000000005</v>
      </c>
      <c r="C65" s="6">
        <v>1182.5</v>
      </c>
      <c r="E65" s="37" t="s">
        <v>108</v>
      </c>
      <c r="F65" s="6">
        <v>5.57</v>
      </c>
      <c r="G65" s="6"/>
      <c r="I65" s="32">
        <v>41036</v>
      </c>
      <c r="J65" s="6">
        <v>2.8424999999999998</v>
      </c>
      <c r="K65" s="6">
        <v>210.85</v>
      </c>
      <c r="L65" s="6"/>
      <c r="M65" s="37" t="s">
        <v>50</v>
      </c>
      <c r="N65" s="6">
        <v>1.04</v>
      </c>
      <c r="O65" s="6">
        <v>104</v>
      </c>
      <c r="Q65" s="37" t="s">
        <v>237</v>
      </c>
      <c r="R65" s="6">
        <v>1.27</v>
      </c>
      <c r="S65" s="6">
        <v>0</v>
      </c>
    </row>
    <row r="66" spans="1:19" x14ac:dyDescent="0.25">
      <c r="A66" s="37" t="s">
        <v>315</v>
      </c>
      <c r="B66" s="6">
        <v>0.47649999999999998</v>
      </c>
      <c r="C66" s="6">
        <v>800.52</v>
      </c>
      <c r="E66" s="32">
        <v>41431</v>
      </c>
      <c r="F66" s="6">
        <v>1.5065</v>
      </c>
      <c r="G66" s="6"/>
      <c r="I66" s="37" t="s">
        <v>236</v>
      </c>
      <c r="J66" s="6">
        <v>0.64249999999999996</v>
      </c>
      <c r="K66" s="6">
        <v>38.549999999999997</v>
      </c>
      <c r="L66" s="6"/>
      <c r="M66" s="32">
        <v>40840</v>
      </c>
      <c r="N66" s="6">
        <v>4.33</v>
      </c>
      <c r="O66" s="6">
        <v>433</v>
      </c>
      <c r="Q66" s="37" t="s">
        <v>70</v>
      </c>
      <c r="R66" s="6">
        <v>2.0150000000000001</v>
      </c>
      <c r="S66" s="6">
        <v>81.61</v>
      </c>
    </row>
    <row r="67" spans="1:19" x14ac:dyDescent="0.25">
      <c r="A67" s="37" t="s">
        <v>313</v>
      </c>
      <c r="B67" s="6">
        <v>5.7000000000000002E-2</v>
      </c>
      <c r="C67" s="6">
        <v>68.399999999999991</v>
      </c>
      <c r="E67" s="37" t="s">
        <v>3</v>
      </c>
      <c r="F67" s="6">
        <v>1.5065</v>
      </c>
      <c r="G67" s="6"/>
      <c r="I67" s="37" t="s">
        <v>70</v>
      </c>
      <c r="J67" s="6">
        <v>9.2499999999999999E-2</v>
      </c>
      <c r="K67" s="6">
        <v>3.7</v>
      </c>
      <c r="L67" s="6"/>
      <c r="M67" s="37" t="s">
        <v>50</v>
      </c>
      <c r="N67" s="6">
        <v>4.33</v>
      </c>
      <c r="O67" s="6">
        <v>433</v>
      </c>
      <c r="Q67" s="37" t="s">
        <v>69</v>
      </c>
      <c r="R67" s="6">
        <v>3.12</v>
      </c>
      <c r="S67" s="6">
        <v>249.6</v>
      </c>
    </row>
    <row r="68" spans="1:19" x14ac:dyDescent="0.25">
      <c r="A68" s="37" t="s">
        <v>312</v>
      </c>
      <c r="B68" s="6">
        <v>0.11550000000000001</v>
      </c>
      <c r="C68" s="6">
        <v>133.97999999999999</v>
      </c>
      <c r="E68" s="32">
        <v>41432</v>
      </c>
      <c r="F68" s="6">
        <v>0.92700000000000005</v>
      </c>
      <c r="G68" s="6"/>
      <c r="I68" s="37" t="s">
        <v>69</v>
      </c>
      <c r="J68" s="6">
        <v>2.1074999999999999</v>
      </c>
      <c r="K68" s="6">
        <v>168.6</v>
      </c>
      <c r="L68" s="6"/>
      <c r="M68" s="32">
        <v>40846</v>
      </c>
      <c r="N68" s="6">
        <v>1.4059999999999999</v>
      </c>
      <c r="O68" s="6"/>
      <c r="Q68" s="37" t="s">
        <v>231</v>
      </c>
      <c r="R68" s="6">
        <v>0.38</v>
      </c>
      <c r="S68" s="6">
        <v>0</v>
      </c>
    </row>
    <row r="69" spans="1:19" x14ac:dyDescent="0.25">
      <c r="A69" s="37" t="s">
        <v>306</v>
      </c>
      <c r="B69" s="6">
        <v>0.14899999999999999</v>
      </c>
      <c r="C69" s="6">
        <v>134.1</v>
      </c>
      <c r="E69" s="37" t="s">
        <v>3</v>
      </c>
      <c r="F69" s="6">
        <v>0.92700000000000005</v>
      </c>
      <c r="G69" s="6"/>
      <c r="I69" s="32">
        <v>41037</v>
      </c>
      <c r="J69" s="6">
        <v>5.05</v>
      </c>
      <c r="K69" s="6"/>
      <c r="L69" s="6"/>
      <c r="M69" s="37" t="s">
        <v>50</v>
      </c>
      <c r="N69" s="6">
        <v>1.4059999999999999</v>
      </c>
      <c r="O69" s="6"/>
      <c r="Q69" s="37" t="s">
        <v>240</v>
      </c>
      <c r="R69" s="6">
        <v>4.7699999999999996</v>
      </c>
      <c r="S69" s="6">
        <v>113.53</v>
      </c>
    </row>
    <row r="70" spans="1:19" x14ac:dyDescent="0.25">
      <c r="A70" s="37" t="s">
        <v>314</v>
      </c>
      <c r="B70" s="6">
        <v>1.2999999999999999E-2</v>
      </c>
      <c r="C70" s="6">
        <v>45.5</v>
      </c>
      <c r="E70" s="32">
        <v>41439</v>
      </c>
      <c r="F70" s="6">
        <v>0.71000000000000008</v>
      </c>
      <c r="G70" s="6">
        <v>943.07</v>
      </c>
      <c r="I70" s="37" t="s">
        <v>58</v>
      </c>
      <c r="J70" s="6">
        <v>5.05</v>
      </c>
      <c r="K70" s="6"/>
      <c r="L70" s="6"/>
      <c r="M70" s="32">
        <v>40850</v>
      </c>
      <c r="N70" s="6">
        <v>2.66</v>
      </c>
      <c r="O70" s="6">
        <v>159.6</v>
      </c>
      <c r="Q70" s="32">
        <v>40543</v>
      </c>
      <c r="R70" s="6">
        <v>6.7530000000000001</v>
      </c>
      <c r="S70" s="6">
        <v>3160</v>
      </c>
    </row>
    <row r="71" spans="1:19" x14ac:dyDescent="0.25">
      <c r="A71" s="63">
        <v>41809</v>
      </c>
      <c r="B71" s="6">
        <v>7.91</v>
      </c>
      <c r="C71" s="6">
        <v>540.71</v>
      </c>
      <c r="E71" s="37" t="s">
        <v>92</v>
      </c>
      <c r="F71" s="6">
        <v>9.4E-2</v>
      </c>
      <c r="G71" s="6">
        <v>95.88</v>
      </c>
      <c r="I71" s="32">
        <v>41058</v>
      </c>
      <c r="J71" s="6">
        <v>3.88</v>
      </c>
      <c r="K71" s="6">
        <v>135.80000000000001</v>
      </c>
      <c r="L71" s="6"/>
      <c r="M71" s="37" t="s">
        <v>50</v>
      </c>
      <c r="N71" s="6">
        <v>2.66</v>
      </c>
      <c r="O71" s="6">
        <v>159.6</v>
      </c>
      <c r="Q71" s="37" t="s">
        <v>43</v>
      </c>
      <c r="R71" s="6">
        <v>0.433</v>
      </c>
      <c r="S71" s="6"/>
    </row>
    <row r="72" spans="1:19" x14ac:dyDescent="0.25">
      <c r="A72" s="37" t="s">
        <v>70</v>
      </c>
      <c r="B72" s="6">
        <v>0.13</v>
      </c>
      <c r="C72" s="6">
        <v>9.36</v>
      </c>
      <c r="E72" s="37" t="s">
        <v>66</v>
      </c>
      <c r="F72" s="6">
        <v>0.45450000000000002</v>
      </c>
      <c r="G72" s="6">
        <v>590.85</v>
      </c>
      <c r="I72" s="37" t="s">
        <v>50</v>
      </c>
      <c r="J72" s="6">
        <v>3.88</v>
      </c>
      <c r="K72" s="6">
        <v>135.80000000000001</v>
      </c>
      <c r="L72" s="6"/>
      <c r="M72" s="32">
        <v>40864</v>
      </c>
      <c r="N72" s="6">
        <v>4.29</v>
      </c>
      <c r="O72" s="6">
        <v>217.76</v>
      </c>
      <c r="Q72" s="37" t="s">
        <v>46</v>
      </c>
      <c r="R72" s="6">
        <v>6.32</v>
      </c>
      <c r="S72" s="6">
        <v>3160</v>
      </c>
    </row>
    <row r="73" spans="1:19" x14ac:dyDescent="0.25">
      <c r="A73" s="37" t="s">
        <v>310</v>
      </c>
      <c r="B73" s="6">
        <v>4.3600000000000003</v>
      </c>
      <c r="C73" s="6">
        <v>215.82000000000002</v>
      </c>
      <c r="E73" s="37" t="s">
        <v>132</v>
      </c>
      <c r="F73" s="6">
        <v>5.9499999999999997E-2</v>
      </c>
      <c r="G73" s="6">
        <v>59.5</v>
      </c>
      <c r="I73" s="32">
        <v>41059</v>
      </c>
      <c r="J73" s="6">
        <v>2.6644999999999999</v>
      </c>
      <c r="K73" s="6"/>
      <c r="L73" s="6"/>
      <c r="M73" s="37" t="s">
        <v>236</v>
      </c>
      <c r="N73" s="6">
        <v>2.2925</v>
      </c>
      <c r="O73" s="6">
        <v>114.63</v>
      </c>
      <c r="Q73" s="32" t="s">
        <v>198</v>
      </c>
      <c r="R73" s="6">
        <v>143.41949999999994</v>
      </c>
      <c r="S73" s="6">
        <v>9640.02</v>
      </c>
    </row>
    <row r="74" spans="1:19" x14ac:dyDescent="0.25">
      <c r="A74" s="37" t="s">
        <v>69</v>
      </c>
      <c r="B74" s="6">
        <v>3.42</v>
      </c>
      <c r="C74" s="6">
        <v>315.52999999999997</v>
      </c>
      <c r="E74" s="37" t="s">
        <v>94</v>
      </c>
      <c r="F74" s="6">
        <v>5.6000000000000001E-2</v>
      </c>
      <c r="G74" s="6">
        <v>164.64</v>
      </c>
      <c r="I74" s="37" t="s">
        <v>50</v>
      </c>
      <c r="J74" s="6">
        <v>2.6644999999999999</v>
      </c>
      <c r="K74" s="6"/>
      <c r="L74" s="6"/>
      <c r="M74" s="37" t="s">
        <v>70</v>
      </c>
      <c r="N74" s="6">
        <v>6.5000000000000002E-2</v>
      </c>
      <c r="O74" s="6">
        <v>6.5</v>
      </c>
    </row>
    <row r="75" spans="1:19" x14ac:dyDescent="0.25">
      <c r="A75" s="63">
        <v>41818</v>
      </c>
      <c r="B75" s="6">
        <v>8.8415999999999997</v>
      </c>
      <c r="C75" s="6"/>
      <c r="E75" s="37" t="s">
        <v>133</v>
      </c>
      <c r="F75" s="6">
        <v>4.5999999999999999E-2</v>
      </c>
      <c r="G75" s="6">
        <v>32.200000000000003</v>
      </c>
      <c r="I75" s="32">
        <v>41066</v>
      </c>
      <c r="J75" s="6">
        <v>2.5</v>
      </c>
      <c r="K75" s="6"/>
      <c r="L75" s="6"/>
      <c r="M75" s="37" t="s">
        <v>69</v>
      </c>
      <c r="N75" s="6">
        <v>1.9325000000000001</v>
      </c>
      <c r="O75" s="6">
        <v>96.63</v>
      </c>
    </row>
    <row r="76" spans="1:19" x14ac:dyDescent="0.25">
      <c r="A76" s="37" t="s">
        <v>58</v>
      </c>
      <c r="B76" s="6">
        <v>0.16800000000000001</v>
      </c>
      <c r="C76" s="6"/>
      <c r="E76" s="32">
        <v>41452</v>
      </c>
      <c r="F76" s="6"/>
      <c r="G76" s="6"/>
      <c r="I76" s="37" t="s">
        <v>3</v>
      </c>
      <c r="J76" s="6">
        <v>2.5</v>
      </c>
      <c r="K76" s="6"/>
      <c r="L76" s="6"/>
      <c r="M76" s="32">
        <v>40865</v>
      </c>
      <c r="N76" s="6">
        <v>3.32</v>
      </c>
      <c r="O76" s="6">
        <v>199.2</v>
      </c>
    </row>
    <row r="77" spans="1:19" x14ac:dyDescent="0.25">
      <c r="A77" s="37" t="s">
        <v>50</v>
      </c>
      <c r="B77" s="6">
        <v>8.6736000000000004</v>
      </c>
      <c r="C77" s="6"/>
      <c r="E77" s="37" t="s">
        <v>50</v>
      </c>
      <c r="F77" s="6"/>
      <c r="G77" s="6"/>
      <c r="I77" s="32">
        <v>41067</v>
      </c>
      <c r="J77" s="6">
        <v>4.4349999999999996</v>
      </c>
      <c r="K77" s="6">
        <v>353.43</v>
      </c>
      <c r="L77" s="6"/>
      <c r="M77" s="37" t="s">
        <v>50</v>
      </c>
      <c r="N77" s="6">
        <v>3.32</v>
      </c>
      <c r="O77" s="6">
        <v>199.2</v>
      </c>
    </row>
    <row r="78" spans="1:19" x14ac:dyDescent="0.25">
      <c r="A78" s="63">
        <v>41820</v>
      </c>
      <c r="B78" s="6">
        <v>12.393000000000001</v>
      </c>
      <c r="C78" s="6"/>
      <c r="E78" s="32">
        <v>41455</v>
      </c>
      <c r="F78" s="6">
        <v>8.6736000000000004</v>
      </c>
      <c r="G78" s="6"/>
      <c r="I78" s="37" t="s">
        <v>70</v>
      </c>
      <c r="J78" s="6">
        <v>2.75E-2</v>
      </c>
      <c r="K78" s="6">
        <v>0.83</v>
      </c>
      <c r="L78" s="6"/>
      <c r="M78" s="32">
        <v>40869</v>
      </c>
      <c r="N78" s="6">
        <v>4.82</v>
      </c>
      <c r="O78" s="6"/>
    </row>
    <row r="79" spans="1:19" x14ac:dyDescent="0.25">
      <c r="A79" s="37" t="s">
        <v>69</v>
      </c>
      <c r="B79" s="6">
        <v>12.393000000000001</v>
      </c>
      <c r="C79" s="6"/>
      <c r="E79" s="37" t="s">
        <v>50</v>
      </c>
      <c r="F79" s="6">
        <v>8.6736000000000004</v>
      </c>
      <c r="G79" s="6"/>
      <c r="I79" s="37" t="s">
        <v>69</v>
      </c>
      <c r="J79" s="6">
        <v>4.4074999999999998</v>
      </c>
      <c r="K79" s="6">
        <v>352.6</v>
      </c>
      <c r="L79" s="6"/>
      <c r="M79" s="37" t="s">
        <v>58</v>
      </c>
      <c r="N79" s="6">
        <v>4.82</v>
      </c>
      <c r="O79" s="6"/>
    </row>
    <row r="80" spans="1:19" x14ac:dyDescent="0.25">
      <c r="A80" s="63">
        <v>41841</v>
      </c>
      <c r="B80" s="6">
        <v>6.63</v>
      </c>
      <c r="C80" s="6">
        <v>170.26</v>
      </c>
      <c r="E80" s="32">
        <v>41457</v>
      </c>
      <c r="F80" s="6">
        <v>1.3620000000000001</v>
      </c>
      <c r="G80" s="6"/>
      <c r="I80" s="32">
        <v>41069</v>
      </c>
      <c r="J80" s="6">
        <v>4.9000000000000004</v>
      </c>
      <c r="K80" s="6"/>
      <c r="L80" s="6"/>
      <c r="M80" s="32">
        <v>40877</v>
      </c>
      <c r="N80" s="6">
        <v>1.589</v>
      </c>
      <c r="O80" s="6"/>
    </row>
    <row r="81" spans="1:15" x14ac:dyDescent="0.25">
      <c r="A81" s="37" t="s">
        <v>50</v>
      </c>
      <c r="B81" s="6">
        <v>6.63</v>
      </c>
      <c r="C81" s="6">
        <v>170.26</v>
      </c>
      <c r="E81" s="37" t="s">
        <v>3</v>
      </c>
      <c r="F81" s="6">
        <v>1.3620000000000001</v>
      </c>
      <c r="G81" s="6"/>
      <c r="I81" s="37" t="s">
        <v>58</v>
      </c>
      <c r="J81" s="6">
        <v>4.9000000000000004</v>
      </c>
      <c r="K81" s="6"/>
      <c r="L81" s="6"/>
      <c r="M81" s="37" t="s">
        <v>50</v>
      </c>
      <c r="N81" s="6">
        <v>1.589</v>
      </c>
      <c r="O81" s="6"/>
    </row>
    <row r="82" spans="1:15" x14ac:dyDescent="0.25">
      <c r="A82" s="63">
        <v>41842</v>
      </c>
      <c r="B82" s="6">
        <v>6.38</v>
      </c>
      <c r="C82" s="6">
        <v>216.93499999999997</v>
      </c>
      <c r="E82" s="32">
        <v>41466</v>
      </c>
      <c r="F82" s="6">
        <v>2.19</v>
      </c>
      <c r="G82" s="6"/>
      <c r="I82" s="32">
        <v>41073</v>
      </c>
      <c r="J82" s="6">
        <v>2.3694999999999999</v>
      </c>
      <c r="K82" s="6"/>
      <c r="L82" s="6"/>
      <c r="M82" s="32">
        <v>40890</v>
      </c>
      <c r="N82" s="6">
        <v>3.34</v>
      </c>
      <c r="O82" s="6">
        <v>150.30000000000001</v>
      </c>
    </row>
    <row r="83" spans="1:15" x14ac:dyDescent="0.25">
      <c r="A83" s="37" t="s">
        <v>70</v>
      </c>
      <c r="B83" s="6">
        <v>0.05</v>
      </c>
      <c r="C83" s="6">
        <v>-96.4</v>
      </c>
      <c r="E83" s="37" t="s">
        <v>108</v>
      </c>
      <c r="F83" s="6">
        <v>2.19</v>
      </c>
      <c r="G83" s="6"/>
      <c r="I83" s="37" t="s">
        <v>3</v>
      </c>
      <c r="J83" s="6">
        <v>2.3694999999999999</v>
      </c>
      <c r="K83" s="6"/>
      <c r="L83" s="6"/>
      <c r="M83" s="37" t="s">
        <v>50</v>
      </c>
      <c r="N83" s="6">
        <v>3.34</v>
      </c>
      <c r="O83" s="6">
        <v>150.30000000000001</v>
      </c>
    </row>
    <row r="84" spans="1:15" x14ac:dyDescent="0.25">
      <c r="A84" s="37" t="s">
        <v>310</v>
      </c>
      <c r="B84" s="6">
        <v>6.33</v>
      </c>
      <c r="C84" s="6">
        <v>313.33499999999998</v>
      </c>
      <c r="E84" s="32">
        <v>41485</v>
      </c>
      <c r="F84" s="6">
        <v>17.633600000000001</v>
      </c>
      <c r="G84" s="6">
        <v>182.96</v>
      </c>
      <c r="I84" s="32">
        <v>41088</v>
      </c>
      <c r="J84" s="6">
        <v>4.25</v>
      </c>
      <c r="K84" s="6">
        <v>106.25</v>
      </c>
      <c r="L84" s="6"/>
      <c r="M84" s="32">
        <v>40907</v>
      </c>
      <c r="N84" s="6">
        <v>1.0149999999999999</v>
      </c>
      <c r="O84" s="6"/>
    </row>
    <row r="85" spans="1:15" x14ac:dyDescent="0.25">
      <c r="A85" s="63">
        <v>41848</v>
      </c>
      <c r="B85" s="6">
        <v>8.8415999999999997</v>
      </c>
      <c r="C85" s="6"/>
      <c r="E85" s="37" t="s">
        <v>50</v>
      </c>
      <c r="F85" s="6">
        <v>15.633600000000001</v>
      </c>
      <c r="G85" s="6">
        <v>182.96</v>
      </c>
      <c r="I85" s="37" t="s">
        <v>50</v>
      </c>
      <c r="J85" s="6">
        <v>4.25</v>
      </c>
      <c r="K85" s="6">
        <v>106.25</v>
      </c>
      <c r="L85" s="6"/>
      <c r="M85" s="37" t="s">
        <v>50</v>
      </c>
      <c r="N85" s="6">
        <v>1.0149999999999999</v>
      </c>
      <c r="O85" s="6"/>
    </row>
    <row r="86" spans="1:15" x14ac:dyDescent="0.25">
      <c r="A86" s="37" t="s">
        <v>58</v>
      </c>
      <c r="B86" s="6">
        <v>0.16800000000000001</v>
      </c>
      <c r="C86" s="6"/>
      <c r="E86" s="37" t="s">
        <v>108</v>
      </c>
      <c r="F86" s="6">
        <v>2</v>
      </c>
      <c r="G86" s="6"/>
      <c r="I86" s="32">
        <v>41090</v>
      </c>
      <c r="J86" s="6">
        <v>2.6644999999999999</v>
      </c>
      <c r="K86" s="6"/>
      <c r="L86" s="6"/>
      <c r="M86" s="32">
        <v>40908</v>
      </c>
      <c r="N86" s="6">
        <v>40.326000000000001</v>
      </c>
      <c r="O86" s="6">
        <v>5690</v>
      </c>
    </row>
    <row r="87" spans="1:15" x14ac:dyDescent="0.25">
      <c r="A87" s="37" t="s">
        <v>50</v>
      </c>
      <c r="B87" s="6">
        <v>8.6736000000000004</v>
      </c>
      <c r="C87" s="6"/>
      <c r="E87" s="32">
        <v>41492</v>
      </c>
      <c r="F87" s="6">
        <v>1.3819999999999999</v>
      </c>
      <c r="G87" s="6"/>
      <c r="I87" s="37" t="s">
        <v>50</v>
      </c>
      <c r="J87" s="6">
        <v>2.6644999999999999</v>
      </c>
      <c r="K87" s="6"/>
      <c r="L87" s="6"/>
      <c r="M87" s="37" t="s">
        <v>43</v>
      </c>
      <c r="N87" s="6">
        <v>0.77100000000000002</v>
      </c>
      <c r="O87" s="6"/>
    </row>
    <row r="88" spans="1:15" x14ac:dyDescent="0.25">
      <c r="A88" s="63">
        <v>41849</v>
      </c>
      <c r="B88" s="6">
        <v>1.68</v>
      </c>
      <c r="C88" s="6"/>
      <c r="E88" s="37" t="s">
        <v>3</v>
      </c>
      <c r="F88" s="6">
        <v>1.3819999999999999</v>
      </c>
      <c r="G88" s="6"/>
      <c r="I88" s="32">
        <v>41095</v>
      </c>
      <c r="J88" s="6">
        <v>4.4050000000000002</v>
      </c>
      <c r="K88" s="6">
        <v>427.45</v>
      </c>
      <c r="L88" s="6"/>
      <c r="M88" s="37" t="s">
        <v>46</v>
      </c>
      <c r="N88" s="6">
        <v>11.38</v>
      </c>
      <c r="O88" s="6">
        <v>5690</v>
      </c>
    </row>
    <row r="89" spans="1:15" x14ac:dyDescent="0.25">
      <c r="A89" s="37" t="s">
        <v>108</v>
      </c>
      <c r="B89" s="6">
        <v>1.68</v>
      </c>
      <c r="C89" s="6"/>
      <c r="E89" s="32">
        <v>41499</v>
      </c>
      <c r="F89" s="6">
        <v>8.81</v>
      </c>
      <c r="G89" s="6">
        <v>460.8</v>
      </c>
      <c r="I89" s="37" t="s">
        <v>236</v>
      </c>
      <c r="J89" s="6">
        <v>0.27</v>
      </c>
      <c r="K89" s="6">
        <v>16.2</v>
      </c>
      <c r="L89" s="6"/>
      <c r="M89" s="37" t="s">
        <v>344</v>
      </c>
      <c r="N89" s="6">
        <v>19.425000000000001</v>
      </c>
      <c r="O89" s="6"/>
    </row>
    <row r="90" spans="1:15" x14ac:dyDescent="0.25">
      <c r="A90" s="63">
        <v>41858</v>
      </c>
      <c r="B90" s="6">
        <v>0.75</v>
      </c>
      <c r="C90" s="6"/>
      <c r="E90" s="37" t="s">
        <v>77</v>
      </c>
      <c r="F90" s="6">
        <v>2.94</v>
      </c>
      <c r="G90" s="6">
        <v>319.8</v>
      </c>
      <c r="I90" s="37" t="s">
        <v>70</v>
      </c>
      <c r="J90" s="6">
        <v>0.03</v>
      </c>
      <c r="K90" s="6">
        <v>0.75</v>
      </c>
      <c r="L90" s="6"/>
      <c r="M90" s="37" t="s">
        <v>345</v>
      </c>
      <c r="N90" s="6">
        <v>8.75</v>
      </c>
      <c r="O90" s="6"/>
    </row>
    <row r="91" spans="1:15" x14ac:dyDescent="0.25">
      <c r="A91" s="37" t="s">
        <v>3</v>
      </c>
      <c r="B91" s="6">
        <v>0.75</v>
      </c>
      <c r="C91" s="6"/>
      <c r="E91" s="37" t="s">
        <v>50</v>
      </c>
      <c r="F91" s="6">
        <v>5.87</v>
      </c>
      <c r="G91" s="6">
        <v>141</v>
      </c>
      <c r="I91" s="37" t="s">
        <v>69</v>
      </c>
      <c r="J91" s="6">
        <v>4.1050000000000004</v>
      </c>
      <c r="K91" s="6">
        <v>410.5</v>
      </c>
      <c r="L91" s="6"/>
      <c r="M91" s="32" t="s">
        <v>198</v>
      </c>
      <c r="N91" s="6">
        <v>182.64699999999993</v>
      </c>
      <c r="O91" s="6">
        <v>15129.98</v>
      </c>
    </row>
    <row r="92" spans="1:15" x14ac:dyDescent="0.25">
      <c r="A92" s="63">
        <v>41859</v>
      </c>
      <c r="B92" s="6">
        <v>2.2999999999999998</v>
      </c>
      <c r="C92" s="6">
        <v>3.55</v>
      </c>
      <c r="E92" s="32">
        <v>41501</v>
      </c>
      <c r="F92" s="6">
        <v>3.08</v>
      </c>
      <c r="G92" s="6"/>
      <c r="I92" s="32">
        <v>41101</v>
      </c>
      <c r="J92" s="6">
        <v>5.05</v>
      </c>
      <c r="K92" s="6"/>
      <c r="L92" s="6"/>
    </row>
    <row r="93" spans="1:15" x14ac:dyDescent="0.25">
      <c r="A93" s="37" t="s">
        <v>50</v>
      </c>
      <c r="B93" s="6">
        <v>2.2999999999999998</v>
      </c>
      <c r="C93" s="6">
        <v>3.55</v>
      </c>
      <c r="E93" s="37" t="s">
        <v>50</v>
      </c>
      <c r="F93" s="6">
        <v>3.08</v>
      </c>
      <c r="G93" s="6"/>
      <c r="I93" s="37" t="s">
        <v>58</v>
      </c>
      <c r="J93" s="6">
        <v>5.05</v>
      </c>
      <c r="K93" s="6"/>
      <c r="L93" s="6"/>
    </row>
    <row r="94" spans="1:15" x14ac:dyDescent="0.25">
      <c r="A94" s="63">
        <v>41879</v>
      </c>
      <c r="B94" s="6">
        <v>14.522600000000001</v>
      </c>
      <c r="C94" s="6">
        <v>72.08</v>
      </c>
      <c r="E94" s="32">
        <v>41508</v>
      </c>
      <c r="F94" s="6">
        <v>2.91</v>
      </c>
      <c r="G94" s="6"/>
      <c r="I94" s="32">
        <v>41118</v>
      </c>
      <c r="J94" s="6">
        <v>4.6399999999999997</v>
      </c>
      <c r="K94" s="6">
        <v>116</v>
      </c>
      <c r="L94" s="6"/>
    </row>
    <row r="95" spans="1:15" x14ac:dyDescent="0.25">
      <c r="A95" s="37" t="s">
        <v>3</v>
      </c>
      <c r="B95" s="6">
        <v>1.7689999999999999</v>
      </c>
      <c r="C95" s="6"/>
      <c r="E95" s="37" t="s">
        <v>108</v>
      </c>
      <c r="F95" s="6">
        <v>2.91</v>
      </c>
      <c r="G95" s="6"/>
      <c r="I95" s="37" t="s">
        <v>50</v>
      </c>
      <c r="J95" s="6">
        <v>4.6399999999999997</v>
      </c>
      <c r="K95" s="6">
        <v>116</v>
      </c>
      <c r="L95" s="6"/>
    </row>
    <row r="96" spans="1:15" x14ac:dyDescent="0.25">
      <c r="A96" s="37" t="s">
        <v>50</v>
      </c>
      <c r="B96" s="6">
        <v>12.7536</v>
      </c>
      <c r="C96" s="6">
        <v>72.08</v>
      </c>
      <c r="E96" s="32">
        <v>41509</v>
      </c>
      <c r="F96" s="6">
        <v>0</v>
      </c>
      <c r="G96" s="6">
        <v>747.13</v>
      </c>
      <c r="I96" s="32">
        <v>41120</v>
      </c>
      <c r="J96" s="6">
        <v>2.6644999999999999</v>
      </c>
      <c r="K96" s="6"/>
      <c r="L96" s="6"/>
    </row>
    <row r="97" spans="1:12" x14ac:dyDescent="0.25">
      <c r="A97" s="63">
        <v>41880</v>
      </c>
      <c r="B97" s="6"/>
      <c r="C97" s="6">
        <v>448.85</v>
      </c>
      <c r="E97" s="37" t="s">
        <v>69</v>
      </c>
      <c r="F97" s="6">
        <v>0</v>
      </c>
      <c r="G97" s="6">
        <v>747.13</v>
      </c>
      <c r="I97" s="37" t="s">
        <v>50</v>
      </c>
      <c r="J97" s="6">
        <v>2.6644999999999999</v>
      </c>
      <c r="K97" s="6"/>
      <c r="L97" s="6"/>
    </row>
    <row r="98" spans="1:12" x14ac:dyDescent="0.25">
      <c r="A98" s="37" t="s">
        <v>291</v>
      </c>
      <c r="B98" s="6"/>
      <c r="C98" s="6">
        <v>448.85</v>
      </c>
      <c r="E98" s="32">
        <v>41512</v>
      </c>
      <c r="F98" s="6">
        <v>4.2329999999999997</v>
      </c>
      <c r="G98" s="6"/>
      <c r="I98" s="32">
        <v>41127</v>
      </c>
      <c r="J98" s="6">
        <v>4.26</v>
      </c>
      <c r="K98" s="6">
        <v>586.79999999999995</v>
      </c>
      <c r="L98" s="6"/>
    </row>
    <row r="99" spans="1:12" x14ac:dyDescent="0.25">
      <c r="A99" s="63">
        <v>41891</v>
      </c>
      <c r="B99" s="6">
        <v>5.54</v>
      </c>
      <c r="C99" s="6">
        <v>128.29</v>
      </c>
      <c r="E99" s="37" t="s">
        <v>43</v>
      </c>
      <c r="F99" s="6">
        <v>4.2329999999999997</v>
      </c>
      <c r="G99" s="6"/>
      <c r="I99" s="37" t="s">
        <v>77</v>
      </c>
      <c r="J99" s="6">
        <v>4.26</v>
      </c>
      <c r="K99" s="6">
        <v>586.79999999999995</v>
      </c>
      <c r="L99" s="6"/>
    </row>
    <row r="100" spans="1:12" x14ac:dyDescent="0.25">
      <c r="A100" s="37" t="s">
        <v>50</v>
      </c>
      <c r="B100" s="6">
        <v>5.54</v>
      </c>
      <c r="C100" s="6">
        <v>128.29</v>
      </c>
      <c r="E100" s="32">
        <v>41513</v>
      </c>
      <c r="F100" s="6"/>
      <c r="G100" s="6">
        <v>0</v>
      </c>
      <c r="I100" s="32">
        <v>41131</v>
      </c>
      <c r="J100" s="6">
        <v>2.25</v>
      </c>
      <c r="K100" s="6"/>
      <c r="L100" s="6"/>
    </row>
    <row r="101" spans="1:12" x14ac:dyDescent="0.25">
      <c r="A101" s="63">
        <v>41892</v>
      </c>
      <c r="B101" s="6">
        <v>2.59</v>
      </c>
      <c r="C101" s="6"/>
      <c r="E101" s="37" t="s">
        <v>50</v>
      </c>
      <c r="F101" s="6"/>
      <c r="G101" s="6">
        <v>0</v>
      </c>
      <c r="I101" s="37" t="s">
        <v>3</v>
      </c>
      <c r="J101" s="6">
        <v>2.25</v>
      </c>
      <c r="K101" s="6"/>
      <c r="L101" s="6"/>
    </row>
    <row r="102" spans="1:12" x14ac:dyDescent="0.25">
      <c r="A102" s="37" t="s">
        <v>108</v>
      </c>
      <c r="B102" s="6">
        <v>2.59</v>
      </c>
      <c r="C102" s="6"/>
      <c r="E102" s="32">
        <v>41521</v>
      </c>
      <c r="F102" s="6">
        <v>5.21</v>
      </c>
      <c r="G102" s="6">
        <v>384.79999999999995</v>
      </c>
      <c r="I102" s="32">
        <v>41134</v>
      </c>
      <c r="J102" s="6">
        <v>2.19</v>
      </c>
      <c r="K102" s="6">
        <v>54.75</v>
      </c>
      <c r="L102" s="6"/>
    </row>
    <row r="103" spans="1:12" x14ac:dyDescent="0.25">
      <c r="A103" s="63">
        <v>41910</v>
      </c>
      <c r="B103" s="6">
        <v>8.6736000000000004</v>
      </c>
      <c r="C103" s="6"/>
      <c r="E103" s="37" t="s">
        <v>258</v>
      </c>
      <c r="F103" s="6">
        <v>0.74</v>
      </c>
      <c r="G103" s="6">
        <v>146.5</v>
      </c>
      <c r="I103" s="37" t="s">
        <v>50</v>
      </c>
      <c r="J103" s="6">
        <v>2.19</v>
      </c>
      <c r="K103" s="6">
        <v>54.75</v>
      </c>
      <c r="L103" s="6"/>
    </row>
    <row r="104" spans="1:12" x14ac:dyDescent="0.25">
      <c r="A104" s="37" t="s">
        <v>50</v>
      </c>
      <c r="B104" s="6">
        <v>8.6736000000000004</v>
      </c>
      <c r="C104" s="6"/>
      <c r="E104" s="37" t="s">
        <v>50</v>
      </c>
      <c r="F104" s="6">
        <v>4.47</v>
      </c>
      <c r="G104" s="6">
        <v>87.1</v>
      </c>
      <c r="I104" s="32">
        <v>41135</v>
      </c>
      <c r="J104" s="6">
        <v>5.03</v>
      </c>
      <c r="K104" s="6"/>
      <c r="L104" s="6"/>
    </row>
    <row r="105" spans="1:12" x14ac:dyDescent="0.25">
      <c r="A105" s="63">
        <v>41918</v>
      </c>
      <c r="B105" s="6">
        <v>11</v>
      </c>
      <c r="C105" s="6">
        <v>903.27499999999998</v>
      </c>
      <c r="E105" s="37" t="s">
        <v>260</v>
      </c>
      <c r="F105" s="6"/>
      <c r="G105" s="6">
        <v>151.19999999999999</v>
      </c>
      <c r="I105" s="37" t="s">
        <v>58</v>
      </c>
      <c r="J105" s="6">
        <v>5.03</v>
      </c>
      <c r="K105" s="6"/>
      <c r="L105" s="6"/>
    </row>
    <row r="106" spans="1:12" x14ac:dyDescent="0.25">
      <c r="A106" s="37" t="s">
        <v>70</v>
      </c>
      <c r="B106" s="6">
        <v>1.05</v>
      </c>
      <c r="C106" s="6">
        <v>-29.125</v>
      </c>
      <c r="E106" s="32">
        <v>41542</v>
      </c>
      <c r="F106" s="6">
        <v>1.587</v>
      </c>
      <c r="G106" s="6"/>
      <c r="I106" s="32">
        <v>41136</v>
      </c>
      <c r="J106" s="6">
        <v>4.7699999999999996</v>
      </c>
      <c r="K106" s="6">
        <v>119.25</v>
      </c>
      <c r="L106" s="6"/>
    </row>
    <row r="107" spans="1:12" x14ac:dyDescent="0.25">
      <c r="A107" s="37" t="s">
        <v>310</v>
      </c>
      <c r="B107" s="6">
        <v>4.2</v>
      </c>
      <c r="C107" s="6">
        <v>207.9</v>
      </c>
      <c r="E107" s="37" t="s">
        <v>3</v>
      </c>
      <c r="F107" s="6">
        <v>1.587</v>
      </c>
      <c r="G107" s="6"/>
      <c r="I107" s="37" t="s">
        <v>50</v>
      </c>
      <c r="J107" s="6">
        <v>4.7699999999999996</v>
      </c>
      <c r="K107" s="6">
        <v>119.25</v>
      </c>
      <c r="L107" s="6"/>
    </row>
    <row r="108" spans="1:12" x14ac:dyDescent="0.25">
      <c r="A108" s="37" t="s">
        <v>69</v>
      </c>
      <c r="B108" s="6">
        <v>5.75</v>
      </c>
      <c r="C108" s="6">
        <v>724.5</v>
      </c>
      <c r="E108" s="32">
        <v>41564</v>
      </c>
      <c r="F108" s="6">
        <v>4.46</v>
      </c>
      <c r="G108" s="6">
        <v>86.71</v>
      </c>
      <c r="I108" s="32">
        <v>41145</v>
      </c>
      <c r="J108" s="6">
        <v>5.8849999999999998</v>
      </c>
      <c r="K108" s="6">
        <v>317.51</v>
      </c>
      <c r="L108" s="6"/>
    </row>
    <row r="109" spans="1:12" x14ac:dyDescent="0.25">
      <c r="A109" s="63">
        <v>41920</v>
      </c>
      <c r="B109" s="6">
        <v>6.27</v>
      </c>
      <c r="C109" s="6">
        <v>156.4</v>
      </c>
      <c r="E109" s="37" t="s">
        <v>50</v>
      </c>
      <c r="F109" s="6">
        <v>4.46</v>
      </c>
      <c r="G109" s="6">
        <v>86.71</v>
      </c>
      <c r="I109" s="37" t="s">
        <v>71</v>
      </c>
      <c r="J109" s="6">
        <v>0.2</v>
      </c>
      <c r="K109" s="6">
        <v>-20</v>
      </c>
      <c r="L109" s="6"/>
    </row>
    <row r="110" spans="1:12" x14ac:dyDescent="0.25">
      <c r="A110" s="37" t="s">
        <v>50</v>
      </c>
      <c r="B110" s="6">
        <v>6.27</v>
      </c>
      <c r="C110" s="6">
        <v>156.4</v>
      </c>
      <c r="E110" s="32">
        <v>41570</v>
      </c>
      <c r="F110" s="6">
        <v>13.71</v>
      </c>
      <c r="G110" s="6">
        <v>908.2</v>
      </c>
      <c r="I110" s="37" t="s">
        <v>70</v>
      </c>
      <c r="J110" s="6">
        <v>2.7174999999999998</v>
      </c>
      <c r="K110" s="6">
        <v>40.76</v>
      </c>
      <c r="L110" s="6"/>
    </row>
    <row r="111" spans="1:12" x14ac:dyDescent="0.25">
      <c r="A111" s="63">
        <v>41925</v>
      </c>
      <c r="B111" s="6">
        <v>1.48</v>
      </c>
      <c r="C111" s="6">
        <v>52.5</v>
      </c>
      <c r="E111" s="37" t="s">
        <v>69</v>
      </c>
      <c r="F111" s="6">
        <v>7.64</v>
      </c>
      <c r="G111" s="6">
        <v>759.5</v>
      </c>
      <c r="I111" s="37" t="s">
        <v>69</v>
      </c>
      <c r="J111" s="6">
        <v>2.9674999999999998</v>
      </c>
      <c r="K111" s="6">
        <v>296.75</v>
      </c>
      <c r="L111" s="6"/>
    </row>
    <row r="112" spans="1:12" x14ac:dyDescent="0.25">
      <c r="A112" s="37" t="s">
        <v>258</v>
      </c>
      <c r="B112" s="6">
        <v>1.48</v>
      </c>
      <c r="C112" s="6">
        <v>52.5</v>
      </c>
      <c r="E112" s="37" t="s">
        <v>50</v>
      </c>
      <c r="F112" s="6">
        <v>6.07</v>
      </c>
      <c r="G112" s="6">
        <v>148.69999999999999</v>
      </c>
      <c r="I112" s="32">
        <v>41150</v>
      </c>
      <c r="J112" s="6">
        <v>4.5964999999999998</v>
      </c>
      <c r="K112" s="6">
        <v>538.54999999999995</v>
      </c>
      <c r="L112" s="6"/>
    </row>
    <row r="113" spans="1:12" x14ac:dyDescent="0.25">
      <c r="A113" s="63">
        <v>41948</v>
      </c>
      <c r="B113" s="6">
        <v>0.6</v>
      </c>
      <c r="C113" s="6"/>
      <c r="E113" s="32">
        <v>41336</v>
      </c>
      <c r="F113" s="6">
        <v>3.38</v>
      </c>
      <c r="G113" s="6">
        <v>45.13</v>
      </c>
      <c r="I113" s="37" t="s">
        <v>83</v>
      </c>
      <c r="J113" s="6">
        <v>4.8000000000000001E-2</v>
      </c>
      <c r="K113" s="6">
        <v>268.8</v>
      </c>
      <c r="L113" s="6"/>
    </row>
    <row r="114" spans="1:12" x14ac:dyDescent="0.25">
      <c r="A114" s="37" t="s">
        <v>3</v>
      </c>
      <c r="B114" s="6">
        <v>0.6</v>
      </c>
      <c r="C114" s="6"/>
      <c r="E114" s="37" t="s">
        <v>50</v>
      </c>
      <c r="F114" s="6">
        <v>3.38</v>
      </c>
      <c r="G114" s="6">
        <v>45.13</v>
      </c>
      <c r="I114" s="37" t="s">
        <v>85</v>
      </c>
      <c r="J114" s="6">
        <v>0.32850000000000001</v>
      </c>
      <c r="K114" s="6">
        <v>164.25</v>
      </c>
      <c r="L114" s="6"/>
    </row>
    <row r="115" spans="1:12" x14ac:dyDescent="0.25">
      <c r="A115" s="63">
        <v>41953</v>
      </c>
      <c r="B115" s="6">
        <v>1.2949999999999999</v>
      </c>
      <c r="C115" s="6">
        <v>40</v>
      </c>
      <c r="E115" s="32">
        <v>41361</v>
      </c>
      <c r="F115" s="6">
        <v>0.16800000000000001</v>
      </c>
      <c r="G115" s="6"/>
      <c r="I115" s="37" t="s">
        <v>50</v>
      </c>
      <c r="J115" s="6">
        <v>4.22</v>
      </c>
      <c r="K115" s="6">
        <v>105.5</v>
      </c>
      <c r="L115" s="6"/>
    </row>
    <row r="116" spans="1:12" x14ac:dyDescent="0.25">
      <c r="A116" s="37" t="s">
        <v>258</v>
      </c>
      <c r="B116" s="6">
        <v>1.2949999999999999</v>
      </c>
      <c r="C116" s="6">
        <v>40</v>
      </c>
      <c r="E116" s="37" t="s">
        <v>58</v>
      </c>
      <c r="F116" s="6">
        <v>0.16800000000000001</v>
      </c>
      <c r="G116" s="6"/>
      <c r="I116" s="32">
        <v>41151</v>
      </c>
      <c r="J116" s="6">
        <v>2.6644999999999999</v>
      </c>
      <c r="K116" s="6"/>
      <c r="L116" s="6"/>
    </row>
    <row r="117" spans="1:12" x14ac:dyDescent="0.25">
      <c r="A117" s="63">
        <v>41955</v>
      </c>
      <c r="B117" s="6">
        <v>3.95</v>
      </c>
      <c r="C117" s="6">
        <v>471.75</v>
      </c>
      <c r="E117" s="32">
        <v>41392</v>
      </c>
      <c r="F117" s="6">
        <v>0.16800000000000001</v>
      </c>
      <c r="G117" s="6"/>
      <c r="I117" s="37" t="s">
        <v>50</v>
      </c>
      <c r="J117" s="6">
        <v>2.6644999999999999</v>
      </c>
      <c r="K117" s="6"/>
      <c r="L117" s="6"/>
    </row>
    <row r="118" spans="1:12" x14ac:dyDescent="0.25">
      <c r="A118" s="37" t="s">
        <v>77</v>
      </c>
      <c r="B118" s="6">
        <v>3.95</v>
      </c>
      <c r="C118" s="6">
        <v>471.75</v>
      </c>
      <c r="E118" s="37" t="s">
        <v>58</v>
      </c>
      <c r="F118" s="6">
        <v>0.16800000000000001</v>
      </c>
      <c r="G118" s="6"/>
      <c r="I118" s="32">
        <v>41158</v>
      </c>
      <c r="J118" s="6">
        <v>3.35</v>
      </c>
      <c r="K118" s="6">
        <v>473.25</v>
      </c>
      <c r="L118" s="6"/>
    </row>
    <row r="119" spans="1:12" x14ac:dyDescent="0.25">
      <c r="A119" s="63">
        <v>41982</v>
      </c>
      <c r="B119" s="6">
        <v>1.48</v>
      </c>
      <c r="C119" s="6">
        <v>53.75</v>
      </c>
      <c r="E119" s="32">
        <v>41422</v>
      </c>
      <c r="F119" s="6">
        <v>0.16800000000000001</v>
      </c>
      <c r="G119" s="6"/>
      <c r="I119" s="37" t="s">
        <v>77</v>
      </c>
      <c r="J119" s="6">
        <v>3.35</v>
      </c>
      <c r="K119" s="6">
        <v>473.25</v>
      </c>
      <c r="L119" s="6"/>
    </row>
    <row r="120" spans="1:12" x14ac:dyDescent="0.25">
      <c r="A120" s="37" t="s">
        <v>258</v>
      </c>
      <c r="B120" s="6">
        <v>1.48</v>
      </c>
      <c r="C120" s="6">
        <v>53.75</v>
      </c>
      <c r="E120" s="37" t="s">
        <v>58</v>
      </c>
      <c r="F120" s="6">
        <v>0.16800000000000001</v>
      </c>
      <c r="G120" s="6"/>
      <c r="I120" s="32">
        <v>41165</v>
      </c>
      <c r="J120" s="6">
        <v>6.8179999999999996</v>
      </c>
      <c r="K120" s="6">
        <v>272.74</v>
      </c>
      <c r="L120" s="6"/>
    </row>
    <row r="121" spans="1:12" x14ac:dyDescent="0.25">
      <c r="A121" s="63">
        <v>42004</v>
      </c>
      <c r="B121" s="6">
        <v>28.175000000000001</v>
      </c>
      <c r="C121" s="6"/>
      <c r="E121" s="32">
        <v>41438</v>
      </c>
      <c r="F121" s="6">
        <v>7.12</v>
      </c>
      <c r="G121" s="6">
        <v>659.87</v>
      </c>
      <c r="I121" s="37" t="s">
        <v>58</v>
      </c>
      <c r="J121" s="6">
        <v>0.16800000000000001</v>
      </c>
      <c r="K121" s="6"/>
      <c r="L121" s="6"/>
    </row>
    <row r="122" spans="1:12" x14ac:dyDescent="0.25">
      <c r="A122" s="37" t="s">
        <v>344</v>
      </c>
      <c r="B122" s="6">
        <v>19.425000000000001</v>
      </c>
      <c r="C122" s="6"/>
      <c r="E122" s="37" t="s">
        <v>69</v>
      </c>
      <c r="F122" s="6">
        <v>6.7880000000000003</v>
      </c>
      <c r="G122" s="6">
        <v>659.87</v>
      </c>
      <c r="I122" s="37" t="s">
        <v>237</v>
      </c>
      <c r="J122" s="6">
        <v>3.8325</v>
      </c>
      <c r="K122" s="6">
        <v>19.16</v>
      </c>
      <c r="L122" s="6"/>
    </row>
    <row r="123" spans="1:12" x14ac:dyDescent="0.25">
      <c r="A123" s="37" t="s">
        <v>345</v>
      </c>
      <c r="B123" s="6">
        <v>8.75</v>
      </c>
      <c r="C123" s="6"/>
      <c r="E123" s="37" t="s">
        <v>258</v>
      </c>
      <c r="F123" s="6">
        <v>0.33200000000000002</v>
      </c>
      <c r="G123" s="6">
        <v>0</v>
      </c>
      <c r="I123" s="37" t="s">
        <v>69</v>
      </c>
      <c r="J123" s="6">
        <v>2.8174999999999999</v>
      </c>
      <c r="K123" s="6">
        <v>253.58</v>
      </c>
      <c r="L123" s="6"/>
    </row>
    <row r="124" spans="1:12" x14ac:dyDescent="0.25">
      <c r="A124" s="5" t="s">
        <v>198</v>
      </c>
      <c r="B124" s="6">
        <v>260.56940000000003</v>
      </c>
      <c r="C124" s="6">
        <v>9516.7214999999978</v>
      </c>
      <c r="E124" s="32">
        <v>41453</v>
      </c>
      <c r="F124" s="6">
        <v>0.16800000000000001</v>
      </c>
      <c r="G124" s="6"/>
      <c r="I124" s="32">
        <v>41177</v>
      </c>
      <c r="J124" s="6">
        <v>0</v>
      </c>
      <c r="K124" s="6">
        <v>-680</v>
      </c>
      <c r="L124" s="6"/>
    </row>
    <row r="125" spans="1:12" x14ac:dyDescent="0.25">
      <c r="E125" s="37" t="s">
        <v>58</v>
      </c>
      <c r="F125" s="6">
        <v>0.16800000000000001</v>
      </c>
      <c r="G125" s="6"/>
      <c r="I125" s="37" t="s">
        <v>88</v>
      </c>
      <c r="J125" s="6">
        <v>0</v>
      </c>
      <c r="K125" s="6">
        <v>-680</v>
      </c>
      <c r="L125" s="6"/>
    </row>
    <row r="126" spans="1:12" x14ac:dyDescent="0.25">
      <c r="E126" s="32">
        <v>41483</v>
      </c>
      <c r="F126" s="6">
        <v>0.16800000000000001</v>
      </c>
      <c r="G126" s="6"/>
      <c r="I126" s="32">
        <v>41180</v>
      </c>
      <c r="J126" s="6">
        <v>4.42</v>
      </c>
      <c r="K126" s="6">
        <v>110.5</v>
      </c>
      <c r="L126" s="6"/>
    </row>
    <row r="127" spans="1:12" x14ac:dyDescent="0.25">
      <c r="E127" s="37" t="s">
        <v>58</v>
      </c>
      <c r="F127" s="6">
        <v>0.16800000000000001</v>
      </c>
      <c r="G127" s="6"/>
      <c r="I127" s="37" t="s">
        <v>50</v>
      </c>
      <c r="J127" s="6">
        <v>4.42</v>
      </c>
      <c r="K127" s="6">
        <v>110.5</v>
      </c>
      <c r="L127" s="6"/>
    </row>
    <row r="128" spans="1:12" x14ac:dyDescent="0.25">
      <c r="E128" s="32">
        <v>41514</v>
      </c>
      <c r="F128" s="6">
        <v>0.16800000000000001</v>
      </c>
      <c r="G128" s="6"/>
      <c r="I128" s="32">
        <v>41182</v>
      </c>
      <c r="J128" s="6">
        <v>2.6644999999999999</v>
      </c>
      <c r="K128" s="6"/>
      <c r="L128" s="6"/>
    </row>
    <row r="129" spans="5:18" x14ac:dyDescent="0.25">
      <c r="E129" s="37" t="s">
        <v>58</v>
      </c>
      <c r="F129" s="6">
        <v>0.16800000000000001</v>
      </c>
      <c r="G129" s="6"/>
      <c r="I129" s="37" t="s">
        <v>50</v>
      </c>
      <c r="J129" s="6">
        <v>2.6644999999999999</v>
      </c>
      <c r="K129" s="6"/>
      <c r="L129" s="6"/>
    </row>
    <row r="130" spans="5:18" x14ac:dyDescent="0.25">
      <c r="E130" s="32">
        <v>41516</v>
      </c>
      <c r="F130" s="6">
        <v>8.6736000000000004</v>
      </c>
      <c r="G130" s="6"/>
      <c r="I130" s="32">
        <v>41184</v>
      </c>
      <c r="J130" s="6">
        <v>3.61</v>
      </c>
      <c r="K130" s="6">
        <v>433.7</v>
      </c>
      <c r="L130" s="6"/>
    </row>
    <row r="131" spans="5:18" x14ac:dyDescent="0.25">
      <c r="E131" s="37" t="s">
        <v>50</v>
      </c>
      <c r="F131" s="6">
        <v>8.6736000000000004</v>
      </c>
      <c r="G131" s="6"/>
      <c r="I131" s="37" t="s">
        <v>77</v>
      </c>
      <c r="J131" s="6">
        <v>3.61</v>
      </c>
      <c r="K131" s="6">
        <v>433.7</v>
      </c>
      <c r="L131" s="6"/>
    </row>
    <row r="132" spans="5:18" x14ac:dyDescent="0.25">
      <c r="E132" s="32">
        <v>41545</v>
      </c>
      <c r="F132" s="6">
        <v>0.16800000000000001</v>
      </c>
      <c r="G132" s="6"/>
      <c r="I132" s="32">
        <v>41185</v>
      </c>
      <c r="J132" s="6">
        <v>5.9675000000000002</v>
      </c>
      <c r="K132" s="6">
        <v>286.29999999999995</v>
      </c>
      <c r="L132" s="6"/>
    </row>
    <row r="133" spans="5:18" x14ac:dyDescent="0.25">
      <c r="E133" s="37" t="s">
        <v>58</v>
      </c>
      <c r="F133" s="6">
        <v>0.16800000000000001</v>
      </c>
      <c r="G133" s="6"/>
      <c r="I133" s="37" t="s">
        <v>236</v>
      </c>
      <c r="J133" s="6">
        <v>1.9624999999999999</v>
      </c>
      <c r="K133" s="6">
        <v>117.75</v>
      </c>
      <c r="L133" s="6"/>
    </row>
    <row r="134" spans="5:18" x14ac:dyDescent="0.25">
      <c r="E134" s="32">
        <v>41547</v>
      </c>
      <c r="F134" s="6">
        <v>8.6736000000000004</v>
      </c>
      <c r="G134" s="6"/>
      <c r="I134" s="37" t="s">
        <v>237</v>
      </c>
      <c r="J134" s="6">
        <v>1.72</v>
      </c>
      <c r="K134" s="6">
        <v>8.6</v>
      </c>
      <c r="L134" s="6"/>
    </row>
    <row r="135" spans="5:18" x14ac:dyDescent="0.25">
      <c r="E135" s="37" t="s">
        <v>50</v>
      </c>
      <c r="F135" s="6">
        <v>8.6736000000000004</v>
      </c>
      <c r="G135" s="6"/>
      <c r="I135" s="37" t="s">
        <v>69</v>
      </c>
      <c r="J135" s="6">
        <v>2.2850000000000001</v>
      </c>
      <c r="K135" s="6">
        <v>159.94999999999999</v>
      </c>
      <c r="L135" s="6"/>
    </row>
    <row r="136" spans="5:18" x14ac:dyDescent="0.25">
      <c r="E136" s="32">
        <v>41563</v>
      </c>
      <c r="F136" s="6">
        <v>2.04</v>
      </c>
      <c r="G136" s="6"/>
      <c r="I136" s="32">
        <v>41186</v>
      </c>
      <c r="J136" s="6">
        <v>3.5925000000000002</v>
      </c>
      <c r="K136" s="6">
        <v>77</v>
      </c>
      <c r="L136" s="6"/>
    </row>
    <row r="137" spans="5:18" x14ac:dyDescent="0.25">
      <c r="E137" s="37" t="s">
        <v>108</v>
      </c>
      <c r="F137" s="6">
        <v>2.04</v>
      </c>
      <c r="G137" s="6"/>
      <c r="I137" s="37" t="s">
        <v>71</v>
      </c>
      <c r="J137" s="6">
        <v>0.10249999999999999</v>
      </c>
      <c r="K137" s="6">
        <v>-10.25</v>
      </c>
      <c r="L137" s="6"/>
    </row>
    <row r="138" spans="5:18" x14ac:dyDescent="0.25">
      <c r="E138" s="32">
        <v>41575</v>
      </c>
      <c r="F138" s="6">
        <v>0.16800000000000001</v>
      </c>
      <c r="G138" s="6"/>
      <c r="I138" s="37" t="s">
        <v>50</v>
      </c>
      <c r="J138" s="6">
        <v>3.49</v>
      </c>
      <c r="K138" s="6">
        <v>87.25</v>
      </c>
      <c r="L138" s="6"/>
      <c r="M138" s="32"/>
      <c r="N138" s="6"/>
      <c r="Q138" s="32"/>
      <c r="R138" s="6"/>
    </row>
    <row r="139" spans="5:18" x14ac:dyDescent="0.25">
      <c r="E139" s="37" t="s">
        <v>58</v>
      </c>
      <c r="F139" s="6">
        <v>0.16800000000000001</v>
      </c>
      <c r="G139" s="6"/>
      <c r="I139" s="32">
        <v>41194</v>
      </c>
      <c r="J139" s="6">
        <v>3.6130000000000004</v>
      </c>
      <c r="K139" s="6">
        <v>1304.1899999999998</v>
      </c>
      <c r="L139" s="6"/>
      <c r="M139" s="32"/>
      <c r="N139" s="6"/>
      <c r="Q139" s="32"/>
      <c r="R139" s="6"/>
    </row>
    <row r="140" spans="5:18" x14ac:dyDescent="0.25">
      <c r="E140" s="32">
        <v>41577</v>
      </c>
      <c r="F140" s="6">
        <v>9.4136000000000006</v>
      </c>
      <c r="G140" s="6">
        <v>108.5</v>
      </c>
      <c r="I140" s="37" t="s">
        <v>83</v>
      </c>
      <c r="J140" s="6">
        <v>0.11849999999999999</v>
      </c>
      <c r="K140" s="6">
        <v>699.15</v>
      </c>
      <c r="L140" s="6"/>
      <c r="M140" s="32"/>
      <c r="N140" s="6"/>
      <c r="Q140" s="32"/>
      <c r="R140" s="6"/>
    </row>
    <row r="141" spans="5:18" x14ac:dyDescent="0.25">
      <c r="E141" s="37" t="s">
        <v>258</v>
      </c>
      <c r="F141" s="6">
        <v>0.74</v>
      </c>
      <c r="G141" s="6">
        <v>108.5</v>
      </c>
      <c r="I141" s="37" t="s">
        <v>95</v>
      </c>
      <c r="J141" s="6">
        <v>6.9000000000000006E-2</v>
      </c>
      <c r="K141" s="6">
        <v>75.900000000000006</v>
      </c>
      <c r="L141" s="6"/>
      <c r="M141" s="32"/>
      <c r="N141" s="6"/>
      <c r="Q141" s="32"/>
      <c r="R141" s="6"/>
    </row>
    <row r="142" spans="5:18" x14ac:dyDescent="0.25">
      <c r="E142" s="37" t="s">
        <v>50</v>
      </c>
      <c r="F142" s="6">
        <v>8.6736000000000004</v>
      </c>
      <c r="G142" s="6"/>
      <c r="I142" s="37" t="s">
        <v>96</v>
      </c>
      <c r="J142" s="6">
        <v>3.15E-2</v>
      </c>
      <c r="K142" s="6">
        <v>22.05</v>
      </c>
      <c r="L142" s="6"/>
      <c r="M142" s="32"/>
      <c r="N142" s="6"/>
      <c r="Q142" s="32"/>
      <c r="R142" s="6"/>
    </row>
    <row r="143" spans="5:18" x14ac:dyDescent="0.25">
      <c r="E143" s="32">
        <v>41583</v>
      </c>
      <c r="F143" s="6">
        <v>0.83399999999999996</v>
      </c>
      <c r="G143" s="6">
        <v>248.82</v>
      </c>
      <c r="I143" s="37" t="s">
        <v>93</v>
      </c>
      <c r="J143" s="6">
        <v>1.4E-2</v>
      </c>
      <c r="K143" s="6">
        <v>14</v>
      </c>
      <c r="L143" s="6"/>
      <c r="M143" s="32"/>
      <c r="N143" s="6"/>
      <c r="Q143" s="32"/>
      <c r="R143" s="6"/>
    </row>
    <row r="144" spans="5:18" x14ac:dyDescent="0.25">
      <c r="E144" s="37" t="s">
        <v>132</v>
      </c>
      <c r="F144" s="6">
        <v>4.4999999999999997E-3</v>
      </c>
      <c r="G144" s="6">
        <v>1.8</v>
      </c>
      <c r="I144" s="37" t="s">
        <v>92</v>
      </c>
      <c r="J144" s="6">
        <v>0.17749999999999999</v>
      </c>
      <c r="K144" s="6">
        <v>181.05</v>
      </c>
      <c r="L144" s="6"/>
      <c r="M144" s="32"/>
      <c r="N144" s="6"/>
      <c r="Q144" s="32"/>
      <c r="R144" s="6"/>
    </row>
    <row r="145" spans="5:18" x14ac:dyDescent="0.25">
      <c r="E145" s="37" t="s">
        <v>133</v>
      </c>
      <c r="F145" s="6">
        <v>0.2</v>
      </c>
      <c r="G145" s="6">
        <v>140</v>
      </c>
      <c r="I145" s="37" t="s">
        <v>94</v>
      </c>
      <c r="J145" s="6">
        <v>8.4500000000000006E-2</v>
      </c>
      <c r="K145" s="6">
        <v>238.29</v>
      </c>
      <c r="L145" s="6"/>
      <c r="M145" s="32"/>
      <c r="N145" s="6"/>
      <c r="Q145" s="32"/>
      <c r="R145" s="6"/>
    </row>
    <row r="146" spans="5:18" x14ac:dyDescent="0.25">
      <c r="E146" s="37" t="s">
        <v>77</v>
      </c>
      <c r="F146" s="6">
        <v>0.62949999999999995</v>
      </c>
      <c r="G146" s="6">
        <v>107.02</v>
      </c>
      <c r="I146" s="37" t="s">
        <v>58</v>
      </c>
      <c r="J146" s="6">
        <v>0.16800000000000001</v>
      </c>
      <c r="K146" s="6"/>
      <c r="L146" s="6"/>
      <c r="M146" s="32"/>
      <c r="N146" s="6"/>
      <c r="Q146" s="32"/>
      <c r="R146" s="6"/>
    </row>
    <row r="147" spans="5:18" x14ac:dyDescent="0.25">
      <c r="E147" s="32">
        <v>41589</v>
      </c>
      <c r="F147" s="6">
        <v>3.84</v>
      </c>
      <c r="G147" s="6">
        <v>530.4</v>
      </c>
      <c r="I147" s="37" t="s">
        <v>50</v>
      </c>
      <c r="J147" s="6">
        <v>2.95</v>
      </c>
      <c r="K147" s="6">
        <v>73.75</v>
      </c>
      <c r="L147" s="6"/>
      <c r="M147" s="32"/>
      <c r="N147" s="6"/>
      <c r="Q147" s="32"/>
      <c r="R147" s="6"/>
    </row>
    <row r="148" spans="5:18" x14ac:dyDescent="0.25">
      <c r="E148" s="37" t="s">
        <v>77</v>
      </c>
      <c r="F148" s="6">
        <v>3.84</v>
      </c>
      <c r="G148" s="6">
        <v>530.4</v>
      </c>
      <c r="I148" s="32">
        <v>41206</v>
      </c>
      <c r="J148" s="6">
        <v>5.0709999999999997</v>
      </c>
      <c r="K148" s="6"/>
      <c r="L148" s="6"/>
      <c r="M148" s="32"/>
      <c r="N148" s="6"/>
      <c r="Q148" s="32"/>
      <c r="R148" s="6"/>
    </row>
    <row r="149" spans="5:18" x14ac:dyDescent="0.25">
      <c r="E149" s="32">
        <v>41590</v>
      </c>
      <c r="F149" s="6"/>
      <c r="G149" s="6">
        <v>496.05</v>
      </c>
      <c r="I149" s="37" t="s">
        <v>3</v>
      </c>
      <c r="J149" s="6">
        <v>5.0709999999999997</v>
      </c>
      <c r="K149" s="6"/>
      <c r="L149" s="6"/>
      <c r="M149" s="32"/>
      <c r="N149" s="6"/>
      <c r="Q149" s="32"/>
      <c r="R149" s="6"/>
    </row>
    <row r="150" spans="5:18" x14ac:dyDescent="0.25">
      <c r="E150" s="37" t="s">
        <v>291</v>
      </c>
      <c r="F150" s="6"/>
      <c r="G150" s="6">
        <v>496.05</v>
      </c>
      <c r="I150" s="32">
        <v>41212</v>
      </c>
      <c r="J150" s="6">
        <v>2.6644999999999999</v>
      </c>
      <c r="K150" s="6"/>
      <c r="M150" s="32"/>
      <c r="N150" s="6"/>
      <c r="Q150" s="32"/>
      <c r="R150" s="6"/>
    </row>
    <row r="151" spans="5:18" x14ac:dyDescent="0.25">
      <c r="E151" s="32">
        <v>41592</v>
      </c>
      <c r="F151" s="6">
        <v>0.67349999999999999</v>
      </c>
      <c r="G151" s="6"/>
      <c r="I151" s="37" t="s">
        <v>50</v>
      </c>
      <c r="J151" s="6">
        <v>2.6644999999999999</v>
      </c>
      <c r="K151" s="6"/>
      <c r="M151" s="32"/>
      <c r="N151" s="6"/>
      <c r="Q151" s="32"/>
      <c r="R151" s="6"/>
    </row>
    <row r="152" spans="5:18" x14ac:dyDescent="0.25">
      <c r="E152" s="37" t="s">
        <v>3</v>
      </c>
      <c r="F152" s="6">
        <v>0.67349999999999999</v>
      </c>
      <c r="G152" s="6"/>
      <c r="I152" s="32">
        <v>41214</v>
      </c>
      <c r="J152" s="6">
        <v>0.8</v>
      </c>
      <c r="K152" s="6">
        <v>20</v>
      </c>
      <c r="M152" s="32"/>
      <c r="N152" s="6"/>
      <c r="Q152" s="32"/>
      <c r="R152" s="6"/>
    </row>
    <row r="153" spans="5:18" x14ac:dyDescent="0.25">
      <c r="E153" s="32">
        <v>41599</v>
      </c>
      <c r="F153" s="6">
        <v>1.97</v>
      </c>
      <c r="G153" s="6"/>
      <c r="I153" s="37" t="s">
        <v>50</v>
      </c>
      <c r="J153" s="6">
        <v>0.8</v>
      </c>
      <c r="K153" s="6">
        <v>20</v>
      </c>
      <c r="M153" s="32"/>
      <c r="N153" s="6"/>
      <c r="Q153" s="32"/>
      <c r="R153" s="6"/>
    </row>
    <row r="154" spans="5:18" x14ac:dyDescent="0.25">
      <c r="E154" s="37" t="s">
        <v>108</v>
      </c>
      <c r="F154" s="6">
        <v>1.97</v>
      </c>
      <c r="G154" s="6"/>
      <c r="I154" s="32">
        <v>41219</v>
      </c>
      <c r="J154" s="6">
        <v>11.2155</v>
      </c>
      <c r="K154" s="6">
        <v>524.56999999999994</v>
      </c>
      <c r="M154" s="32"/>
      <c r="N154" s="6"/>
      <c r="Q154" s="32"/>
      <c r="R154" s="6"/>
    </row>
    <row r="155" spans="5:18" x14ac:dyDescent="0.25">
      <c r="E155" s="32">
        <v>41600</v>
      </c>
      <c r="F155" s="6">
        <v>0.74</v>
      </c>
      <c r="G155" s="6">
        <v>135</v>
      </c>
      <c r="I155" s="37" t="s">
        <v>236</v>
      </c>
      <c r="J155" s="6">
        <v>1.6825000000000001</v>
      </c>
      <c r="K155" s="6">
        <v>100.95</v>
      </c>
      <c r="M155" s="32"/>
      <c r="N155" s="6"/>
      <c r="Q155" s="32"/>
      <c r="R155" s="6"/>
    </row>
    <row r="156" spans="5:18" x14ac:dyDescent="0.25">
      <c r="E156" s="37" t="s">
        <v>258</v>
      </c>
      <c r="F156" s="6">
        <v>0.74</v>
      </c>
      <c r="G156" s="6">
        <v>135</v>
      </c>
      <c r="I156" s="37" t="s">
        <v>58</v>
      </c>
      <c r="J156" s="6">
        <v>0.16800000000000001</v>
      </c>
      <c r="K156" s="6"/>
      <c r="M156" s="32"/>
      <c r="N156" s="6"/>
      <c r="Q156" s="32"/>
      <c r="R156" s="6"/>
    </row>
    <row r="157" spans="5:18" x14ac:dyDescent="0.25">
      <c r="E157" s="32">
        <v>41606</v>
      </c>
      <c r="F157" s="6">
        <v>0.16800000000000001</v>
      </c>
      <c r="G157" s="6"/>
      <c r="I157" s="37" t="s">
        <v>237</v>
      </c>
      <c r="J157" s="6">
        <v>0.2175</v>
      </c>
      <c r="K157" s="6">
        <v>1.0900000000000001</v>
      </c>
      <c r="M157" s="32"/>
      <c r="N157" s="6"/>
      <c r="Q157" s="32"/>
      <c r="R157" s="6"/>
    </row>
    <row r="158" spans="5:18" x14ac:dyDescent="0.25">
      <c r="E158" s="37" t="s">
        <v>58</v>
      </c>
      <c r="F158" s="6">
        <v>0.16800000000000001</v>
      </c>
      <c r="G158" s="6"/>
      <c r="I158" s="37" t="s">
        <v>69</v>
      </c>
      <c r="J158" s="6">
        <v>4.3075000000000001</v>
      </c>
      <c r="K158" s="6">
        <v>301.52999999999997</v>
      </c>
      <c r="M158" s="32"/>
      <c r="N158" s="6"/>
      <c r="Q158" s="32"/>
      <c r="R158" s="6"/>
    </row>
    <row r="159" spans="5:18" x14ac:dyDescent="0.25">
      <c r="E159" s="32">
        <v>41608</v>
      </c>
      <c r="F159" s="6">
        <v>8.6736000000000004</v>
      </c>
      <c r="G159" s="6"/>
      <c r="I159" s="37" t="s">
        <v>50</v>
      </c>
      <c r="J159" s="6">
        <v>4.84</v>
      </c>
      <c r="K159" s="6">
        <v>121</v>
      </c>
      <c r="M159" s="32"/>
      <c r="N159" s="6"/>
      <c r="Q159" s="32"/>
      <c r="R159" s="6"/>
    </row>
    <row r="160" spans="5:18" x14ac:dyDescent="0.25">
      <c r="E160" s="37" t="s">
        <v>50</v>
      </c>
      <c r="F160" s="6">
        <v>8.6736000000000004</v>
      </c>
      <c r="G160" s="6"/>
      <c r="I160" s="32">
        <v>41225</v>
      </c>
      <c r="J160" s="6">
        <v>1.925</v>
      </c>
      <c r="K160" s="6">
        <v>-192.5</v>
      </c>
      <c r="M160" s="32"/>
      <c r="N160" s="6"/>
      <c r="Q160" s="32"/>
      <c r="R160" s="6"/>
    </row>
    <row r="161" spans="5:11" x14ac:dyDescent="0.25">
      <c r="E161" s="32">
        <v>41610</v>
      </c>
      <c r="F161" s="6">
        <v>0.72099999999999997</v>
      </c>
      <c r="G161" s="6">
        <v>659.98</v>
      </c>
      <c r="I161" s="37" t="s">
        <v>1</v>
      </c>
      <c r="J161" s="6">
        <v>1.925</v>
      </c>
      <c r="K161" s="6">
        <v>-192.5</v>
      </c>
    </row>
    <row r="162" spans="5:11" x14ac:dyDescent="0.25">
      <c r="E162" s="37" t="s">
        <v>66</v>
      </c>
      <c r="F162" s="6">
        <v>9.7000000000000003E-2</v>
      </c>
      <c r="G162" s="6">
        <v>93.12</v>
      </c>
      <c r="I162" s="32">
        <v>41226</v>
      </c>
      <c r="J162" s="6">
        <v>1.6</v>
      </c>
      <c r="K162" s="6">
        <v>44</v>
      </c>
    </row>
    <row r="163" spans="5:11" x14ac:dyDescent="0.25">
      <c r="E163" s="37" t="s">
        <v>133</v>
      </c>
      <c r="F163" s="6">
        <v>5.8500000000000003E-2</v>
      </c>
      <c r="G163" s="6">
        <v>37.44</v>
      </c>
      <c r="I163" s="37" t="s">
        <v>77</v>
      </c>
      <c r="J163" s="6">
        <v>1.6</v>
      </c>
      <c r="K163" s="6">
        <v>44</v>
      </c>
    </row>
    <row r="164" spans="5:11" x14ac:dyDescent="0.25">
      <c r="E164" s="37" t="s">
        <v>77</v>
      </c>
      <c r="F164" s="6">
        <v>1.8499999999999999E-2</v>
      </c>
      <c r="G164" s="6">
        <v>3.7</v>
      </c>
      <c r="I164" s="32">
        <v>41243</v>
      </c>
      <c r="J164" s="6">
        <v>2.6644999999999999</v>
      </c>
      <c r="K164" s="6"/>
    </row>
    <row r="165" spans="5:11" x14ac:dyDescent="0.25">
      <c r="E165" s="37" t="s">
        <v>295</v>
      </c>
      <c r="F165" s="6">
        <v>4.0000000000000001E-3</v>
      </c>
      <c r="G165" s="6">
        <v>1.8</v>
      </c>
      <c r="I165" s="37" t="s">
        <v>50</v>
      </c>
      <c r="J165" s="6">
        <v>2.6644999999999999</v>
      </c>
      <c r="K165" s="6"/>
    </row>
    <row r="166" spans="5:11" x14ac:dyDescent="0.25">
      <c r="E166" s="37" t="s">
        <v>297</v>
      </c>
      <c r="F166" s="6">
        <v>0.54</v>
      </c>
      <c r="G166" s="6">
        <v>518.4</v>
      </c>
      <c r="I166" s="32">
        <v>41246</v>
      </c>
      <c r="J166" s="6">
        <v>9.620000000000001</v>
      </c>
      <c r="K166" s="6">
        <v>156.75</v>
      </c>
    </row>
    <row r="167" spans="5:11" x14ac:dyDescent="0.25">
      <c r="E167" s="37" t="s">
        <v>298</v>
      </c>
      <c r="F167" s="6">
        <v>3.0000000000000001E-3</v>
      </c>
      <c r="G167" s="6">
        <v>5.52</v>
      </c>
      <c r="I167" s="37" t="s">
        <v>50</v>
      </c>
      <c r="J167" s="6">
        <v>4.87</v>
      </c>
      <c r="K167" s="6">
        <v>121.75</v>
      </c>
    </row>
    <row r="168" spans="5:11" x14ac:dyDescent="0.25">
      <c r="E168" s="32">
        <v>41617</v>
      </c>
      <c r="F168" s="6">
        <v>7.6425000000000001</v>
      </c>
      <c r="G168" s="6">
        <v>718.44</v>
      </c>
      <c r="I168" s="37" t="s">
        <v>1</v>
      </c>
      <c r="J168" s="6">
        <v>4.75</v>
      </c>
      <c r="K168" s="6">
        <v>35</v>
      </c>
    </row>
    <row r="169" spans="5:11" x14ac:dyDescent="0.25">
      <c r="E169" s="37" t="s">
        <v>70</v>
      </c>
      <c r="F169" s="6">
        <v>1.3125</v>
      </c>
      <c r="G169" s="6">
        <v>106.11</v>
      </c>
      <c r="I169" s="32">
        <v>41247</v>
      </c>
      <c r="J169" s="6">
        <v>0.35</v>
      </c>
      <c r="K169" s="6">
        <v>-35</v>
      </c>
    </row>
    <row r="170" spans="5:11" x14ac:dyDescent="0.25">
      <c r="E170" s="37" t="s">
        <v>69</v>
      </c>
      <c r="F170" s="6">
        <v>6.33</v>
      </c>
      <c r="G170" s="6">
        <v>612.33000000000004</v>
      </c>
      <c r="I170" s="37" t="s">
        <v>1</v>
      </c>
      <c r="J170" s="6">
        <v>0.35</v>
      </c>
      <c r="K170" s="6">
        <v>-35</v>
      </c>
    </row>
    <row r="171" spans="5:11" x14ac:dyDescent="0.25">
      <c r="E171" s="32">
        <v>41618</v>
      </c>
      <c r="F171" s="6">
        <v>4.8099999999999996</v>
      </c>
      <c r="G171" s="6">
        <v>100.19</v>
      </c>
      <c r="I171" s="32">
        <v>41249</v>
      </c>
      <c r="J171" s="6">
        <v>0.16800000000000001</v>
      </c>
      <c r="K171" s="6"/>
    </row>
    <row r="172" spans="5:11" x14ac:dyDescent="0.25">
      <c r="E172" s="37" t="s">
        <v>50</v>
      </c>
      <c r="F172" s="6">
        <v>4.8099999999999996</v>
      </c>
      <c r="G172" s="6">
        <v>100.19</v>
      </c>
      <c r="I172" s="37" t="s">
        <v>58</v>
      </c>
      <c r="J172" s="6">
        <v>0.16800000000000001</v>
      </c>
      <c r="K172" s="6"/>
    </row>
    <row r="173" spans="5:11" x14ac:dyDescent="0.25">
      <c r="E173" s="32">
        <v>41621</v>
      </c>
      <c r="F173" s="6">
        <v>0.48099999999999998</v>
      </c>
      <c r="G173" s="6">
        <v>75</v>
      </c>
      <c r="I173" s="32">
        <v>41254</v>
      </c>
      <c r="J173" s="6">
        <v>1.72</v>
      </c>
      <c r="K173" s="6"/>
    </row>
    <row r="174" spans="5:11" x14ac:dyDescent="0.25">
      <c r="E174" s="37" t="s">
        <v>258</v>
      </c>
      <c r="F174" s="6">
        <v>0.48099999999999998</v>
      </c>
      <c r="G174" s="6">
        <v>75</v>
      </c>
      <c r="I174" s="37" t="s">
        <v>108</v>
      </c>
      <c r="J174" s="6">
        <v>1.72</v>
      </c>
      <c r="K174" s="6"/>
    </row>
    <row r="175" spans="5:11" x14ac:dyDescent="0.25">
      <c r="E175" s="32">
        <v>41636</v>
      </c>
      <c r="F175" s="6">
        <v>0.16800000000000001</v>
      </c>
      <c r="G175" s="6"/>
      <c r="I175" s="32">
        <v>41260</v>
      </c>
      <c r="J175" s="6">
        <v>5.6349999999999998</v>
      </c>
      <c r="K175" s="6">
        <v>418.6</v>
      </c>
    </row>
    <row r="176" spans="5:11" x14ac:dyDescent="0.25">
      <c r="E176" s="37" t="s">
        <v>58</v>
      </c>
      <c r="F176" s="6">
        <v>0.16800000000000001</v>
      </c>
      <c r="G176" s="6"/>
      <c r="I176" s="37" t="s">
        <v>236</v>
      </c>
      <c r="J176" s="6">
        <v>1.2350000000000001</v>
      </c>
      <c r="K176" s="6">
        <v>74.099999999999994</v>
      </c>
    </row>
    <row r="177" spans="5:11" x14ac:dyDescent="0.25">
      <c r="E177" s="32">
        <v>41638</v>
      </c>
      <c r="F177" s="6">
        <v>8.6736000000000004</v>
      </c>
      <c r="G177" s="6"/>
      <c r="I177" s="37" t="s">
        <v>237</v>
      </c>
      <c r="J177" s="6">
        <v>0.1</v>
      </c>
      <c r="K177" s="6">
        <v>0.5</v>
      </c>
    </row>
    <row r="178" spans="5:11" x14ac:dyDescent="0.25">
      <c r="E178" s="37" t="s">
        <v>50</v>
      </c>
      <c r="F178" s="6">
        <v>8.6736000000000004</v>
      </c>
      <c r="G178" s="6"/>
      <c r="I178" s="37" t="s">
        <v>69</v>
      </c>
      <c r="J178" s="6">
        <v>4.3</v>
      </c>
      <c r="K178" s="6">
        <v>344</v>
      </c>
    </row>
    <row r="179" spans="5:11" x14ac:dyDescent="0.25">
      <c r="E179" s="32">
        <v>41639</v>
      </c>
      <c r="F179" s="6">
        <v>54.282499999999999</v>
      </c>
      <c r="G179" s="6">
        <v>3640</v>
      </c>
      <c r="I179" s="32">
        <v>41270</v>
      </c>
      <c r="J179" s="6">
        <v>3.96</v>
      </c>
      <c r="K179" s="6">
        <v>99</v>
      </c>
    </row>
    <row r="180" spans="5:11" x14ac:dyDescent="0.25">
      <c r="E180" s="37" t="s">
        <v>46</v>
      </c>
      <c r="F180" s="6">
        <v>10.6</v>
      </c>
      <c r="G180" s="6">
        <v>3640</v>
      </c>
      <c r="I180" s="37" t="s">
        <v>50</v>
      </c>
      <c r="J180" s="6">
        <v>3.96</v>
      </c>
      <c r="K180" s="6">
        <v>99</v>
      </c>
    </row>
    <row r="181" spans="5:11" x14ac:dyDescent="0.25">
      <c r="E181" s="37" t="s">
        <v>69</v>
      </c>
      <c r="F181" s="6">
        <v>15.5075</v>
      </c>
      <c r="G181" s="6">
        <v>0</v>
      </c>
      <c r="I181" s="32">
        <v>41274</v>
      </c>
      <c r="J181" s="6">
        <v>41.274999999999999</v>
      </c>
      <c r="K181" s="6">
        <v>5300</v>
      </c>
    </row>
    <row r="182" spans="5:11" x14ac:dyDescent="0.25">
      <c r="E182" s="37" t="s">
        <v>344</v>
      </c>
      <c r="F182" s="6">
        <v>19.425000000000001</v>
      </c>
      <c r="G182" s="6"/>
      <c r="I182" s="37" t="s">
        <v>43</v>
      </c>
      <c r="J182" s="6">
        <v>0</v>
      </c>
      <c r="K182" s="6"/>
    </row>
    <row r="183" spans="5:11" x14ac:dyDescent="0.25">
      <c r="E183" s="37" t="s">
        <v>345</v>
      </c>
      <c r="F183" s="6">
        <v>8.75</v>
      </c>
      <c r="G183" s="6"/>
      <c r="I183" s="37" t="s">
        <v>46</v>
      </c>
      <c r="J183" s="6">
        <v>10.6</v>
      </c>
      <c r="K183" s="6">
        <v>5300</v>
      </c>
    </row>
    <row r="184" spans="5:11" x14ac:dyDescent="0.25">
      <c r="E184" s="32" t="s">
        <v>198</v>
      </c>
      <c r="F184" s="6">
        <v>334.24540000000007</v>
      </c>
      <c r="G184" s="6">
        <v>15778.510000000002</v>
      </c>
      <c r="I184" s="37" t="s">
        <v>50</v>
      </c>
      <c r="J184" s="6">
        <v>2.5</v>
      </c>
      <c r="K184" s="6"/>
    </row>
    <row r="185" spans="5:11" x14ac:dyDescent="0.25">
      <c r="I185" s="37" t="s">
        <v>344</v>
      </c>
      <c r="J185" s="6">
        <v>19.425000000000001</v>
      </c>
      <c r="K185" s="6"/>
    </row>
    <row r="186" spans="5:11" x14ac:dyDescent="0.25">
      <c r="I186" s="37" t="s">
        <v>345</v>
      </c>
      <c r="J186" s="6">
        <v>8.75</v>
      </c>
      <c r="K186" s="6"/>
    </row>
    <row r="187" spans="5:11" x14ac:dyDescent="0.25">
      <c r="I187" s="32" t="s">
        <v>198</v>
      </c>
      <c r="J187" s="6">
        <v>301.94200000000006</v>
      </c>
      <c r="K187" s="6">
        <v>15670.650000000001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21" sqref="I21"/>
    </sheetView>
  </sheetViews>
  <sheetFormatPr defaultColWidth="8.85546875" defaultRowHeight="15" x14ac:dyDescent="0.25"/>
  <cols>
    <col min="1" max="1" width="24" customWidth="1"/>
    <col min="2" max="2" width="17.7109375" customWidth="1"/>
    <col min="3" max="4" width="19.28515625" customWidth="1"/>
    <col min="5" max="5" width="19.7109375" bestFit="1" customWidth="1"/>
    <col min="6" max="6" width="19.28515625" customWidth="1"/>
    <col min="7" max="7" width="14.7109375" customWidth="1"/>
    <col min="8" max="8" width="14.28515625" customWidth="1"/>
    <col min="9" max="9" width="14.7109375" customWidth="1"/>
    <col min="10" max="10" width="19.140625" customWidth="1"/>
    <col min="11" max="11" width="18.42578125" customWidth="1"/>
    <col min="12" max="13" width="14.85546875" customWidth="1"/>
  </cols>
  <sheetData>
    <row r="1" spans="1:10" s="33" customFormat="1" ht="45" x14ac:dyDescent="0.25">
      <c r="A1" s="33" t="s">
        <v>199</v>
      </c>
      <c r="B1" s="33" t="s">
        <v>200</v>
      </c>
      <c r="C1" s="33" t="s">
        <v>201</v>
      </c>
      <c r="E1" s="33" t="s">
        <v>202</v>
      </c>
      <c r="G1" s="33" t="s">
        <v>203</v>
      </c>
      <c r="H1" s="33" t="s">
        <v>204</v>
      </c>
    </row>
    <row r="2" spans="1:10" x14ac:dyDescent="0.25">
      <c r="B2">
        <v>90</v>
      </c>
      <c r="C2">
        <v>139</v>
      </c>
      <c r="E2">
        <v>300</v>
      </c>
      <c r="G2">
        <v>52</v>
      </c>
      <c r="H2">
        <v>0.8</v>
      </c>
    </row>
    <row r="4" spans="1:10" x14ac:dyDescent="0.25">
      <c r="A4" t="s">
        <v>28</v>
      </c>
      <c r="B4" t="s">
        <v>27</v>
      </c>
      <c r="C4" t="s">
        <v>205</v>
      </c>
      <c r="D4" t="s">
        <v>206</v>
      </c>
      <c r="E4" t="s">
        <v>207</v>
      </c>
      <c r="F4" t="s">
        <v>159</v>
      </c>
      <c r="G4" t="s">
        <v>208</v>
      </c>
      <c r="H4" t="s">
        <v>209</v>
      </c>
      <c r="I4" t="s">
        <v>210</v>
      </c>
    </row>
    <row r="5" spans="1:10" x14ac:dyDescent="0.25">
      <c r="A5" t="s">
        <v>1</v>
      </c>
      <c r="B5" t="s">
        <v>170</v>
      </c>
      <c r="C5">
        <v>30</v>
      </c>
      <c r="E5" t="s">
        <v>211</v>
      </c>
      <c r="F5" t="s">
        <v>212</v>
      </c>
      <c r="J5" s="34"/>
    </row>
    <row r="6" spans="1:10" x14ac:dyDescent="0.25">
      <c r="A6" t="s">
        <v>1</v>
      </c>
      <c r="B6" t="s">
        <v>173</v>
      </c>
      <c r="C6">
        <v>30</v>
      </c>
      <c r="E6" t="s">
        <v>211</v>
      </c>
      <c r="F6" t="s">
        <v>212</v>
      </c>
    </row>
    <row r="7" spans="1:10" x14ac:dyDescent="0.25">
      <c r="A7" t="s">
        <v>1</v>
      </c>
      <c r="B7" t="s">
        <v>172</v>
      </c>
      <c r="C7">
        <v>40</v>
      </c>
      <c r="E7" t="s">
        <v>211</v>
      </c>
      <c r="F7" t="s">
        <v>213</v>
      </c>
    </row>
    <row r="8" spans="1:10" x14ac:dyDescent="0.25">
      <c r="A8" t="s">
        <v>1</v>
      </c>
      <c r="B8" t="s">
        <v>128</v>
      </c>
      <c r="C8">
        <v>40</v>
      </c>
      <c r="E8" t="s">
        <v>211</v>
      </c>
      <c r="F8" s="35" t="s">
        <v>213</v>
      </c>
    </row>
    <row r="9" spans="1:10" x14ac:dyDescent="0.25">
      <c r="A9" t="s">
        <v>1</v>
      </c>
      <c r="B9" t="s">
        <v>128</v>
      </c>
      <c r="C9">
        <v>34</v>
      </c>
      <c r="E9" t="s">
        <v>211</v>
      </c>
      <c r="F9" t="s">
        <v>212</v>
      </c>
    </row>
    <row r="10" spans="1:10" x14ac:dyDescent="0.25">
      <c r="A10" t="s">
        <v>1</v>
      </c>
      <c r="B10" t="s">
        <v>178</v>
      </c>
      <c r="C10">
        <v>6</v>
      </c>
      <c r="E10" t="s">
        <v>211</v>
      </c>
      <c r="F10" t="s">
        <v>212</v>
      </c>
    </row>
    <row r="11" spans="1:10" x14ac:dyDescent="0.25">
      <c r="A11" t="s">
        <v>1</v>
      </c>
      <c r="B11" t="s">
        <v>176</v>
      </c>
      <c r="C11">
        <v>6</v>
      </c>
      <c r="D11" t="s">
        <v>214</v>
      </c>
      <c r="E11" t="s">
        <v>215</v>
      </c>
      <c r="F11" t="s">
        <v>216</v>
      </c>
      <c r="G11">
        <f>C11*$B$2*2</f>
        <v>1080</v>
      </c>
      <c r="H11">
        <f>$G$2*G11</f>
        <v>56160</v>
      </c>
      <c r="I11">
        <f>H11/12</f>
        <v>4680</v>
      </c>
    </row>
    <row r="12" spans="1:10" x14ac:dyDescent="0.25">
      <c r="A12" t="s">
        <v>1</v>
      </c>
      <c r="B12" t="s">
        <v>41</v>
      </c>
      <c r="C12">
        <v>40</v>
      </c>
      <c r="E12" t="s">
        <v>211</v>
      </c>
      <c r="F12" t="s">
        <v>213</v>
      </c>
    </row>
    <row r="13" spans="1:10" x14ac:dyDescent="0.25">
      <c r="A13" t="s">
        <v>1</v>
      </c>
      <c r="B13" t="s">
        <v>217</v>
      </c>
      <c r="C13">
        <v>40</v>
      </c>
      <c r="E13" t="s">
        <v>211</v>
      </c>
      <c r="F13" t="s">
        <v>213</v>
      </c>
    </row>
    <row r="14" spans="1:10" x14ac:dyDescent="0.25">
      <c r="A14" t="s">
        <v>1</v>
      </c>
      <c r="B14" t="s">
        <v>174</v>
      </c>
      <c r="C14">
        <v>6</v>
      </c>
      <c r="D14" t="s">
        <v>218</v>
      </c>
      <c r="E14" t="s">
        <v>219</v>
      </c>
      <c r="F14" t="s">
        <v>220</v>
      </c>
      <c r="G14">
        <f>C14*$B$2</f>
        <v>540</v>
      </c>
      <c r="H14">
        <f t="shared" ref="H14:H24" si="0">$G$2*G14</f>
        <v>28080</v>
      </c>
      <c r="I14">
        <f t="shared" ref="I14:I24" si="1">H14/12</f>
        <v>2340</v>
      </c>
    </row>
    <row r="15" spans="1:10" x14ac:dyDescent="0.25">
      <c r="A15" t="s">
        <v>1</v>
      </c>
      <c r="B15" t="s">
        <v>221</v>
      </c>
      <c r="C15">
        <v>8</v>
      </c>
      <c r="D15" t="s">
        <v>222</v>
      </c>
      <c r="E15" t="s">
        <v>215</v>
      </c>
      <c r="F15" t="s">
        <v>220</v>
      </c>
      <c r="G15">
        <f>C15*$B$2*2</f>
        <v>1440</v>
      </c>
      <c r="H15">
        <f t="shared" si="0"/>
        <v>74880</v>
      </c>
      <c r="I15">
        <f t="shared" si="1"/>
        <v>6240</v>
      </c>
    </row>
    <row r="16" spans="1:10" x14ac:dyDescent="0.25">
      <c r="A16" t="s">
        <v>1</v>
      </c>
      <c r="B16" t="s">
        <v>179</v>
      </c>
      <c r="C16">
        <v>2</v>
      </c>
      <c r="D16" t="s">
        <v>223</v>
      </c>
      <c r="E16" t="s">
        <v>219</v>
      </c>
      <c r="F16" t="s">
        <v>220</v>
      </c>
      <c r="G16">
        <f>C16*$B$2</f>
        <v>180</v>
      </c>
      <c r="H16">
        <f t="shared" si="0"/>
        <v>9360</v>
      </c>
      <c r="I16">
        <f t="shared" si="1"/>
        <v>780</v>
      </c>
    </row>
    <row r="17" spans="1:9" x14ac:dyDescent="0.25">
      <c r="A17" t="s">
        <v>1</v>
      </c>
      <c r="B17" t="s">
        <v>190</v>
      </c>
      <c r="C17">
        <v>8</v>
      </c>
      <c r="D17" t="s">
        <v>218</v>
      </c>
      <c r="E17" t="s">
        <v>219</v>
      </c>
      <c r="F17" t="s">
        <v>220</v>
      </c>
      <c r="G17">
        <f>C17*$B$2</f>
        <v>720</v>
      </c>
      <c r="H17">
        <f t="shared" si="0"/>
        <v>37440</v>
      </c>
      <c r="I17">
        <f t="shared" si="1"/>
        <v>3120</v>
      </c>
    </row>
    <row r="18" spans="1:9" x14ac:dyDescent="0.25">
      <c r="A18" t="s">
        <v>50</v>
      </c>
      <c r="B18" t="s">
        <v>190</v>
      </c>
      <c r="C18">
        <v>4</v>
      </c>
      <c r="D18" t="s">
        <v>224</v>
      </c>
      <c r="E18" t="s">
        <v>219</v>
      </c>
      <c r="F18" t="s">
        <v>225</v>
      </c>
      <c r="G18">
        <f t="shared" ref="G18:G23" si="2">C18*$C$2</f>
        <v>556</v>
      </c>
      <c r="H18">
        <f t="shared" si="0"/>
        <v>28912</v>
      </c>
      <c r="I18">
        <f t="shared" si="1"/>
        <v>2409.3333333333335</v>
      </c>
    </row>
    <row r="19" spans="1:9" x14ac:dyDescent="0.25">
      <c r="A19" t="s">
        <v>50</v>
      </c>
      <c r="B19" t="s">
        <v>221</v>
      </c>
      <c r="C19">
        <v>4</v>
      </c>
      <c r="D19" t="s">
        <v>224</v>
      </c>
      <c r="E19" t="s">
        <v>219</v>
      </c>
      <c r="F19" t="s">
        <v>225</v>
      </c>
      <c r="G19">
        <f t="shared" si="2"/>
        <v>556</v>
      </c>
      <c r="H19">
        <f t="shared" si="0"/>
        <v>28912</v>
      </c>
      <c r="I19">
        <f t="shared" si="1"/>
        <v>2409.3333333333335</v>
      </c>
    </row>
    <row r="20" spans="1:9" x14ac:dyDescent="0.25">
      <c r="A20" t="s">
        <v>50</v>
      </c>
      <c r="B20" t="s">
        <v>174</v>
      </c>
      <c r="C20">
        <v>4</v>
      </c>
      <c r="D20" t="s">
        <v>224</v>
      </c>
      <c r="E20" t="s">
        <v>219</v>
      </c>
      <c r="F20" t="s">
        <v>225</v>
      </c>
      <c r="G20">
        <f t="shared" si="2"/>
        <v>556</v>
      </c>
      <c r="H20">
        <f t="shared" si="0"/>
        <v>28912</v>
      </c>
      <c r="I20">
        <f t="shared" si="1"/>
        <v>2409.3333333333335</v>
      </c>
    </row>
    <row r="21" spans="1:9" x14ac:dyDescent="0.25">
      <c r="A21" t="s">
        <v>50</v>
      </c>
      <c r="B21" t="s">
        <v>41</v>
      </c>
      <c r="C21">
        <v>4</v>
      </c>
      <c r="D21" t="s">
        <v>224</v>
      </c>
      <c r="E21" t="s">
        <v>219</v>
      </c>
      <c r="F21" t="s">
        <v>225</v>
      </c>
      <c r="G21">
        <f t="shared" si="2"/>
        <v>556</v>
      </c>
      <c r="H21">
        <f t="shared" si="0"/>
        <v>28912</v>
      </c>
      <c r="I21">
        <f t="shared" si="1"/>
        <v>2409.3333333333335</v>
      </c>
    </row>
    <row r="22" spans="1:9" x14ac:dyDescent="0.25">
      <c r="A22" t="s">
        <v>50</v>
      </c>
      <c r="B22" t="s">
        <v>176</v>
      </c>
      <c r="C22">
        <v>8</v>
      </c>
      <c r="D22" t="s">
        <v>224</v>
      </c>
      <c r="E22" t="s">
        <v>219</v>
      </c>
      <c r="F22" t="s">
        <v>225</v>
      </c>
      <c r="G22">
        <f t="shared" si="2"/>
        <v>1112</v>
      </c>
      <c r="H22">
        <f t="shared" si="0"/>
        <v>57824</v>
      </c>
      <c r="I22">
        <f t="shared" si="1"/>
        <v>4818.666666666667</v>
      </c>
    </row>
    <row r="23" spans="1:9" x14ac:dyDescent="0.25">
      <c r="A23" t="s">
        <v>50</v>
      </c>
      <c r="B23" t="s">
        <v>172</v>
      </c>
      <c r="C23">
        <v>4</v>
      </c>
      <c r="D23" t="s">
        <v>224</v>
      </c>
      <c r="E23" t="s">
        <v>219</v>
      </c>
      <c r="F23" t="s">
        <v>225</v>
      </c>
      <c r="G23">
        <f t="shared" si="2"/>
        <v>556</v>
      </c>
      <c r="H23">
        <f t="shared" si="0"/>
        <v>28912</v>
      </c>
      <c r="I23">
        <f t="shared" si="1"/>
        <v>2409.3333333333335</v>
      </c>
    </row>
    <row r="24" spans="1:9" x14ac:dyDescent="0.25">
      <c r="A24" t="s">
        <v>50</v>
      </c>
      <c r="B24" t="s">
        <v>226</v>
      </c>
      <c r="C24">
        <v>8</v>
      </c>
      <c r="D24" t="s">
        <v>224</v>
      </c>
      <c r="E24" t="s">
        <v>219</v>
      </c>
      <c r="F24" t="s">
        <v>225</v>
      </c>
      <c r="G24">
        <f>C24*$C$2</f>
        <v>1112</v>
      </c>
      <c r="H24">
        <f t="shared" si="0"/>
        <v>57824</v>
      </c>
      <c r="I24">
        <f t="shared" si="1"/>
        <v>4818.666666666667</v>
      </c>
    </row>
    <row r="27" spans="1:9" x14ac:dyDescent="0.25">
      <c r="A27" t="s">
        <v>227</v>
      </c>
      <c r="B27">
        <f>SUM(I18:I24)*H2</f>
        <v>17347.2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Z21"/>
  <sheetViews>
    <sheetView zoomScale="90" zoomScaleNormal="90" zoomScalePageLayoutView="90" workbookViewId="0">
      <selection activeCell="AB30" sqref="AB30"/>
    </sheetView>
  </sheetViews>
  <sheetFormatPr defaultColWidth="8.85546875" defaultRowHeight="15" x14ac:dyDescent="0.25"/>
  <cols>
    <col min="1" max="1" width="16.42578125" customWidth="1"/>
    <col min="2" max="2" width="16.7109375" hidden="1" customWidth="1"/>
    <col min="3" max="13" width="6.42578125" hidden="1" customWidth="1"/>
    <col min="14" max="14" width="11.28515625" customWidth="1"/>
    <col min="15" max="15" width="11.42578125" bestFit="1" customWidth="1"/>
    <col min="16" max="16" width="16.42578125" customWidth="1"/>
    <col min="17" max="17" width="22.42578125" hidden="1" customWidth="1"/>
    <col min="18" max="18" width="15.28515625" hidden="1" customWidth="1"/>
    <col min="19" max="19" width="22.42578125" hidden="1" customWidth="1"/>
    <col min="20" max="20" width="15.28515625" hidden="1" customWidth="1"/>
    <col min="21" max="21" width="22.42578125" hidden="1" customWidth="1"/>
    <col min="22" max="22" width="16.42578125" hidden="1" customWidth="1"/>
    <col min="23" max="23" width="22.42578125" hidden="1" customWidth="1"/>
    <col min="24" max="24" width="15.28515625" hidden="1" customWidth="1"/>
    <col min="25" max="25" width="22.42578125" hidden="1" customWidth="1"/>
    <col min="26" max="26" width="11.28515625" customWidth="1"/>
    <col min="27" max="27" width="22.42578125" customWidth="1"/>
    <col min="28" max="28" width="20.28515625" customWidth="1"/>
    <col min="29" max="29" width="11.42578125" customWidth="1"/>
    <col min="30" max="37" width="9" customWidth="1"/>
    <col min="38" max="38" width="9.140625" customWidth="1"/>
    <col min="39" max="40" width="9" customWidth="1"/>
    <col min="41" max="41" width="9.42578125" customWidth="1"/>
    <col min="42" max="42" width="8" customWidth="1"/>
    <col min="43" max="43" width="10.7109375" customWidth="1"/>
    <col min="44" max="44" width="8" customWidth="1"/>
    <col min="45" max="45" width="8.42578125" customWidth="1"/>
    <col min="46" max="46" width="10" customWidth="1"/>
    <col min="47" max="47" width="13.140625" customWidth="1"/>
    <col min="48" max="57" width="9" customWidth="1"/>
    <col min="58" max="58" width="9.42578125" customWidth="1"/>
    <col min="59" max="59" width="8" customWidth="1"/>
    <col min="60" max="60" width="10.7109375" customWidth="1"/>
    <col min="61" max="61" width="15.42578125" customWidth="1"/>
    <col min="62" max="62" width="18.42578125" customWidth="1"/>
    <col min="63" max="63" width="18.28515625" customWidth="1"/>
    <col min="64" max="75" width="9" customWidth="1"/>
    <col min="76" max="76" width="21.42578125" customWidth="1"/>
    <col min="77" max="77" width="13.140625" customWidth="1"/>
    <col min="78" max="78" width="9" customWidth="1"/>
    <col min="79" max="79" width="16.28515625" customWidth="1"/>
    <col min="80" max="80" width="11.42578125" customWidth="1"/>
    <col min="81" max="81" width="14.42578125" customWidth="1"/>
    <col min="82" max="82" width="11.28515625" customWidth="1"/>
    <col min="83" max="83" width="8.42578125" customWidth="1"/>
    <col min="84" max="84" width="10" customWidth="1"/>
    <col min="85" max="95" width="6.140625" customWidth="1"/>
    <col min="96" max="96" width="13.140625" bestFit="1" customWidth="1"/>
    <col min="97" max="97" width="6.42578125" customWidth="1"/>
    <col min="98" max="108" width="6.140625" customWidth="1"/>
    <col min="109" max="109" width="9.42578125" customWidth="1"/>
    <col min="110" max="110" width="7" customWidth="1"/>
    <col min="111" max="111" width="10" customWidth="1"/>
    <col min="112" max="112" width="7.7109375" customWidth="1"/>
    <col min="113" max="123" width="6.140625" customWidth="1"/>
    <col min="124" max="124" width="10.7109375" customWidth="1"/>
    <col min="125" max="125" width="15.42578125" customWidth="1"/>
    <col min="126" max="136" width="6.140625" customWidth="1"/>
    <col min="137" max="137" width="18.42578125" customWidth="1"/>
    <col min="138" max="138" width="18.28515625" customWidth="1"/>
    <col min="139" max="149" width="6.140625" customWidth="1"/>
    <col min="150" max="150" width="21.42578125" bestFit="1" customWidth="1"/>
    <col min="151" max="151" width="13.140625" customWidth="1"/>
    <col min="152" max="157" width="6.140625" customWidth="1"/>
    <col min="158" max="158" width="16.28515625" customWidth="1"/>
    <col min="159" max="159" width="11.42578125" customWidth="1"/>
    <col min="160" max="170" width="6.140625" customWidth="1"/>
    <col min="171" max="171" width="14.42578125" customWidth="1"/>
    <col min="172" max="172" width="11.28515625" customWidth="1"/>
    <col min="173" max="179" width="6.140625" customWidth="1"/>
    <col min="180" max="180" width="6.85546875" customWidth="1"/>
    <col min="181" max="181" width="18.42578125" bestFit="1" customWidth="1"/>
    <col min="182" max="182" width="18.28515625" bestFit="1" customWidth="1"/>
    <col min="183" max="193" width="6.140625" customWidth="1"/>
    <col min="194" max="194" width="7.85546875" customWidth="1"/>
    <col min="195" max="200" width="6.140625" customWidth="1"/>
    <col min="201" max="201" width="7.85546875" customWidth="1"/>
    <col min="202" max="213" width="6.140625" customWidth="1"/>
    <col min="214" max="214" width="7.85546875" customWidth="1"/>
    <col min="215" max="215" width="6.140625" customWidth="1"/>
    <col min="216" max="216" width="7.85546875" customWidth="1"/>
    <col min="217" max="217" width="21.42578125" bestFit="1" customWidth="1"/>
    <col min="218" max="218" width="13.140625" bestFit="1" customWidth="1"/>
    <col min="219" max="224" width="6.140625" customWidth="1"/>
    <col min="225" max="225" width="7.85546875" customWidth="1"/>
    <col min="226" max="226" width="16.28515625" bestFit="1" customWidth="1"/>
    <col min="227" max="227" width="11.42578125" bestFit="1" customWidth="1"/>
    <col min="228" max="238" width="6.140625" customWidth="1"/>
    <col min="239" max="239" width="6.85546875" customWidth="1"/>
    <col min="240" max="240" width="14.42578125" bestFit="1" customWidth="1"/>
    <col min="241" max="241" width="11.28515625" bestFit="1" customWidth="1"/>
  </cols>
  <sheetData>
    <row r="3" spans="1:26" x14ac:dyDescent="0.25">
      <c r="A3">
        <v>2012</v>
      </c>
      <c r="P3" t="s">
        <v>289</v>
      </c>
    </row>
    <row r="4" spans="1:26" x14ac:dyDescent="0.25">
      <c r="A4" s="36" t="s">
        <v>197</v>
      </c>
      <c r="B4" s="36" t="s">
        <v>288</v>
      </c>
      <c r="P4" s="36" t="s">
        <v>197</v>
      </c>
      <c r="Q4" s="36" t="s">
        <v>288</v>
      </c>
    </row>
    <row r="5" spans="1:26" ht="26.25" customHeight="1" x14ac:dyDescent="0.25">
      <c r="A5" s="36" t="s">
        <v>195</v>
      </c>
      <c r="B5" s="7" t="s">
        <v>273</v>
      </c>
      <c r="C5" s="7" t="s">
        <v>274</v>
      </c>
      <c r="D5" s="7" t="s">
        <v>275</v>
      </c>
      <c r="E5" s="7" t="s">
        <v>276</v>
      </c>
      <c r="F5" s="7" t="s">
        <v>277</v>
      </c>
      <c r="G5" s="7" t="s">
        <v>278</v>
      </c>
      <c r="H5" s="7" t="s">
        <v>279</v>
      </c>
      <c r="I5" s="7" t="s">
        <v>280</v>
      </c>
      <c r="J5" s="7" t="s">
        <v>281</v>
      </c>
      <c r="K5" s="7" t="s">
        <v>282</v>
      </c>
      <c r="L5" s="7" t="s">
        <v>283</v>
      </c>
      <c r="M5" s="7" t="s">
        <v>284</v>
      </c>
      <c r="N5" s="7" t="s">
        <v>198</v>
      </c>
      <c r="P5" s="36" t="s">
        <v>195</v>
      </c>
      <c r="Q5" s="7" t="s">
        <v>273</v>
      </c>
      <c r="R5" s="7" t="s">
        <v>274</v>
      </c>
      <c r="S5" s="7" t="s">
        <v>275</v>
      </c>
      <c r="T5" s="7" t="s">
        <v>276</v>
      </c>
      <c r="U5" s="7" t="s">
        <v>277</v>
      </c>
      <c r="V5" s="7" t="s">
        <v>278</v>
      </c>
      <c r="W5" s="7" t="s">
        <v>279</v>
      </c>
      <c r="X5" s="7" t="s">
        <v>280</v>
      </c>
      <c r="Y5" s="7" t="s">
        <v>281</v>
      </c>
      <c r="Z5" s="7" t="s">
        <v>198</v>
      </c>
    </row>
    <row r="6" spans="1:26" x14ac:dyDescent="0.25">
      <c r="A6" s="5" t="s">
        <v>110</v>
      </c>
      <c r="B6" s="42">
        <v>0</v>
      </c>
      <c r="C6" s="42">
        <v>0</v>
      </c>
      <c r="D6" s="42">
        <v>0</v>
      </c>
      <c r="E6" s="42">
        <v>0</v>
      </c>
      <c r="F6" s="42">
        <v>1.4992420601175728E-2</v>
      </c>
      <c r="G6" s="42">
        <v>1.806115280807483E-2</v>
      </c>
      <c r="H6" s="42">
        <v>1.1147262173253965E-2</v>
      </c>
      <c r="I6" s="42">
        <v>0</v>
      </c>
      <c r="J6" s="42">
        <v>8.7994971715901933E-3</v>
      </c>
      <c r="K6" s="42">
        <v>3.8081857507302102E-3</v>
      </c>
      <c r="L6" s="42">
        <v>7.5609124856730863E-3</v>
      </c>
      <c r="M6" s="42">
        <v>8.4482567382704182E-3</v>
      </c>
      <c r="N6" s="42">
        <v>7.281768772876844E-2</v>
      </c>
      <c r="P6" s="5" t="s">
        <v>110</v>
      </c>
      <c r="Q6" s="42">
        <v>9.1243532871938711E-3</v>
      </c>
      <c r="R6" s="42">
        <v>7.7168732588501366E-3</v>
      </c>
      <c r="S6" s="42">
        <v>5.6056532163345331E-3</v>
      </c>
      <c r="T6" s="42">
        <v>0</v>
      </c>
      <c r="U6" s="42">
        <v>1.6452956193397462E-2</v>
      </c>
      <c r="V6" s="42">
        <v>0</v>
      </c>
      <c r="W6" s="42">
        <v>2.0165791440580071E-2</v>
      </c>
      <c r="X6" s="42">
        <v>2.9702681977460905E-2</v>
      </c>
      <c r="Y6" s="42">
        <v>1.9146581764882886E-2</v>
      </c>
      <c r="Z6" s="42">
        <v>0.10791489113869986</v>
      </c>
    </row>
    <row r="7" spans="1:26" x14ac:dyDescent="0.25">
      <c r="A7" s="5" t="s">
        <v>191</v>
      </c>
      <c r="B7" s="42">
        <v>1.9410655525566604E-3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1.9410655525566604E-3</v>
      </c>
      <c r="P7" s="5" t="s">
        <v>170</v>
      </c>
      <c r="Q7" s="42">
        <v>1.3007056813659349E-2</v>
      </c>
      <c r="R7" s="42">
        <v>2.1767406645247084E-2</v>
      </c>
      <c r="S7" s="42">
        <v>2.2349812174216905E-2</v>
      </c>
      <c r="T7" s="42">
        <v>2.3587423923277777E-2</v>
      </c>
      <c r="U7" s="42">
        <v>4.7441783714000055E-2</v>
      </c>
      <c r="V7" s="42">
        <v>0</v>
      </c>
      <c r="W7" s="42">
        <v>2.8028266081672665E-2</v>
      </c>
      <c r="X7" s="42">
        <v>2.5140505333863965E-2</v>
      </c>
      <c r="Y7" s="42">
        <v>2.5868512245076244E-2</v>
      </c>
      <c r="Z7" s="42">
        <v>0.20719076693101401</v>
      </c>
    </row>
    <row r="8" spans="1:26" x14ac:dyDescent="0.25">
      <c r="A8" s="5" t="s">
        <v>192</v>
      </c>
      <c r="B8" s="42">
        <v>0</v>
      </c>
      <c r="C8" s="42">
        <v>1.820904351684105E-2</v>
      </c>
      <c r="D8" s="42">
        <v>8.9843605575479716E-3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2.7193404074389027E-2</v>
      </c>
      <c r="P8" s="5" t="s">
        <v>172</v>
      </c>
      <c r="Q8" s="42">
        <v>8.8088836256685517E-3</v>
      </c>
      <c r="R8" s="42">
        <v>2.3611690820318186E-2</v>
      </c>
      <c r="S8" s="42">
        <v>1.1599576785315615E-2</v>
      </c>
      <c r="T8" s="42">
        <v>3.9919045631473186E-2</v>
      </c>
      <c r="U8" s="42">
        <v>8.5176808611836397E-3</v>
      </c>
      <c r="V8" s="42">
        <v>1.9680453499771888E-2</v>
      </c>
      <c r="W8" s="42">
        <v>1.5700682385144774E-2</v>
      </c>
      <c r="X8" s="42">
        <v>0</v>
      </c>
      <c r="Y8" s="42">
        <v>1.8952446588559612E-2</v>
      </c>
      <c r="Z8" s="42">
        <v>0.14679046019743547</v>
      </c>
    </row>
    <row r="9" spans="1:26" x14ac:dyDescent="0.25">
      <c r="A9" s="5" t="s">
        <v>193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4.0669944910710987E-3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4.0669944910710987E-3</v>
      </c>
      <c r="P9" s="5" t="s">
        <v>287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4.7563118199202099E-3</v>
      </c>
      <c r="Y9" s="42">
        <v>3.6643014531017944E-3</v>
      </c>
      <c r="Z9" s="42">
        <v>8.420613273022003E-3</v>
      </c>
    </row>
    <row r="10" spans="1:26" x14ac:dyDescent="0.25">
      <c r="A10" s="5" t="s">
        <v>170</v>
      </c>
      <c r="B10" s="42">
        <v>1.4733611860834843E-2</v>
      </c>
      <c r="C10" s="42">
        <v>1.6988945169519723E-2</v>
      </c>
      <c r="D10" s="42">
        <v>1.7229267571264834E-2</v>
      </c>
      <c r="E10" s="42">
        <v>1.3790808592450177E-2</v>
      </c>
      <c r="F10" s="42">
        <v>2.3958294820127925E-2</v>
      </c>
      <c r="G10" s="42">
        <v>1.3975671978407956E-2</v>
      </c>
      <c r="H10" s="42">
        <v>7.8012348874181969E-3</v>
      </c>
      <c r="I10" s="42">
        <v>1.2977409694235957E-2</v>
      </c>
      <c r="J10" s="42">
        <v>2.7027027027027022E-2</v>
      </c>
      <c r="K10" s="42">
        <v>0</v>
      </c>
      <c r="L10" s="42">
        <v>1.6841054460753499E-2</v>
      </c>
      <c r="M10" s="42">
        <v>1.3716863238067067E-2</v>
      </c>
      <c r="N10" s="42">
        <v>0.17904018930010721</v>
      </c>
      <c r="P10" s="5" t="s">
        <v>174</v>
      </c>
      <c r="Q10" s="42">
        <v>2.8392269537278803E-3</v>
      </c>
      <c r="R10" s="42">
        <v>2.2713815629823043E-3</v>
      </c>
      <c r="S10" s="42">
        <v>2.2713815629823043E-3</v>
      </c>
      <c r="T10" s="42">
        <v>2.2713815629823043E-3</v>
      </c>
      <c r="U10" s="42">
        <v>2.2713815629823043E-3</v>
      </c>
      <c r="V10" s="42">
        <v>2.2713815629823043E-3</v>
      </c>
      <c r="W10" s="42">
        <v>2.2713815629823043E-3</v>
      </c>
      <c r="X10" s="42">
        <v>2.2713815629823043E-3</v>
      </c>
      <c r="Y10" s="42">
        <v>2.2713815629823043E-3</v>
      </c>
      <c r="Z10" s="42">
        <v>2.1010279457586312E-2</v>
      </c>
    </row>
    <row r="11" spans="1:26" x14ac:dyDescent="0.25">
      <c r="A11" s="5" t="s">
        <v>172</v>
      </c>
      <c r="B11" s="42">
        <v>1.66746774133915E-2</v>
      </c>
      <c r="C11" s="42">
        <v>9.9456501645284121E-3</v>
      </c>
      <c r="D11" s="42">
        <v>9.2061966206973041E-3</v>
      </c>
      <c r="E11" s="42">
        <v>2.2719710134210813E-2</v>
      </c>
      <c r="F11" s="42">
        <v>6.8214589418419784E-3</v>
      </c>
      <c r="G11" s="42">
        <v>7.1357266979701992E-3</v>
      </c>
      <c r="H11" s="42">
        <v>1.3568972529300845E-2</v>
      </c>
      <c r="I11" s="42">
        <v>1.3568972529300845E-2</v>
      </c>
      <c r="J11" s="42">
        <v>2.0316486116759711E-2</v>
      </c>
      <c r="K11" s="42">
        <v>0</v>
      </c>
      <c r="L11" s="42">
        <v>4.4736939401782078E-3</v>
      </c>
      <c r="M11" s="42">
        <v>0</v>
      </c>
      <c r="N11" s="42">
        <v>0.12443154508817983</v>
      </c>
      <c r="P11" s="5" t="s">
        <v>176</v>
      </c>
      <c r="Q11" s="42">
        <v>5.6784539074557607E-3</v>
      </c>
      <c r="R11" s="42">
        <v>4.5427631259646085E-3</v>
      </c>
      <c r="S11" s="42">
        <v>4.5427631259646085E-3</v>
      </c>
      <c r="T11" s="42">
        <v>4.5427631259646085E-3</v>
      </c>
      <c r="U11" s="42">
        <v>4.5427631259646085E-3</v>
      </c>
      <c r="V11" s="42">
        <v>4.5427631259646085E-3</v>
      </c>
      <c r="W11" s="42">
        <v>4.5427631259646085E-3</v>
      </c>
      <c r="X11" s="42">
        <v>4.5427631259646085E-3</v>
      </c>
      <c r="Y11" s="42">
        <v>4.5427631259646085E-3</v>
      </c>
      <c r="Z11" s="42">
        <v>4.2020558915172625E-2</v>
      </c>
    </row>
    <row r="12" spans="1:26" x14ac:dyDescent="0.25">
      <c r="A12" s="5" t="s">
        <v>174</v>
      </c>
      <c r="B12" s="42">
        <v>2.1629016157059928E-3</v>
      </c>
      <c r="C12" s="42">
        <v>2.1629016157059928E-3</v>
      </c>
      <c r="D12" s="42">
        <v>2.1629016157059928E-3</v>
      </c>
      <c r="E12" s="42">
        <v>2.1629016157059928E-3</v>
      </c>
      <c r="F12" s="42">
        <v>2.1629016157059928E-3</v>
      </c>
      <c r="G12" s="42">
        <v>2.1629016157059928E-3</v>
      </c>
      <c r="H12" s="42">
        <v>2.1629016157059928E-3</v>
      </c>
      <c r="I12" s="42">
        <v>4.3258032314119855E-3</v>
      </c>
      <c r="J12" s="42">
        <v>2.1629016157059928E-3</v>
      </c>
      <c r="K12" s="42">
        <v>2.1629016157059928E-3</v>
      </c>
      <c r="L12" s="42">
        <v>2.1629016157059928E-3</v>
      </c>
      <c r="M12" s="42">
        <v>2.1629016157059928E-3</v>
      </c>
      <c r="N12" s="42">
        <v>2.8117721004177906E-2</v>
      </c>
      <c r="P12" s="5" t="s">
        <v>178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</row>
    <row r="13" spans="1:26" x14ac:dyDescent="0.25">
      <c r="A13" s="5" t="s">
        <v>176</v>
      </c>
      <c r="B13" s="42">
        <v>4.3258032314119855E-3</v>
      </c>
      <c r="C13" s="42">
        <v>4.3258032314119855E-3</v>
      </c>
      <c r="D13" s="42">
        <v>4.3258032314119855E-3</v>
      </c>
      <c r="E13" s="42">
        <v>4.3258032314119855E-3</v>
      </c>
      <c r="F13" s="42">
        <v>4.3258032314119855E-3</v>
      </c>
      <c r="G13" s="42">
        <v>4.3258032314119855E-3</v>
      </c>
      <c r="H13" s="42">
        <v>4.3258032314119855E-3</v>
      </c>
      <c r="I13" s="42">
        <v>4.3258032314119855E-3</v>
      </c>
      <c r="J13" s="42">
        <v>4.3258032314119855E-3</v>
      </c>
      <c r="K13" s="42">
        <v>4.3258032314119855E-3</v>
      </c>
      <c r="L13" s="42">
        <v>4.3258032314119855E-3</v>
      </c>
      <c r="M13" s="42">
        <v>4.3258032314119855E-3</v>
      </c>
      <c r="N13" s="42">
        <v>5.190963877694383E-2</v>
      </c>
      <c r="P13" s="5" t="s">
        <v>173</v>
      </c>
      <c r="Q13" s="42">
        <v>1.8200172780306924E-2</v>
      </c>
      <c r="R13" s="42">
        <v>2.2034342512691586E-2</v>
      </c>
      <c r="S13" s="42">
        <v>1.8734044515195926E-2</v>
      </c>
      <c r="T13" s="42">
        <v>3.1280030285087503E-2</v>
      </c>
      <c r="U13" s="42">
        <v>2.0335659719862939E-2</v>
      </c>
      <c r="V13" s="42">
        <v>0</v>
      </c>
      <c r="W13" s="42">
        <v>1.8297240368468561E-2</v>
      </c>
      <c r="X13" s="42">
        <v>2.3174886673590821E-2</v>
      </c>
      <c r="Y13" s="42">
        <v>1.8442841750711016E-2</v>
      </c>
      <c r="Z13" s="42">
        <v>0.17049921860591524</v>
      </c>
    </row>
    <row r="14" spans="1:26" x14ac:dyDescent="0.25">
      <c r="A14" s="5" t="s">
        <v>178</v>
      </c>
      <c r="B14" s="42">
        <v>7.2096720523533104E-3</v>
      </c>
      <c r="C14" s="42">
        <v>7.2096720523533104E-3</v>
      </c>
      <c r="D14" s="42">
        <v>7.2096720523533104E-3</v>
      </c>
      <c r="E14" s="42">
        <v>7.2096720523533104E-3</v>
      </c>
      <c r="F14" s="42">
        <v>1.8486338595777719E-3</v>
      </c>
      <c r="G14" s="42">
        <v>1.8486338595777719E-3</v>
      </c>
      <c r="H14" s="42">
        <v>1.8486338595777719E-3</v>
      </c>
      <c r="I14" s="42">
        <v>1.8486338595777719E-3</v>
      </c>
      <c r="J14" s="42">
        <v>1.8486338595777719E-3</v>
      </c>
      <c r="K14" s="42">
        <v>1.8486338595777719E-3</v>
      </c>
      <c r="L14" s="42">
        <v>1.8486338595777719E-3</v>
      </c>
      <c r="M14" s="42">
        <v>1.8486338595777719E-3</v>
      </c>
      <c r="N14" s="42">
        <v>4.3627759086035417E-2</v>
      </c>
      <c r="P14" s="5" t="s">
        <v>190</v>
      </c>
      <c r="Q14" s="42">
        <v>3.7856359383038407E-3</v>
      </c>
      <c r="R14" s="42">
        <v>3.0285087506430729E-3</v>
      </c>
      <c r="S14" s="42">
        <v>3.0285087506430729E-3</v>
      </c>
      <c r="T14" s="42">
        <v>3.0285087506430729E-3</v>
      </c>
      <c r="U14" s="42">
        <v>3.0285087506430729E-3</v>
      </c>
      <c r="V14" s="42">
        <v>3.0285087506430729E-3</v>
      </c>
      <c r="W14" s="42">
        <v>3.0285087506430729E-3</v>
      </c>
      <c r="X14" s="42">
        <v>3.0285087506430729E-3</v>
      </c>
      <c r="Y14" s="42">
        <v>0</v>
      </c>
      <c r="Z14" s="42">
        <v>2.4985197192805352E-2</v>
      </c>
    </row>
    <row r="15" spans="1:26" x14ac:dyDescent="0.25">
      <c r="A15" s="5" t="s">
        <v>173</v>
      </c>
      <c r="B15" s="42">
        <v>1.0426294968018633E-2</v>
      </c>
      <c r="C15" s="42">
        <v>2.7784966909453913E-2</v>
      </c>
      <c r="D15" s="42">
        <v>1.7839316744925497E-2</v>
      </c>
      <c r="E15" s="42">
        <v>8.8364698487817476E-3</v>
      </c>
      <c r="F15" s="42">
        <v>1.8782120013310161E-2</v>
      </c>
      <c r="G15" s="42">
        <v>1.9632491588715936E-2</v>
      </c>
      <c r="H15" s="42">
        <v>0</v>
      </c>
      <c r="I15" s="42">
        <v>1.1609420638148408E-2</v>
      </c>
      <c r="J15" s="42">
        <v>3.5234961363552336E-2</v>
      </c>
      <c r="K15" s="42">
        <v>0</v>
      </c>
      <c r="L15" s="42">
        <v>1.9151846785225714E-2</v>
      </c>
      <c r="M15" s="42">
        <v>1.5177283987133508E-2</v>
      </c>
      <c r="N15" s="42">
        <v>0.18447517284726583</v>
      </c>
      <c r="P15" s="5" t="s">
        <v>179</v>
      </c>
      <c r="Q15" s="42">
        <v>9.4640898457596019E-4</v>
      </c>
      <c r="R15" s="42">
        <v>7.5712718766076824E-4</v>
      </c>
      <c r="S15" s="42">
        <v>7.5712718766076824E-4</v>
      </c>
      <c r="T15" s="42">
        <v>7.5712718766076824E-4</v>
      </c>
      <c r="U15" s="42">
        <v>7.5712718766076824E-4</v>
      </c>
      <c r="V15" s="42">
        <v>7.5712718766076824E-4</v>
      </c>
      <c r="W15" s="42">
        <v>7.5712718766076824E-4</v>
      </c>
      <c r="X15" s="42">
        <v>7.5712718766076824E-4</v>
      </c>
      <c r="Y15" s="42">
        <v>7.5712718766076824E-4</v>
      </c>
      <c r="Z15" s="42">
        <v>7.0034264858621076E-3</v>
      </c>
    </row>
    <row r="16" spans="1:26" x14ac:dyDescent="0.25">
      <c r="A16" s="5" t="s">
        <v>190</v>
      </c>
      <c r="B16" s="42">
        <v>2.883868820941324E-3</v>
      </c>
      <c r="C16" s="42">
        <v>2.883868820941324E-3</v>
      </c>
      <c r="D16" s="42">
        <v>2.883868820941324E-3</v>
      </c>
      <c r="E16" s="42">
        <v>2.883868820941324E-3</v>
      </c>
      <c r="F16" s="42">
        <v>2.883868820941324E-3</v>
      </c>
      <c r="G16" s="42">
        <v>2.883868820941324E-3</v>
      </c>
      <c r="H16" s="42">
        <v>2.883868820941324E-3</v>
      </c>
      <c r="I16" s="42">
        <v>2.883868820941324E-3</v>
      </c>
      <c r="J16" s="42">
        <v>2.883868820941324E-3</v>
      </c>
      <c r="K16" s="42">
        <v>2.883868820941324E-3</v>
      </c>
      <c r="L16" s="42">
        <v>2.883868820941324E-3</v>
      </c>
      <c r="M16" s="42">
        <v>2.883868820941324E-3</v>
      </c>
      <c r="N16" s="42">
        <v>3.4606425851295891E-2</v>
      </c>
      <c r="P16" s="5" t="s">
        <v>128</v>
      </c>
      <c r="Q16" s="42">
        <v>1.3176925092942214E-2</v>
      </c>
      <c r="R16" s="42">
        <v>3.6254744178371393E-2</v>
      </c>
      <c r="S16" s="42">
        <v>0</v>
      </c>
      <c r="T16" s="42">
        <v>2.2883683909105907E-2</v>
      </c>
      <c r="U16" s="42">
        <v>3.6473146251735082E-2</v>
      </c>
      <c r="V16" s="42">
        <v>0</v>
      </c>
      <c r="W16" s="42">
        <v>2.4218363246328416E-2</v>
      </c>
      <c r="X16" s="42">
        <v>3.8705700779452727E-2</v>
      </c>
      <c r="Y16" s="42">
        <v>2.3441822541035318E-2</v>
      </c>
      <c r="Z16" s="42">
        <v>0.19515438599897106</v>
      </c>
    </row>
    <row r="17" spans="1:26" x14ac:dyDescent="0.25">
      <c r="A17" s="5" t="s">
        <v>179</v>
      </c>
      <c r="B17" s="42">
        <v>7.2096720523533099E-4</v>
      </c>
      <c r="C17" s="42">
        <v>7.2096720523533099E-4</v>
      </c>
      <c r="D17" s="42">
        <v>7.2096720523533099E-4</v>
      </c>
      <c r="E17" s="42">
        <v>7.2096720523533099E-4</v>
      </c>
      <c r="F17" s="42">
        <v>7.2096720523533099E-4</v>
      </c>
      <c r="G17" s="42">
        <v>7.2096720523533099E-4</v>
      </c>
      <c r="H17" s="42">
        <v>7.2096720523533099E-4</v>
      </c>
      <c r="I17" s="42">
        <v>7.2096720523533099E-4</v>
      </c>
      <c r="J17" s="42">
        <v>7.2096720523533099E-4</v>
      </c>
      <c r="K17" s="42">
        <v>7.2096720523533099E-4</v>
      </c>
      <c r="L17" s="42">
        <v>7.2096720523533099E-4</v>
      </c>
      <c r="M17" s="42">
        <v>7.2096720523533099E-4</v>
      </c>
      <c r="N17" s="42">
        <v>8.6516064628239728E-3</v>
      </c>
      <c r="P17" s="5" t="s">
        <v>41</v>
      </c>
      <c r="Q17" s="42">
        <v>0</v>
      </c>
      <c r="R17" s="42">
        <v>0</v>
      </c>
      <c r="S17" s="42">
        <v>0</v>
      </c>
      <c r="T17" s="42">
        <v>7.2315353180419512E-3</v>
      </c>
      <c r="U17" s="42">
        <v>0</v>
      </c>
      <c r="V17" s="42">
        <v>5.7512545985769882E-3</v>
      </c>
      <c r="W17" s="42">
        <v>0</v>
      </c>
      <c r="X17" s="42">
        <v>0</v>
      </c>
      <c r="Y17" s="42">
        <v>0</v>
      </c>
      <c r="Z17" s="42">
        <v>1.2982789916618939E-2</v>
      </c>
    </row>
    <row r="18" spans="1:26" x14ac:dyDescent="0.25">
      <c r="A18" s="5" t="s">
        <v>128</v>
      </c>
      <c r="B18" s="42">
        <v>2.1943283913188151E-2</v>
      </c>
      <c r="C18" s="42">
        <v>1.3088327725810625E-2</v>
      </c>
      <c r="D18" s="42">
        <v>1.5306688357303949E-2</v>
      </c>
      <c r="E18" s="42">
        <v>2.5511147262173253E-2</v>
      </c>
      <c r="F18" s="42">
        <v>8.8179835101859713E-3</v>
      </c>
      <c r="G18" s="42">
        <v>8.4852294154619725E-3</v>
      </c>
      <c r="H18" s="42">
        <v>1.5657928790623728E-2</v>
      </c>
      <c r="I18" s="42">
        <v>1.5454579066070175E-2</v>
      </c>
      <c r="J18" s="42">
        <v>7.6348578400561974E-3</v>
      </c>
      <c r="K18" s="42">
        <v>2.234998336229526E-2</v>
      </c>
      <c r="L18" s="42">
        <v>6.7475135874588681E-3</v>
      </c>
      <c r="M18" s="42">
        <v>0</v>
      </c>
      <c r="N18" s="42">
        <v>0.16099752283062815</v>
      </c>
      <c r="P18" s="5" t="s">
        <v>177</v>
      </c>
      <c r="Q18" s="42">
        <v>7.5712718766076815E-3</v>
      </c>
      <c r="R18" s="42">
        <v>6.0570175012861459E-3</v>
      </c>
      <c r="S18" s="42">
        <v>6.0570175012861459E-3</v>
      </c>
      <c r="T18" s="42">
        <v>6.0570175012861459E-3</v>
      </c>
      <c r="U18" s="42">
        <v>6.0570175012861459E-3</v>
      </c>
      <c r="V18" s="42">
        <v>6.0570175012861459E-3</v>
      </c>
      <c r="W18" s="42">
        <v>6.0570175012861459E-3</v>
      </c>
      <c r="X18" s="42">
        <v>6.0570175012861459E-3</v>
      </c>
      <c r="Y18" s="42">
        <v>6.0570175012861459E-3</v>
      </c>
      <c r="Z18" s="42">
        <v>5.6027411886896861E-2</v>
      </c>
    </row>
    <row r="19" spans="1:26" x14ac:dyDescent="0.25">
      <c r="A19" s="5" t="s">
        <v>41</v>
      </c>
      <c r="B19" s="42">
        <v>0</v>
      </c>
      <c r="C19" s="42">
        <v>0</v>
      </c>
      <c r="D19" s="42">
        <v>0</v>
      </c>
      <c r="E19" s="42">
        <v>4.2148851998373192E-3</v>
      </c>
      <c r="F19" s="42">
        <v>0</v>
      </c>
      <c r="G19" s="42">
        <v>0</v>
      </c>
      <c r="H19" s="42">
        <v>0</v>
      </c>
      <c r="I19" s="42">
        <v>4.6955300033275403E-3</v>
      </c>
      <c r="J19" s="42">
        <v>0</v>
      </c>
      <c r="K19" s="42">
        <v>0</v>
      </c>
      <c r="L19" s="42">
        <v>0</v>
      </c>
      <c r="M19" s="42">
        <v>0</v>
      </c>
      <c r="N19" s="42">
        <v>8.9104152031648613E-3</v>
      </c>
      <c r="P19" s="5" t="s">
        <v>198</v>
      </c>
      <c r="Q19" s="42">
        <v>8.3138389260442022E-2</v>
      </c>
      <c r="R19" s="42">
        <v>0.12804185554401526</v>
      </c>
      <c r="S19" s="42">
        <v>7.4945884819599878E-2</v>
      </c>
      <c r="T19" s="42">
        <v>0.1415585171955232</v>
      </c>
      <c r="U19" s="42">
        <v>0.14587802486871607</v>
      </c>
      <c r="V19" s="42">
        <v>4.2088506226885779E-2</v>
      </c>
      <c r="W19" s="42">
        <v>0.12306714165073136</v>
      </c>
      <c r="X19" s="42">
        <v>0.13813688471282551</v>
      </c>
      <c r="Y19" s="42">
        <v>0.12314479572126071</v>
      </c>
      <c r="Z19" s="42">
        <v>1</v>
      </c>
    </row>
    <row r="20" spans="1:26" x14ac:dyDescent="0.25">
      <c r="A20" s="5" t="s">
        <v>177</v>
      </c>
      <c r="B20" s="42">
        <v>5.7677376418826479E-3</v>
      </c>
      <c r="C20" s="42">
        <v>5.7677376418826479E-3</v>
      </c>
      <c r="D20" s="42">
        <v>5.7677376418826479E-3</v>
      </c>
      <c r="E20" s="42">
        <v>5.7677376418826479E-3</v>
      </c>
      <c r="F20" s="42">
        <v>5.7677376418826479E-3</v>
      </c>
      <c r="G20" s="42">
        <v>5.7677376418826479E-3</v>
      </c>
      <c r="H20" s="42">
        <v>5.7677376418826479E-3</v>
      </c>
      <c r="I20" s="42">
        <v>5.7677376418826479E-3</v>
      </c>
      <c r="J20" s="42">
        <v>5.7677376418826479E-3</v>
      </c>
      <c r="K20" s="42">
        <v>5.7677376418826479E-3</v>
      </c>
      <c r="L20" s="42">
        <v>5.7677376418826479E-3</v>
      </c>
      <c r="M20" s="42">
        <v>5.7677376418826479E-3</v>
      </c>
      <c r="N20" s="42">
        <v>6.9212851702591782E-2</v>
      </c>
    </row>
    <row r="21" spans="1:26" x14ac:dyDescent="0.25">
      <c r="A21" s="5" t="s">
        <v>198</v>
      </c>
      <c r="B21" s="42">
        <v>8.878988427552037E-2</v>
      </c>
      <c r="C21" s="42">
        <v>0.10908788405368432</v>
      </c>
      <c r="D21" s="42">
        <v>9.1636780419270147E-2</v>
      </c>
      <c r="E21" s="42">
        <v>9.8143971604983907E-2</v>
      </c>
      <c r="F21" s="42">
        <v>9.1082190261396828E-2</v>
      </c>
      <c r="G21" s="42">
        <v>8.9067179354457043E-2</v>
      </c>
      <c r="H21" s="42">
        <v>6.588531075535177E-2</v>
      </c>
      <c r="I21" s="42">
        <v>7.8178725921543971E-2</v>
      </c>
      <c r="J21" s="42">
        <v>0.11672274189374052</v>
      </c>
      <c r="K21" s="42">
        <v>4.3868081487780528E-2</v>
      </c>
      <c r="L21" s="42">
        <v>7.2484933634044416E-2</v>
      </c>
      <c r="M21" s="42">
        <v>5.5052316338226048E-2</v>
      </c>
      <c r="N21" s="42">
        <v>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P437"/>
  <sheetViews>
    <sheetView tabSelected="1" zoomScale="60" zoomScaleNormal="60" zoomScalePageLayoutView="125" workbookViewId="0">
      <pane ySplit="1" topLeftCell="A2" activePane="bottomLeft" state="frozen"/>
      <selection pane="bottomLeft" activeCell="J193" sqref="J193"/>
    </sheetView>
  </sheetViews>
  <sheetFormatPr defaultColWidth="8.85546875" defaultRowHeight="15" x14ac:dyDescent="0.25"/>
  <cols>
    <col min="1" max="1" width="13.85546875" style="44" bestFit="1" customWidth="1"/>
    <col min="2" max="2" width="26.7109375" style="44" bestFit="1" customWidth="1"/>
    <col min="3" max="3" width="26.7109375" style="44" customWidth="1"/>
    <col min="4" max="4" width="29" style="44" bestFit="1" customWidth="1"/>
    <col min="5" max="5" width="18.85546875" style="44" customWidth="1"/>
    <col min="6" max="6" width="10.7109375" style="44" customWidth="1"/>
    <col min="7" max="8" width="13.85546875" style="44" customWidth="1"/>
    <col min="9" max="9" width="21.85546875" style="44" customWidth="1"/>
    <col min="10" max="10" width="16.42578125" style="8" customWidth="1"/>
    <col min="11" max="11" width="14.28515625" style="8" bestFit="1" customWidth="1"/>
    <col min="12" max="12" width="14.42578125" style="8" customWidth="1"/>
    <col min="13" max="13" width="14.85546875" style="45" bestFit="1" customWidth="1"/>
    <col min="14" max="14" width="13.42578125" style="44" bestFit="1" customWidth="1"/>
    <col min="15" max="15" width="13.42578125" style="44" customWidth="1"/>
    <col min="16" max="16384" width="8.85546875" style="44"/>
  </cols>
  <sheetData>
    <row r="1" spans="1:16" x14ac:dyDescent="0.25">
      <c r="A1" s="44" t="s">
        <v>26</v>
      </c>
      <c r="B1" s="44" t="s">
        <v>27</v>
      </c>
      <c r="C1" s="44" t="s">
        <v>317</v>
      </c>
      <c r="D1" s="44" t="s">
        <v>28</v>
      </c>
      <c r="E1" s="44" t="s">
        <v>29</v>
      </c>
      <c r="F1" s="44" t="s">
        <v>30</v>
      </c>
      <c r="G1" s="44" t="s">
        <v>31</v>
      </c>
      <c r="H1" s="44" t="s">
        <v>32</v>
      </c>
      <c r="I1" s="44" t="s">
        <v>33</v>
      </c>
      <c r="J1" s="8" t="s">
        <v>34</v>
      </c>
      <c r="K1" s="8" t="s">
        <v>35</v>
      </c>
      <c r="L1" s="8" t="s">
        <v>36</v>
      </c>
      <c r="M1" s="45" t="s">
        <v>37</v>
      </c>
      <c r="N1" s="44" t="s">
        <v>38</v>
      </c>
      <c r="O1" s="44" t="s">
        <v>39</v>
      </c>
      <c r="P1" s="44" t="s">
        <v>40</v>
      </c>
    </row>
    <row r="2" spans="1:16" hidden="1" x14ac:dyDescent="0.25">
      <c r="A2" s="46">
        <v>40208</v>
      </c>
      <c r="B2" s="15" t="s">
        <v>55</v>
      </c>
      <c r="C2" s="44" t="s">
        <v>318</v>
      </c>
      <c r="D2" s="44" t="s">
        <v>69</v>
      </c>
      <c r="E2" s="44" t="s">
        <v>230</v>
      </c>
      <c r="G2" s="44">
        <v>3240</v>
      </c>
      <c r="H2" s="44">
        <f t="shared" ref="H2:H33" si="0">G2/2000</f>
        <v>1.62</v>
      </c>
      <c r="L2" s="8">
        <v>205.44</v>
      </c>
    </row>
    <row r="3" spans="1:16" hidden="1" x14ac:dyDescent="0.25">
      <c r="A3" s="46">
        <v>40208</v>
      </c>
      <c r="B3" s="44" t="s">
        <v>41</v>
      </c>
      <c r="C3" s="44" t="s">
        <v>320</v>
      </c>
      <c r="D3" s="44" t="s">
        <v>70</v>
      </c>
      <c r="E3" s="44" t="s">
        <v>230</v>
      </c>
      <c r="G3" s="44">
        <v>4840</v>
      </c>
      <c r="H3" s="44">
        <f t="shared" si="0"/>
        <v>2.42</v>
      </c>
    </row>
    <row r="4" spans="1:16" hidden="1" x14ac:dyDescent="0.25">
      <c r="A4" s="46">
        <v>40208</v>
      </c>
      <c r="B4" s="15" t="s">
        <v>55</v>
      </c>
      <c r="C4" s="15" t="s">
        <v>231</v>
      </c>
      <c r="D4" s="44" t="s">
        <v>231</v>
      </c>
      <c r="E4" s="44" t="s">
        <v>230</v>
      </c>
      <c r="G4" s="44">
        <v>420</v>
      </c>
      <c r="H4" s="44">
        <f t="shared" si="0"/>
        <v>0.21</v>
      </c>
    </row>
    <row r="5" spans="1:16" hidden="1" x14ac:dyDescent="0.25">
      <c r="A5" s="46">
        <v>40237</v>
      </c>
      <c r="B5" s="15" t="s">
        <v>55</v>
      </c>
      <c r="C5" s="44" t="s">
        <v>318</v>
      </c>
      <c r="D5" s="44" t="s">
        <v>69</v>
      </c>
      <c r="E5" s="44" t="s">
        <v>230</v>
      </c>
      <c r="G5" s="44">
        <v>10090</v>
      </c>
      <c r="H5" s="44">
        <f t="shared" si="0"/>
        <v>5.0449999999999999</v>
      </c>
      <c r="L5" s="8">
        <v>761.54</v>
      </c>
    </row>
    <row r="6" spans="1:16" hidden="1" x14ac:dyDescent="0.25">
      <c r="A6" s="46">
        <v>40237</v>
      </c>
      <c r="B6" s="15" t="s">
        <v>55</v>
      </c>
      <c r="C6" s="44" t="s">
        <v>318</v>
      </c>
      <c r="D6" s="44" t="s">
        <v>236</v>
      </c>
      <c r="E6" s="44" t="s">
        <v>230</v>
      </c>
      <c r="G6" s="44">
        <v>11220</v>
      </c>
      <c r="H6" s="44">
        <f t="shared" si="0"/>
        <v>5.61</v>
      </c>
    </row>
    <row r="7" spans="1:16" hidden="1" x14ac:dyDescent="0.25">
      <c r="A7" s="46">
        <v>40237</v>
      </c>
      <c r="B7" s="44" t="s">
        <v>41</v>
      </c>
      <c r="C7" s="44" t="s">
        <v>320</v>
      </c>
      <c r="D7" s="44" t="s">
        <v>70</v>
      </c>
      <c r="E7" s="44" t="s">
        <v>230</v>
      </c>
      <c r="G7" s="44">
        <v>3340</v>
      </c>
      <c r="H7" s="44">
        <f t="shared" si="0"/>
        <v>1.67</v>
      </c>
    </row>
    <row r="8" spans="1:16" hidden="1" x14ac:dyDescent="0.25">
      <c r="A8" s="46">
        <v>40237</v>
      </c>
      <c r="B8" s="15" t="s">
        <v>55</v>
      </c>
      <c r="C8" s="15" t="s">
        <v>231</v>
      </c>
      <c r="D8" s="44" t="s">
        <v>231</v>
      </c>
      <c r="E8" s="44" t="s">
        <v>230</v>
      </c>
      <c r="G8" s="44">
        <v>620</v>
      </c>
      <c r="H8" s="44">
        <f t="shared" si="0"/>
        <v>0.31</v>
      </c>
    </row>
    <row r="9" spans="1:16" hidden="1" x14ac:dyDescent="0.25">
      <c r="A9" s="46">
        <v>40267</v>
      </c>
      <c r="B9" s="15" t="s">
        <v>55</v>
      </c>
      <c r="C9" s="44" t="s">
        <v>318</v>
      </c>
      <c r="D9" s="44" t="s">
        <v>237</v>
      </c>
      <c r="E9" s="44" t="s">
        <v>230</v>
      </c>
      <c r="G9" s="44">
        <v>750</v>
      </c>
      <c r="H9" s="44">
        <f t="shared" si="0"/>
        <v>0.375</v>
      </c>
    </row>
    <row r="10" spans="1:16" hidden="1" x14ac:dyDescent="0.25">
      <c r="A10" s="46">
        <v>40267</v>
      </c>
      <c r="B10" s="15" t="s">
        <v>55</v>
      </c>
      <c r="C10" s="44" t="s">
        <v>318</v>
      </c>
      <c r="D10" s="44" t="s">
        <v>240</v>
      </c>
      <c r="E10" s="44" t="s">
        <v>230</v>
      </c>
      <c r="G10" s="44">
        <v>1260</v>
      </c>
      <c r="H10" s="44">
        <f t="shared" si="0"/>
        <v>0.63</v>
      </c>
    </row>
    <row r="11" spans="1:16" hidden="1" x14ac:dyDescent="0.25">
      <c r="A11" s="46">
        <v>40267</v>
      </c>
      <c r="B11" s="15" t="s">
        <v>55</v>
      </c>
      <c r="C11" s="44" t="s">
        <v>318</v>
      </c>
      <c r="D11" s="44" t="s">
        <v>69</v>
      </c>
      <c r="E11" s="44" t="s">
        <v>230</v>
      </c>
      <c r="G11" s="44">
        <v>8000</v>
      </c>
      <c r="H11" s="44">
        <f t="shared" si="0"/>
        <v>4</v>
      </c>
      <c r="L11" s="8">
        <v>941.95</v>
      </c>
    </row>
    <row r="12" spans="1:16" hidden="1" x14ac:dyDescent="0.25">
      <c r="A12" s="46">
        <v>40267</v>
      </c>
      <c r="B12" s="15" t="s">
        <v>55</v>
      </c>
      <c r="C12" s="44" t="s">
        <v>318</v>
      </c>
      <c r="D12" s="44" t="s">
        <v>236</v>
      </c>
      <c r="E12" s="44" t="s">
        <v>230</v>
      </c>
      <c r="G12" s="44">
        <v>20660</v>
      </c>
      <c r="H12" s="44">
        <f t="shared" si="0"/>
        <v>10.33</v>
      </c>
    </row>
    <row r="13" spans="1:16" hidden="1" x14ac:dyDescent="0.25">
      <c r="A13" s="46">
        <v>40267</v>
      </c>
      <c r="B13" s="15" t="s">
        <v>55</v>
      </c>
      <c r="C13" s="44" t="s">
        <v>318</v>
      </c>
      <c r="D13" s="44" t="s">
        <v>238</v>
      </c>
      <c r="E13" s="44" t="s">
        <v>230</v>
      </c>
      <c r="G13" s="44">
        <v>800</v>
      </c>
      <c r="H13" s="44">
        <f t="shared" si="0"/>
        <v>0.4</v>
      </c>
    </row>
    <row r="14" spans="1:16" hidden="1" x14ac:dyDescent="0.25">
      <c r="A14" s="46">
        <v>40267</v>
      </c>
      <c r="B14" s="44" t="s">
        <v>41</v>
      </c>
      <c r="C14" s="44" t="s">
        <v>320</v>
      </c>
      <c r="D14" s="44" t="s">
        <v>70</v>
      </c>
      <c r="E14" s="44" t="s">
        <v>230</v>
      </c>
      <c r="G14" s="44">
        <v>6150</v>
      </c>
      <c r="H14" s="44">
        <f t="shared" si="0"/>
        <v>3.0750000000000002</v>
      </c>
    </row>
    <row r="15" spans="1:16" hidden="1" x14ac:dyDescent="0.25">
      <c r="A15" s="46">
        <v>40267</v>
      </c>
      <c r="B15" s="15" t="s">
        <v>55</v>
      </c>
      <c r="C15" s="15" t="s">
        <v>231</v>
      </c>
      <c r="D15" s="44" t="s">
        <v>234</v>
      </c>
      <c r="E15" s="44" t="s">
        <v>230</v>
      </c>
      <c r="G15" s="44">
        <v>1720</v>
      </c>
      <c r="H15" s="44">
        <f t="shared" si="0"/>
        <v>0.86</v>
      </c>
    </row>
    <row r="16" spans="1:16" hidden="1" x14ac:dyDescent="0.25">
      <c r="A16" s="46">
        <v>40298</v>
      </c>
      <c r="B16" s="15" t="s">
        <v>55</v>
      </c>
      <c r="C16" s="44" t="s">
        <v>318</v>
      </c>
      <c r="D16" s="44" t="s">
        <v>69</v>
      </c>
      <c r="E16" s="44" t="s">
        <v>230</v>
      </c>
      <c r="G16" s="44">
        <v>2880</v>
      </c>
      <c r="H16" s="44">
        <f t="shared" si="0"/>
        <v>1.44</v>
      </c>
      <c r="L16" s="8">
        <v>244.85</v>
      </c>
    </row>
    <row r="17" spans="1:12" hidden="1" x14ac:dyDescent="0.25">
      <c r="A17" s="46">
        <v>40298</v>
      </c>
      <c r="B17" s="44" t="s">
        <v>41</v>
      </c>
      <c r="C17" s="44" t="s">
        <v>320</v>
      </c>
      <c r="D17" s="44" t="s">
        <v>70</v>
      </c>
      <c r="E17" s="44" t="s">
        <v>230</v>
      </c>
      <c r="G17" s="44">
        <v>6260</v>
      </c>
      <c r="H17" s="44">
        <f t="shared" si="0"/>
        <v>3.13</v>
      </c>
    </row>
    <row r="18" spans="1:12" hidden="1" x14ac:dyDescent="0.25">
      <c r="A18" s="46">
        <v>40298</v>
      </c>
      <c r="B18" s="15" t="s">
        <v>55</v>
      </c>
      <c r="C18" s="15" t="s">
        <v>231</v>
      </c>
      <c r="D18" s="44" t="s">
        <v>231</v>
      </c>
      <c r="E18" s="44" t="s">
        <v>230</v>
      </c>
      <c r="G18" s="44">
        <v>960</v>
      </c>
      <c r="H18" s="44">
        <f t="shared" si="0"/>
        <v>0.48</v>
      </c>
    </row>
    <row r="19" spans="1:12" hidden="1" x14ac:dyDescent="0.25">
      <c r="A19" s="46">
        <v>40328</v>
      </c>
      <c r="B19" s="15" t="s">
        <v>55</v>
      </c>
      <c r="C19" s="44" t="s">
        <v>318</v>
      </c>
      <c r="D19" s="44" t="s">
        <v>69</v>
      </c>
      <c r="E19" s="44" t="s">
        <v>230</v>
      </c>
      <c r="G19" s="44">
        <v>7420</v>
      </c>
      <c r="H19" s="44">
        <f t="shared" si="0"/>
        <v>3.71</v>
      </c>
      <c r="L19" s="8">
        <v>413.97</v>
      </c>
    </row>
    <row r="20" spans="1:12" hidden="1" x14ac:dyDescent="0.25">
      <c r="A20" s="46">
        <v>40328</v>
      </c>
      <c r="B20" s="15" t="s">
        <v>55</v>
      </c>
      <c r="C20" s="44" t="s">
        <v>318</v>
      </c>
      <c r="D20" s="44" t="s">
        <v>239</v>
      </c>
      <c r="E20" s="44" t="s">
        <v>230</v>
      </c>
      <c r="G20" s="44">
        <v>12410</v>
      </c>
      <c r="H20" s="44">
        <f t="shared" si="0"/>
        <v>6.2050000000000001</v>
      </c>
    </row>
    <row r="21" spans="1:12" hidden="1" x14ac:dyDescent="0.25">
      <c r="A21" s="46">
        <v>40328</v>
      </c>
      <c r="B21" s="44" t="s">
        <v>41</v>
      </c>
      <c r="C21" s="44" t="s">
        <v>320</v>
      </c>
      <c r="D21" s="44" t="s">
        <v>70</v>
      </c>
      <c r="E21" s="44" t="s">
        <v>230</v>
      </c>
      <c r="G21" s="44">
        <v>2440</v>
      </c>
      <c r="H21" s="44">
        <f t="shared" si="0"/>
        <v>1.22</v>
      </c>
    </row>
    <row r="22" spans="1:12" hidden="1" x14ac:dyDescent="0.25">
      <c r="A22" s="46">
        <v>40328</v>
      </c>
      <c r="B22" s="15" t="s">
        <v>55</v>
      </c>
      <c r="C22" s="15" t="s">
        <v>231</v>
      </c>
      <c r="D22" s="44" t="s">
        <v>234</v>
      </c>
      <c r="E22" s="44" t="s">
        <v>230</v>
      </c>
      <c r="G22" s="44">
        <v>580</v>
      </c>
      <c r="H22" s="44">
        <f t="shared" si="0"/>
        <v>0.28999999999999998</v>
      </c>
    </row>
    <row r="23" spans="1:12" hidden="1" x14ac:dyDescent="0.25">
      <c r="A23" s="46">
        <v>40328</v>
      </c>
      <c r="B23" s="15" t="s">
        <v>55</v>
      </c>
      <c r="C23" s="44" t="s">
        <v>318</v>
      </c>
      <c r="D23" s="44" t="s">
        <v>236</v>
      </c>
      <c r="E23" s="44" t="s">
        <v>230</v>
      </c>
      <c r="G23" s="44">
        <v>780</v>
      </c>
      <c r="H23" s="44">
        <f t="shared" si="0"/>
        <v>0.39</v>
      </c>
    </row>
    <row r="24" spans="1:12" hidden="1" x14ac:dyDescent="0.25">
      <c r="A24" s="46">
        <v>40359</v>
      </c>
      <c r="B24" s="15" t="s">
        <v>55</v>
      </c>
      <c r="C24" s="44" t="s">
        <v>318</v>
      </c>
      <c r="D24" s="44" t="s">
        <v>69</v>
      </c>
      <c r="E24" s="44" t="s">
        <v>230</v>
      </c>
      <c r="G24" s="44">
        <v>14760</v>
      </c>
      <c r="H24" s="44">
        <f t="shared" si="0"/>
        <v>7.38</v>
      </c>
      <c r="L24" s="8">
        <v>728.77</v>
      </c>
    </row>
    <row r="25" spans="1:12" hidden="1" x14ac:dyDescent="0.25">
      <c r="A25" s="46">
        <v>40359</v>
      </c>
      <c r="B25" s="15" t="s">
        <v>55</v>
      </c>
      <c r="C25" s="44" t="s">
        <v>318</v>
      </c>
      <c r="D25" s="44" t="s">
        <v>236</v>
      </c>
      <c r="E25" s="44" t="s">
        <v>230</v>
      </c>
      <c r="G25" s="44">
        <v>7970</v>
      </c>
      <c r="H25" s="44">
        <f t="shared" si="0"/>
        <v>3.9849999999999999</v>
      </c>
    </row>
    <row r="26" spans="1:12" hidden="1" x14ac:dyDescent="0.25">
      <c r="A26" s="46">
        <v>40359</v>
      </c>
      <c r="B26" s="44" t="s">
        <v>41</v>
      </c>
      <c r="C26" s="44" t="s">
        <v>320</v>
      </c>
      <c r="D26" s="44" t="s">
        <v>70</v>
      </c>
      <c r="E26" s="44" t="s">
        <v>230</v>
      </c>
      <c r="G26" s="44">
        <v>4680</v>
      </c>
      <c r="H26" s="44">
        <f t="shared" si="0"/>
        <v>2.34</v>
      </c>
    </row>
    <row r="27" spans="1:12" hidden="1" x14ac:dyDescent="0.25">
      <c r="A27" s="46">
        <v>40359</v>
      </c>
      <c r="B27" s="15" t="s">
        <v>55</v>
      </c>
      <c r="C27" s="15" t="s">
        <v>231</v>
      </c>
      <c r="D27" s="44" t="s">
        <v>234</v>
      </c>
      <c r="E27" s="44" t="s">
        <v>230</v>
      </c>
      <c r="G27" s="44">
        <v>500</v>
      </c>
      <c r="H27" s="44">
        <f t="shared" si="0"/>
        <v>0.25</v>
      </c>
    </row>
    <row r="28" spans="1:12" hidden="1" x14ac:dyDescent="0.25">
      <c r="A28" s="46">
        <v>40389</v>
      </c>
      <c r="B28" s="15" t="s">
        <v>55</v>
      </c>
      <c r="C28" s="44" t="s">
        <v>318</v>
      </c>
      <c r="D28" s="44" t="s">
        <v>69</v>
      </c>
      <c r="E28" s="44" t="s">
        <v>230</v>
      </c>
      <c r="G28" s="44">
        <v>2000</v>
      </c>
      <c r="H28" s="44">
        <f t="shared" si="0"/>
        <v>1</v>
      </c>
      <c r="L28" s="8">
        <v>306.51</v>
      </c>
    </row>
    <row r="29" spans="1:12" hidden="1" x14ac:dyDescent="0.25">
      <c r="A29" s="46">
        <v>40389</v>
      </c>
      <c r="B29" s="15" t="s">
        <v>55</v>
      </c>
      <c r="C29" s="44" t="s">
        <v>318</v>
      </c>
      <c r="D29" s="44" t="s">
        <v>236</v>
      </c>
      <c r="E29" s="44" t="s">
        <v>230</v>
      </c>
      <c r="G29" s="44">
        <v>9840</v>
      </c>
      <c r="H29" s="44">
        <f t="shared" si="0"/>
        <v>4.92</v>
      </c>
    </row>
    <row r="30" spans="1:12" hidden="1" x14ac:dyDescent="0.25">
      <c r="A30" s="46">
        <v>40389</v>
      </c>
      <c r="B30" s="44" t="s">
        <v>41</v>
      </c>
      <c r="C30" s="44" t="s">
        <v>320</v>
      </c>
      <c r="D30" s="44" t="s">
        <v>70</v>
      </c>
      <c r="E30" s="44" t="s">
        <v>230</v>
      </c>
      <c r="G30" s="44">
        <v>4540</v>
      </c>
      <c r="H30" s="44">
        <f t="shared" si="0"/>
        <v>2.27</v>
      </c>
    </row>
    <row r="31" spans="1:12" hidden="1" x14ac:dyDescent="0.25">
      <c r="A31" s="46">
        <v>40389</v>
      </c>
      <c r="B31" s="15" t="s">
        <v>55</v>
      </c>
      <c r="C31" s="15" t="s">
        <v>231</v>
      </c>
      <c r="D31" s="44" t="s">
        <v>234</v>
      </c>
      <c r="E31" s="44" t="s">
        <v>230</v>
      </c>
      <c r="G31" s="44">
        <v>580</v>
      </c>
      <c r="H31" s="44">
        <f t="shared" si="0"/>
        <v>0.28999999999999998</v>
      </c>
    </row>
    <row r="32" spans="1:12" hidden="1" x14ac:dyDescent="0.25">
      <c r="A32" s="46">
        <v>40420</v>
      </c>
      <c r="B32" s="44" t="s">
        <v>41</v>
      </c>
      <c r="C32" s="44" t="s">
        <v>318</v>
      </c>
      <c r="D32" s="44" t="s">
        <v>69</v>
      </c>
      <c r="E32" s="44" t="s">
        <v>230</v>
      </c>
      <c r="G32" s="44">
        <v>4440</v>
      </c>
      <c r="H32" s="44">
        <f t="shared" si="0"/>
        <v>2.2200000000000002</v>
      </c>
      <c r="L32" s="8">
        <v>319.48</v>
      </c>
    </row>
    <row r="33" spans="1:12" hidden="1" x14ac:dyDescent="0.25">
      <c r="A33" s="46">
        <v>40420</v>
      </c>
      <c r="B33" s="44" t="s">
        <v>41</v>
      </c>
      <c r="C33" s="44" t="s">
        <v>320</v>
      </c>
      <c r="D33" s="44" t="s">
        <v>70</v>
      </c>
      <c r="E33" s="44" t="s">
        <v>230</v>
      </c>
      <c r="G33" s="44">
        <v>7880</v>
      </c>
      <c r="H33" s="44">
        <f t="shared" si="0"/>
        <v>3.94</v>
      </c>
    </row>
    <row r="34" spans="1:12" hidden="1" x14ac:dyDescent="0.25">
      <c r="A34" s="46">
        <v>40420</v>
      </c>
      <c r="B34" s="15" t="s">
        <v>55</v>
      </c>
      <c r="C34" s="15" t="s">
        <v>231</v>
      </c>
      <c r="D34" s="44" t="s">
        <v>234</v>
      </c>
      <c r="E34" s="44" t="s">
        <v>230</v>
      </c>
      <c r="G34" s="44">
        <v>1380</v>
      </c>
      <c r="H34" s="44">
        <f t="shared" ref="H34:H65" si="1">G34/2000</f>
        <v>0.69</v>
      </c>
    </row>
    <row r="35" spans="1:12" hidden="1" x14ac:dyDescent="0.25">
      <c r="A35" s="46">
        <v>40451</v>
      </c>
      <c r="B35" s="15" t="s">
        <v>55</v>
      </c>
      <c r="C35" s="44" t="s">
        <v>318</v>
      </c>
      <c r="D35" s="44" t="s">
        <v>237</v>
      </c>
      <c r="E35" s="44" t="s">
        <v>230</v>
      </c>
      <c r="G35" s="44">
        <v>840</v>
      </c>
      <c r="H35" s="44">
        <f t="shared" si="1"/>
        <v>0.42</v>
      </c>
      <c r="L35" s="8">
        <v>0</v>
      </c>
    </row>
    <row r="36" spans="1:12" hidden="1" x14ac:dyDescent="0.25">
      <c r="A36" s="46">
        <v>40451</v>
      </c>
      <c r="B36" s="44" t="s">
        <v>41</v>
      </c>
      <c r="C36" s="44" t="s">
        <v>318</v>
      </c>
      <c r="D36" s="44" t="s">
        <v>69</v>
      </c>
      <c r="E36" s="44" t="s">
        <v>230</v>
      </c>
      <c r="G36" s="44">
        <v>16060</v>
      </c>
      <c r="H36" s="44">
        <f t="shared" si="1"/>
        <v>8.0299999999999994</v>
      </c>
      <c r="L36" s="8">
        <v>706.64</v>
      </c>
    </row>
    <row r="37" spans="1:12" hidden="1" x14ac:dyDescent="0.25">
      <c r="A37" s="46">
        <v>40451</v>
      </c>
      <c r="B37" s="15" t="s">
        <v>55</v>
      </c>
      <c r="C37" s="44" t="s">
        <v>318</v>
      </c>
      <c r="D37" s="44" t="s">
        <v>236</v>
      </c>
      <c r="E37" s="44" t="s">
        <v>230</v>
      </c>
      <c r="G37" s="44">
        <v>7400</v>
      </c>
      <c r="H37" s="44">
        <f t="shared" si="1"/>
        <v>3.7</v>
      </c>
      <c r="L37" s="8">
        <v>55.5</v>
      </c>
    </row>
    <row r="38" spans="1:12" hidden="1" x14ac:dyDescent="0.25">
      <c r="A38" s="46">
        <v>40451</v>
      </c>
      <c r="B38" s="44" t="s">
        <v>41</v>
      </c>
      <c r="C38" s="44" t="s">
        <v>320</v>
      </c>
      <c r="D38" s="44" t="s">
        <v>70</v>
      </c>
      <c r="E38" s="44" t="s">
        <v>230</v>
      </c>
      <c r="G38" s="44">
        <v>7420</v>
      </c>
      <c r="H38" s="44">
        <f t="shared" si="1"/>
        <v>3.71</v>
      </c>
      <c r="L38" s="8">
        <v>116.87</v>
      </c>
    </row>
    <row r="39" spans="1:12" hidden="1" x14ac:dyDescent="0.25">
      <c r="A39" s="46">
        <v>40451</v>
      </c>
      <c r="B39" s="15" t="s">
        <v>55</v>
      </c>
      <c r="C39" s="15" t="s">
        <v>231</v>
      </c>
      <c r="D39" s="44" t="s">
        <v>234</v>
      </c>
      <c r="E39" s="44" t="s">
        <v>230</v>
      </c>
      <c r="G39" s="44">
        <v>1000</v>
      </c>
      <c r="H39" s="44">
        <f t="shared" si="1"/>
        <v>0.5</v>
      </c>
      <c r="L39" s="8">
        <v>0</v>
      </c>
    </row>
    <row r="40" spans="1:12" hidden="1" x14ac:dyDescent="0.25">
      <c r="A40" s="46">
        <v>40481</v>
      </c>
      <c r="B40" s="15" t="s">
        <v>55</v>
      </c>
      <c r="C40" s="44" t="s">
        <v>318</v>
      </c>
      <c r="D40" s="44" t="s">
        <v>69</v>
      </c>
      <c r="E40" s="44" t="s">
        <v>230</v>
      </c>
      <c r="G40" s="44">
        <v>8180</v>
      </c>
      <c r="H40" s="44">
        <f t="shared" si="1"/>
        <v>4.09</v>
      </c>
      <c r="L40" s="8">
        <v>359.92</v>
      </c>
    </row>
    <row r="41" spans="1:12" hidden="1" x14ac:dyDescent="0.25">
      <c r="A41" s="46">
        <v>40481</v>
      </c>
      <c r="B41" s="15" t="s">
        <v>55</v>
      </c>
      <c r="C41" s="44" t="s">
        <v>318</v>
      </c>
      <c r="D41" s="44" t="s">
        <v>236</v>
      </c>
      <c r="E41" s="44" t="s">
        <v>230</v>
      </c>
      <c r="G41" s="44">
        <v>12730</v>
      </c>
      <c r="H41" s="44">
        <f t="shared" si="1"/>
        <v>6.3650000000000002</v>
      </c>
      <c r="L41" s="8">
        <v>318.25</v>
      </c>
    </row>
    <row r="42" spans="1:12" hidden="1" x14ac:dyDescent="0.25">
      <c r="A42" s="46">
        <v>40481</v>
      </c>
      <c r="B42" s="44" t="s">
        <v>41</v>
      </c>
      <c r="C42" s="44" t="s">
        <v>320</v>
      </c>
      <c r="D42" s="44" t="s">
        <v>70</v>
      </c>
      <c r="E42" s="44" t="s">
        <v>230</v>
      </c>
      <c r="G42" s="44">
        <v>5480</v>
      </c>
      <c r="H42" s="44">
        <f t="shared" si="1"/>
        <v>2.74</v>
      </c>
      <c r="L42" s="8">
        <v>102.75</v>
      </c>
    </row>
    <row r="43" spans="1:12" hidden="1" x14ac:dyDescent="0.25">
      <c r="A43" s="46">
        <v>40481</v>
      </c>
      <c r="B43" s="15" t="s">
        <v>55</v>
      </c>
      <c r="C43" s="15" t="s">
        <v>231</v>
      </c>
      <c r="D43" s="44" t="s">
        <v>234</v>
      </c>
      <c r="E43" s="44" t="s">
        <v>230</v>
      </c>
      <c r="G43" s="44">
        <v>1440</v>
      </c>
      <c r="H43" s="44">
        <f t="shared" si="1"/>
        <v>0.72</v>
      </c>
      <c r="L43" s="8">
        <v>0</v>
      </c>
    </row>
    <row r="44" spans="1:12" hidden="1" x14ac:dyDescent="0.25">
      <c r="A44" s="46">
        <v>40512</v>
      </c>
      <c r="B44" s="15" t="s">
        <v>55</v>
      </c>
      <c r="C44" s="44" t="s">
        <v>318</v>
      </c>
      <c r="D44" s="44" t="s">
        <v>69</v>
      </c>
      <c r="E44" s="44" t="s">
        <v>230</v>
      </c>
      <c r="G44" s="44">
        <v>1280</v>
      </c>
      <c r="H44" s="44">
        <f t="shared" si="1"/>
        <v>0.64</v>
      </c>
      <c r="L44" s="8">
        <v>53.76</v>
      </c>
    </row>
    <row r="45" spans="1:12" hidden="1" x14ac:dyDescent="0.25">
      <c r="A45" s="46">
        <v>40512</v>
      </c>
      <c r="B45" s="15" t="s">
        <v>55</v>
      </c>
      <c r="C45" s="44" t="s">
        <v>318</v>
      </c>
      <c r="D45" s="44" t="s">
        <v>236</v>
      </c>
      <c r="E45" s="44" t="s">
        <v>230</v>
      </c>
      <c r="G45" s="44">
        <v>8820</v>
      </c>
      <c r="H45" s="44">
        <f t="shared" si="1"/>
        <v>4.41</v>
      </c>
      <c r="L45" s="8">
        <v>176.4</v>
      </c>
    </row>
    <row r="46" spans="1:12" hidden="1" x14ac:dyDescent="0.25">
      <c r="A46" s="46">
        <v>40512</v>
      </c>
      <c r="B46" s="44" t="s">
        <v>41</v>
      </c>
      <c r="C46" s="44" t="s">
        <v>320</v>
      </c>
      <c r="D46" s="44" t="s">
        <v>70</v>
      </c>
      <c r="E46" s="44" t="s">
        <v>230</v>
      </c>
      <c r="G46" s="44">
        <v>5500</v>
      </c>
      <c r="H46" s="44">
        <f t="shared" si="1"/>
        <v>2.75</v>
      </c>
      <c r="L46" s="8">
        <v>111.38</v>
      </c>
    </row>
    <row r="47" spans="1:12" hidden="1" x14ac:dyDescent="0.25">
      <c r="A47" s="46">
        <v>40512</v>
      </c>
      <c r="B47" s="15" t="s">
        <v>55</v>
      </c>
      <c r="C47" s="15" t="s">
        <v>231</v>
      </c>
      <c r="D47" s="44" t="s">
        <v>234</v>
      </c>
      <c r="E47" s="44" t="s">
        <v>230</v>
      </c>
      <c r="G47" s="44">
        <v>560</v>
      </c>
      <c r="H47" s="44">
        <f t="shared" si="1"/>
        <v>0.28000000000000003</v>
      </c>
      <c r="L47" s="8">
        <v>0</v>
      </c>
    </row>
    <row r="48" spans="1:12" hidden="1" x14ac:dyDescent="0.25">
      <c r="A48" s="46">
        <v>40519</v>
      </c>
      <c r="B48" s="44" t="s">
        <v>41</v>
      </c>
      <c r="C48" s="44" t="s">
        <v>3</v>
      </c>
      <c r="D48" s="44" t="s">
        <v>3</v>
      </c>
      <c r="E48" s="44" t="s">
        <v>42</v>
      </c>
      <c r="G48" s="44">
        <v>683</v>
      </c>
      <c r="H48" s="44">
        <f t="shared" si="1"/>
        <v>0.34150000000000003</v>
      </c>
      <c r="I48" s="47"/>
    </row>
    <row r="49" spans="1:12" hidden="1" x14ac:dyDescent="0.25">
      <c r="A49" s="46">
        <v>40542</v>
      </c>
      <c r="B49" s="15" t="s">
        <v>55</v>
      </c>
      <c r="C49" s="44" t="s">
        <v>318</v>
      </c>
      <c r="D49" s="44" t="s">
        <v>237</v>
      </c>
      <c r="E49" s="44" t="s">
        <v>230</v>
      </c>
      <c r="G49" s="44">
        <v>2540</v>
      </c>
      <c r="H49" s="44">
        <f t="shared" si="1"/>
        <v>1.27</v>
      </c>
      <c r="L49" s="8">
        <v>0</v>
      </c>
    </row>
    <row r="50" spans="1:12" hidden="1" x14ac:dyDescent="0.25">
      <c r="A50" s="46">
        <v>40542</v>
      </c>
      <c r="B50" s="15" t="s">
        <v>55</v>
      </c>
      <c r="C50" s="44" t="s">
        <v>318</v>
      </c>
      <c r="D50" s="44" t="s">
        <v>240</v>
      </c>
      <c r="E50" s="44" t="s">
        <v>230</v>
      </c>
      <c r="G50" s="44">
        <v>9540</v>
      </c>
      <c r="H50" s="44">
        <f t="shared" si="1"/>
        <v>4.7699999999999996</v>
      </c>
      <c r="L50" s="8">
        <v>113.53</v>
      </c>
    </row>
    <row r="51" spans="1:12" hidden="1" x14ac:dyDescent="0.25">
      <c r="A51" s="46">
        <v>40542</v>
      </c>
      <c r="B51" s="15" t="s">
        <v>55</v>
      </c>
      <c r="C51" s="44" t="s">
        <v>318</v>
      </c>
      <c r="D51" s="44" t="s">
        <v>69</v>
      </c>
      <c r="E51" s="44" t="s">
        <v>230</v>
      </c>
      <c r="G51" s="44">
        <v>6240</v>
      </c>
      <c r="H51" s="44">
        <f t="shared" si="1"/>
        <v>3.12</v>
      </c>
      <c r="L51" s="8">
        <v>249.6</v>
      </c>
    </row>
    <row r="52" spans="1:12" hidden="1" x14ac:dyDescent="0.25">
      <c r="A52" s="46">
        <v>40542</v>
      </c>
      <c r="B52" s="15" t="s">
        <v>55</v>
      </c>
      <c r="C52" s="44" t="s">
        <v>318</v>
      </c>
      <c r="D52" s="44" t="s">
        <v>236</v>
      </c>
      <c r="E52" s="44" t="s">
        <v>230</v>
      </c>
      <c r="G52" s="44">
        <v>7420</v>
      </c>
      <c r="H52" s="44">
        <f t="shared" si="1"/>
        <v>3.71</v>
      </c>
      <c r="L52" s="8">
        <v>111.3</v>
      </c>
    </row>
    <row r="53" spans="1:12" hidden="1" x14ac:dyDescent="0.25">
      <c r="A53" s="46">
        <v>40542</v>
      </c>
      <c r="B53" s="44" t="s">
        <v>41</v>
      </c>
      <c r="C53" s="44" t="s">
        <v>320</v>
      </c>
      <c r="D53" s="44" t="s">
        <v>70</v>
      </c>
      <c r="E53" s="44" t="s">
        <v>230</v>
      </c>
      <c r="G53" s="44">
        <v>4030</v>
      </c>
      <c r="H53" s="44">
        <f t="shared" si="1"/>
        <v>2.0150000000000001</v>
      </c>
      <c r="L53" s="8">
        <v>81.61</v>
      </c>
    </row>
    <row r="54" spans="1:12" hidden="1" x14ac:dyDescent="0.25">
      <c r="A54" s="46">
        <v>40542</v>
      </c>
      <c r="B54" s="15" t="s">
        <v>55</v>
      </c>
      <c r="C54" s="15" t="s">
        <v>231</v>
      </c>
      <c r="D54" s="44" t="s">
        <v>234</v>
      </c>
      <c r="E54" s="44" t="s">
        <v>230</v>
      </c>
      <c r="G54" s="44">
        <v>760</v>
      </c>
      <c r="H54" s="44">
        <f t="shared" si="1"/>
        <v>0.38</v>
      </c>
      <c r="L54" s="8">
        <v>0</v>
      </c>
    </row>
    <row r="55" spans="1:12" hidden="1" x14ac:dyDescent="0.25">
      <c r="A55" s="46">
        <v>40543</v>
      </c>
      <c r="B55" s="44" t="s">
        <v>41</v>
      </c>
      <c r="C55" s="44" t="s">
        <v>3</v>
      </c>
      <c r="D55" s="44" t="s">
        <v>43</v>
      </c>
      <c r="E55" s="44" t="s">
        <v>44</v>
      </c>
      <c r="G55" s="44">
        <v>866</v>
      </c>
      <c r="H55" s="44">
        <f t="shared" si="1"/>
        <v>0.433</v>
      </c>
    </row>
    <row r="56" spans="1:12" hidden="1" x14ac:dyDescent="0.25">
      <c r="A56" s="46">
        <v>40543</v>
      </c>
      <c r="B56" s="44" t="s">
        <v>45</v>
      </c>
      <c r="C56" s="44" t="s">
        <v>330</v>
      </c>
      <c r="D56" s="44" t="s">
        <v>46</v>
      </c>
      <c r="E56" s="44" t="s">
        <v>47</v>
      </c>
      <c r="F56" s="44" t="s">
        <v>48</v>
      </c>
      <c r="G56" s="44">
        <f>40*316</f>
        <v>12640</v>
      </c>
      <c r="H56" s="44">
        <f t="shared" si="1"/>
        <v>6.32</v>
      </c>
      <c r="L56" s="8">
        <v>3160</v>
      </c>
    </row>
    <row r="57" spans="1:12" hidden="1" x14ac:dyDescent="0.25">
      <c r="A57" s="46">
        <v>40573</v>
      </c>
      <c r="B57" s="44" t="s">
        <v>41</v>
      </c>
      <c r="C57" s="44" t="s">
        <v>320</v>
      </c>
      <c r="D57" s="44" t="s">
        <v>57</v>
      </c>
      <c r="E57" s="44" t="s">
        <v>230</v>
      </c>
      <c r="G57" s="44">
        <v>7800</v>
      </c>
      <c r="H57" s="44">
        <f t="shared" si="1"/>
        <v>3.9</v>
      </c>
      <c r="L57" s="8">
        <v>157.96</v>
      </c>
    </row>
    <row r="58" spans="1:12" hidden="1" x14ac:dyDescent="0.25">
      <c r="A58" s="46">
        <v>40573</v>
      </c>
      <c r="B58" s="15" t="s">
        <v>55</v>
      </c>
      <c r="C58" s="15" t="s">
        <v>231</v>
      </c>
      <c r="D58" s="44" t="s">
        <v>231</v>
      </c>
      <c r="E58" s="44" t="s">
        <v>230</v>
      </c>
      <c r="G58" s="44">
        <v>460</v>
      </c>
      <c r="H58" s="44">
        <f t="shared" si="1"/>
        <v>0.23</v>
      </c>
      <c r="L58" s="8">
        <v>0</v>
      </c>
    </row>
    <row r="59" spans="1:12" hidden="1" x14ac:dyDescent="0.25">
      <c r="A59" s="46">
        <v>40602</v>
      </c>
      <c r="B59" s="15" t="s">
        <v>55</v>
      </c>
      <c r="C59" s="44" t="s">
        <v>318</v>
      </c>
      <c r="D59" s="44" t="s">
        <v>56</v>
      </c>
      <c r="E59" s="44" t="s">
        <v>230</v>
      </c>
      <c r="G59" s="44">
        <v>11240</v>
      </c>
      <c r="H59" s="44">
        <f t="shared" si="1"/>
        <v>5.62</v>
      </c>
      <c r="L59" s="8">
        <v>472.08</v>
      </c>
    </row>
    <row r="60" spans="1:12" hidden="1" x14ac:dyDescent="0.25">
      <c r="A60" s="46">
        <v>40602</v>
      </c>
      <c r="B60" s="15" t="s">
        <v>55</v>
      </c>
      <c r="C60" s="44" t="s">
        <v>318</v>
      </c>
      <c r="D60" s="44" t="s">
        <v>232</v>
      </c>
      <c r="E60" s="44" t="s">
        <v>230</v>
      </c>
      <c r="G60" s="44">
        <v>13110</v>
      </c>
      <c r="H60" s="44">
        <f t="shared" si="1"/>
        <v>6.5549999999999997</v>
      </c>
      <c r="L60" s="8">
        <v>229.43</v>
      </c>
    </row>
    <row r="61" spans="1:12" hidden="1" x14ac:dyDescent="0.25">
      <c r="A61" s="46">
        <v>40602</v>
      </c>
      <c r="B61" s="44" t="s">
        <v>41</v>
      </c>
      <c r="C61" s="44" t="s">
        <v>320</v>
      </c>
      <c r="D61" s="44" t="s">
        <v>57</v>
      </c>
      <c r="E61" s="44" t="s">
        <v>230</v>
      </c>
      <c r="G61" s="44">
        <v>3870</v>
      </c>
      <c r="H61" s="44">
        <f t="shared" si="1"/>
        <v>1.9350000000000001</v>
      </c>
      <c r="L61" s="8">
        <v>78.37</v>
      </c>
    </row>
    <row r="62" spans="1:12" hidden="1" x14ac:dyDescent="0.25">
      <c r="A62" s="46">
        <v>40602</v>
      </c>
      <c r="B62" s="15" t="s">
        <v>55</v>
      </c>
      <c r="C62" s="15" t="s">
        <v>231</v>
      </c>
      <c r="D62" s="44" t="s">
        <v>231</v>
      </c>
      <c r="E62" s="44" t="s">
        <v>230</v>
      </c>
      <c r="G62" s="44">
        <v>1370</v>
      </c>
      <c r="H62" s="44">
        <f t="shared" si="1"/>
        <v>0.68500000000000005</v>
      </c>
      <c r="L62" s="8">
        <v>0</v>
      </c>
    </row>
    <row r="63" spans="1:12" hidden="1" x14ac:dyDescent="0.25">
      <c r="A63" s="46">
        <v>40632</v>
      </c>
      <c r="B63" s="15" t="s">
        <v>55</v>
      </c>
      <c r="C63" s="44" t="s">
        <v>318</v>
      </c>
      <c r="D63" s="44" t="s">
        <v>56</v>
      </c>
      <c r="E63" s="44" t="s">
        <v>230</v>
      </c>
      <c r="G63" s="44">
        <v>8150</v>
      </c>
      <c r="H63" s="44">
        <f t="shared" si="1"/>
        <v>4.0750000000000002</v>
      </c>
      <c r="L63" s="8">
        <v>342.3</v>
      </c>
    </row>
    <row r="64" spans="1:12" hidden="1" x14ac:dyDescent="0.25">
      <c r="A64" s="46">
        <v>40632</v>
      </c>
      <c r="B64" s="15" t="s">
        <v>55</v>
      </c>
      <c r="C64" s="44" t="s">
        <v>318</v>
      </c>
      <c r="D64" s="44" t="s">
        <v>232</v>
      </c>
      <c r="E64" s="44" t="s">
        <v>230</v>
      </c>
      <c r="G64" s="44">
        <v>5510</v>
      </c>
      <c r="H64" s="44">
        <f t="shared" si="1"/>
        <v>2.7549999999999999</v>
      </c>
      <c r="L64" s="8">
        <v>96.43</v>
      </c>
    </row>
    <row r="65" spans="1:12" hidden="1" x14ac:dyDescent="0.25">
      <c r="A65" s="46">
        <v>40632</v>
      </c>
      <c r="B65" s="44" t="s">
        <v>41</v>
      </c>
      <c r="C65" s="44" t="s">
        <v>320</v>
      </c>
      <c r="D65" s="44" t="s">
        <v>57</v>
      </c>
      <c r="E65" s="44" t="s">
        <v>230</v>
      </c>
      <c r="G65" s="44">
        <v>8420</v>
      </c>
      <c r="H65" s="44">
        <f t="shared" si="1"/>
        <v>4.21</v>
      </c>
      <c r="L65" s="8">
        <v>170.52</v>
      </c>
    </row>
    <row r="66" spans="1:12" hidden="1" x14ac:dyDescent="0.25">
      <c r="A66" s="46">
        <v>40632</v>
      </c>
      <c r="B66" s="15" t="s">
        <v>55</v>
      </c>
      <c r="C66" s="15" t="s">
        <v>231</v>
      </c>
      <c r="D66" s="44" t="s">
        <v>231</v>
      </c>
      <c r="E66" s="44" t="s">
        <v>230</v>
      </c>
      <c r="G66" s="44">
        <v>1600</v>
      </c>
      <c r="H66" s="44">
        <f t="shared" ref="H66:H97" si="2">G66/2000</f>
        <v>0.8</v>
      </c>
      <c r="L66" s="8">
        <v>0</v>
      </c>
    </row>
    <row r="67" spans="1:12" hidden="1" x14ac:dyDescent="0.25">
      <c r="A67" s="46">
        <v>40663</v>
      </c>
      <c r="B67" s="15" t="s">
        <v>55</v>
      </c>
      <c r="C67" s="44" t="s">
        <v>318</v>
      </c>
      <c r="D67" s="44" t="s">
        <v>56</v>
      </c>
      <c r="E67" s="44" t="s">
        <v>230</v>
      </c>
      <c r="G67" s="44">
        <v>5090</v>
      </c>
      <c r="H67" s="44">
        <f t="shared" si="2"/>
        <v>2.5449999999999999</v>
      </c>
      <c r="L67" s="8">
        <v>244.32</v>
      </c>
    </row>
    <row r="68" spans="1:12" hidden="1" x14ac:dyDescent="0.25">
      <c r="A68" s="46">
        <v>40663</v>
      </c>
      <c r="B68" s="15" t="s">
        <v>55</v>
      </c>
      <c r="C68" s="44" t="s">
        <v>318</v>
      </c>
      <c r="D68" s="44" t="s">
        <v>232</v>
      </c>
      <c r="E68" s="44" t="s">
        <v>230</v>
      </c>
      <c r="G68" s="44">
        <v>6070</v>
      </c>
      <c r="H68" s="44">
        <f t="shared" si="2"/>
        <v>3.0350000000000001</v>
      </c>
      <c r="L68" s="8">
        <v>209.18</v>
      </c>
    </row>
    <row r="69" spans="1:12" hidden="1" x14ac:dyDescent="0.25">
      <c r="A69" s="46">
        <v>40663</v>
      </c>
      <c r="B69" s="44" t="s">
        <v>41</v>
      </c>
      <c r="C69" s="44" t="s">
        <v>320</v>
      </c>
      <c r="D69" s="44" t="s">
        <v>70</v>
      </c>
      <c r="E69" s="44" t="s">
        <v>230</v>
      </c>
      <c r="G69" s="44">
        <v>7240</v>
      </c>
      <c r="H69" s="44">
        <f t="shared" si="2"/>
        <v>3.62</v>
      </c>
      <c r="L69" s="8">
        <v>146.62</v>
      </c>
    </row>
    <row r="70" spans="1:12" hidden="1" x14ac:dyDescent="0.25">
      <c r="A70" s="46">
        <v>40663</v>
      </c>
      <c r="B70" s="15" t="s">
        <v>55</v>
      </c>
      <c r="C70" s="15" t="s">
        <v>231</v>
      </c>
      <c r="D70" s="44" t="s">
        <v>231</v>
      </c>
      <c r="E70" s="44" t="s">
        <v>230</v>
      </c>
      <c r="G70" s="44">
        <v>2250</v>
      </c>
      <c r="H70" s="44">
        <f t="shared" si="2"/>
        <v>1.125</v>
      </c>
      <c r="L70" s="8">
        <v>0</v>
      </c>
    </row>
    <row r="71" spans="1:12" hidden="1" x14ac:dyDescent="0.25">
      <c r="A71" s="46">
        <v>40693</v>
      </c>
      <c r="B71" s="15" t="s">
        <v>55</v>
      </c>
      <c r="C71" s="44" t="s">
        <v>318</v>
      </c>
      <c r="D71" s="44" t="s">
        <v>233</v>
      </c>
      <c r="E71" s="44" t="s">
        <v>230</v>
      </c>
      <c r="G71" s="44">
        <v>850</v>
      </c>
      <c r="H71" s="44">
        <f t="shared" si="2"/>
        <v>0.42499999999999999</v>
      </c>
      <c r="L71" s="8">
        <v>17.260000000000002</v>
      </c>
    </row>
    <row r="72" spans="1:12" hidden="1" x14ac:dyDescent="0.25">
      <c r="A72" s="46">
        <v>40693</v>
      </c>
      <c r="B72" s="15" t="s">
        <v>55</v>
      </c>
      <c r="C72" s="44" t="s">
        <v>318</v>
      </c>
      <c r="D72" s="44" t="s">
        <v>69</v>
      </c>
      <c r="E72" s="44" t="s">
        <v>230</v>
      </c>
      <c r="G72" s="44">
        <v>3500</v>
      </c>
      <c r="H72" s="44">
        <f t="shared" si="2"/>
        <v>1.75</v>
      </c>
      <c r="L72" s="8">
        <v>182</v>
      </c>
    </row>
    <row r="73" spans="1:12" hidden="1" x14ac:dyDescent="0.25">
      <c r="A73" s="46">
        <v>40693</v>
      </c>
      <c r="B73" s="15" t="s">
        <v>55</v>
      </c>
      <c r="C73" s="44" t="s">
        <v>318</v>
      </c>
      <c r="D73" s="44" t="s">
        <v>232</v>
      </c>
      <c r="E73" s="44" t="s">
        <v>230</v>
      </c>
      <c r="G73" s="44">
        <v>1530</v>
      </c>
      <c r="H73" s="44">
        <f t="shared" si="2"/>
        <v>0.76500000000000001</v>
      </c>
      <c r="L73" s="8">
        <v>42.08</v>
      </c>
    </row>
    <row r="74" spans="1:12" hidden="1" x14ac:dyDescent="0.25">
      <c r="A74" s="46">
        <v>40693</v>
      </c>
      <c r="B74" s="44" t="s">
        <v>41</v>
      </c>
      <c r="C74" s="44" t="s">
        <v>320</v>
      </c>
      <c r="D74" s="44" t="s">
        <v>70</v>
      </c>
      <c r="E74" s="44" t="s">
        <v>230</v>
      </c>
      <c r="G74" s="44">
        <v>5020</v>
      </c>
      <c r="H74" s="44">
        <f t="shared" si="2"/>
        <v>2.5099999999999998</v>
      </c>
      <c r="L74" s="8">
        <v>105.42</v>
      </c>
    </row>
    <row r="75" spans="1:12" hidden="1" x14ac:dyDescent="0.25">
      <c r="A75" s="46">
        <v>40693</v>
      </c>
      <c r="B75" s="15" t="s">
        <v>55</v>
      </c>
      <c r="C75" s="15" t="s">
        <v>231</v>
      </c>
      <c r="D75" s="44" t="s">
        <v>234</v>
      </c>
      <c r="E75" s="44" t="s">
        <v>230</v>
      </c>
      <c r="G75" s="44">
        <v>720</v>
      </c>
      <c r="H75" s="44">
        <f t="shared" si="2"/>
        <v>0.36</v>
      </c>
      <c r="L75" s="8">
        <v>25.6</v>
      </c>
    </row>
    <row r="76" spans="1:12" hidden="1" x14ac:dyDescent="0.25">
      <c r="A76" s="46">
        <v>40693</v>
      </c>
      <c r="B76" s="15" t="s">
        <v>55</v>
      </c>
      <c r="C76" s="44" t="s">
        <v>318</v>
      </c>
      <c r="D76" s="44" t="s">
        <v>232</v>
      </c>
      <c r="E76" s="44" t="s">
        <v>230</v>
      </c>
      <c r="G76" s="44">
        <v>1320</v>
      </c>
      <c r="H76" s="44">
        <f t="shared" si="2"/>
        <v>0.66</v>
      </c>
    </row>
    <row r="77" spans="1:12" hidden="1" x14ac:dyDescent="0.25">
      <c r="A77" s="46">
        <v>40724</v>
      </c>
      <c r="B77" s="15" t="s">
        <v>55</v>
      </c>
      <c r="C77" s="44" t="s">
        <v>318</v>
      </c>
      <c r="D77" s="44" t="s">
        <v>233</v>
      </c>
      <c r="E77" s="44" t="s">
        <v>230</v>
      </c>
      <c r="G77" s="44">
        <v>3690</v>
      </c>
      <c r="H77" s="44">
        <f t="shared" si="2"/>
        <v>1.845</v>
      </c>
      <c r="L77" s="8">
        <v>71.959999999999994</v>
      </c>
    </row>
    <row r="78" spans="1:12" hidden="1" x14ac:dyDescent="0.25">
      <c r="A78" s="46">
        <v>40724</v>
      </c>
      <c r="B78" s="15" t="s">
        <v>55</v>
      </c>
      <c r="C78" s="44" t="s">
        <v>318</v>
      </c>
      <c r="D78" s="44" t="s">
        <v>56</v>
      </c>
      <c r="E78" s="44" t="s">
        <v>230</v>
      </c>
      <c r="G78" s="44">
        <v>21720</v>
      </c>
      <c r="H78" s="44">
        <f t="shared" si="2"/>
        <v>10.86</v>
      </c>
      <c r="L78" s="8">
        <v>1129.44</v>
      </c>
    </row>
    <row r="79" spans="1:12" hidden="1" x14ac:dyDescent="0.25">
      <c r="A79" s="46">
        <v>40724</v>
      </c>
      <c r="B79" s="44" t="s">
        <v>41</v>
      </c>
      <c r="C79" s="44" t="s">
        <v>320</v>
      </c>
      <c r="D79" s="44" t="s">
        <v>70</v>
      </c>
      <c r="E79" s="44" t="s">
        <v>230</v>
      </c>
      <c r="G79" s="44">
        <v>4410</v>
      </c>
      <c r="H79" s="44">
        <f t="shared" si="2"/>
        <v>2.2050000000000001</v>
      </c>
      <c r="L79" s="8">
        <v>92.61</v>
      </c>
    </row>
    <row r="80" spans="1:12" hidden="1" x14ac:dyDescent="0.25">
      <c r="A80" s="46">
        <v>40724</v>
      </c>
      <c r="B80" s="15" t="s">
        <v>55</v>
      </c>
      <c r="C80" s="15" t="s">
        <v>231</v>
      </c>
      <c r="D80" s="44" t="s">
        <v>231</v>
      </c>
      <c r="E80" s="44" t="s">
        <v>230</v>
      </c>
      <c r="G80" s="44">
        <v>960</v>
      </c>
      <c r="H80" s="44">
        <f t="shared" si="2"/>
        <v>0.48</v>
      </c>
      <c r="L80" s="8">
        <v>0</v>
      </c>
    </row>
    <row r="81" spans="1:15" hidden="1" x14ac:dyDescent="0.25">
      <c r="A81" s="15">
        <v>40749</v>
      </c>
      <c r="B81" s="15" t="s">
        <v>49</v>
      </c>
      <c r="C81" s="15" t="s">
        <v>50</v>
      </c>
      <c r="D81" s="15" t="s">
        <v>50</v>
      </c>
      <c r="E81" s="44" t="s">
        <v>51</v>
      </c>
      <c r="G81" s="48">
        <v>7600</v>
      </c>
      <c r="H81" s="44">
        <f t="shared" si="2"/>
        <v>3.8</v>
      </c>
      <c r="I81" s="49">
        <f>J81/H81</f>
        <v>57.894736842105267</v>
      </c>
      <c r="J81" s="8">
        <v>220</v>
      </c>
      <c r="K81" s="8">
        <v>0</v>
      </c>
      <c r="L81" s="8">
        <v>220</v>
      </c>
      <c r="M81" s="9">
        <v>3243308</v>
      </c>
      <c r="N81" s="10">
        <v>148606</v>
      </c>
      <c r="O81" s="15">
        <v>40749</v>
      </c>
    </row>
    <row r="82" spans="1:15" hidden="1" x14ac:dyDescent="0.25">
      <c r="A82" s="46">
        <v>40754</v>
      </c>
      <c r="B82" s="15" t="s">
        <v>55</v>
      </c>
      <c r="C82" s="44" t="s">
        <v>318</v>
      </c>
      <c r="D82" s="44" t="s">
        <v>56</v>
      </c>
      <c r="E82" s="44" t="s">
        <v>230</v>
      </c>
      <c r="G82" s="44">
        <v>1160</v>
      </c>
      <c r="H82" s="44">
        <f t="shared" si="2"/>
        <v>0.57999999999999996</v>
      </c>
      <c r="L82" s="8">
        <v>63.8</v>
      </c>
    </row>
    <row r="83" spans="1:15" hidden="1" x14ac:dyDescent="0.25">
      <c r="A83" s="46">
        <v>40754</v>
      </c>
      <c r="B83" s="44" t="s">
        <v>41</v>
      </c>
      <c r="C83" s="44" t="s">
        <v>320</v>
      </c>
      <c r="D83" s="44" t="s">
        <v>70</v>
      </c>
      <c r="E83" s="44" t="s">
        <v>230</v>
      </c>
      <c r="G83" s="44">
        <v>2200</v>
      </c>
      <c r="H83" s="44">
        <f t="shared" si="2"/>
        <v>1.1000000000000001</v>
      </c>
      <c r="L83" s="8">
        <v>51.15</v>
      </c>
    </row>
    <row r="84" spans="1:15" hidden="1" x14ac:dyDescent="0.25">
      <c r="A84" s="46">
        <v>40754</v>
      </c>
      <c r="B84" s="15" t="s">
        <v>55</v>
      </c>
      <c r="C84" s="15" t="s">
        <v>231</v>
      </c>
      <c r="D84" s="44" t="s">
        <v>231</v>
      </c>
      <c r="E84" s="44" t="s">
        <v>230</v>
      </c>
      <c r="G84" s="44">
        <v>340</v>
      </c>
      <c r="H84" s="44">
        <f t="shared" si="2"/>
        <v>0.17</v>
      </c>
      <c r="L84" s="8">
        <v>0</v>
      </c>
    </row>
    <row r="85" spans="1:15" hidden="1" x14ac:dyDescent="0.25">
      <c r="A85" s="15">
        <v>40754</v>
      </c>
      <c r="B85" s="44" t="s">
        <v>52</v>
      </c>
      <c r="C85" s="15" t="s">
        <v>50</v>
      </c>
      <c r="D85" s="15" t="s">
        <v>50</v>
      </c>
      <c r="E85" s="44" t="s">
        <v>51</v>
      </c>
      <c r="G85" s="48">
        <v>7300</v>
      </c>
      <c r="H85" s="44">
        <f t="shared" si="2"/>
        <v>3.65</v>
      </c>
      <c r="I85" s="49">
        <f>J85/H85</f>
        <v>100</v>
      </c>
      <c r="J85" s="8">
        <v>365</v>
      </c>
      <c r="K85" s="8">
        <v>0</v>
      </c>
      <c r="L85" s="8">
        <v>365</v>
      </c>
      <c r="M85" s="9">
        <v>3242825</v>
      </c>
      <c r="N85" s="10">
        <v>148611</v>
      </c>
      <c r="O85" s="15">
        <v>40770</v>
      </c>
    </row>
    <row r="86" spans="1:15" hidden="1" x14ac:dyDescent="0.25">
      <c r="A86" s="15">
        <v>40765</v>
      </c>
      <c r="B86" s="15" t="s">
        <v>49</v>
      </c>
      <c r="C86" s="15" t="s">
        <v>50</v>
      </c>
      <c r="D86" s="15" t="s">
        <v>50</v>
      </c>
      <c r="E86" s="44" t="s">
        <v>51</v>
      </c>
      <c r="G86" s="10">
        <v>7400</v>
      </c>
      <c r="H86" s="44">
        <f t="shared" si="2"/>
        <v>3.7</v>
      </c>
      <c r="I86" s="49">
        <f>J86/H86</f>
        <v>100</v>
      </c>
      <c r="J86" s="8">
        <v>370</v>
      </c>
      <c r="K86" s="8">
        <v>0</v>
      </c>
      <c r="L86" s="8">
        <v>370</v>
      </c>
      <c r="M86" s="11">
        <v>3245837</v>
      </c>
      <c r="N86" s="12">
        <v>158720</v>
      </c>
      <c r="O86" s="50">
        <v>41213</v>
      </c>
    </row>
    <row r="87" spans="1:15" hidden="1" x14ac:dyDescent="0.25">
      <c r="A87" s="15">
        <v>40784</v>
      </c>
      <c r="B87" s="15" t="s">
        <v>49</v>
      </c>
      <c r="C87" s="15" t="s">
        <v>50</v>
      </c>
      <c r="D87" s="15" t="s">
        <v>50</v>
      </c>
      <c r="E87" s="44" t="s">
        <v>51</v>
      </c>
      <c r="G87" s="10">
        <v>8220</v>
      </c>
      <c r="H87" s="44">
        <f t="shared" si="2"/>
        <v>4.1100000000000003</v>
      </c>
      <c r="I87" s="49">
        <f>J87/H87</f>
        <v>99.999999999999986</v>
      </c>
      <c r="J87" s="8">
        <v>411</v>
      </c>
      <c r="K87" s="8">
        <v>0</v>
      </c>
      <c r="L87" s="8">
        <v>411</v>
      </c>
      <c r="M87" s="9">
        <v>3244752</v>
      </c>
      <c r="N87" s="10"/>
      <c r="O87" s="10"/>
    </row>
    <row r="88" spans="1:15" hidden="1" x14ac:dyDescent="0.25">
      <c r="A88" s="46">
        <v>40785</v>
      </c>
      <c r="B88" s="15" t="s">
        <v>55</v>
      </c>
      <c r="C88" s="44" t="s">
        <v>318</v>
      </c>
      <c r="D88" s="44" t="s">
        <v>56</v>
      </c>
      <c r="E88" s="44" t="s">
        <v>230</v>
      </c>
      <c r="G88" s="44">
        <v>4390</v>
      </c>
      <c r="H88" s="44">
        <f t="shared" si="2"/>
        <v>2.1949999999999998</v>
      </c>
      <c r="L88" s="8">
        <v>254.62</v>
      </c>
    </row>
    <row r="89" spans="1:15" hidden="1" x14ac:dyDescent="0.25">
      <c r="A89" s="46">
        <v>40785</v>
      </c>
      <c r="B89" s="44" t="s">
        <v>41</v>
      </c>
      <c r="C89" s="44" t="s">
        <v>318</v>
      </c>
      <c r="D89" s="44" t="s">
        <v>235</v>
      </c>
      <c r="E89" s="44" t="s">
        <v>230</v>
      </c>
      <c r="G89" s="44">
        <v>10045</v>
      </c>
      <c r="H89" s="44">
        <f t="shared" si="2"/>
        <v>5.0225</v>
      </c>
      <c r="L89" s="8">
        <v>326.45999999999998</v>
      </c>
    </row>
    <row r="90" spans="1:15" hidden="1" x14ac:dyDescent="0.25">
      <c r="A90" s="46">
        <v>40785</v>
      </c>
      <c r="B90" s="15" t="s">
        <v>55</v>
      </c>
      <c r="C90" s="44" t="s">
        <v>320</v>
      </c>
      <c r="D90" s="44" t="s">
        <v>70</v>
      </c>
      <c r="E90" s="44" t="s">
        <v>230</v>
      </c>
      <c r="G90" s="44">
        <v>505</v>
      </c>
      <c r="H90" s="44">
        <f t="shared" si="2"/>
        <v>0.2525</v>
      </c>
      <c r="L90" s="8">
        <v>12.5</v>
      </c>
    </row>
    <row r="91" spans="1:15" hidden="1" x14ac:dyDescent="0.25">
      <c r="A91" s="46">
        <v>40785</v>
      </c>
      <c r="B91" s="15" t="s">
        <v>55</v>
      </c>
      <c r="C91" s="15" t="s">
        <v>231</v>
      </c>
      <c r="D91" s="44" t="s">
        <v>231</v>
      </c>
      <c r="E91" s="44" t="s">
        <v>230</v>
      </c>
      <c r="G91" s="44">
        <v>50</v>
      </c>
      <c r="H91" s="44">
        <f t="shared" si="2"/>
        <v>2.5000000000000001E-2</v>
      </c>
      <c r="L91" s="8">
        <v>0</v>
      </c>
    </row>
    <row r="92" spans="1:15" hidden="1" x14ac:dyDescent="0.25">
      <c r="A92" s="46">
        <v>40785</v>
      </c>
      <c r="B92" s="44" t="s">
        <v>53</v>
      </c>
      <c r="C92" s="15" t="s">
        <v>50</v>
      </c>
      <c r="D92" s="44" t="s">
        <v>50</v>
      </c>
      <c r="E92" s="44" t="s">
        <v>54</v>
      </c>
      <c r="G92" s="44">
        <v>2446</v>
      </c>
      <c r="H92" s="44">
        <f t="shared" si="2"/>
        <v>1.2230000000000001</v>
      </c>
    </row>
    <row r="93" spans="1:15" hidden="1" x14ac:dyDescent="0.25">
      <c r="A93" s="15">
        <v>40803</v>
      </c>
      <c r="B93" s="15" t="s">
        <v>55</v>
      </c>
      <c r="C93" s="44" t="s">
        <v>318</v>
      </c>
      <c r="D93" s="15" t="s">
        <v>56</v>
      </c>
      <c r="E93" s="44" t="s">
        <v>51</v>
      </c>
      <c r="G93" s="10">
        <v>10150</v>
      </c>
      <c r="H93" s="44">
        <f t="shared" si="2"/>
        <v>5.0750000000000002</v>
      </c>
      <c r="I93" s="49">
        <f>J93/H93</f>
        <v>125.00098522167487</v>
      </c>
      <c r="J93" s="8">
        <v>634.38</v>
      </c>
      <c r="K93" s="8">
        <v>0</v>
      </c>
      <c r="L93" s="8">
        <v>634.38</v>
      </c>
      <c r="M93" s="9">
        <v>3245832</v>
      </c>
      <c r="N93" s="12">
        <v>158720</v>
      </c>
      <c r="O93" s="50">
        <v>41213</v>
      </c>
    </row>
    <row r="94" spans="1:15" hidden="1" x14ac:dyDescent="0.25">
      <c r="A94" s="15">
        <v>40803</v>
      </c>
      <c r="B94" s="15" t="s">
        <v>55</v>
      </c>
      <c r="C94" s="44" t="s">
        <v>320</v>
      </c>
      <c r="D94" s="15" t="s">
        <v>57</v>
      </c>
      <c r="E94" s="44" t="s">
        <v>51</v>
      </c>
      <c r="G94" s="10">
        <v>200</v>
      </c>
      <c r="H94" s="44">
        <f t="shared" si="2"/>
        <v>0.1</v>
      </c>
      <c r="I94" s="49">
        <f>J94/H94</f>
        <v>100</v>
      </c>
      <c r="J94" s="8">
        <v>10</v>
      </c>
      <c r="K94" s="8">
        <v>0</v>
      </c>
      <c r="L94" s="8">
        <v>10</v>
      </c>
      <c r="M94" s="9">
        <v>3245832</v>
      </c>
      <c r="N94" s="12">
        <v>158720</v>
      </c>
      <c r="O94" s="50">
        <v>41213</v>
      </c>
    </row>
    <row r="95" spans="1:15" hidden="1" x14ac:dyDescent="0.25">
      <c r="A95" s="15">
        <v>40806</v>
      </c>
      <c r="B95" s="15" t="s">
        <v>49</v>
      </c>
      <c r="C95" s="15" t="s">
        <v>50</v>
      </c>
      <c r="D95" s="15" t="s">
        <v>50</v>
      </c>
      <c r="E95" s="44" t="s">
        <v>51</v>
      </c>
      <c r="G95" s="10">
        <v>8040</v>
      </c>
      <c r="H95" s="44">
        <f t="shared" si="2"/>
        <v>4.0199999999999996</v>
      </c>
      <c r="I95" s="49">
        <f>J95/H95</f>
        <v>100.00000000000001</v>
      </c>
      <c r="J95" s="8">
        <v>402</v>
      </c>
      <c r="K95" s="8">
        <v>0</v>
      </c>
      <c r="L95" s="8">
        <v>402</v>
      </c>
      <c r="M95" s="9">
        <v>3245835</v>
      </c>
      <c r="N95" s="12">
        <v>158720</v>
      </c>
      <c r="O95" s="50">
        <v>41213</v>
      </c>
    </row>
    <row r="96" spans="1:15" hidden="1" x14ac:dyDescent="0.25">
      <c r="A96" s="46">
        <v>40816</v>
      </c>
      <c r="B96" s="44" t="s">
        <v>53</v>
      </c>
      <c r="C96" s="15" t="s">
        <v>50</v>
      </c>
      <c r="D96" s="44" t="s">
        <v>50</v>
      </c>
      <c r="E96" s="44" t="s">
        <v>54</v>
      </c>
      <c r="G96" s="44">
        <v>2436</v>
      </c>
      <c r="H96" s="44">
        <f t="shared" si="2"/>
        <v>1.218</v>
      </c>
    </row>
    <row r="97" spans="1:15" x14ac:dyDescent="0.25">
      <c r="A97" s="46">
        <v>40823</v>
      </c>
      <c r="B97" s="44" t="s">
        <v>41</v>
      </c>
      <c r="C97" s="44" t="s">
        <v>58</v>
      </c>
      <c r="D97" s="44" t="s">
        <v>58</v>
      </c>
      <c r="E97" s="44" t="s">
        <v>59</v>
      </c>
      <c r="G97" s="44">
        <v>336</v>
      </c>
      <c r="H97" s="44">
        <f t="shared" si="2"/>
        <v>0.16800000000000001</v>
      </c>
    </row>
    <row r="98" spans="1:15" hidden="1" x14ac:dyDescent="0.25">
      <c r="A98" s="15">
        <v>40830</v>
      </c>
      <c r="B98" s="15" t="s">
        <v>49</v>
      </c>
      <c r="C98" s="15" t="s">
        <v>50</v>
      </c>
      <c r="D98" s="15" t="s">
        <v>50</v>
      </c>
      <c r="E98" s="44" t="s">
        <v>51</v>
      </c>
      <c r="G98" s="10">
        <v>8920</v>
      </c>
      <c r="H98" s="44">
        <f t="shared" ref="H98:H109" si="3">G98/2000</f>
        <v>4.46</v>
      </c>
      <c r="I98" s="49">
        <f>J98/H98</f>
        <v>100</v>
      </c>
      <c r="J98" s="8">
        <v>446</v>
      </c>
      <c r="K98" s="8">
        <v>0</v>
      </c>
      <c r="L98" s="8">
        <v>446</v>
      </c>
      <c r="M98" s="9">
        <v>3245834</v>
      </c>
      <c r="N98" s="12">
        <v>158720</v>
      </c>
      <c r="O98" s="50">
        <v>41213</v>
      </c>
    </row>
    <row r="99" spans="1:15" hidden="1" x14ac:dyDescent="0.25">
      <c r="A99" s="15">
        <v>40834</v>
      </c>
      <c r="B99" s="15" t="s">
        <v>55</v>
      </c>
      <c r="C99" s="44" t="s">
        <v>318</v>
      </c>
      <c r="D99" s="15" t="s">
        <v>56</v>
      </c>
      <c r="E99" s="44" t="s">
        <v>51</v>
      </c>
      <c r="G99" s="10">
        <v>12530</v>
      </c>
      <c r="H99" s="44">
        <f t="shared" si="3"/>
        <v>6.2649999999999997</v>
      </c>
      <c r="I99" s="49">
        <f>J99/H99</f>
        <v>125.00079808459698</v>
      </c>
      <c r="J99" s="8">
        <v>783.13</v>
      </c>
      <c r="K99" s="8">
        <v>0</v>
      </c>
      <c r="L99" s="8">
        <v>783.13</v>
      </c>
      <c r="M99" s="9">
        <v>3245833</v>
      </c>
      <c r="N99" s="12">
        <v>158720</v>
      </c>
      <c r="O99" s="50">
        <v>41213</v>
      </c>
    </row>
    <row r="100" spans="1:15" hidden="1" x14ac:dyDescent="0.25">
      <c r="A100" s="15">
        <v>40834</v>
      </c>
      <c r="B100" s="15" t="s">
        <v>55</v>
      </c>
      <c r="C100" s="44" t="s">
        <v>320</v>
      </c>
      <c r="D100" s="15" t="s">
        <v>57</v>
      </c>
      <c r="E100" s="44" t="s">
        <v>51</v>
      </c>
      <c r="G100" s="10">
        <v>250</v>
      </c>
      <c r="H100" s="44">
        <f t="shared" si="3"/>
        <v>0.125</v>
      </c>
      <c r="I100" s="49">
        <f>J100/H100</f>
        <v>100</v>
      </c>
      <c r="J100" s="8">
        <v>12.5</v>
      </c>
      <c r="K100" s="8">
        <v>0</v>
      </c>
      <c r="L100" s="8">
        <v>12.5</v>
      </c>
      <c r="M100" s="9">
        <v>3245833</v>
      </c>
      <c r="N100" s="12">
        <v>158720</v>
      </c>
      <c r="O100" s="50">
        <v>41213</v>
      </c>
    </row>
    <row r="101" spans="1:15" hidden="1" x14ac:dyDescent="0.25">
      <c r="A101" s="15">
        <v>40835</v>
      </c>
      <c r="B101" s="15" t="s">
        <v>49</v>
      </c>
      <c r="C101" s="15" t="s">
        <v>50</v>
      </c>
      <c r="D101" s="15" t="s">
        <v>50</v>
      </c>
      <c r="E101" s="44" t="s">
        <v>51</v>
      </c>
      <c r="G101" s="10">
        <v>2080</v>
      </c>
      <c r="H101" s="44">
        <f t="shared" si="3"/>
        <v>1.04</v>
      </c>
      <c r="I101" s="49">
        <f>J101/H101</f>
        <v>100</v>
      </c>
      <c r="J101" s="8">
        <v>104</v>
      </c>
      <c r="K101" s="8">
        <v>0</v>
      </c>
      <c r="L101" s="8">
        <v>104</v>
      </c>
      <c r="M101" s="9">
        <v>3245836</v>
      </c>
      <c r="N101" s="12">
        <v>158720</v>
      </c>
      <c r="O101" s="50">
        <v>41213</v>
      </c>
    </row>
    <row r="102" spans="1:15" hidden="1" x14ac:dyDescent="0.25">
      <c r="A102" s="15">
        <v>40840</v>
      </c>
      <c r="B102" s="15" t="s">
        <v>60</v>
      </c>
      <c r="C102" s="15" t="s">
        <v>50</v>
      </c>
      <c r="D102" s="15" t="s">
        <v>50</v>
      </c>
      <c r="E102" s="44" t="s">
        <v>51</v>
      </c>
      <c r="G102" s="10">
        <v>8660</v>
      </c>
      <c r="H102" s="44">
        <f t="shared" si="3"/>
        <v>4.33</v>
      </c>
      <c r="I102" s="49">
        <f>J102/H102</f>
        <v>100</v>
      </c>
      <c r="J102" s="8">
        <v>433</v>
      </c>
      <c r="K102" s="8">
        <v>0</v>
      </c>
      <c r="L102" s="8">
        <v>433</v>
      </c>
      <c r="M102" s="9">
        <v>3245838</v>
      </c>
      <c r="N102" s="12">
        <v>158720</v>
      </c>
      <c r="O102" s="50">
        <v>41213</v>
      </c>
    </row>
    <row r="103" spans="1:15" hidden="1" x14ac:dyDescent="0.25">
      <c r="A103" s="46">
        <v>40846</v>
      </c>
      <c r="B103" s="44" t="s">
        <v>53</v>
      </c>
      <c r="C103" s="15" t="s">
        <v>50</v>
      </c>
      <c r="D103" s="44" t="s">
        <v>50</v>
      </c>
      <c r="E103" s="44" t="s">
        <v>54</v>
      </c>
      <c r="G103" s="44">
        <v>2812</v>
      </c>
      <c r="H103" s="44">
        <f t="shared" si="3"/>
        <v>1.4059999999999999</v>
      </c>
    </row>
    <row r="104" spans="1:15" hidden="1" x14ac:dyDescent="0.25">
      <c r="A104" s="15">
        <v>40850</v>
      </c>
      <c r="B104" s="15" t="s">
        <v>49</v>
      </c>
      <c r="C104" s="15" t="s">
        <v>50</v>
      </c>
      <c r="D104" s="15" t="s">
        <v>50</v>
      </c>
      <c r="E104" s="44" t="s">
        <v>51</v>
      </c>
      <c r="G104" s="48">
        <v>5320</v>
      </c>
      <c r="H104" s="44">
        <f t="shared" si="3"/>
        <v>2.66</v>
      </c>
      <c r="I104" s="49">
        <f>J104/H104</f>
        <v>59.999999999999993</v>
      </c>
      <c r="J104" s="8">
        <v>159.6</v>
      </c>
      <c r="K104" s="8">
        <v>0</v>
      </c>
      <c r="L104" s="8">
        <v>159.6</v>
      </c>
      <c r="M104" s="9">
        <v>3246107</v>
      </c>
      <c r="N104" s="10">
        <v>162991</v>
      </c>
      <c r="O104" s="50">
        <v>41223</v>
      </c>
    </row>
    <row r="105" spans="1:15" hidden="1" x14ac:dyDescent="0.25">
      <c r="A105" s="15">
        <v>40864</v>
      </c>
      <c r="B105" s="15" t="s">
        <v>55</v>
      </c>
      <c r="C105" s="44" t="s">
        <v>318</v>
      </c>
      <c r="D105" s="15" t="s">
        <v>56</v>
      </c>
      <c r="E105" s="44" t="s">
        <v>51</v>
      </c>
      <c r="G105" s="48">
        <v>3865</v>
      </c>
      <c r="H105" s="44">
        <f t="shared" si="3"/>
        <v>1.9325000000000001</v>
      </c>
      <c r="I105" s="49">
        <f>J105/H105</f>
        <v>50.002587322121599</v>
      </c>
      <c r="J105" s="8">
        <v>96.63</v>
      </c>
      <c r="K105" s="8">
        <v>0</v>
      </c>
      <c r="L105" s="8">
        <v>96.63</v>
      </c>
      <c r="M105" s="9">
        <v>3246455</v>
      </c>
      <c r="N105" s="10">
        <v>162991</v>
      </c>
      <c r="O105" s="50">
        <v>41241</v>
      </c>
    </row>
    <row r="106" spans="1:15" hidden="1" x14ac:dyDescent="0.25">
      <c r="A106" s="15">
        <v>40864</v>
      </c>
      <c r="B106" s="15" t="s">
        <v>55</v>
      </c>
      <c r="C106" s="44" t="s">
        <v>318</v>
      </c>
      <c r="D106" s="15" t="s">
        <v>61</v>
      </c>
      <c r="E106" s="44" t="s">
        <v>51</v>
      </c>
      <c r="G106" s="48">
        <v>4585</v>
      </c>
      <c r="H106" s="44">
        <f t="shared" si="3"/>
        <v>2.2925</v>
      </c>
      <c r="I106" s="49">
        <f>J106/H106</f>
        <v>50.002181025081789</v>
      </c>
      <c r="J106" s="8">
        <v>114.63</v>
      </c>
      <c r="K106" s="8">
        <v>0</v>
      </c>
      <c r="L106" s="8">
        <v>114.63</v>
      </c>
      <c r="M106" s="9">
        <v>3246455</v>
      </c>
      <c r="N106" s="10">
        <v>162991</v>
      </c>
      <c r="O106" s="50">
        <v>41241</v>
      </c>
    </row>
    <row r="107" spans="1:15" hidden="1" x14ac:dyDescent="0.25">
      <c r="A107" s="15">
        <v>40864</v>
      </c>
      <c r="B107" s="15" t="s">
        <v>55</v>
      </c>
      <c r="C107" s="44" t="s">
        <v>320</v>
      </c>
      <c r="D107" s="15" t="s">
        <v>57</v>
      </c>
      <c r="E107" s="44" t="s">
        <v>51</v>
      </c>
      <c r="G107" s="48">
        <v>130</v>
      </c>
      <c r="H107" s="44">
        <f t="shared" si="3"/>
        <v>6.5000000000000002E-2</v>
      </c>
      <c r="I107" s="49">
        <f>J107/H107</f>
        <v>100</v>
      </c>
      <c r="J107" s="8">
        <v>6.5</v>
      </c>
      <c r="K107" s="8">
        <v>0</v>
      </c>
      <c r="L107" s="8">
        <v>6.5</v>
      </c>
      <c r="M107" s="9">
        <v>3246455</v>
      </c>
      <c r="N107" s="10">
        <v>162991</v>
      </c>
      <c r="O107" s="50">
        <v>41241</v>
      </c>
    </row>
    <row r="108" spans="1:15" hidden="1" x14ac:dyDescent="0.25">
      <c r="A108" s="15">
        <v>40865</v>
      </c>
      <c r="B108" s="15" t="s">
        <v>49</v>
      </c>
      <c r="C108" s="15" t="s">
        <v>50</v>
      </c>
      <c r="D108" s="15" t="s">
        <v>50</v>
      </c>
      <c r="E108" s="44" t="s">
        <v>51</v>
      </c>
      <c r="G108" s="48">
        <v>6640</v>
      </c>
      <c r="H108" s="44">
        <f t="shared" si="3"/>
        <v>3.32</v>
      </c>
      <c r="I108" s="49">
        <f>J108/H108</f>
        <v>60</v>
      </c>
      <c r="J108" s="8">
        <v>199.2</v>
      </c>
      <c r="K108" s="8">
        <v>0</v>
      </c>
      <c r="L108" s="8">
        <v>199.2</v>
      </c>
      <c r="M108" s="9">
        <v>3246350</v>
      </c>
      <c r="N108" s="10">
        <v>162991</v>
      </c>
      <c r="O108" s="50">
        <v>41234</v>
      </c>
    </row>
    <row r="109" spans="1:15" x14ac:dyDescent="0.25">
      <c r="A109" s="46">
        <v>40869</v>
      </c>
      <c r="B109" s="44" t="s">
        <v>41</v>
      </c>
      <c r="C109" s="44" t="s">
        <v>58</v>
      </c>
      <c r="D109" s="44" t="s">
        <v>58</v>
      </c>
      <c r="E109" s="44" t="s">
        <v>59</v>
      </c>
      <c r="G109" s="44">
        <v>336</v>
      </c>
      <c r="H109" s="44">
        <f t="shared" si="3"/>
        <v>0.16800000000000001</v>
      </c>
    </row>
    <row r="110" spans="1:15" hidden="1" x14ac:dyDescent="0.25">
      <c r="A110" s="46">
        <v>40877</v>
      </c>
      <c r="B110" s="44" t="s">
        <v>53</v>
      </c>
      <c r="C110" s="15" t="s">
        <v>50</v>
      </c>
      <c r="D110" s="44" t="s">
        <v>50</v>
      </c>
      <c r="E110" s="44" t="s">
        <v>54</v>
      </c>
      <c r="G110" s="44">
        <v>3178</v>
      </c>
      <c r="H110" s="44">
        <f t="shared" ref="H110:H123" si="4">G110/2000</f>
        <v>1.589</v>
      </c>
    </row>
    <row r="111" spans="1:15" hidden="1" x14ac:dyDescent="0.25">
      <c r="A111" s="15">
        <v>40890</v>
      </c>
      <c r="B111" s="15" t="s">
        <v>49</v>
      </c>
      <c r="C111" s="15" t="s">
        <v>50</v>
      </c>
      <c r="D111" s="15" t="s">
        <v>50</v>
      </c>
      <c r="E111" s="44" t="s">
        <v>51</v>
      </c>
      <c r="G111" s="10">
        <v>6680</v>
      </c>
      <c r="H111" s="44">
        <f t="shared" si="4"/>
        <v>3.34</v>
      </c>
      <c r="I111" s="49">
        <f>J111/H111</f>
        <v>45.000000000000007</v>
      </c>
      <c r="J111" s="8">
        <v>150.30000000000001</v>
      </c>
      <c r="K111" s="8">
        <v>0</v>
      </c>
      <c r="L111" s="8">
        <v>150.30000000000001</v>
      </c>
      <c r="M111" s="9">
        <v>3246881</v>
      </c>
      <c r="N111" s="10">
        <v>163757</v>
      </c>
      <c r="O111" s="50">
        <v>41256</v>
      </c>
    </row>
    <row r="112" spans="1:15" hidden="1" x14ac:dyDescent="0.25">
      <c r="A112" s="46">
        <v>40907</v>
      </c>
      <c r="B112" s="44" t="s">
        <v>53</v>
      </c>
      <c r="C112" s="15" t="s">
        <v>50</v>
      </c>
      <c r="D112" s="44" t="s">
        <v>50</v>
      </c>
      <c r="E112" s="44" t="s">
        <v>54</v>
      </c>
      <c r="G112" s="44">
        <v>2030</v>
      </c>
      <c r="H112" s="44">
        <f t="shared" si="4"/>
        <v>1.0149999999999999</v>
      </c>
    </row>
    <row r="113" spans="1:16" hidden="1" x14ac:dyDescent="0.25">
      <c r="A113" s="46">
        <v>40908</v>
      </c>
      <c r="B113" s="44" t="s">
        <v>41</v>
      </c>
      <c r="C113" s="44" t="s">
        <v>3</v>
      </c>
      <c r="D113" s="44" t="s">
        <v>43</v>
      </c>
      <c r="E113" s="44" t="s">
        <v>44</v>
      </c>
      <c r="G113" s="44">
        <v>1542</v>
      </c>
      <c r="H113" s="44">
        <f t="shared" si="4"/>
        <v>0.77100000000000002</v>
      </c>
    </row>
    <row r="114" spans="1:16" hidden="1" x14ac:dyDescent="0.25">
      <c r="A114" s="46">
        <v>40908</v>
      </c>
      <c r="B114" s="44" t="s">
        <v>45</v>
      </c>
      <c r="C114" s="44" t="s">
        <v>330</v>
      </c>
      <c r="D114" s="44" t="s">
        <v>46</v>
      </c>
      <c r="E114" s="44" t="s">
        <v>47</v>
      </c>
      <c r="F114" s="44" t="s">
        <v>62</v>
      </c>
      <c r="G114" s="44">
        <f>40*569</f>
        <v>22760</v>
      </c>
      <c r="H114" s="44">
        <f t="shared" si="4"/>
        <v>11.38</v>
      </c>
      <c r="L114" s="8">
        <v>5690</v>
      </c>
    </row>
    <row r="115" spans="1:16" hidden="1" x14ac:dyDescent="0.25">
      <c r="A115" s="46">
        <v>40908</v>
      </c>
      <c r="B115" s="44" t="s">
        <v>342</v>
      </c>
      <c r="C115" s="44" t="s">
        <v>6</v>
      </c>
      <c r="D115" s="44" t="s">
        <v>344</v>
      </c>
      <c r="E115" s="44" t="s">
        <v>343</v>
      </c>
      <c r="F115" s="44">
        <v>111</v>
      </c>
      <c r="G115" s="61">
        <f>350*F115</f>
        <v>38850</v>
      </c>
      <c r="H115" s="47">
        <f t="shared" si="4"/>
        <v>19.425000000000001</v>
      </c>
    </row>
    <row r="116" spans="1:16" hidden="1" x14ac:dyDescent="0.25">
      <c r="A116" s="46">
        <v>40908</v>
      </c>
      <c r="B116" s="44" t="s">
        <v>342</v>
      </c>
      <c r="C116" s="44" t="s">
        <v>319</v>
      </c>
      <c r="D116" s="44" t="s">
        <v>345</v>
      </c>
      <c r="E116" s="44" t="s">
        <v>343</v>
      </c>
      <c r="F116" s="44">
        <v>50</v>
      </c>
      <c r="G116" s="61">
        <f>350*F116</f>
        <v>17500</v>
      </c>
      <c r="H116" s="47">
        <f t="shared" si="4"/>
        <v>8.75</v>
      </c>
    </row>
    <row r="117" spans="1:16" hidden="1" x14ac:dyDescent="0.25">
      <c r="A117" s="46">
        <v>40911</v>
      </c>
      <c r="B117" s="44" t="s">
        <v>41</v>
      </c>
      <c r="C117" s="44" t="s">
        <v>3</v>
      </c>
      <c r="D117" s="44" t="s">
        <v>3</v>
      </c>
      <c r="E117" s="44" t="s">
        <v>63</v>
      </c>
      <c r="G117" s="44">
        <v>4293</v>
      </c>
      <c r="H117" s="44">
        <f t="shared" si="4"/>
        <v>2.1465000000000001</v>
      </c>
      <c r="I117" s="47"/>
      <c r="P117" s="44" t="s">
        <v>64</v>
      </c>
    </row>
    <row r="118" spans="1:16" hidden="1" x14ac:dyDescent="0.25">
      <c r="A118" s="15">
        <v>40912</v>
      </c>
      <c r="B118" s="15" t="s">
        <v>55</v>
      </c>
      <c r="C118" s="44" t="s">
        <v>318</v>
      </c>
      <c r="D118" s="15" t="s">
        <v>86</v>
      </c>
      <c r="E118" s="44" t="s">
        <v>51</v>
      </c>
      <c r="G118" s="48">
        <v>860</v>
      </c>
      <c r="H118" s="44">
        <f t="shared" si="4"/>
        <v>0.43</v>
      </c>
      <c r="I118" s="49">
        <f>J118/H118</f>
        <v>5</v>
      </c>
      <c r="J118" s="8">
        <v>2.15</v>
      </c>
      <c r="K118" s="8">
        <v>0</v>
      </c>
      <c r="L118" s="8">
        <v>2.15</v>
      </c>
      <c r="M118" s="11">
        <v>3247415</v>
      </c>
      <c r="N118" s="12">
        <v>167496</v>
      </c>
      <c r="O118" s="50">
        <v>40913</v>
      </c>
    </row>
    <row r="119" spans="1:16" hidden="1" x14ac:dyDescent="0.25">
      <c r="A119" s="15">
        <v>40912</v>
      </c>
      <c r="B119" s="15" t="s">
        <v>55</v>
      </c>
      <c r="C119" s="44" t="s">
        <v>318</v>
      </c>
      <c r="D119" s="15" t="s">
        <v>56</v>
      </c>
      <c r="E119" s="44" t="s">
        <v>51</v>
      </c>
      <c r="G119" s="48">
        <v>5355</v>
      </c>
      <c r="H119" s="44">
        <f t="shared" si="4"/>
        <v>2.6775000000000002</v>
      </c>
      <c r="I119" s="49">
        <f>J119/H119</f>
        <v>30.001867413632116</v>
      </c>
      <c r="J119" s="8">
        <v>80.33</v>
      </c>
      <c r="K119" s="8">
        <v>0</v>
      </c>
      <c r="L119" s="8">
        <v>80.33</v>
      </c>
      <c r="M119" s="9">
        <v>3247415</v>
      </c>
      <c r="N119" s="12">
        <v>167496</v>
      </c>
      <c r="O119" s="50">
        <v>40913</v>
      </c>
    </row>
    <row r="120" spans="1:16" hidden="1" x14ac:dyDescent="0.25">
      <c r="A120" s="15">
        <v>40912</v>
      </c>
      <c r="B120" s="15" t="s">
        <v>55</v>
      </c>
      <c r="C120" s="44" t="s">
        <v>318</v>
      </c>
      <c r="D120" s="15" t="s">
        <v>61</v>
      </c>
      <c r="E120" s="44" t="s">
        <v>51</v>
      </c>
      <c r="G120" s="48">
        <v>7180</v>
      </c>
      <c r="H120" s="44">
        <f t="shared" si="4"/>
        <v>3.59</v>
      </c>
      <c r="I120" s="49">
        <f>J120/H120</f>
        <v>20</v>
      </c>
      <c r="J120" s="8">
        <v>71.8</v>
      </c>
      <c r="K120" s="8">
        <v>0</v>
      </c>
      <c r="L120" s="8">
        <v>71.8</v>
      </c>
      <c r="M120" s="11">
        <v>3247415</v>
      </c>
      <c r="N120" s="12">
        <v>167496</v>
      </c>
      <c r="O120" s="50">
        <v>40913</v>
      </c>
    </row>
    <row r="121" spans="1:16" hidden="1" x14ac:dyDescent="0.25">
      <c r="A121" s="15">
        <v>40912</v>
      </c>
      <c r="B121" s="15" t="s">
        <v>55</v>
      </c>
      <c r="C121" s="44" t="s">
        <v>320</v>
      </c>
      <c r="D121" s="15" t="s">
        <v>57</v>
      </c>
      <c r="E121" s="44" t="s">
        <v>51</v>
      </c>
      <c r="G121" s="48">
        <v>585</v>
      </c>
      <c r="H121" s="44">
        <f t="shared" si="4"/>
        <v>0.29249999999999998</v>
      </c>
      <c r="I121" s="49">
        <f>J121/H121</f>
        <v>70.017094017094024</v>
      </c>
      <c r="J121" s="8">
        <v>20.48</v>
      </c>
      <c r="K121" s="8">
        <v>0</v>
      </c>
      <c r="L121" s="8">
        <v>20.48</v>
      </c>
      <c r="M121" s="11">
        <v>3247415</v>
      </c>
      <c r="N121" s="12">
        <v>167496</v>
      </c>
      <c r="O121" s="50">
        <v>40913</v>
      </c>
    </row>
    <row r="122" spans="1:16" hidden="1" x14ac:dyDescent="0.25">
      <c r="A122" s="15">
        <v>40924</v>
      </c>
      <c r="B122" s="15" t="s">
        <v>49</v>
      </c>
      <c r="C122" s="15" t="s">
        <v>50</v>
      </c>
      <c r="D122" s="15" t="s">
        <v>50</v>
      </c>
      <c r="E122" s="44" t="s">
        <v>51</v>
      </c>
      <c r="G122" s="10">
        <v>8800</v>
      </c>
      <c r="H122" s="44">
        <f t="shared" si="4"/>
        <v>4.4000000000000004</v>
      </c>
      <c r="I122" s="49">
        <f>J122/H122</f>
        <v>44.999999999999993</v>
      </c>
      <c r="J122" s="8">
        <v>198</v>
      </c>
      <c r="K122" s="8">
        <v>0</v>
      </c>
      <c r="L122" s="8">
        <v>198</v>
      </c>
      <c r="M122" s="9">
        <v>3247660</v>
      </c>
      <c r="N122" s="10">
        <v>168277</v>
      </c>
      <c r="O122" s="15">
        <v>40924</v>
      </c>
    </row>
    <row r="123" spans="1:16" x14ac:dyDescent="0.25">
      <c r="A123" s="46">
        <v>40926</v>
      </c>
      <c r="B123" s="44" t="s">
        <v>41</v>
      </c>
      <c r="C123" s="44" t="s">
        <v>58</v>
      </c>
      <c r="D123" s="44" t="s">
        <v>58</v>
      </c>
      <c r="E123" s="44" t="s">
        <v>59</v>
      </c>
      <c r="G123" s="44">
        <v>336</v>
      </c>
      <c r="H123" s="44">
        <f t="shared" si="4"/>
        <v>0.16800000000000001</v>
      </c>
    </row>
    <row r="124" spans="1:16" hidden="1" x14ac:dyDescent="0.25">
      <c r="A124" s="46">
        <v>40938</v>
      </c>
      <c r="B124" s="44" t="s">
        <v>53</v>
      </c>
      <c r="C124" s="15" t="s">
        <v>50</v>
      </c>
      <c r="D124" s="44" t="s">
        <v>50</v>
      </c>
      <c r="E124" s="44" t="s">
        <v>54</v>
      </c>
      <c r="G124" s="44">
        <v>7347</v>
      </c>
      <c r="H124" s="44">
        <f t="shared" ref="H124:H138" si="5">G124/2000</f>
        <v>3.6735000000000002</v>
      </c>
    </row>
    <row r="125" spans="1:16" hidden="1" x14ac:dyDescent="0.25">
      <c r="A125" s="15">
        <v>40938</v>
      </c>
      <c r="B125" s="10" t="s">
        <v>55</v>
      </c>
      <c r="C125" s="44" t="s">
        <v>318</v>
      </c>
      <c r="D125" s="15" t="s">
        <v>56</v>
      </c>
      <c r="E125" s="44" t="s">
        <v>51</v>
      </c>
      <c r="G125" s="10">
        <f>5255+225</f>
        <v>5480</v>
      </c>
      <c r="H125" s="44">
        <f t="shared" si="5"/>
        <v>2.74</v>
      </c>
      <c r="I125" s="49">
        <f t="shared" ref="I125:I137" si="6">J125/H125</f>
        <v>70.003649635036496</v>
      </c>
      <c r="J125" s="8">
        <f>183.93+7.88</f>
        <v>191.81</v>
      </c>
      <c r="K125" s="8">
        <v>0</v>
      </c>
      <c r="L125" s="8">
        <f>183.93+7.88</f>
        <v>191.81</v>
      </c>
      <c r="M125" s="9">
        <v>3248171</v>
      </c>
      <c r="N125" s="10">
        <v>169357</v>
      </c>
      <c r="O125" s="10"/>
    </row>
    <row r="126" spans="1:16" hidden="1" x14ac:dyDescent="0.25">
      <c r="A126" s="15">
        <v>40938</v>
      </c>
      <c r="B126" s="10" t="s">
        <v>55</v>
      </c>
      <c r="C126" s="44" t="s">
        <v>320</v>
      </c>
      <c r="D126" s="15" t="s">
        <v>57</v>
      </c>
      <c r="E126" s="44" t="s">
        <v>51</v>
      </c>
      <c r="G126" s="10">
        <v>840</v>
      </c>
      <c r="H126" s="44">
        <f t="shared" si="5"/>
        <v>0.42</v>
      </c>
      <c r="I126" s="49">
        <f t="shared" si="6"/>
        <v>60</v>
      </c>
      <c r="J126" s="8">
        <v>25.2</v>
      </c>
      <c r="K126" s="8">
        <v>0</v>
      </c>
      <c r="L126" s="8">
        <v>25.2</v>
      </c>
      <c r="M126" s="9">
        <v>3248171</v>
      </c>
      <c r="N126" s="10">
        <v>169357</v>
      </c>
      <c r="O126" s="10"/>
    </row>
    <row r="127" spans="1:16" hidden="1" x14ac:dyDescent="0.25">
      <c r="A127" s="15">
        <v>40938</v>
      </c>
      <c r="B127" s="10" t="s">
        <v>55</v>
      </c>
      <c r="C127" s="44" t="s">
        <v>318</v>
      </c>
      <c r="D127" s="10" t="s">
        <v>61</v>
      </c>
      <c r="E127" s="44" t="s">
        <v>51</v>
      </c>
      <c r="G127" s="10">
        <v>1800</v>
      </c>
      <c r="H127" s="44">
        <f t="shared" si="5"/>
        <v>0.9</v>
      </c>
      <c r="I127" s="49">
        <f t="shared" si="6"/>
        <v>50</v>
      </c>
      <c r="J127" s="8">
        <v>45</v>
      </c>
      <c r="K127" s="8">
        <v>0</v>
      </c>
      <c r="L127" s="8">
        <v>45</v>
      </c>
      <c r="M127" s="9">
        <v>3248171</v>
      </c>
      <c r="N127" s="10">
        <v>169357</v>
      </c>
      <c r="O127" s="10"/>
    </row>
    <row r="128" spans="1:16" hidden="1" x14ac:dyDescent="0.25">
      <c r="A128" s="15">
        <v>40940</v>
      </c>
      <c r="B128" s="15" t="s">
        <v>60</v>
      </c>
      <c r="C128" s="15" t="s">
        <v>50</v>
      </c>
      <c r="D128" s="15" t="s">
        <v>50</v>
      </c>
      <c r="E128" s="44" t="s">
        <v>51</v>
      </c>
      <c r="G128" s="10">
        <v>8220</v>
      </c>
      <c r="H128" s="44">
        <f t="shared" si="5"/>
        <v>4.1100000000000003</v>
      </c>
      <c r="I128" s="49">
        <f t="shared" si="6"/>
        <v>59.999999999999993</v>
      </c>
      <c r="J128" s="8">
        <v>246.6</v>
      </c>
      <c r="K128" s="8">
        <v>0</v>
      </c>
      <c r="L128" s="8">
        <v>246.6</v>
      </c>
      <c r="M128" s="9">
        <v>477823</v>
      </c>
      <c r="N128" s="10">
        <v>169275</v>
      </c>
      <c r="O128" s="15">
        <v>40940</v>
      </c>
    </row>
    <row r="129" spans="1:15" hidden="1" x14ac:dyDescent="0.25">
      <c r="A129" s="15">
        <v>40941</v>
      </c>
      <c r="B129" s="10" t="s">
        <v>49</v>
      </c>
      <c r="C129" s="15" t="s">
        <v>50</v>
      </c>
      <c r="D129" s="15" t="s">
        <v>50</v>
      </c>
      <c r="E129" s="44" t="s">
        <v>51</v>
      </c>
      <c r="G129" s="10">
        <v>7040</v>
      </c>
      <c r="H129" s="44">
        <f t="shared" si="5"/>
        <v>3.52</v>
      </c>
      <c r="I129" s="49">
        <f t="shared" si="6"/>
        <v>60</v>
      </c>
      <c r="J129" s="8">
        <v>211.2</v>
      </c>
      <c r="K129" s="8">
        <v>0</v>
      </c>
      <c r="L129" s="8">
        <v>211.2</v>
      </c>
      <c r="M129" s="9">
        <v>477824</v>
      </c>
      <c r="N129" s="10">
        <v>169275</v>
      </c>
      <c r="O129" s="15">
        <v>40940</v>
      </c>
    </row>
    <row r="130" spans="1:15" hidden="1" x14ac:dyDescent="0.25">
      <c r="A130" s="15">
        <v>40942</v>
      </c>
      <c r="B130" s="10" t="s">
        <v>65</v>
      </c>
      <c r="C130" s="44" t="s">
        <v>4</v>
      </c>
      <c r="D130" s="10" t="s">
        <v>66</v>
      </c>
      <c r="E130" s="44" t="s">
        <v>51</v>
      </c>
      <c r="G130" s="10">
        <v>1620</v>
      </c>
      <c r="H130" s="44">
        <f t="shared" si="5"/>
        <v>0.81</v>
      </c>
      <c r="I130" s="49">
        <f t="shared" si="6"/>
        <v>499.99999999999994</v>
      </c>
      <c r="J130" s="8">
        <v>405</v>
      </c>
      <c r="K130" s="8">
        <v>0</v>
      </c>
      <c r="L130" s="8">
        <v>405</v>
      </c>
      <c r="M130" s="9">
        <v>477898</v>
      </c>
      <c r="N130" s="10">
        <v>171458</v>
      </c>
      <c r="O130" s="15">
        <v>41029</v>
      </c>
    </row>
    <row r="131" spans="1:15" hidden="1" x14ac:dyDescent="0.25">
      <c r="A131" s="15">
        <v>40942</v>
      </c>
      <c r="B131" s="10" t="s">
        <v>67</v>
      </c>
      <c r="C131" s="44" t="s">
        <v>4</v>
      </c>
      <c r="D131" s="10" t="s">
        <v>68</v>
      </c>
      <c r="E131" s="44" t="s">
        <v>51</v>
      </c>
      <c r="G131" s="10">
        <v>320</v>
      </c>
      <c r="H131" s="44">
        <f t="shared" si="5"/>
        <v>0.16</v>
      </c>
      <c r="I131" s="49">
        <f t="shared" si="6"/>
        <v>1100</v>
      </c>
      <c r="J131" s="8">
        <v>176</v>
      </c>
      <c r="K131" s="8">
        <v>0</v>
      </c>
      <c r="L131" s="8">
        <v>176</v>
      </c>
      <c r="M131" s="9">
        <v>477898</v>
      </c>
      <c r="N131" s="10">
        <v>171458</v>
      </c>
      <c r="O131" s="15">
        <v>41029</v>
      </c>
    </row>
    <row r="132" spans="1:15" hidden="1" x14ac:dyDescent="0.25">
      <c r="A132" s="15">
        <v>40954</v>
      </c>
      <c r="B132" s="10" t="s">
        <v>55</v>
      </c>
      <c r="C132" s="44" t="s">
        <v>318</v>
      </c>
      <c r="D132" s="15" t="s">
        <v>69</v>
      </c>
      <c r="E132" s="44" t="s">
        <v>51</v>
      </c>
      <c r="G132" s="10">
        <v>6735</v>
      </c>
      <c r="H132" s="44">
        <f t="shared" si="5"/>
        <v>3.3675000000000002</v>
      </c>
      <c r="I132" s="49">
        <f t="shared" si="6"/>
        <v>100</v>
      </c>
      <c r="J132" s="8">
        <v>336.75</v>
      </c>
      <c r="K132" s="8">
        <v>0</v>
      </c>
      <c r="L132" s="8">
        <v>336.75</v>
      </c>
      <c r="M132" s="9">
        <v>478505</v>
      </c>
      <c r="N132" s="10">
        <v>171820</v>
      </c>
      <c r="O132" s="15">
        <v>40974</v>
      </c>
    </row>
    <row r="133" spans="1:15" hidden="1" x14ac:dyDescent="0.25">
      <c r="A133" s="15">
        <v>40954</v>
      </c>
      <c r="B133" s="10" t="s">
        <v>55</v>
      </c>
      <c r="C133" s="44" t="s">
        <v>320</v>
      </c>
      <c r="D133" s="10" t="s">
        <v>70</v>
      </c>
      <c r="E133" s="44" t="s">
        <v>51</v>
      </c>
      <c r="G133" s="10">
        <v>160</v>
      </c>
      <c r="H133" s="44">
        <f t="shared" si="5"/>
        <v>0.08</v>
      </c>
      <c r="I133" s="49">
        <f t="shared" si="6"/>
        <v>60</v>
      </c>
      <c r="J133" s="8">
        <v>4.8</v>
      </c>
      <c r="K133" s="8">
        <v>0</v>
      </c>
      <c r="L133" s="8">
        <v>4.8</v>
      </c>
      <c r="M133" s="9">
        <v>478505</v>
      </c>
      <c r="N133" s="10">
        <v>171820</v>
      </c>
      <c r="O133" s="15">
        <v>40974</v>
      </c>
    </row>
    <row r="134" spans="1:15" hidden="1" x14ac:dyDescent="0.25">
      <c r="A134" s="15">
        <v>40954</v>
      </c>
      <c r="B134" s="10" t="s">
        <v>55</v>
      </c>
      <c r="C134" s="10" t="s">
        <v>1</v>
      </c>
      <c r="D134" s="10" t="s">
        <v>71</v>
      </c>
      <c r="E134" s="44" t="s">
        <v>51</v>
      </c>
      <c r="G134" s="10">
        <v>1405</v>
      </c>
      <c r="H134" s="44">
        <f t="shared" si="5"/>
        <v>0.70250000000000001</v>
      </c>
      <c r="I134" s="49">
        <f t="shared" si="6"/>
        <v>-50.035587188612098</v>
      </c>
      <c r="J134" s="8">
        <v>-35.15</v>
      </c>
      <c r="K134" s="8">
        <v>0</v>
      </c>
      <c r="L134" s="8">
        <v>-35.15</v>
      </c>
      <c r="M134" s="9">
        <v>478505</v>
      </c>
      <c r="N134" s="10">
        <v>171820</v>
      </c>
      <c r="O134" s="15">
        <v>40974</v>
      </c>
    </row>
    <row r="135" spans="1:15" hidden="1" x14ac:dyDescent="0.25">
      <c r="A135" s="15">
        <v>40954</v>
      </c>
      <c r="B135" s="10" t="s">
        <v>55</v>
      </c>
      <c r="C135" s="15" t="s">
        <v>231</v>
      </c>
      <c r="D135" s="10" t="s">
        <v>72</v>
      </c>
      <c r="E135" s="44" t="s">
        <v>51</v>
      </c>
      <c r="G135" s="10">
        <v>40</v>
      </c>
      <c r="H135" s="44">
        <f t="shared" si="5"/>
        <v>0.02</v>
      </c>
      <c r="I135" s="49">
        <f t="shared" si="6"/>
        <v>100</v>
      </c>
      <c r="J135" s="8">
        <v>2</v>
      </c>
      <c r="K135" s="8">
        <v>0</v>
      </c>
      <c r="L135" s="8">
        <v>2</v>
      </c>
      <c r="M135" s="9">
        <v>478505</v>
      </c>
      <c r="N135" s="10">
        <v>171820</v>
      </c>
      <c r="O135" s="15">
        <v>40974</v>
      </c>
    </row>
    <row r="136" spans="1:15" hidden="1" x14ac:dyDescent="0.25">
      <c r="A136" s="15">
        <v>40954</v>
      </c>
      <c r="B136" s="10" t="s">
        <v>55</v>
      </c>
      <c r="C136" s="44" t="s">
        <v>318</v>
      </c>
      <c r="D136" s="10" t="s">
        <v>61</v>
      </c>
      <c r="E136" s="44" t="s">
        <v>51</v>
      </c>
      <c r="G136" s="10">
        <v>760</v>
      </c>
      <c r="H136" s="44">
        <f t="shared" si="5"/>
        <v>0.38</v>
      </c>
      <c r="I136" s="49">
        <f t="shared" si="6"/>
        <v>80</v>
      </c>
      <c r="J136" s="8">
        <v>30.4</v>
      </c>
      <c r="K136" s="8">
        <v>0</v>
      </c>
      <c r="L136" s="8">
        <v>30.4</v>
      </c>
      <c r="M136" s="9">
        <v>478505</v>
      </c>
      <c r="N136" s="10">
        <v>171820</v>
      </c>
      <c r="O136" s="15">
        <v>40974</v>
      </c>
    </row>
    <row r="137" spans="1:15" hidden="1" x14ac:dyDescent="0.25">
      <c r="A137" s="15">
        <v>40966</v>
      </c>
      <c r="B137" s="10" t="s">
        <v>49</v>
      </c>
      <c r="C137" s="15" t="s">
        <v>50</v>
      </c>
      <c r="D137" s="10" t="s">
        <v>50</v>
      </c>
      <c r="E137" s="44" t="s">
        <v>51</v>
      </c>
      <c r="G137" s="10">
        <v>7720</v>
      </c>
      <c r="H137" s="44">
        <f t="shared" si="5"/>
        <v>3.86</v>
      </c>
      <c r="I137" s="49">
        <f t="shared" si="6"/>
        <v>60</v>
      </c>
      <c r="J137" s="8">
        <v>231.6</v>
      </c>
      <c r="K137" s="8">
        <v>0</v>
      </c>
      <c r="L137" s="8">
        <v>231.6</v>
      </c>
      <c r="M137" s="9">
        <v>478317</v>
      </c>
      <c r="N137" s="10">
        <v>171052</v>
      </c>
      <c r="O137" s="15">
        <v>41018</v>
      </c>
    </row>
    <row r="138" spans="1:15" x14ac:dyDescent="0.25">
      <c r="A138" s="46">
        <v>40967</v>
      </c>
      <c r="B138" s="44" t="s">
        <v>41</v>
      </c>
      <c r="C138" s="44" t="s">
        <v>58</v>
      </c>
      <c r="D138" s="44" t="s">
        <v>58</v>
      </c>
      <c r="E138" s="44" t="s">
        <v>59</v>
      </c>
      <c r="G138" s="44">
        <v>336</v>
      </c>
      <c r="H138" s="44">
        <f t="shared" si="5"/>
        <v>0.16800000000000001</v>
      </c>
    </row>
    <row r="139" spans="1:15" hidden="1" x14ac:dyDescent="0.25">
      <c r="A139" s="46">
        <v>40967</v>
      </c>
      <c r="B139" s="44" t="s">
        <v>53</v>
      </c>
      <c r="C139" s="15" t="s">
        <v>50</v>
      </c>
      <c r="D139" s="44" t="s">
        <v>50</v>
      </c>
      <c r="E139" s="44" t="s">
        <v>54</v>
      </c>
      <c r="G139" s="44">
        <v>7347</v>
      </c>
      <c r="H139" s="44">
        <f t="shared" ref="H139:H151" si="7">G139/2000</f>
        <v>3.6735000000000002</v>
      </c>
    </row>
    <row r="140" spans="1:15" hidden="1" x14ac:dyDescent="0.25">
      <c r="A140" s="15">
        <v>40968</v>
      </c>
      <c r="B140" s="10" t="s">
        <v>55</v>
      </c>
      <c r="C140" s="44" t="s">
        <v>318</v>
      </c>
      <c r="D140" s="15" t="s">
        <v>56</v>
      </c>
      <c r="E140" s="44" t="s">
        <v>51</v>
      </c>
      <c r="G140" s="10">
        <v>14525</v>
      </c>
      <c r="H140" s="44">
        <f t="shared" si="7"/>
        <v>7.2625000000000002</v>
      </c>
      <c r="I140" s="49">
        <f t="shared" ref="I140:I149" si="8">J140/H140</f>
        <v>100</v>
      </c>
      <c r="J140" s="8">
        <v>726.25</v>
      </c>
      <c r="K140" s="8">
        <v>0</v>
      </c>
      <c r="L140" s="8">
        <v>726.25</v>
      </c>
      <c r="M140" s="9">
        <v>478146</v>
      </c>
      <c r="N140" s="10">
        <v>171820</v>
      </c>
      <c r="O140" s="15">
        <v>40973</v>
      </c>
    </row>
    <row r="141" spans="1:15" hidden="1" x14ac:dyDescent="0.25">
      <c r="A141" s="15">
        <v>40968</v>
      </c>
      <c r="B141" s="10" t="s">
        <v>55</v>
      </c>
      <c r="C141" s="44" t="s">
        <v>320</v>
      </c>
      <c r="D141" s="15" t="s">
        <v>57</v>
      </c>
      <c r="E141" s="44" t="s">
        <v>51</v>
      </c>
      <c r="G141" s="10">
        <v>615</v>
      </c>
      <c r="H141" s="44">
        <f t="shared" si="7"/>
        <v>0.3075</v>
      </c>
      <c r="I141" s="49">
        <f t="shared" si="8"/>
        <v>60</v>
      </c>
      <c r="J141" s="8">
        <v>18.45</v>
      </c>
      <c r="K141" s="8">
        <v>0</v>
      </c>
      <c r="L141" s="8">
        <v>18.45</v>
      </c>
      <c r="M141" s="9">
        <v>478146</v>
      </c>
      <c r="N141" s="10">
        <v>171820</v>
      </c>
      <c r="O141" s="15">
        <v>40973</v>
      </c>
    </row>
    <row r="142" spans="1:15" hidden="1" x14ac:dyDescent="0.25">
      <c r="A142" s="15">
        <v>40968</v>
      </c>
      <c r="B142" s="16" t="s">
        <v>55</v>
      </c>
      <c r="C142" s="44" t="s">
        <v>318</v>
      </c>
      <c r="D142" s="10" t="s">
        <v>61</v>
      </c>
      <c r="E142" s="44" t="s">
        <v>51</v>
      </c>
      <c r="G142" s="10">
        <v>5055</v>
      </c>
      <c r="H142" s="44">
        <f t="shared" si="7"/>
        <v>2.5274999999999999</v>
      </c>
      <c r="I142" s="49">
        <f t="shared" si="8"/>
        <v>80</v>
      </c>
      <c r="J142" s="8">
        <v>202.2</v>
      </c>
      <c r="K142" s="8">
        <v>0</v>
      </c>
      <c r="L142" s="8">
        <v>202.2</v>
      </c>
      <c r="M142" s="9">
        <v>478146</v>
      </c>
      <c r="N142" s="10">
        <v>171820</v>
      </c>
      <c r="O142" s="15">
        <v>40973</v>
      </c>
    </row>
    <row r="143" spans="1:15" hidden="1" x14ac:dyDescent="0.25">
      <c r="A143" s="15">
        <v>40968</v>
      </c>
      <c r="B143" s="16" t="s">
        <v>55</v>
      </c>
      <c r="C143" s="10" t="s">
        <v>1</v>
      </c>
      <c r="D143" s="10" t="s">
        <v>71</v>
      </c>
      <c r="E143" s="44" t="s">
        <v>51</v>
      </c>
      <c r="G143" s="10">
        <v>565</v>
      </c>
      <c r="H143" s="44">
        <f t="shared" si="7"/>
        <v>0.28249999999999997</v>
      </c>
      <c r="I143" s="49">
        <f t="shared" si="8"/>
        <v>-50.017699115044252</v>
      </c>
      <c r="J143" s="8">
        <v>-14.13</v>
      </c>
      <c r="K143" s="8">
        <v>0</v>
      </c>
      <c r="L143" s="8">
        <v>-14.13</v>
      </c>
      <c r="M143" s="9">
        <v>478146</v>
      </c>
      <c r="N143" s="10">
        <v>171820</v>
      </c>
      <c r="O143" s="15">
        <v>40973</v>
      </c>
    </row>
    <row r="144" spans="1:15" hidden="1" x14ac:dyDescent="0.25">
      <c r="A144" s="15">
        <v>40968</v>
      </c>
      <c r="B144" s="16" t="s">
        <v>55</v>
      </c>
      <c r="C144" s="15" t="s">
        <v>231</v>
      </c>
      <c r="D144" s="10" t="s">
        <v>72</v>
      </c>
      <c r="E144" s="44" t="s">
        <v>51</v>
      </c>
      <c r="G144" s="10">
        <v>180</v>
      </c>
      <c r="H144" s="44">
        <f t="shared" si="7"/>
        <v>0.09</v>
      </c>
      <c r="I144" s="49">
        <f t="shared" si="8"/>
        <v>100</v>
      </c>
      <c r="J144" s="8">
        <v>9</v>
      </c>
      <c r="K144" s="8">
        <v>0</v>
      </c>
      <c r="L144" s="8">
        <v>9</v>
      </c>
      <c r="M144" s="9">
        <v>478146</v>
      </c>
      <c r="N144" s="10">
        <v>171820</v>
      </c>
      <c r="O144" s="15">
        <v>40973</v>
      </c>
    </row>
    <row r="145" spans="1:16" hidden="1" x14ac:dyDescent="0.25">
      <c r="A145" s="15">
        <v>40976</v>
      </c>
      <c r="B145" s="16" t="s">
        <v>55</v>
      </c>
      <c r="C145" s="44" t="s">
        <v>318</v>
      </c>
      <c r="D145" s="15" t="s">
        <v>56</v>
      </c>
      <c r="E145" s="44" t="s">
        <v>51</v>
      </c>
      <c r="G145" s="10">
        <v>1255</v>
      </c>
      <c r="H145" s="44">
        <f t="shared" si="7"/>
        <v>0.62749999999999995</v>
      </c>
      <c r="I145" s="49">
        <f t="shared" si="8"/>
        <v>100.00000000000001</v>
      </c>
      <c r="J145" s="8">
        <v>62.75</v>
      </c>
      <c r="K145" s="8">
        <v>0</v>
      </c>
      <c r="L145" s="8">
        <v>62.75</v>
      </c>
      <c r="M145" s="9">
        <v>478676</v>
      </c>
      <c r="N145" s="10">
        <v>172632</v>
      </c>
      <c r="O145" s="15">
        <v>40983</v>
      </c>
    </row>
    <row r="146" spans="1:16" hidden="1" x14ac:dyDescent="0.25">
      <c r="A146" s="15">
        <v>40976</v>
      </c>
      <c r="B146" s="16" t="s">
        <v>55</v>
      </c>
      <c r="C146" s="44" t="s">
        <v>320</v>
      </c>
      <c r="D146" s="15" t="s">
        <v>57</v>
      </c>
      <c r="E146" s="44" t="s">
        <v>51</v>
      </c>
      <c r="G146" s="10">
        <v>185</v>
      </c>
      <c r="H146" s="44">
        <f t="shared" si="7"/>
        <v>9.2499999999999999E-2</v>
      </c>
      <c r="I146" s="49">
        <f t="shared" si="8"/>
        <v>60</v>
      </c>
      <c r="J146" s="8">
        <v>5.55</v>
      </c>
      <c r="K146" s="8">
        <v>0</v>
      </c>
      <c r="L146" s="8">
        <v>5.55</v>
      </c>
      <c r="M146" s="9">
        <v>478676</v>
      </c>
      <c r="N146" s="10">
        <v>172632</v>
      </c>
      <c r="O146" s="15">
        <v>40983</v>
      </c>
    </row>
    <row r="147" spans="1:16" hidden="1" x14ac:dyDescent="0.25">
      <c r="A147" s="15">
        <v>40976</v>
      </c>
      <c r="B147" s="16" t="s">
        <v>55</v>
      </c>
      <c r="C147" s="44" t="s">
        <v>318</v>
      </c>
      <c r="D147" s="10" t="s">
        <v>61</v>
      </c>
      <c r="E147" s="44" t="s">
        <v>51</v>
      </c>
      <c r="G147" s="10">
        <v>1835</v>
      </c>
      <c r="H147" s="44">
        <f t="shared" si="7"/>
        <v>0.91749999999999998</v>
      </c>
      <c r="I147" s="49">
        <f t="shared" si="8"/>
        <v>80.000000000000014</v>
      </c>
      <c r="J147" s="8">
        <v>73.400000000000006</v>
      </c>
      <c r="K147" s="8">
        <v>0</v>
      </c>
      <c r="L147" s="8">
        <v>73.400000000000006</v>
      </c>
      <c r="M147" s="9">
        <v>478676</v>
      </c>
      <c r="N147" s="10">
        <v>172632</v>
      </c>
      <c r="O147" s="15">
        <v>40983</v>
      </c>
    </row>
    <row r="148" spans="1:16" hidden="1" x14ac:dyDescent="0.25">
      <c r="A148" s="15">
        <v>40976</v>
      </c>
      <c r="B148" s="16" t="s">
        <v>55</v>
      </c>
      <c r="C148" s="10" t="s">
        <v>1</v>
      </c>
      <c r="D148" s="10" t="s">
        <v>71</v>
      </c>
      <c r="E148" s="44" t="s">
        <v>51</v>
      </c>
      <c r="G148" s="10">
        <v>405</v>
      </c>
      <c r="H148" s="44">
        <f t="shared" si="7"/>
        <v>0.20250000000000001</v>
      </c>
      <c r="I148" s="49">
        <f t="shared" si="8"/>
        <v>50.02469135802469</v>
      </c>
      <c r="J148" s="8">
        <v>10.130000000000001</v>
      </c>
      <c r="K148" s="8">
        <v>0</v>
      </c>
      <c r="L148" s="8">
        <v>10.130000000000001</v>
      </c>
      <c r="M148" s="9">
        <v>478676</v>
      </c>
      <c r="N148" s="10">
        <v>172632</v>
      </c>
      <c r="O148" s="15">
        <v>40983</v>
      </c>
    </row>
    <row r="149" spans="1:16" hidden="1" x14ac:dyDescent="0.25">
      <c r="A149" s="18">
        <v>40992</v>
      </c>
      <c r="B149" s="51" t="s">
        <v>49</v>
      </c>
      <c r="C149" s="15" t="s">
        <v>50</v>
      </c>
      <c r="D149" s="19" t="s">
        <v>50</v>
      </c>
      <c r="E149" s="17" t="s">
        <v>51</v>
      </c>
      <c r="F149" s="17"/>
      <c r="G149" s="19">
        <v>6640</v>
      </c>
      <c r="H149" s="17">
        <f t="shared" si="7"/>
        <v>3.32</v>
      </c>
      <c r="I149" s="20">
        <f t="shared" si="8"/>
        <v>35</v>
      </c>
      <c r="J149" s="21">
        <v>116.2</v>
      </c>
      <c r="K149" s="21">
        <v>0</v>
      </c>
      <c r="L149" s="21">
        <v>116.2</v>
      </c>
      <c r="M149" s="22">
        <v>478918</v>
      </c>
      <c r="N149" s="19">
        <v>179250</v>
      </c>
      <c r="O149" s="18">
        <v>40987</v>
      </c>
    </row>
    <row r="150" spans="1:16" hidden="1" x14ac:dyDescent="0.25">
      <c r="A150" s="46">
        <v>40998</v>
      </c>
      <c r="B150" s="44" t="s">
        <v>53</v>
      </c>
      <c r="C150" s="15" t="s">
        <v>50</v>
      </c>
      <c r="D150" s="44" t="s">
        <v>50</v>
      </c>
      <c r="E150" s="44" t="s">
        <v>54</v>
      </c>
      <c r="G150" s="44">
        <v>7347</v>
      </c>
      <c r="H150" s="44">
        <f t="shared" si="7"/>
        <v>3.6735000000000002</v>
      </c>
    </row>
    <row r="151" spans="1:16" x14ac:dyDescent="0.25">
      <c r="A151" s="46">
        <v>41005</v>
      </c>
      <c r="B151" s="44" t="s">
        <v>41</v>
      </c>
      <c r="C151" s="44" t="s">
        <v>58</v>
      </c>
      <c r="D151" s="44" t="s">
        <v>58</v>
      </c>
      <c r="E151" s="44" t="s">
        <v>59</v>
      </c>
      <c r="G151" s="44">
        <v>336</v>
      </c>
      <c r="H151" s="44">
        <f t="shared" si="7"/>
        <v>0.16800000000000001</v>
      </c>
    </row>
    <row r="152" spans="1:16" hidden="1" x14ac:dyDescent="0.25">
      <c r="A152" s="15">
        <v>41005</v>
      </c>
      <c r="B152" s="16" t="s">
        <v>55</v>
      </c>
      <c r="C152" s="44" t="s">
        <v>318</v>
      </c>
      <c r="D152" s="15" t="s">
        <v>56</v>
      </c>
      <c r="E152" s="44" t="s">
        <v>51</v>
      </c>
      <c r="G152" s="10">
        <v>600</v>
      </c>
      <c r="H152" s="44">
        <f t="shared" ref="H152:H164" si="9">G152/2000</f>
        <v>0.3</v>
      </c>
      <c r="I152" s="49">
        <f t="shared" ref="I152:I157" si="10">J152/H152</f>
        <v>100</v>
      </c>
      <c r="J152" s="8">
        <v>30</v>
      </c>
      <c r="K152" s="8">
        <v>0</v>
      </c>
      <c r="L152" s="8">
        <v>30</v>
      </c>
      <c r="M152" s="9">
        <v>37123</v>
      </c>
      <c r="N152" s="10">
        <v>173396</v>
      </c>
      <c r="O152" s="15">
        <v>41050</v>
      </c>
    </row>
    <row r="153" spans="1:16" hidden="1" x14ac:dyDescent="0.25">
      <c r="A153" s="15">
        <v>41005</v>
      </c>
      <c r="B153" s="16" t="s">
        <v>55</v>
      </c>
      <c r="C153" s="44" t="s">
        <v>318</v>
      </c>
      <c r="D153" s="15" t="s">
        <v>56</v>
      </c>
      <c r="E153" s="44" t="s">
        <v>51</v>
      </c>
      <c r="G153" s="10">
        <v>4050</v>
      </c>
      <c r="H153" s="44">
        <f t="shared" si="9"/>
        <v>2.0249999999999999</v>
      </c>
      <c r="I153" s="49">
        <f t="shared" si="10"/>
        <v>100</v>
      </c>
      <c r="J153" s="8">
        <v>202.5</v>
      </c>
      <c r="K153" s="8">
        <v>0</v>
      </c>
      <c r="L153" s="8">
        <v>202.5</v>
      </c>
      <c r="M153" s="9">
        <v>37123</v>
      </c>
      <c r="N153" s="10">
        <v>173396</v>
      </c>
      <c r="O153" s="15">
        <v>41050</v>
      </c>
    </row>
    <row r="154" spans="1:16" hidden="1" x14ac:dyDescent="0.25">
      <c r="A154" s="15">
        <v>41005</v>
      </c>
      <c r="B154" s="16" t="s">
        <v>55</v>
      </c>
      <c r="C154" s="44" t="s">
        <v>318</v>
      </c>
      <c r="D154" s="10" t="s">
        <v>61</v>
      </c>
      <c r="E154" s="44" t="s">
        <v>51</v>
      </c>
      <c r="G154" s="10">
        <v>4960</v>
      </c>
      <c r="H154" s="44">
        <f t="shared" si="9"/>
        <v>2.48</v>
      </c>
      <c r="I154" s="49">
        <f t="shared" si="10"/>
        <v>80</v>
      </c>
      <c r="J154" s="8">
        <v>198.4</v>
      </c>
      <c r="K154" s="8">
        <v>0</v>
      </c>
      <c r="L154" s="8">
        <v>198.4</v>
      </c>
      <c r="M154" s="9">
        <v>37123</v>
      </c>
      <c r="N154" s="10">
        <v>173396</v>
      </c>
      <c r="O154" s="15">
        <v>41050</v>
      </c>
    </row>
    <row r="155" spans="1:16" hidden="1" x14ac:dyDescent="0.25">
      <c r="A155" s="15">
        <v>41005</v>
      </c>
      <c r="B155" s="16" t="s">
        <v>55</v>
      </c>
      <c r="C155" s="15" t="s">
        <v>231</v>
      </c>
      <c r="D155" s="10" t="s">
        <v>72</v>
      </c>
      <c r="E155" s="44" t="s">
        <v>51</v>
      </c>
      <c r="G155" s="10">
        <v>80</v>
      </c>
      <c r="H155" s="44">
        <f t="shared" si="9"/>
        <v>0.04</v>
      </c>
      <c r="I155" s="49">
        <f t="shared" si="10"/>
        <v>100</v>
      </c>
      <c r="J155" s="8">
        <v>4</v>
      </c>
      <c r="K155" s="8">
        <v>0</v>
      </c>
      <c r="L155" s="8">
        <v>4</v>
      </c>
      <c r="M155" s="9">
        <v>37123</v>
      </c>
      <c r="N155" s="10">
        <v>173396</v>
      </c>
      <c r="O155" s="15">
        <v>41050</v>
      </c>
    </row>
    <row r="156" spans="1:16" hidden="1" x14ac:dyDescent="0.25">
      <c r="A156" s="15">
        <v>41005</v>
      </c>
      <c r="B156" s="52" t="s">
        <v>49</v>
      </c>
      <c r="C156" s="15" t="s">
        <v>50</v>
      </c>
      <c r="D156" s="53" t="s">
        <v>50</v>
      </c>
      <c r="E156" s="44" t="s">
        <v>51</v>
      </c>
      <c r="G156" s="10">
        <v>6480</v>
      </c>
      <c r="H156" s="44">
        <f t="shared" si="9"/>
        <v>3.24</v>
      </c>
      <c r="I156" s="49">
        <f t="shared" si="10"/>
        <v>35</v>
      </c>
      <c r="J156" s="8">
        <v>113.4</v>
      </c>
      <c r="K156" s="8">
        <v>0</v>
      </c>
      <c r="L156" s="8">
        <v>113.4</v>
      </c>
      <c r="M156" s="9">
        <v>3249913</v>
      </c>
      <c r="N156" s="10">
        <v>175280</v>
      </c>
      <c r="O156" s="15">
        <v>41034</v>
      </c>
    </row>
    <row r="157" spans="1:16" hidden="1" x14ac:dyDescent="0.25">
      <c r="A157" s="15">
        <v>41022</v>
      </c>
      <c r="B157" s="54" t="s">
        <v>49</v>
      </c>
      <c r="C157" s="15" t="s">
        <v>50</v>
      </c>
      <c r="D157" s="53" t="s">
        <v>50</v>
      </c>
      <c r="E157" s="44" t="s">
        <v>51</v>
      </c>
      <c r="G157" s="10">
        <v>5180</v>
      </c>
      <c r="H157" s="44">
        <f t="shared" si="9"/>
        <v>2.59</v>
      </c>
      <c r="I157" s="49">
        <f t="shared" si="10"/>
        <v>34.301158301158303</v>
      </c>
      <c r="J157" s="8">
        <v>88.84</v>
      </c>
      <c r="K157" s="8">
        <v>0</v>
      </c>
      <c r="L157" s="8">
        <v>88.84</v>
      </c>
      <c r="M157" s="9">
        <v>3250348</v>
      </c>
      <c r="N157" s="10">
        <v>175281</v>
      </c>
      <c r="O157" s="15">
        <v>41034</v>
      </c>
    </row>
    <row r="158" spans="1:16" hidden="1" x14ac:dyDescent="0.25">
      <c r="A158" s="46">
        <v>41029</v>
      </c>
      <c r="B158" s="44" t="s">
        <v>53</v>
      </c>
      <c r="C158" s="15" t="s">
        <v>50</v>
      </c>
      <c r="D158" s="44" t="s">
        <v>50</v>
      </c>
      <c r="E158" s="44" t="s">
        <v>54</v>
      </c>
      <c r="G158" s="55">
        <v>5329</v>
      </c>
      <c r="H158" s="44">
        <f t="shared" si="9"/>
        <v>2.6644999999999999</v>
      </c>
    </row>
    <row r="159" spans="1:16" hidden="1" x14ac:dyDescent="0.25">
      <c r="A159" s="15">
        <v>41034</v>
      </c>
      <c r="B159" s="54" t="s">
        <v>49</v>
      </c>
      <c r="C159" s="15" t="s">
        <v>50</v>
      </c>
      <c r="D159" s="53" t="s">
        <v>50</v>
      </c>
      <c r="E159" s="44" t="s">
        <v>51</v>
      </c>
      <c r="G159" s="10">
        <v>4000</v>
      </c>
      <c r="H159" s="44">
        <f t="shared" si="9"/>
        <v>2</v>
      </c>
      <c r="I159" s="49">
        <f>J159/H159</f>
        <v>0</v>
      </c>
      <c r="K159" s="8">
        <v>0</v>
      </c>
      <c r="M159" s="9"/>
      <c r="N159" s="10"/>
      <c r="O159" s="10"/>
      <c r="P159" s="44" t="s">
        <v>73</v>
      </c>
    </row>
    <row r="160" spans="1:16" hidden="1" x14ac:dyDescent="0.25">
      <c r="A160" s="15">
        <v>41034</v>
      </c>
      <c r="B160" s="54" t="s">
        <v>60</v>
      </c>
      <c r="C160" s="15" t="s">
        <v>50</v>
      </c>
      <c r="D160" s="53" t="s">
        <v>50</v>
      </c>
      <c r="E160" s="44" t="s">
        <v>51</v>
      </c>
      <c r="G160" s="10">
        <v>6000</v>
      </c>
      <c r="H160" s="44">
        <f t="shared" si="9"/>
        <v>3</v>
      </c>
      <c r="I160" s="49">
        <f>J160/H160</f>
        <v>0</v>
      </c>
      <c r="K160" s="8">
        <v>0</v>
      </c>
      <c r="M160" s="9"/>
      <c r="N160" s="10"/>
      <c r="O160" s="10"/>
      <c r="P160" s="44" t="s">
        <v>73</v>
      </c>
    </row>
    <row r="161" spans="1:15" hidden="1" x14ac:dyDescent="0.25">
      <c r="A161" s="15">
        <v>41036</v>
      </c>
      <c r="B161" s="54" t="s">
        <v>74</v>
      </c>
      <c r="C161" s="44" t="s">
        <v>318</v>
      </c>
      <c r="D161" s="15" t="s">
        <v>56</v>
      </c>
      <c r="E161" s="44" t="s">
        <v>51</v>
      </c>
      <c r="G161" s="10">
        <v>4215</v>
      </c>
      <c r="H161" s="44">
        <f t="shared" si="9"/>
        <v>2.1074999999999999</v>
      </c>
      <c r="I161" s="49">
        <f>J161/H161</f>
        <v>80</v>
      </c>
      <c r="J161" s="8">
        <v>168.6</v>
      </c>
      <c r="K161" s="8">
        <v>0</v>
      </c>
      <c r="L161" s="8">
        <v>168.6</v>
      </c>
      <c r="M161" s="9">
        <v>479720</v>
      </c>
      <c r="N161" s="10">
        <v>178260</v>
      </c>
      <c r="O161" s="15">
        <v>41052</v>
      </c>
    </row>
    <row r="162" spans="1:15" hidden="1" x14ac:dyDescent="0.25">
      <c r="A162" s="15">
        <v>41036</v>
      </c>
      <c r="B162" s="54" t="s">
        <v>74</v>
      </c>
      <c r="C162" s="44" t="s">
        <v>320</v>
      </c>
      <c r="D162" s="15" t="s">
        <v>57</v>
      </c>
      <c r="E162" s="44" t="s">
        <v>51</v>
      </c>
      <c r="G162" s="10">
        <v>185</v>
      </c>
      <c r="H162" s="44">
        <f t="shared" si="9"/>
        <v>9.2499999999999999E-2</v>
      </c>
      <c r="I162" s="49">
        <f>J162/H162</f>
        <v>40</v>
      </c>
      <c r="J162" s="8">
        <v>3.7</v>
      </c>
      <c r="K162" s="8">
        <v>0</v>
      </c>
      <c r="L162" s="8">
        <v>3.7</v>
      </c>
      <c r="M162" s="9">
        <v>479720</v>
      </c>
      <c r="N162" s="10">
        <v>178260</v>
      </c>
      <c r="O162" s="15">
        <v>41052</v>
      </c>
    </row>
    <row r="163" spans="1:15" hidden="1" x14ac:dyDescent="0.25">
      <c r="A163" s="15">
        <v>41036</v>
      </c>
      <c r="B163" s="54" t="s">
        <v>74</v>
      </c>
      <c r="C163" s="44" t="s">
        <v>318</v>
      </c>
      <c r="D163" s="10" t="s">
        <v>61</v>
      </c>
      <c r="E163" s="44" t="s">
        <v>51</v>
      </c>
      <c r="G163" s="10">
        <v>1285</v>
      </c>
      <c r="H163" s="44">
        <f t="shared" si="9"/>
        <v>0.64249999999999996</v>
      </c>
      <c r="I163" s="49">
        <f>J163/H163</f>
        <v>60</v>
      </c>
      <c r="J163" s="8">
        <v>38.549999999999997</v>
      </c>
      <c r="K163" s="8">
        <v>0</v>
      </c>
      <c r="L163" s="8">
        <v>38.549999999999997</v>
      </c>
      <c r="M163" s="9">
        <v>479720</v>
      </c>
      <c r="N163" s="10">
        <v>178260</v>
      </c>
      <c r="O163" s="15">
        <v>41052</v>
      </c>
    </row>
    <row r="164" spans="1:15" x14ac:dyDescent="0.25">
      <c r="A164" s="46">
        <v>41037</v>
      </c>
      <c r="B164" s="44" t="s">
        <v>41</v>
      </c>
      <c r="C164" s="44" t="s">
        <v>58</v>
      </c>
      <c r="D164" s="44" t="s">
        <v>58</v>
      </c>
      <c r="E164" s="44" t="s">
        <v>59</v>
      </c>
      <c r="G164" s="44">
        <v>336</v>
      </c>
      <c r="H164" s="44">
        <f t="shared" si="9"/>
        <v>0.16800000000000001</v>
      </c>
    </row>
    <row r="165" spans="1:15" hidden="1" x14ac:dyDescent="0.25">
      <c r="A165" s="15">
        <v>41058</v>
      </c>
      <c r="B165" s="54" t="s">
        <v>49</v>
      </c>
      <c r="C165" s="15" t="s">
        <v>50</v>
      </c>
      <c r="D165" s="53" t="s">
        <v>50</v>
      </c>
      <c r="E165" s="44" t="s">
        <v>51</v>
      </c>
      <c r="G165" s="10">
        <v>7760</v>
      </c>
      <c r="H165" s="44">
        <f>G165/2000</f>
        <v>3.88</v>
      </c>
      <c r="I165" s="49">
        <f>J165/H165</f>
        <v>35.000000000000007</v>
      </c>
      <c r="J165" s="8">
        <v>135.80000000000001</v>
      </c>
      <c r="K165" s="8">
        <v>0</v>
      </c>
      <c r="L165" s="8">
        <v>135.80000000000001</v>
      </c>
      <c r="M165" s="9">
        <v>481609</v>
      </c>
      <c r="N165" s="10">
        <v>178670</v>
      </c>
      <c r="O165" s="15">
        <v>41058</v>
      </c>
    </row>
    <row r="166" spans="1:15" hidden="1" x14ac:dyDescent="0.25">
      <c r="A166" s="46">
        <v>41059</v>
      </c>
      <c r="B166" s="44" t="s">
        <v>53</v>
      </c>
      <c r="C166" s="15" t="s">
        <v>50</v>
      </c>
      <c r="D166" s="44" t="s">
        <v>50</v>
      </c>
      <c r="E166" s="44" t="s">
        <v>54</v>
      </c>
      <c r="G166" s="55">
        <v>5329</v>
      </c>
      <c r="H166" s="44">
        <f>G166/2000</f>
        <v>2.6644999999999999</v>
      </c>
    </row>
    <row r="167" spans="1:15" hidden="1" x14ac:dyDescent="0.25">
      <c r="A167" s="46">
        <v>41066</v>
      </c>
      <c r="B167" s="44" t="s">
        <v>41</v>
      </c>
      <c r="C167" s="44" t="s">
        <v>3</v>
      </c>
      <c r="D167" s="44" t="s">
        <v>3</v>
      </c>
      <c r="E167" s="44" t="s">
        <v>42</v>
      </c>
      <c r="G167" s="44">
        <v>5000</v>
      </c>
      <c r="H167" s="44">
        <f>G167/2000</f>
        <v>2.5</v>
      </c>
      <c r="I167" s="47"/>
    </row>
    <row r="168" spans="1:15" hidden="1" x14ac:dyDescent="0.25">
      <c r="A168" s="15">
        <v>41067</v>
      </c>
      <c r="B168" s="54" t="s">
        <v>74</v>
      </c>
      <c r="C168" s="44" t="s">
        <v>318</v>
      </c>
      <c r="D168" s="15" t="s">
        <v>56</v>
      </c>
      <c r="E168" s="44" t="s">
        <v>51</v>
      </c>
      <c r="G168" s="10">
        <v>8815</v>
      </c>
      <c r="H168" s="44">
        <f>G168/2000</f>
        <v>4.4074999999999998</v>
      </c>
      <c r="I168" s="49">
        <f>J168/H168</f>
        <v>80.000000000000014</v>
      </c>
      <c r="J168" s="8">
        <v>352.6</v>
      </c>
      <c r="K168" s="8">
        <v>0</v>
      </c>
      <c r="L168" s="8">
        <v>352.6</v>
      </c>
      <c r="M168" s="9">
        <v>481897</v>
      </c>
      <c r="N168" s="10">
        <v>180424</v>
      </c>
      <c r="O168" s="15">
        <v>41071</v>
      </c>
    </row>
    <row r="169" spans="1:15" hidden="1" x14ac:dyDescent="0.25">
      <c r="A169" s="15">
        <v>41067</v>
      </c>
      <c r="B169" s="54" t="s">
        <v>74</v>
      </c>
      <c r="C169" s="44" t="s">
        <v>320</v>
      </c>
      <c r="D169" s="15" t="s">
        <v>57</v>
      </c>
      <c r="E169" s="44" t="s">
        <v>51</v>
      </c>
      <c r="G169" s="10">
        <v>55</v>
      </c>
      <c r="H169" s="44">
        <f>G169/2000</f>
        <v>2.75E-2</v>
      </c>
      <c r="I169" s="49">
        <f>J169/H169</f>
        <v>30.18181818181818</v>
      </c>
      <c r="J169" s="8">
        <v>0.83</v>
      </c>
      <c r="K169" s="8">
        <v>0</v>
      </c>
      <c r="L169" s="8">
        <v>0.83</v>
      </c>
      <c r="M169" s="9">
        <v>481897</v>
      </c>
      <c r="N169" s="10">
        <v>180424</v>
      </c>
      <c r="O169" s="15">
        <v>41071</v>
      </c>
    </row>
    <row r="170" spans="1:15" x14ac:dyDescent="0.25">
      <c r="A170" s="46">
        <v>41069</v>
      </c>
      <c r="B170" s="44" t="s">
        <v>41</v>
      </c>
      <c r="C170" s="44" t="s">
        <v>58</v>
      </c>
      <c r="D170" s="44" t="s">
        <v>58</v>
      </c>
      <c r="E170" s="44" t="s">
        <v>59</v>
      </c>
      <c r="G170" s="44">
        <v>336</v>
      </c>
      <c r="H170" s="44">
        <f t="shared" ref="H170" si="11">G170/2000</f>
        <v>0.16800000000000001</v>
      </c>
    </row>
    <row r="171" spans="1:15" hidden="1" x14ac:dyDescent="0.25">
      <c r="A171" s="46">
        <v>41073</v>
      </c>
      <c r="B171" s="44" t="s">
        <v>41</v>
      </c>
      <c r="C171" s="44" t="s">
        <v>3</v>
      </c>
      <c r="D171" s="44" t="s">
        <v>3</v>
      </c>
      <c r="E171" s="44" t="s">
        <v>42</v>
      </c>
      <c r="G171" s="44">
        <v>4739</v>
      </c>
      <c r="H171" s="44">
        <f t="shared" ref="H171:H177" si="12">G171/2000</f>
        <v>2.3694999999999999</v>
      </c>
      <c r="I171" s="47"/>
    </row>
    <row r="172" spans="1:15" hidden="1" x14ac:dyDescent="0.25">
      <c r="A172" s="15">
        <v>41088</v>
      </c>
      <c r="B172" s="54" t="s">
        <v>49</v>
      </c>
      <c r="C172" s="15" t="s">
        <v>50</v>
      </c>
      <c r="D172" s="53" t="s">
        <v>75</v>
      </c>
      <c r="E172" s="44" t="s">
        <v>51</v>
      </c>
      <c r="G172" s="10">
        <v>8500</v>
      </c>
      <c r="H172" s="44">
        <f t="shared" si="12"/>
        <v>4.25</v>
      </c>
      <c r="I172" s="49">
        <f>J172/H172</f>
        <v>25</v>
      </c>
      <c r="J172" s="8">
        <v>106.25</v>
      </c>
      <c r="K172" s="8">
        <v>0</v>
      </c>
      <c r="L172" s="8">
        <v>106.25</v>
      </c>
      <c r="M172" s="9">
        <v>482439</v>
      </c>
      <c r="N172" s="10">
        <v>181805</v>
      </c>
      <c r="O172" s="15">
        <v>41092</v>
      </c>
    </row>
    <row r="173" spans="1:15" hidden="1" x14ac:dyDescent="0.25">
      <c r="A173" s="46">
        <v>41090</v>
      </c>
      <c r="B173" s="44" t="s">
        <v>53</v>
      </c>
      <c r="C173" s="15" t="s">
        <v>50</v>
      </c>
      <c r="D173" s="44" t="s">
        <v>50</v>
      </c>
      <c r="E173" s="44" t="s">
        <v>54</v>
      </c>
      <c r="G173" s="55">
        <v>5329</v>
      </c>
      <c r="H173" s="44">
        <f t="shared" si="12"/>
        <v>2.6644999999999999</v>
      </c>
    </row>
    <row r="174" spans="1:15" hidden="1" x14ac:dyDescent="0.25">
      <c r="A174" s="15">
        <v>41095</v>
      </c>
      <c r="B174" s="54" t="s">
        <v>74</v>
      </c>
      <c r="C174" s="44" t="s">
        <v>318</v>
      </c>
      <c r="D174" s="15" t="s">
        <v>56</v>
      </c>
      <c r="E174" s="44" t="s">
        <v>51</v>
      </c>
      <c r="G174" s="10">
        <f>7920+290</f>
        <v>8210</v>
      </c>
      <c r="H174" s="44">
        <f t="shared" si="12"/>
        <v>4.1050000000000004</v>
      </c>
      <c r="I174" s="49">
        <f>J174/H174</f>
        <v>99.999999999999986</v>
      </c>
      <c r="J174" s="8">
        <f>396+14.5</f>
        <v>410.5</v>
      </c>
      <c r="K174" s="8">
        <v>0</v>
      </c>
      <c r="L174" s="8">
        <f>396+14.5</f>
        <v>410.5</v>
      </c>
      <c r="M174" s="9">
        <v>482539</v>
      </c>
      <c r="N174" s="10">
        <v>183355</v>
      </c>
      <c r="O174" s="15">
        <v>41110</v>
      </c>
    </row>
    <row r="175" spans="1:15" hidden="1" x14ac:dyDescent="0.25">
      <c r="A175" s="15">
        <v>41095</v>
      </c>
      <c r="B175" s="54" t="s">
        <v>74</v>
      </c>
      <c r="C175" s="44" t="s">
        <v>320</v>
      </c>
      <c r="D175" s="15" t="s">
        <v>57</v>
      </c>
      <c r="E175" s="44" t="s">
        <v>51</v>
      </c>
      <c r="G175" s="10">
        <v>60</v>
      </c>
      <c r="H175" s="44">
        <f t="shared" si="12"/>
        <v>0.03</v>
      </c>
      <c r="I175" s="49">
        <f>J175/H175</f>
        <v>25</v>
      </c>
      <c r="J175" s="8">
        <v>0.75</v>
      </c>
      <c r="K175" s="8">
        <v>0</v>
      </c>
      <c r="L175" s="8">
        <v>0.75</v>
      </c>
      <c r="M175" s="9">
        <v>482539</v>
      </c>
      <c r="N175" s="10">
        <v>183355</v>
      </c>
      <c r="O175" s="15">
        <v>41110</v>
      </c>
    </row>
    <row r="176" spans="1:15" hidden="1" x14ac:dyDescent="0.25">
      <c r="A176" s="15">
        <v>41095</v>
      </c>
      <c r="B176" s="54" t="s">
        <v>74</v>
      </c>
      <c r="C176" s="44" t="s">
        <v>318</v>
      </c>
      <c r="D176" s="10" t="s">
        <v>61</v>
      </c>
      <c r="E176" s="44" t="s">
        <v>51</v>
      </c>
      <c r="G176" s="10">
        <v>540</v>
      </c>
      <c r="H176" s="44">
        <f t="shared" si="12"/>
        <v>0.27</v>
      </c>
      <c r="I176" s="49">
        <f>J176/H176</f>
        <v>59.999999999999993</v>
      </c>
      <c r="J176" s="8">
        <v>16.2</v>
      </c>
      <c r="K176" s="8">
        <v>0</v>
      </c>
      <c r="L176" s="8">
        <v>16.2</v>
      </c>
      <c r="M176" s="9">
        <v>482539</v>
      </c>
      <c r="N176" s="10">
        <v>183355</v>
      </c>
      <c r="O176" s="15">
        <v>41110</v>
      </c>
    </row>
    <row r="177" spans="1:15" x14ac:dyDescent="0.25">
      <c r="A177" s="46">
        <v>41101</v>
      </c>
      <c r="B177" s="44" t="s">
        <v>41</v>
      </c>
      <c r="C177" s="44" t="s">
        <v>58</v>
      </c>
      <c r="D177" s="44" t="s">
        <v>58</v>
      </c>
      <c r="E177" s="44" t="s">
        <v>59</v>
      </c>
      <c r="G177" s="44">
        <v>336</v>
      </c>
      <c r="H177" s="44">
        <f t="shared" si="12"/>
        <v>0.16800000000000001</v>
      </c>
    </row>
    <row r="178" spans="1:15" hidden="1" x14ac:dyDescent="0.25">
      <c r="A178" s="15">
        <v>41118</v>
      </c>
      <c r="B178" s="54" t="s">
        <v>49</v>
      </c>
      <c r="C178" s="15" t="s">
        <v>50</v>
      </c>
      <c r="D178" s="53" t="s">
        <v>75</v>
      </c>
      <c r="E178" s="44" t="s">
        <v>51</v>
      </c>
      <c r="G178" s="10">
        <v>9280</v>
      </c>
      <c r="H178" s="44">
        <f>G178/2000</f>
        <v>4.6399999999999997</v>
      </c>
      <c r="I178" s="49">
        <f>J178/H178</f>
        <v>25</v>
      </c>
      <c r="J178" s="8">
        <v>116</v>
      </c>
      <c r="K178" s="8">
        <v>0</v>
      </c>
      <c r="L178" s="8">
        <v>116</v>
      </c>
      <c r="M178" s="9">
        <v>483042</v>
      </c>
      <c r="N178" s="10">
        <v>186265</v>
      </c>
      <c r="O178" s="15">
        <v>41120</v>
      </c>
    </row>
    <row r="179" spans="1:15" hidden="1" x14ac:dyDescent="0.25">
      <c r="A179" s="46">
        <v>41120</v>
      </c>
      <c r="B179" s="44" t="s">
        <v>53</v>
      </c>
      <c r="C179" s="15" t="s">
        <v>50</v>
      </c>
      <c r="D179" s="44" t="s">
        <v>50</v>
      </c>
      <c r="E179" s="44" t="s">
        <v>54</v>
      </c>
      <c r="G179" s="55">
        <v>5329</v>
      </c>
      <c r="H179" s="44">
        <f>G179/2000</f>
        <v>2.6644999999999999</v>
      </c>
    </row>
    <row r="180" spans="1:15" hidden="1" x14ac:dyDescent="0.25">
      <c r="A180" s="46">
        <v>41127</v>
      </c>
      <c r="B180" s="44" t="s">
        <v>76</v>
      </c>
      <c r="C180" s="44" t="s">
        <v>4</v>
      </c>
      <c r="D180" s="44" t="s">
        <v>77</v>
      </c>
      <c r="E180" s="44" t="s">
        <v>78</v>
      </c>
      <c r="G180" s="44">
        <v>8520</v>
      </c>
      <c r="H180" s="44">
        <f>G180/2000</f>
        <v>4.26</v>
      </c>
      <c r="I180" s="47">
        <v>0.09</v>
      </c>
      <c r="J180" s="8">
        <v>766.8</v>
      </c>
      <c r="K180" s="8">
        <v>180</v>
      </c>
      <c r="L180" s="8">
        <v>586.79999999999995</v>
      </c>
      <c r="M180" s="45" t="s">
        <v>79</v>
      </c>
      <c r="N180" s="44">
        <v>181688</v>
      </c>
    </row>
    <row r="181" spans="1:15" hidden="1" x14ac:dyDescent="0.25">
      <c r="A181" s="46">
        <v>41131</v>
      </c>
      <c r="B181" s="44" t="s">
        <v>41</v>
      </c>
      <c r="C181" s="44" t="s">
        <v>3</v>
      </c>
      <c r="D181" s="44" t="s">
        <v>3</v>
      </c>
      <c r="E181" s="44" t="s">
        <v>80</v>
      </c>
      <c r="G181" s="44">
        <v>4500</v>
      </c>
      <c r="H181" s="44">
        <f>G181/2000</f>
        <v>2.25</v>
      </c>
      <c r="I181" s="47"/>
    </row>
    <row r="182" spans="1:15" hidden="1" x14ac:dyDescent="0.25">
      <c r="A182" s="15">
        <v>41134</v>
      </c>
      <c r="B182" s="54" t="s">
        <v>49</v>
      </c>
      <c r="C182" s="15" t="s">
        <v>50</v>
      </c>
      <c r="D182" s="53" t="s">
        <v>75</v>
      </c>
      <c r="E182" s="44" t="s">
        <v>51</v>
      </c>
      <c r="G182" s="10">
        <v>4380</v>
      </c>
      <c r="H182" s="44">
        <f>G182/2000</f>
        <v>2.19</v>
      </c>
      <c r="I182" s="49">
        <f>J182/H182</f>
        <v>25</v>
      </c>
      <c r="J182" s="8">
        <v>54.75</v>
      </c>
      <c r="K182" s="8">
        <v>0</v>
      </c>
      <c r="L182" s="8">
        <v>54.75</v>
      </c>
      <c r="M182" s="9">
        <v>483398</v>
      </c>
      <c r="N182" s="10">
        <v>189280</v>
      </c>
      <c r="O182" s="15">
        <v>41220</v>
      </c>
    </row>
    <row r="183" spans="1:15" x14ac:dyDescent="0.25">
      <c r="A183" s="46">
        <v>41135</v>
      </c>
      <c r="B183" s="44" t="s">
        <v>41</v>
      </c>
      <c r="C183" s="44" t="s">
        <v>58</v>
      </c>
      <c r="D183" s="44" t="s">
        <v>58</v>
      </c>
      <c r="E183" s="44" t="s">
        <v>59</v>
      </c>
      <c r="G183" s="44">
        <v>336</v>
      </c>
      <c r="H183" s="44">
        <f t="shared" ref="H183:H221" si="13">G183/2000</f>
        <v>0.16800000000000001</v>
      </c>
    </row>
    <row r="184" spans="1:15" hidden="1" x14ac:dyDescent="0.25">
      <c r="A184" s="15">
        <v>41136</v>
      </c>
      <c r="B184" s="54" t="s">
        <v>81</v>
      </c>
      <c r="C184" s="15" t="s">
        <v>50</v>
      </c>
      <c r="D184" s="53" t="s">
        <v>75</v>
      </c>
      <c r="E184" s="44" t="s">
        <v>51</v>
      </c>
      <c r="G184" s="10">
        <v>9540</v>
      </c>
      <c r="H184" s="44">
        <f t="shared" si="13"/>
        <v>4.7699999999999996</v>
      </c>
      <c r="I184" s="49">
        <f>J184/H184</f>
        <v>25.000000000000004</v>
      </c>
      <c r="J184" s="8">
        <v>119.25</v>
      </c>
      <c r="K184" s="8">
        <v>0</v>
      </c>
      <c r="L184" s="8">
        <v>119.25</v>
      </c>
      <c r="M184" s="9">
        <v>483423</v>
      </c>
      <c r="N184" s="10">
        <v>189280</v>
      </c>
      <c r="O184" s="15">
        <v>41220</v>
      </c>
    </row>
    <row r="185" spans="1:15" hidden="1" x14ac:dyDescent="0.25">
      <c r="A185" s="15">
        <v>41145</v>
      </c>
      <c r="B185" s="54" t="s">
        <v>74</v>
      </c>
      <c r="C185" s="44" t="s">
        <v>318</v>
      </c>
      <c r="D185" s="15" t="s">
        <v>56</v>
      </c>
      <c r="E185" s="44" t="s">
        <v>51</v>
      </c>
      <c r="G185" s="10">
        <v>5935</v>
      </c>
      <c r="H185" s="44">
        <f t="shared" si="13"/>
        <v>2.9674999999999998</v>
      </c>
      <c r="I185" s="49">
        <f>J185/H185</f>
        <v>100</v>
      </c>
      <c r="J185" s="8">
        <v>296.75</v>
      </c>
      <c r="K185" s="8">
        <v>0</v>
      </c>
      <c r="L185" s="8">
        <v>296.75</v>
      </c>
      <c r="M185" s="9">
        <v>3253690</v>
      </c>
      <c r="N185" s="10">
        <v>189280</v>
      </c>
      <c r="O185" s="15">
        <v>41220</v>
      </c>
    </row>
    <row r="186" spans="1:15" hidden="1" x14ac:dyDescent="0.25">
      <c r="A186" s="15">
        <v>41145</v>
      </c>
      <c r="B186" s="54" t="s">
        <v>74</v>
      </c>
      <c r="C186" s="44" t="s">
        <v>320</v>
      </c>
      <c r="D186" s="15" t="s">
        <v>57</v>
      </c>
      <c r="E186" s="44" t="s">
        <v>51</v>
      </c>
      <c r="G186" s="10">
        <v>5435</v>
      </c>
      <c r="H186" s="44">
        <f t="shared" si="13"/>
        <v>2.7174999999999998</v>
      </c>
      <c r="I186" s="49">
        <f>J186/H186</f>
        <v>14.999080036798528</v>
      </c>
      <c r="J186" s="8">
        <v>40.76</v>
      </c>
      <c r="K186" s="8">
        <v>0</v>
      </c>
      <c r="L186" s="8">
        <v>40.76</v>
      </c>
      <c r="M186" s="9">
        <v>3253690</v>
      </c>
      <c r="N186" s="10">
        <v>189280</v>
      </c>
      <c r="O186" s="15">
        <v>41220</v>
      </c>
    </row>
    <row r="187" spans="1:15" hidden="1" x14ac:dyDescent="0.25">
      <c r="A187" s="15">
        <v>41145</v>
      </c>
      <c r="B187" s="54" t="s">
        <v>74</v>
      </c>
      <c r="C187" s="10" t="s">
        <v>1</v>
      </c>
      <c r="D187" s="10" t="s">
        <v>71</v>
      </c>
      <c r="E187" s="44" t="s">
        <v>51</v>
      </c>
      <c r="G187" s="10">
        <v>400</v>
      </c>
      <c r="H187" s="44">
        <f t="shared" si="13"/>
        <v>0.2</v>
      </c>
      <c r="I187" s="49">
        <f>J187/H187</f>
        <v>-100</v>
      </c>
      <c r="J187" s="8">
        <v>-20</v>
      </c>
      <c r="K187" s="8">
        <v>0</v>
      </c>
      <c r="L187" s="8">
        <v>-20</v>
      </c>
      <c r="M187" s="9">
        <v>3253690</v>
      </c>
      <c r="N187" s="10">
        <v>189280</v>
      </c>
      <c r="O187" s="15">
        <v>41220</v>
      </c>
    </row>
    <row r="188" spans="1:15" hidden="1" x14ac:dyDescent="0.25">
      <c r="A188" s="46">
        <v>41150</v>
      </c>
      <c r="B188" s="44" t="s">
        <v>82</v>
      </c>
      <c r="C188" s="44" t="s">
        <v>4</v>
      </c>
      <c r="D188" s="44" t="s">
        <v>83</v>
      </c>
      <c r="E188" s="44" t="s">
        <v>78</v>
      </c>
      <c r="G188" s="44">
        <v>96</v>
      </c>
      <c r="H188" s="44">
        <f t="shared" si="13"/>
        <v>4.8000000000000001E-2</v>
      </c>
      <c r="I188" s="47">
        <v>2.8</v>
      </c>
      <c r="J188" s="8">
        <v>268.8</v>
      </c>
      <c r="K188" s="8">
        <v>0</v>
      </c>
      <c r="L188" s="8">
        <v>268.8</v>
      </c>
      <c r="M188" s="45" t="s">
        <v>84</v>
      </c>
      <c r="N188" s="44">
        <v>183200</v>
      </c>
    </row>
    <row r="189" spans="1:15" hidden="1" x14ac:dyDescent="0.25">
      <c r="A189" s="46">
        <v>41150</v>
      </c>
      <c r="B189" s="44" t="s">
        <v>82</v>
      </c>
      <c r="C189" s="44" t="s">
        <v>4</v>
      </c>
      <c r="D189" s="44" t="s">
        <v>85</v>
      </c>
      <c r="E189" s="44" t="s">
        <v>78</v>
      </c>
      <c r="G189" s="44">
        <v>657</v>
      </c>
      <c r="H189" s="44">
        <f t="shared" si="13"/>
        <v>0.32850000000000001</v>
      </c>
      <c r="I189" s="47">
        <v>0.25</v>
      </c>
      <c r="J189" s="8">
        <v>164.25</v>
      </c>
      <c r="K189" s="8">
        <v>0</v>
      </c>
      <c r="L189" s="8">
        <v>164.25</v>
      </c>
      <c r="M189" s="45" t="s">
        <v>84</v>
      </c>
      <c r="N189" s="44">
        <v>183200</v>
      </c>
    </row>
    <row r="190" spans="1:15" hidden="1" x14ac:dyDescent="0.25">
      <c r="A190" s="15">
        <v>41150</v>
      </c>
      <c r="B190" s="54" t="s">
        <v>49</v>
      </c>
      <c r="C190" s="15" t="s">
        <v>50</v>
      </c>
      <c r="D190" s="53" t="s">
        <v>75</v>
      </c>
      <c r="E190" s="44" t="s">
        <v>51</v>
      </c>
      <c r="G190" s="10">
        <v>8440</v>
      </c>
      <c r="H190" s="44">
        <f t="shared" si="13"/>
        <v>4.22</v>
      </c>
      <c r="I190" s="49">
        <f>J190/H190</f>
        <v>25</v>
      </c>
      <c r="J190" s="8">
        <v>105.5</v>
      </c>
      <c r="K190" s="8">
        <v>0</v>
      </c>
      <c r="L190" s="8">
        <v>105.5</v>
      </c>
      <c r="M190" s="9">
        <v>3253676</v>
      </c>
      <c r="N190" s="10">
        <v>189280</v>
      </c>
      <c r="O190" s="15">
        <v>41220</v>
      </c>
    </row>
    <row r="191" spans="1:15" hidden="1" x14ac:dyDescent="0.25">
      <c r="A191" s="46">
        <v>41151</v>
      </c>
      <c r="B191" s="44" t="s">
        <v>53</v>
      </c>
      <c r="C191" s="15" t="s">
        <v>50</v>
      </c>
      <c r="D191" s="44" t="s">
        <v>50</v>
      </c>
      <c r="E191" s="44" t="s">
        <v>54</v>
      </c>
      <c r="G191" s="55">
        <v>5329</v>
      </c>
      <c r="H191" s="44">
        <f t="shared" si="13"/>
        <v>2.6644999999999999</v>
      </c>
    </row>
    <row r="192" spans="1:15" hidden="1" x14ac:dyDescent="0.25">
      <c r="A192" s="46">
        <v>41158</v>
      </c>
      <c r="B192" s="44" t="s">
        <v>76</v>
      </c>
      <c r="C192" s="44" t="s">
        <v>4</v>
      </c>
      <c r="D192" s="44" t="s">
        <v>77</v>
      </c>
      <c r="E192" s="44" t="s">
        <v>78</v>
      </c>
      <c r="G192" s="44">
        <v>6700</v>
      </c>
      <c r="H192" s="44">
        <f t="shared" si="13"/>
        <v>3.35</v>
      </c>
      <c r="I192" s="47">
        <v>9.7500000000000003E-2</v>
      </c>
      <c r="J192" s="8">
        <v>653.25</v>
      </c>
      <c r="K192" s="8">
        <v>180</v>
      </c>
      <c r="L192" s="8">
        <v>473.25</v>
      </c>
    </row>
    <row r="193" spans="1:15" x14ac:dyDescent="0.25">
      <c r="A193" s="46">
        <v>41165</v>
      </c>
      <c r="B193" s="44" t="s">
        <v>41</v>
      </c>
      <c r="C193" s="44" t="s">
        <v>58</v>
      </c>
      <c r="D193" s="44" t="s">
        <v>58</v>
      </c>
      <c r="E193" s="44" t="s">
        <v>59</v>
      </c>
      <c r="G193" s="44">
        <v>336</v>
      </c>
      <c r="H193" s="44">
        <f t="shared" si="13"/>
        <v>0.16800000000000001</v>
      </c>
    </row>
    <row r="194" spans="1:15" hidden="1" x14ac:dyDescent="0.25">
      <c r="A194" s="15">
        <v>41165</v>
      </c>
      <c r="B194" s="54" t="s">
        <v>74</v>
      </c>
      <c r="C194" s="44" t="s">
        <v>318</v>
      </c>
      <c r="D194" s="15" t="s">
        <v>56</v>
      </c>
      <c r="E194" s="44" t="s">
        <v>51</v>
      </c>
      <c r="G194" s="10">
        <v>5635</v>
      </c>
      <c r="H194" s="44">
        <f t="shared" si="13"/>
        <v>2.8174999999999999</v>
      </c>
      <c r="I194" s="49">
        <f>J194/H194</f>
        <v>90.00177462289264</v>
      </c>
      <c r="J194" s="8">
        <v>253.58</v>
      </c>
      <c r="K194" s="8">
        <v>0</v>
      </c>
      <c r="L194" s="8">
        <v>253.58</v>
      </c>
      <c r="M194" s="9">
        <v>3254209</v>
      </c>
      <c r="N194" s="10">
        <v>190079</v>
      </c>
      <c r="O194" s="15">
        <v>41232</v>
      </c>
    </row>
    <row r="195" spans="1:15" hidden="1" x14ac:dyDescent="0.25">
      <c r="A195" s="15">
        <v>41165</v>
      </c>
      <c r="B195" s="54" t="s">
        <v>74</v>
      </c>
      <c r="C195" s="44" t="s">
        <v>318</v>
      </c>
      <c r="D195" s="15" t="s">
        <v>86</v>
      </c>
      <c r="E195" s="44" t="s">
        <v>51</v>
      </c>
      <c r="G195" s="10">
        <v>7665</v>
      </c>
      <c r="H195" s="44">
        <f t="shared" si="13"/>
        <v>3.8325</v>
      </c>
      <c r="I195" s="49">
        <f>J195/H195</f>
        <v>4.9993476842791909</v>
      </c>
      <c r="J195" s="8">
        <v>19.16</v>
      </c>
      <c r="K195" s="8">
        <v>0</v>
      </c>
      <c r="L195" s="8">
        <v>19.16</v>
      </c>
      <c r="M195" s="9">
        <v>3254209</v>
      </c>
      <c r="N195" s="10">
        <v>190079</v>
      </c>
      <c r="O195" s="15">
        <v>41232</v>
      </c>
    </row>
    <row r="196" spans="1:15" hidden="1" x14ac:dyDescent="0.25">
      <c r="A196" s="15">
        <v>41177</v>
      </c>
      <c r="B196" s="54" t="s">
        <v>87</v>
      </c>
      <c r="C196" s="44" t="s">
        <v>3</v>
      </c>
      <c r="D196" s="10" t="s">
        <v>88</v>
      </c>
      <c r="E196" s="44" t="s">
        <v>51</v>
      </c>
      <c r="G196" s="10"/>
      <c r="H196" s="44">
        <f t="shared" si="13"/>
        <v>0</v>
      </c>
      <c r="I196" s="49" t="e">
        <f>J196/H196</f>
        <v>#DIV/0!</v>
      </c>
      <c r="J196" s="8">
        <v>-680</v>
      </c>
      <c r="K196" s="8">
        <v>0</v>
      </c>
      <c r="L196" s="8">
        <v>-680</v>
      </c>
      <c r="M196" s="9"/>
      <c r="N196" s="10">
        <v>189280</v>
      </c>
      <c r="O196" s="15">
        <v>41220</v>
      </c>
    </row>
    <row r="197" spans="1:15" hidden="1" x14ac:dyDescent="0.25">
      <c r="A197" s="15">
        <v>41180</v>
      </c>
      <c r="B197" s="54" t="s">
        <v>49</v>
      </c>
      <c r="C197" s="15" t="s">
        <v>50</v>
      </c>
      <c r="D197" s="53" t="s">
        <v>75</v>
      </c>
      <c r="E197" s="44" t="s">
        <v>51</v>
      </c>
      <c r="G197" s="10">
        <v>8840</v>
      </c>
      <c r="H197" s="44">
        <f t="shared" si="13"/>
        <v>4.42</v>
      </c>
      <c r="I197" s="49">
        <f>J197/H197</f>
        <v>25</v>
      </c>
      <c r="J197" s="8">
        <v>110.5</v>
      </c>
      <c r="K197" s="8">
        <v>0</v>
      </c>
      <c r="L197" s="8">
        <v>110.5</v>
      </c>
      <c r="M197" s="9">
        <v>3254510</v>
      </c>
      <c r="N197" s="10">
        <v>189280</v>
      </c>
      <c r="O197" s="15">
        <v>41220</v>
      </c>
    </row>
    <row r="198" spans="1:15" hidden="1" x14ac:dyDescent="0.25">
      <c r="A198" s="46">
        <v>41182</v>
      </c>
      <c r="B198" s="44" t="s">
        <v>53</v>
      </c>
      <c r="C198" s="15" t="s">
        <v>50</v>
      </c>
      <c r="D198" s="44" t="s">
        <v>50</v>
      </c>
      <c r="E198" s="44" t="s">
        <v>54</v>
      </c>
      <c r="G198" s="55">
        <v>5329</v>
      </c>
      <c r="H198" s="44">
        <f t="shared" si="13"/>
        <v>2.6644999999999999</v>
      </c>
    </row>
    <row r="199" spans="1:15" hidden="1" x14ac:dyDescent="0.25">
      <c r="A199" s="46">
        <v>41184</v>
      </c>
      <c r="B199" s="44" t="s">
        <v>76</v>
      </c>
      <c r="C199" s="44" t="s">
        <v>4</v>
      </c>
      <c r="D199" s="44" t="s">
        <v>77</v>
      </c>
      <c r="E199" s="44" t="s">
        <v>78</v>
      </c>
      <c r="G199" s="44">
        <v>7220</v>
      </c>
      <c r="H199" s="44">
        <f t="shared" si="13"/>
        <v>3.61</v>
      </c>
      <c r="I199" s="47">
        <v>8.5000000000000006E-2</v>
      </c>
      <c r="J199" s="8">
        <v>613.70000000000005</v>
      </c>
      <c r="K199" s="8">
        <v>180</v>
      </c>
      <c r="L199" s="8">
        <v>433.7</v>
      </c>
      <c r="M199" s="45" t="s">
        <v>89</v>
      </c>
      <c r="N199" s="44">
        <v>186931</v>
      </c>
    </row>
    <row r="200" spans="1:15" hidden="1" x14ac:dyDescent="0.25">
      <c r="A200" s="15">
        <v>41185</v>
      </c>
      <c r="B200" s="54" t="s">
        <v>74</v>
      </c>
      <c r="C200" s="44" t="s">
        <v>318</v>
      </c>
      <c r="D200" s="15" t="s">
        <v>56</v>
      </c>
      <c r="E200" s="44" t="s">
        <v>51</v>
      </c>
      <c r="G200" s="10">
        <v>4570</v>
      </c>
      <c r="H200" s="44">
        <f t="shared" si="13"/>
        <v>2.2850000000000001</v>
      </c>
      <c r="I200" s="49">
        <f>J200/H200</f>
        <v>69.999999999999986</v>
      </c>
      <c r="J200" s="8">
        <v>159.94999999999999</v>
      </c>
      <c r="K200" s="8">
        <v>0</v>
      </c>
      <c r="L200" s="8">
        <v>159.94999999999999</v>
      </c>
      <c r="M200" s="9">
        <v>3254600</v>
      </c>
      <c r="N200" s="10">
        <v>190757</v>
      </c>
      <c r="O200" s="15">
        <v>41246</v>
      </c>
    </row>
    <row r="201" spans="1:15" hidden="1" x14ac:dyDescent="0.25">
      <c r="A201" s="15">
        <v>41185</v>
      </c>
      <c r="B201" s="54" t="s">
        <v>74</v>
      </c>
      <c r="C201" s="44" t="s">
        <v>318</v>
      </c>
      <c r="D201" s="15" t="s">
        <v>86</v>
      </c>
      <c r="E201" s="44" t="s">
        <v>51</v>
      </c>
      <c r="G201" s="10">
        <v>3440</v>
      </c>
      <c r="H201" s="44">
        <f t="shared" si="13"/>
        <v>1.72</v>
      </c>
      <c r="I201" s="49">
        <f>J201/H201</f>
        <v>5</v>
      </c>
      <c r="J201" s="8">
        <v>8.6</v>
      </c>
      <c r="K201" s="8">
        <v>0</v>
      </c>
      <c r="L201" s="8">
        <v>8.6</v>
      </c>
      <c r="M201" s="9">
        <v>3254600</v>
      </c>
      <c r="N201" s="10">
        <v>190757</v>
      </c>
      <c r="O201" s="15">
        <v>41246</v>
      </c>
    </row>
    <row r="202" spans="1:15" hidden="1" x14ac:dyDescent="0.25">
      <c r="A202" s="15">
        <v>41185</v>
      </c>
      <c r="B202" s="54" t="s">
        <v>74</v>
      </c>
      <c r="C202" s="44" t="s">
        <v>318</v>
      </c>
      <c r="D202" s="10" t="s">
        <v>61</v>
      </c>
      <c r="E202" s="44" t="s">
        <v>51</v>
      </c>
      <c r="G202" s="10">
        <v>3925</v>
      </c>
      <c r="H202" s="44">
        <f t="shared" si="13"/>
        <v>1.9624999999999999</v>
      </c>
      <c r="I202" s="49">
        <f>J202/H202</f>
        <v>60</v>
      </c>
      <c r="J202" s="8">
        <v>117.75</v>
      </c>
      <c r="K202" s="8">
        <v>0</v>
      </c>
      <c r="L202" s="8">
        <v>117.75</v>
      </c>
      <c r="M202" s="9">
        <v>3254600</v>
      </c>
      <c r="N202" s="10">
        <v>190757</v>
      </c>
      <c r="O202" s="15">
        <v>41246</v>
      </c>
    </row>
    <row r="203" spans="1:15" hidden="1" x14ac:dyDescent="0.25">
      <c r="A203" s="15">
        <v>41186</v>
      </c>
      <c r="B203" s="16" t="s">
        <v>81</v>
      </c>
      <c r="C203" s="15" t="s">
        <v>50</v>
      </c>
      <c r="D203" s="10" t="s">
        <v>75</v>
      </c>
      <c r="E203" s="44" t="s">
        <v>51</v>
      </c>
      <c r="G203" s="10">
        <v>6980</v>
      </c>
      <c r="H203" s="44">
        <f t="shared" si="13"/>
        <v>3.49</v>
      </c>
      <c r="I203" s="49">
        <f>J203/H203</f>
        <v>25</v>
      </c>
      <c r="J203" s="8">
        <v>87.25</v>
      </c>
      <c r="K203" s="8">
        <v>0</v>
      </c>
      <c r="L203" s="8">
        <v>87.25</v>
      </c>
      <c r="M203" s="9">
        <v>3254715</v>
      </c>
      <c r="N203" s="10">
        <v>190081</v>
      </c>
      <c r="O203" s="15">
        <v>41229</v>
      </c>
    </row>
    <row r="204" spans="1:15" hidden="1" x14ac:dyDescent="0.25">
      <c r="A204" s="15">
        <v>41186</v>
      </c>
      <c r="B204" s="16" t="s">
        <v>90</v>
      </c>
      <c r="C204" s="10" t="s">
        <v>1</v>
      </c>
      <c r="D204" s="10" t="s">
        <v>71</v>
      </c>
      <c r="E204" s="44" t="s">
        <v>51</v>
      </c>
      <c r="G204" s="10">
        <v>205</v>
      </c>
      <c r="H204" s="44">
        <f t="shared" si="13"/>
        <v>0.10249999999999999</v>
      </c>
      <c r="I204" s="49">
        <f>J204/H204</f>
        <v>-100</v>
      </c>
      <c r="J204" s="8">
        <v>-10.25</v>
      </c>
      <c r="K204" s="8">
        <v>0</v>
      </c>
      <c r="L204" s="8">
        <v>-10.25</v>
      </c>
      <c r="M204" s="9">
        <v>3254600</v>
      </c>
      <c r="N204" s="10">
        <v>190081</v>
      </c>
      <c r="O204" s="15">
        <v>41229</v>
      </c>
    </row>
    <row r="205" spans="1:15" hidden="1" x14ac:dyDescent="0.25">
      <c r="A205" s="46">
        <v>41194</v>
      </c>
      <c r="B205" s="44" t="s">
        <v>82</v>
      </c>
      <c r="C205" s="44" t="s">
        <v>4</v>
      </c>
      <c r="D205" s="44" t="s">
        <v>83</v>
      </c>
      <c r="E205" s="44" t="s">
        <v>78</v>
      </c>
      <c r="G205" s="44">
        <v>237</v>
      </c>
      <c r="H205" s="44">
        <f t="shared" si="13"/>
        <v>0.11849999999999999</v>
      </c>
      <c r="I205" s="47">
        <v>2.95</v>
      </c>
      <c r="J205" s="8">
        <v>699.15</v>
      </c>
      <c r="K205" s="8">
        <v>0</v>
      </c>
      <c r="L205" s="8">
        <v>699.15</v>
      </c>
      <c r="M205" s="45" t="s">
        <v>91</v>
      </c>
    </row>
    <row r="206" spans="1:15" hidden="1" x14ac:dyDescent="0.25">
      <c r="A206" s="46">
        <v>41194</v>
      </c>
      <c r="B206" s="44" t="s">
        <v>82</v>
      </c>
      <c r="C206" s="44" t="s">
        <v>4</v>
      </c>
      <c r="D206" s="44" t="s">
        <v>92</v>
      </c>
      <c r="E206" s="44" t="s">
        <v>78</v>
      </c>
      <c r="G206" s="44">
        <v>355</v>
      </c>
      <c r="H206" s="44">
        <f t="shared" si="13"/>
        <v>0.17749999999999999</v>
      </c>
      <c r="I206" s="47">
        <v>0.51</v>
      </c>
      <c r="J206" s="8">
        <v>181.05</v>
      </c>
      <c r="K206" s="8">
        <v>0</v>
      </c>
      <c r="L206" s="8">
        <v>181.05</v>
      </c>
      <c r="M206" s="45" t="s">
        <v>91</v>
      </c>
    </row>
    <row r="207" spans="1:15" hidden="1" x14ac:dyDescent="0.25">
      <c r="A207" s="46">
        <v>41194</v>
      </c>
      <c r="B207" s="44" t="s">
        <v>82</v>
      </c>
      <c r="C207" s="44" t="s">
        <v>4</v>
      </c>
      <c r="D207" s="44" t="s">
        <v>93</v>
      </c>
      <c r="E207" s="44" t="s">
        <v>78</v>
      </c>
      <c r="G207" s="44">
        <v>28</v>
      </c>
      <c r="H207" s="44">
        <f t="shared" si="13"/>
        <v>1.4E-2</v>
      </c>
      <c r="I207" s="47">
        <v>0.5</v>
      </c>
      <c r="J207" s="8">
        <v>14</v>
      </c>
      <c r="K207" s="8">
        <v>0</v>
      </c>
      <c r="L207" s="8">
        <v>14</v>
      </c>
      <c r="M207" s="45" t="s">
        <v>91</v>
      </c>
    </row>
    <row r="208" spans="1:15" hidden="1" x14ac:dyDescent="0.25">
      <c r="A208" s="46">
        <v>41194</v>
      </c>
      <c r="B208" s="44" t="s">
        <v>82</v>
      </c>
      <c r="C208" s="44" t="s">
        <v>4</v>
      </c>
      <c r="D208" s="44" t="s">
        <v>94</v>
      </c>
      <c r="E208" s="44" t="s">
        <v>78</v>
      </c>
      <c r="G208" s="44">
        <v>169</v>
      </c>
      <c r="H208" s="44">
        <f t="shared" si="13"/>
        <v>8.4500000000000006E-2</v>
      </c>
      <c r="I208" s="47">
        <v>1.41</v>
      </c>
      <c r="J208" s="8">
        <v>238.29</v>
      </c>
      <c r="K208" s="8">
        <v>0</v>
      </c>
      <c r="L208" s="8">
        <v>238.29</v>
      </c>
      <c r="M208" s="45" t="s">
        <v>91</v>
      </c>
    </row>
    <row r="209" spans="1:16" hidden="1" x14ac:dyDescent="0.25">
      <c r="A209" s="46">
        <v>41194</v>
      </c>
      <c r="B209" s="44" t="s">
        <v>82</v>
      </c>
      <c r="C209" s="44" t="s">
        <v>4</v>
      </c>
      <c r="D209" s="44" t="s">
        <v>95</v>
      </c>
      <c r="E209" s="44" t="s">
        <v>78</v>
      </c>
      <c r="G209" s="44">
        <v>138</v>
      </c>
      <c r="H209" s="44">
        <f t="shared" si="13"/>
        <v>6.9000000000000006E-2</v>
      </c>
      <c r="I209" s="47">
        <v>0.55000000000000004</v>
      </c>
      <c r="J209" s="8">
        <v>75.900000000000006</v>
      </c>
      <c r="K209" s="8">
        <v>0</v>
      </c>
      <c r="L209" s="8">
        <v>75.900000000000006</v>
      </c>
      <c r="M209" s="45" t="s">
        <v>91</v>
      </c>
    </row>
    <row r="210" spans="1:16" hidden="1" x14ac:dyDescent="0.25">
      <c r="A210" s="46">
        <v>41194</v>
      </c>
      <c r="B210" s="44" t="s">
        <v>82</v>
      </c>
      <c r="C210" s="44" t="s">
        <v>4</v>
      </c>
      <c r="D210" s="44" t="s">
        <v>96</v>
      </c>
      <c r="E210" s="44" t="s">
        <v>78</v>
      </c>
      <c r="G210" s="44">
        <v>63</v>
      </c>
      <c r="H210" s="44">
        <f t="shared" si="13"/>
        <v>3.15E-2</v>
      </c>
      <c r="I210" s="47">
        <v>0.35</v>
      </c>
      <c r="J210" s="8">
        <v>22.05</v>
      </c>
      <c r="K210" s="8">
        <v>0</v>
      </c>
      <c r="L210" s="8">
        <v>22.05</v>
      </c>
      <c r="M210" s="45" t="s">
        <v>91</v>
      </c>
    </row>
    <row r="211" spans="1:16" hidden="1" x14ac:dyDescent="0.25">
      <c r="A211" s="15">
        <v>41194</v>
      </c>
      <c r="B211" s="16" t="s">
        <v>49</v>
      </c>
      <c r="C211" s="15" t="s">
        <v>50</v>
      </c>
      <c r="D211" s="10" t="s">
        <v>75</v>
      </c>
      <c r="E211" s="44" t="s">
        <v>51</v>
      </c>
      <c r="G211" s="10">
        <v>5900</v>
      </c>
      <c r="H211" s="44">
        <f t="shared" si="13"/>
        <v>2.95</v>
      </c>
      <c r="I211" s="49">
        <f>J211/H211</f>
        <v>25</v>
      </c>
      <c r="J211" s="8">
        <v>73.75</v>
      </c>
      <c r="K211" s="8">
        <v>0</v>
      </c>
      <c r="L211" s="8">
        <v>73.75</v>
      </c>
      <c r="M211" s="9">
        <v>3254874</v>
      </c>
      <c r="N211" s="10">
        <v>190157</v>
      </c>
      <c r="O211" s="15">
        <v>41233</v>
      </c>
    </row>
    <row r="212" spans="1:16" x14ac:dyDescent="0.25">
      <c r="A212" s="46">
        <v>41194</v>
      </c>
      <c r="B212" s="44" t="s">
        <v>41</v>
      </c>
      <c r="C212" s="44" t="s">
        <v>58</v>
      </c>
      <c r="D212" s="44" t="s">
        <v>58</v>
      </c>
      <c r="E212" s="44" t="s">
        <v>59</v>
      </c>
      <c r="G212" s="44">
        <v>336</v>
      </c>
      <c r="H212" s="44">
        <f t="shared" si="13"/>
        <v>0.16800000000000001</v>
      </c>
    </row>
    <row r="213" spans="1:16" hidden="1" x14ac:dyDescent="0.25">
      <c r="A213" s="46">
        <v>41206</v>
      </c>
      <c r="B213" s="44" t="s">
        <v>41</v>
      </c>
      <c r="C213" s="44" t="s">
        <v>3</v>
      </c>
      <c r="D213" s="44" t="s">
        <v>3</v>
      </c>
      <c r="E213" s="44" t="s">
        <v>63</v>
      </c>
      <c r="G213" s="44">
        <v>10142</v>
      </c>
      <c r="H213" s="44">
        <f t="shared" si="13"/>
        <v>5.0709999999999997</v>
      </c>
      <c r="I213" s="47"/>
    </row>
    <row r="214" spans="1:16" hidden="1" x14ac:dyDescent="0.25">
      <c r="A214" s="46">
        <v>41212</v>
      </c>
      <c r="B214" s="44" t="s">
        <v>53</v>
      </c>
      <c r="C214" s="15" t="s">
        <v>50</v>
      </c>
      <c r="D214" s="44" t="s">
        <v>50</v>
      </c>
      <c r="E214" s="44" t="s">
        <v>54</v>
      </c>
      <c r="G214" s="55">
        <v>5329</v>
      </c>
      <c r="H214" s="44">
        <f t="shared" si="13"/>
        <v>2.6644999999999999</v>
      </c>
    </row>
    <row r="215" spans="1:16" hidden="1" x14ac:dyDescent="0.25">
      <c r="A215" s="15">
        <v>41213</v>
      </c>
      <c r="B215" s="54" t="s">
        <v>97</v>
      </c>
      <c r="C215" s="44" t="s">
        <v>3</v>
      </c>
      <c r="D215" s="10" t="s">
        <v>98</v>
      </c>
      <c r="E215" s="44" t="s">
        <v>51</v>
      </c>
      <c r="G215" s="10"/>
      <c r="H215" s="44">
        <f t="shared" si="13"/>
        <v>0</v>
      </c>
      <c r="I215" s="49" t="e">
        <f>J215/H215</f>
        <v>#DIV/0!</v>
      </c>
      <c r="J215" s="8">
        <v>486.4</v>
      </c>
      <c r="K215" s="8">
        <v>0</v>
      </c>
      <c r="L215" s="8">
        <v>486.4</v>
      </c>
      <c r="M215" s="9"/>
      <c r="N215" s="10">
        <v>191066</v>
      </c>
      <c r="O215" s="15">
        <v>41249</v>
      </c>
    </row>
    <row r="216" spans="1:16" hidden="1" x14ac:dyDescent="0.25">
      <c r="A216" s="15">
        <v>41214</v>
      </c>
      <c r="B216" s="16" t="s">
        <v>49</v>
      </c>
      <c r="C216" s="15" t="s">
        <v>50</v>
      </c>
      <c r="D216" s="10" t="s">
        <v>75</v>
      </c>
      <c r="E216" s="44" t="s">
        <v>51</v>
      </c>
      <c r="G216" s="10">
        <v>1600</v>
      </c>
      <c r="H216" s="44">
        <f t="shared" si="13"/>
        <v>0.8</v>
      </c>
      <c r="I216" s="49">
        <f>J216/H216</f>
        <v>25</v>
      </c>
      <c r="J216" s="8">
        <v>20</v>
      </c>
      <c r="K216" s="8">
        <v>0</v>
      </c>
      <c r="L216" s="8">
        <v>20</v>
      </c>
      <c r="M216" s="9">
        <v>3255584</v>
      </c>
      <c r="N216" s="10">
        <v>194033</v>
      </c>
      <c r="O216" s="15">
        <v>41282</v>
      </c>
    </row>
    <row r="217" spans="1:16" x14ac:dyDescent="0.25">
      <c r="A217" s="46">
        <v>41219</v>
      </c>
      <c r="B217" s="44" t="s">
        <v>41</v>
      </c>
      <c r="C217" s="44" t="s">
        <v>58</v>
      </c>
      <c r="D217" s="44" t="s">
        <v>58</v>
      </c>
      <c r="E217" s="44" t="s">
        <v>59</v>
      </c>
      <c r="G217" s="44">
        <v>336</v>
      </c>
      <c r="H217" s="44">
        <f t="shared" si="13"/>
        <v>0.16800000000000001</v>
      </c>
    </row>
    <row r="218" spans="1:16" hidden="1" x14ac:dyDescent="0.25">
      <c r="A218" s="15">
        <v>41219</v>
      </c>
      <c r="B218" s="10" t="s">
        <v>49</v>
      </c>
      <c r="C218" s="15" t="s">
        <v>50</v>
      </c>
      <c r="D218" s="10" t="s">
        <v>75</v>
      </c>
      <c r="E218" s="44" t="s">
        <v>51</v>
      </c>
      <c r="G218" s="10">
        <v>9680</v>
      </c>
      <c r="H218" s="44">
        <f t="shared" si="13"/>
        <v>4.84</v>
      </c>
      <c r="I218" s="49">
        <f>J218/H218</f>
        <v>25</v>
      </c>
      <c r="J218" s="8">
        <v>121</v>
      </c>
      <c r="K218" s="8">
        <v>0</v>
      </c>
      <c r="L218" s="8">
        <v>121</v>
      </c>
      <c r="M218" s="9">
        <v>3255584</v>
      </c>
      <c r="N218" s="10">
        <v>194033</v>
      </c>
      <c r="O218" s="15">
        <v>41282</v>
      </c>
    </row>
    <row r="219" spans="1:16" hidden="1" x14ac:dyDescent="0.25">
      <c r="A219" s="15">
        <v>41219</v>
      </c>
      <c r="B219" s="10" t="s">
        <v>74</v>
      </c>
      <c r="C219" s="44" t="s">
        <v>318</v>
      </c>
      <c r="D219" s="10" t="s">
        <v>56</v>
      </c>
      <c r="E219" s="44" t="s">
        <v>51</v>
      </c>
      <c r="G219" s="10">
        <v>8615</v>
      </c>
      <c r="H219" s="44">
        <f t="shared" si="13"/>
        <v>4.3075000000000001</v>
      </c>
      <c r="I219" s="49">
        <f>J219/H219</f>
        <v>70.001160766105627</v>
      </c>
      <c r="J219" s="8">
        <v>301.52999999999997</v>
      </c>
      <c r="K219" s="8">
        <v>0</v>
      </c>
      <c r="L219" s="8">
        <v>301.52999999999997</v>
      </c>
      <c r="M219" s="9">
        <v>3255696</v>
      </c>
      <c r="N219" s="10">
        <v>194823</v>
      </c>
      <c r="O219" s="15">
        <v>41281</v>
      </c>
    </row>
    <row r="220" spans="1:16" hidden="1" x14ac:dyDescent="0.25">
      <c r="A220" s="15">
        <v>41219</v>
      </c>
      <c r="B220" s="10" t="s">
        <v>74</v>
      </c>
      <c r="C220" s="44" t="s">
        <v>318</v>
      </c>
      <c r="D220" s="10" t="s">
        <v>86</v>
      </c>
      <c r="E220" s="44" t="s">
        <v>51</v>
      </c>
      <c r="G220" s="10">
        <v>435</v>
      </c>
      <c r="H220" s="44">
        <f t="shared" si="13"/>
        <v>0.2175</v>
      </c>
      <c r="I220" s="49">
        <f>J220/H220</f>
        <v>5.0114942528735638</v>
      </c>
      <c r="J220" s="8">
        <v>1.0900000000000001</v>
      </c>
      <c r="K220" s="8">
        <v>0</v>
      </c>
      <c r="L220" s="8">
        <v>1.0900000000000001</v>
      </c>
      <c r="M220" s="9">
        <v>3255696</v>
      </c>
      <c r="N220" s="10">
        <v>194823</v>
      </c>
      <c r="O220" s="15">
        <v>41281</v>
      </c>
    </row>
    <row r="221" spans="1:16" hidden="1" x14ac:dyDescent="0.25">
      <c r="A221" s="15">
        <v>41219</v>
      </c>
      <c r="B221" s="10" t="s">
        <v>74</v>
      </c>
      <c r="C221" s="44" t="s">
        <v>318</v>
      </c>
      <c r="D221" s="10" t="s">
        <v>61</v>
      </c>
      <c r="E221" s="44" t="s">
        <v>51</v>
      </c>
      <c r="G221" s="10">
        <v>3365</v>
      </c>
      <c r="H221" s="44">
        <f t="shared" si="13"/>
        <v>1.6825000000000001</v>
      </c>
      <c r="I221" s="49">
        <f>J221/H221</f>
        <v>60</v>
      </c>
      <c r="J221" s="8">
        <v>100.95</v>
      </c>
      <c r="K221" s="8">
        <v>0</v>
      </c>
      <c r="L221" s="8">
        <v>100.95</v>
      </c>
      <c r="M221" s="9">
        <v>3255696</v>
      </c>
      <c r="N221" s="10">
        <v>194823</v>
      </c>
      <c r="O221" s="15">
        <v>41281</v>
      </c>
    </row>
    <row r="222" spans="1:16" hidden="1" x14ac:dyDescent="0.25">
      <c r="A222" s="15">
        <v>41225</v>
      </c>
      <c r="B222" s="10" t="s">
        <v>99</v>
      </c>
      <c r="C222" s="10" t="s">
        <v>1</v>
      </c>
      <c r="D222" s="10" t="s">
        <v>1</v>
      </c>
      <c r="E222" s="44" t="s">
        <v>100</v>
      </c>
      <c r="G222" s="44">
        <f>H222*2000</f>
        <v>1925</v>
      </c>
      <c r="H222" s="44">
        <v>0.96250000000000002</v>
      </c>
      <c r="L222" s="8">
        <v>-96.25</v>
      </c>
      <c r="M222" s="9">
        <v>3255696</v>
      </c>
      <c r="N222" s="10">
        <v>194033</v>
      </c>
      <c r="O222" s="15">
        <v>41282</v>
      </c>
      <c r="P222" s="44" t="s">
        <v>101</v>
      </c>
    </row>
    <row r="223" spans="1:16" hidden="1" x14ac:dyDescent="0.25">
      <c r="A223" s="15">
        <v>41225</v>
      </c>
      <c r="B223" s="10" t="s">
        <v>99</v>
      </c>
      <c r="C223" s="10" t="s">
        <v>1</v>
      </c>
      <c r="D223" s="10" t="s">
        <v>1</v>
      </c>
      <c r="E223" s="44" t="s">
        <v>51</v>
      </c>
      <c r="G223" s="10">
        <v>1925</v>
      </c>
      <c r="H223" s="44">
        <f t="shared" ref="H223:H230" si="14">G223/2000</f>
        <v>0.96250000000000002</v>
      </c>
      <c r="I223" s="49">
        <f>J223/H223</f>
        <v>-100</v>
      </c>
      <c r="J223" s="8">
        <v>-96.25</v>
      </c>
      <c r="K223" s="8">
        <v>0</v>
      </c>
      <c r="L223" s="8">
        <v>-96.25</v>
      </c>
      <c r="M223" s="9">
        <v>3255696</v>
      </c>
      <c r="N223" s="10">
        <v>194033</v>
      </c>
      <c r="O223" s="15">
        <v>41282</v>
      </c>
      <c r="P223" s="44" t="s">
        <v>102</v>
      </c>
    </row>
    <row r="224" spans="1:16" s="17" customFormat="1" hidden="1" x14ac:dyDescent="0.25">
      <c r="A224" s="46">
        <v>41226</v>
      </c>
      <c r="B224" s="44" t="s">
        <v>76</v>
      </c>
      <c r="C224" s="44" t="s">
        <v>4</v>
      </c>
      <c r="D224" s="44" t="s">
        <v>77</v>
      </c>
      <c r="E224" s="44" t="s">
        <v>78</v>
      </c>
      <c r="F224" s="44"/>
      <c r="G224" s="44">
        <v>3200</v>
      </c>
      <c r="H224" s="44">
        <f t="shared" si="14"/>
        <v>1.6</v>
      </c>
      <c r="I224" s="47">
        <v>7.0000000000000007E-2</v>
      </c>
      <c r="J224" s="8">
        <v>224</v>
      </c>
      <c r="K224" s="8">
        <v>180</v>
      </c>
      <c r="L224" s="8">
        <v>44</v>
      </c>
      <c r="M224" s="45" t="s">
        <v>103</v>
      </c>
      <c r="N224" s="44"/>
      <c r="O224" s="44"/>
      <c r="P224" s="44"/>
    </row>
    <row r="225" spans="1:16" s="17" customFormat="1" hidden="1" x14ac:dyDescent="0.25">
      <c r="A225" s="46">
        <v>41243</v>
      </c>
      <c r="B225" s="44" t="s">
        <v>53</v>
      </c>
      <c r="C225" s="15" t="s">
        <v>50</v>
      </c>
      <c r="D225" s="44" t="s">
        <v>50</v>
      </c>
      <c r="E225" s="44" t="s">
        <v>54</v>
      </c>
      <c r="F225" s="44"/>
      <c r="G225" s="55">
        <v>5329</v>
      </c>
      <c r="H225" s="44">
        <f t="shared" si="14"/>
        <v>2.6644999999999999</v>
      </c>
      <c r="I225" s="44"/>
      <c r="J225" s="8"/>
      <c r="K225" s="8"/>
      <c r="L225" s="8"/>
      <c r="M225" s="45"/>
      <c r="N225" s="44"/>
      <c r="O225" s="44"/>
      <c r="P225" s="44"/>
    </row>
    <row r="226" spans="1:16" s="17" customFormat="1" hidden="1" x14ac:dyDescent="0.25">
      <c r="A226" s="15">
        <v>41246</v>
      </c>
      <c r="B226" s="10" t="s">
        <v>49</v>
      </c>
      <c r="C226" s="15" t="s">
        <v>50</v>
      </c>
      <c r="D226" s="10" t="s">
        <v>75</v>
      </c>
      <c r="E226" s="44" t="s">
        <v>51</v>
      </c>
      <c r="F226" s="44"/>
      <c r="G226" s="10">
        <v>9740</v>
      </c>
      <c r="H226" s="44">
        <f t="shared" si="14"/>
        <v>4.87</v>
      </c>
      <c r="I226" s="49">
        <f>J226/H226</f>
        <v>25</v>
      </c>
      <c r="J226" s="8">
        <v>121.75</v>
      </c>
      <c r="K226" s="8">
        <v>0</v>
      </c>
      <c r="L226" s="8">
        <v>121.75</v>
      </c>
      <c r="M226" s="9">
        <v>3256283</v>
      </c>
      <c r="N226" s="10"/>
      <c r="O226" s="15">
        <v>41316</v>
      </c>
      <c r="P226" s="44"/>
    </row>
    <row r="227" spans="1:16" hidden="1" x14ac:dyDescent="0.25">
      <c r="A227" s="18">
        <v>41246</v>
      </c>
      <c r="B227" s="19" t="s">
        <v>76</v>
      </c>
      <c r="C227" s="10" t="s">
        <v>1</v>
      </c>
      <c r="D227" s="19" t="s">
        <v>104</v>
      </c>
      <c r="E227" s="17" t="s">
        <v>51</v>
      </c>
      <c r="F227" s="17"/>
      <c r="G227" s="19">
        <v>9500</v>
      </c>
      <c r="H227" s="17">
        <f t="shared" si="14"/>
        <v>4.75</v>
      </c>
      <c r="I227" s="20">
        <f>J227/H227</f>
        <v>-100</v>
      </c>
      <c r="J227" s="21">
        <v>-475</v>
      </c>
      <c r="K227" s="21">
        <v>0</v>
      </c>
      <c r="L227" s="21">
        <v>-475</v>
      </c>
      <c r="M227" s="22">
        <v>3256208</v>
      </c>
      <c r="N227" s="19"/>
      <c r="O227" s="18">
        <v>41316</v>
      </c>
      <c r="P227" s="17" t="s">
        <v>105</v>
      </c>
    </row>
    <row r="228" spans="1:16" hidden="1" x14ac:dyDescent="0.25">
      <c r="A228" s="18">
        <v>41246</v>
      </c>
      <c r="B228" s="19" t="s">
        <v>106</v>
      </c>
      <c r="C228" s="10" t="s">
        <v>1</v>
      </c>
      <c r="D228" s="19" t="s">
        <v>1</v>
      </c>
      <c r="E228" s="17" t="s">
        <v>100</v>
      </c>
      <c r="F228" s="17"/>
      <c r="G228" s="19">
        <v>0</v>
      </c>
      <c r="H228" s="44">
        <f t="shared" si="14"/>
        <v>0</v>
      </c>
      <c r="I228" s="20"/>
      <c r="J228" s="21"/>
      <c r="K228" s="21"/>
      <c r="L228" s="21">
        <v>510</v>
      </c>
      <c r="M228" s="22"/>
      <c r="N228" s="19">
        <v>201385</v>
      </c>
      <c r="O228" s="18"/>
      <c r="P228" s="17" t="s">
        <v>102</v>
      </c>
    </row>
    <row r="229" spans="1:16" hidden="1" x14ac:dyDescent="0.25">
      <c r="A229" s="18">
        <v>41247</v>
      </c>
      <c r="B229" s="19" t="s">
        <v>106</v>
      </c>
      <c r="C229" s="10" t="s">
        <v>1</v>
      </c>
      <c r="D229" s="19" t="s">
        <v>1</v>
      </c>
      <c r="E229" s="17" t="s">
        <v>51</v>
      </c>
      <c r="F229" s="17"/>
      <c r="G229" s="19">
        <v>700</v>
      </c>
      <c r="H229" s="17">
        <f t="shared" si="14"/>
        <v>0.35</v>
      </c>
      <c r="I229" s="20">
        <f>J229/H229</f>
        <v>-100</v>
      </c>
      <c r="J229" s="21">
        <v>-35</v>
      </c>
      <c r="K229" s="21">
        <v>0</v>
      </c>
      <c r="L229" s="21">
        <v>-35</v>
      </c>
      <c r="M229" s="22">
        <v>356277</v>
      </c>
      <c r="N229" s="19"/>
      <c r="O229" s="18">
        <v>41316</v>
      </c>
      <c r="P229" s="17" t="s">
        <v>105</v>
      </c>
    </row>
    <row r="230" spans="1:16" x14ac:dyDescent="0.25">
      <c r="A230" s="46">
        <v>41249</v>
      </c>
      <c r="B230" s="44" t="s">
        <v>41</v>
      </c>
      <c r="C230" s="44" t="s">
        <v>58</v>
      </c>
      <c r="D230" s="44" t="s">
        <v>58</v>
      </c>
      <c r="E230" s="44" t="s">
        <v>59</v>
      </c>
      <c r="G230" s="44">
        <v>336</v>
      </c>
      <c r="H230" s="44">
        <f t="shared" si="14"/>
        <v>0.16800000000000001</v>
      </c>
    </row>
    <row r="231" spans="1:16" hidden="1" x14ac:dyDescent="0.25">
      <c r="A231" s="46">
        <v>41254</v>
      </c>
      <c r="B231" s="44" t="s">
        <v>107</v>
      </c>
      <c r="C231" s="44" t="s">
        <v>319</v>
      </c>
      <c r="D231" s="44" t="s">
        <v>108</v>
      </c>
      <c r="E231" s="44" t="s">
        <v>109</v>
      </c>
      <c r="G231" s="44">
        <f>H231*2000</f>
        <v>3440</v>
      </c>
      <c r="H231" s="44">
        <v>1.72</v>
      </c>
      <c r="I231" s="44">
        <v>0</v>
      </c>
      <c r="J231" s="8">
        <v>0</v>
      </c>
      <c r="K231" s="8">
        <v>210</v>
      </c>
      <c r="M231" s="45">
        <v>4263</v>
      </c>
    </row>
    <row r="232" spans="1:16" hidden="1" x14ac:dyDescent="0.25">
      <c r="A232" s="18">
        <v>41260</v>
      </c>
      <c r="B232" s="19" t="s">
        <v>74</v>
      </c>
      <c r="C232" s="44" t="s">
        <v>318</v>
      </c>
      <c r="D232" s="19" t="s">
        <v>56</v>
      </c>
      <c r="E232" s="44" t="s">
        <v>51</v>
      </c>
      <c r="G232" s="19">
        <v>8600</v>
      </c>
      <c r="H232" s="44">
        <f>G232/2000</f>
        <v>4.3</v>
      </c>
      <c r="I232" s="49">
        <f>J232/H232</f>
        <v>80</v>
      </c>
      <c r="J232" s="21">
        <v>344</v>
      </c>
      <c r="K232" s="8">
        <v>0</v>
      </c>
      <c r="L232" s="21">
        <v>344</v>
      </c>
      <c r="M232" s="22">
        <v>486403</v>
      </c>
      <c r="N232" s="19"/>
      <c r="O232" s="18">
        <v>41316</v>
      </c>
    </row>
    <row r="233" spans="1:16" hidden="1" x14ac:dyDescent="0.25">
      <c r="A233" s="18">
        <v>41260</v>
      </c>
      <c r="B233" s="19" t="s">
        <v>74</v>
      </c>
      <c r="C233" s="44" t="s">
        <v>318</v>
      </c>
      <c r="D233" s="19" t="s">
        <v>86</v>
      </c>
      <c r="E233" s="44" t="s">
        <v>51</v>
      </c>
      <c r="G233" s="19">
        <v>200</v>
      </c>
      <c r="H233" s="44">
        <f>G233/2000</f>
        <v>0.1</v>
      </c>
      <c r="I233" s="49">
        <f>J233/H233</f>
        <v>5</v>
      </c>
      <c r="J233" s="21">
        <v>0.5</v>
      </c>
      <c r="K233" s="8">
        <v>0</v>
      </c>
      <c r="L233" s="21">
        <v>0.5</v>
      </c>
      <c r="M233" s="22">
        <v>486403</v>
      </c>
      <c r="N233" s="19"/>
      <c r="O233" s="18">
        <v>41316</v>
      </c>
    </row>
    <row r="234" spans="1:16" hidden="1" x14ac:dyDescent="0.25">
      <c r="A234" s="18">
        <v>41260</v>
      </c>
      <c r="B234" s="19" t="s">
        <v>74</v>
      </c>
      <c r="C234" s="44" t="s">
        <v>318</v>
      </c>
      <c r="D234" s="19" t="s">
        <v>61</v>
      </c>
      <c r="E234" s="44" t="s">
        <v>51</v>
      </c>
      <c r="G234" s="19">
        <v>2470</v>
      </c>
      <c r="H234" s="44">
        <f>G234/2000</f>
        <v>1.2350000000000001</v>
      </c>
      <c r="I234" s="49">
        <f>J234/H234</f>
        <v>59.999999999999993</v>
      </c>
      <c r="J234" s="21">
        <v>74.099999999999994</v>
      </c>
      <c r="K234" s="8">
        <v>0</v>
      </c>
      <c r="L234" s="21">
        <v>74.099999999999994</v>
      </c>
      <c r="M234" s="22">
        <v>486403</v>
      </c>
      <c r="N234" s="19"/>
      <c r="O234" s="18">
        <v>41316</v>
      </c>
    </row>
    <row r="235" spans="1:16" hidden="1" x14ac:dyDescent="0.25">
      <c r="A235" s="18">
        <v>41270</v>
      </c>
      <c r="B235" s="19" t="s">
        <v>49</v>
      </c>
      <c r="C235" s="15" t="s">
        <v>50</v>
      </c>
      <c r="D235" s="19" t="s">
        <v>75</v>
      </c>
      <c r="E235" s="44" t="s">
        <v>51</v>
      </c>
      <c r="G235" s="19">
        <v>7920</v>
      </c>
      <c r="H235" s="44">
        <f>G235/2000</f>
        <v>3.96</v>
      </c>
      <c r="I235" s="49">
        <f>J235/H235</f>
        <v>25</v>
      </c>
      <c r="J235" s="21">
        <v>99</v>
      </c>
      <c r="K235" s="8">
        <v>0</v>
      </c>
      <c r="L235" s="21">
        <v>99</v>
      </c>
      <c r="M235" s="22">
        <v>3256769</v>
      </c>
      <c r="N235" s="19">
        <v>198300</v>
      </c>
      <c r="O235" s="18">
        <v>41330</v>
      </c>
    </row>
    <row r="236" spans="1:16" hidden="1" x14ac:dyDescent="0.25">
      <c r="A236" s="18">
        <v>41274</v>
      </c>
      <c r="B236" s="19" t="s">
        <v>53</v>
      </c>
      <c r="C236" s="15" t="s">
        <v>50</v>
      </c>
      <c r="D236" s="19" t="s">
        <v>50</v>
      </c>
      <c r="E236" s="44" t="s">
        <v>100</v>
      </c>
      <c r="G236" s="55">
        <v>5000</v>
      </c>
      <c r="H236" s="44">
        <f>G236/2000</f>
        <v>2.5</v>
      </c>
      <c r="I236" s="49"/>
      <c r="J236" s="21"/>
      <c r="L236" s="21"/>
      <c r="M236" s="22"/>
      <c r="N236" s="19"/>
      <c r="O236" s="18"/>
    </row>
    <row r="237" spans="1:16" hidden="1" x14ac:dyDescent="0.25">
      <c r="A237" s="46">
        <v>41274</v>
      </c>
      <c r="B237" s="44" t="s">
        <v>41</v>
      </c>
      <c r="C237" s="44" t="s">
        <v>3</v>
      </c>
      <c r="D237" s="44" t="s">
        <v>43</v>
      </c>
      <c r="E237" s="44" t="s">
        <v>44</v>
      </c>
      <c r="G237" s="44" t="s">
        <v>110</v>
      </c>
      <c r="H237" s="44" t="s">
        <v>110</v>
      </c>
    </row>
    <row r="238" spans="1:16" hidden="1" x14ac:dyDescent="0.25">
      <c r="A238" s="46">
        <v>41274</v>
      </c>
      <c r="B238" s="44" t="s">
        <v>45</v>
      </c>
      <c r="C238" s="44" t="s">
        <v>3</v>
      </c>
      <c r="D238" s="44" t="s">
        <v>46</v>
      </c>
      <c r="E238" s="44" t="s">
        <v>47</v>
      </c>
      <c r="F238" s="44" t="s">
        <v>111</v>
      </c>
      <c r="G238" s="44">
        <f>40*530</f>
        <v>21200</v>
      </c>
      <c r="H238" s="44">
        <f>G238/2000</f>
        <v>10.6</v>
      </c>
      <c r="L238" s="8">
        <v>5300</v>
      </c>
    </row>
    <row r="239" spans="1:16" s="17" customFormat="1" hidden="1" x14ac:dyDescent="0.25">
      <c r="A239" s="46">
        <v>41274</v>
      </c>
      <c r="B239" s="44" t="s">
        <v>342</v>
      </c>
      <c r="C239" s="44" t="s">
        <v>6</v>
      </c>
      <c r="D239" s="44" t="s">
        <v>344</v>
      </c>
      <c r="E239" s="44" t="s">
        <v>343</v>
      </c>
      <c r="F239" s="44">
        <v>111</v>
      </c>
      <c r="G239" s="61">
        <f>350*F239</f>
        <v>38850</v>
      </c>
      <c r="H239" s="47">
        <f>G239/2000</f>
        <v>19.425000000000001</v>
      </c>
      <c r="I239" s="44"/>
      <c r="J239" s="8"/>
      <c r="K239" s="8"/>
      <c r="L239" s="8"/>
      <c r="M239" s="45"/>
      <c r="N239" s="44"/>
      <c r="O239" s="44"/>
      <c r="P239" s="44"/>
    </row>
    <row r="240" spans="1:16" s="17" customFormat="1" hidden="1" x14ac:dyDescent="0.25">
      <c r="A240" s="46">
        <v>41274</v>
      </c>
      <c r="B240" s="44" t="s">
        <v>342</v>
      </c>
      <c r="C240" s="44" t="s">
        <v>319</v>
      </c>
      <c r="D240" s="44" t="s">
        <v>345</v>
      </c>
      <c r="E240" s="44" t="s">
        <v>343</v>
      </c>
      <c r="F240" s="44">
        <v>50</v>
      </c>
      <c r="G240" s="61">
        <f>350*F240</f>
        <v>17500</v>
      </c>
      <c r="H240" s="47">
        <f>G240/2000</f>
        <v>8.75</v>
      </c>
      <c r="I240" s="44"/>
      <c r="J240" s="8"/>
      <c r="K240" s="8"/>
      <c r="L240" s="8"/>
      <c r="M240" s="45"/>
      <c r="N240" s="44"/>
      <c r="O240" s="44"/>
      <c r="P240" s="44"/>
    </row>
    <row r="241" spans="1:16" hidden="1" x14ac:dyDescent="0.25">
      <c r="A241" s="57">
        <v>41277</v>
      </c>
      <c r="B241" s="58" t="s">
        <v>76</v>
      </c>
      <c r="C241" s="44" t="s">
        <v>4</v>
      </c>
      <c r="D241" s="58" t="s">
        <v>77</v>
      </c>
      <c r="E241" s="44" t="s">
        <v>78</v>
      </c>
      <c r="G241" s="58">
        <v>10780</v>
      </c>
      <c r="H241" s="44">
        <f>G241/2000</f>
        <v>5.39</v>
      </c>
      <c r="I241" s="59">
        <v>0.10249999999999999</v>
      </c>
      <c r="J241" s="43">
        <f>K241+L241</f>
        <v>1104.95</v>
      </c>
      <c r="K241" s="43">
        <v>180</v>
      </c>
      <c r="L241" s="43">
        <v>924.95</v>
      </c>
      <c r="M241" s="60" t="s">
        <v>112</v>
      </c>
    </row>
    <row r="242" spans="1:16" hidden="1" x14ac:dyDescent="0.25">
      <c r="A242" s="15">
        <v>41282</v>
      </c>
      <c r="B242" s="10" t="s">
        <v>49</v>
      </c>
      <c r="C242" s="15" t="s">
        <v>50</v>
      </c>
      <c r="D242" s="10" t="s">
        <v>50</v>
      </c>
      <c r="E242" s="44" t="s">
        <v>100</v>
      </c>
      <c r="G242" s="44">
        <f>H242*2000</f>
        <v>3100</v>
      </c>
      <c r="H242" s="44">
        <v>1.55</v>
      </c>
      <c r="I242" s="44">
        <v>25</v>
      </c>
      <c r="J242" s="8">
        <v>38.75</v>
      </c>
      <c r="K242" s="8">
        <v>0</v>
      </c>
      <c r="L242" s="8">
        <f>SUM(J242:K242)</f>
        <v>38.75</v>
      </c>
      <c r="M242" s="45">
        <v>3257044</v>
      </c>
      <c r="N242" s="44">
        <v>199143</v>
      </c>
    </row>
    <row r="243" spans="1:16" hidden="1" x14ac:dyDescent="0.25">
      <c r="A243" s="15">
        <v>41282</v>
      </c>
      <c r="B243" s="16" t="s">
        <v>81</v>
      </c>
      <c r="C243" s="15" t="s">
        <v>50</v>
      </c>
      <c r="D243" s="10" t="s">
        <v>50</v>
      </c>
      <c r="E243" s="44" t="s">
        <v>100</v>
      </c>
      <c r="G243" s="44">
        <f>H243*2000</f>
        <v>9520</v>
      </c>
      <c r="H243" s="44">
        <v>4.76</v>
      </c>
      <c r="I243" s="44">
        <v>25</v>
      </c>
      <c r="J243" s="8">
        <v>119</v>
      </c>
      <c r="K243" s="8">
        <v>0</v>
      </c>
      <c r="L243" s="8">
        <f>SUM(J243:K243)</f>
        <v>119</v>
      </c>
      <c r="M243" s="45">
        <v>3257054</v>
      </c>
      <c r="N243" s="44">
        <v>199143</v>
      </c>
    </row>
    <row r="244" spans="1:16" hidden="1" x14ac:dyDescent="0.25">
      <c r="A244" s="46">
        <v>41286</v>
      </c>
      <c r="B244" s="44" t="s">
        <v>113</v>
      </c>
      <c r="C244" s="44" t="s">
        <v>319</v>
      </c>
      <c r="D244" s="44" t="s">
        <v>258</v>
      </c>
      <c r="E244" s="44" t="s">
        <v>115</v>
      </c>
      <c r="F244" s="44">
        <v>30</v>
      </c>
      <c r="G244" s="44">
        <f>37*F244</f>
        <v>1110</v>
      </c>
      <c r="H244" s="44">
        <f>G244/2000</f>
        <v>0.55500000000000005</v>
      </c>
      <c r="L244" s="8">
        <v>72</v>
      </c>
    </row>
    <row r="245" spans="1:16" hidden="1" x14ac:dyDescent="0.25">
      <c r="A245" s="18">
        <v>41290</v>
      </c>
      <c r="B245" s="19" t="s">
        <v>74</v>
      </c>
      <c r="C245" s="44" t="s">
        <v>318</v>
      </c>
      <c r="D245" s="19" t="s">
        <v>56</v>
      </c>
      <c r="E245" s="17" t="s">
        <v>51</v>
      </c>
      <c r="F245" s="17"/>
      <c r="G245" s="19">
        <v>7635</v>
      </c>
      <c r="H245" s="17">
        <f>G245/2000</f>
        <v>3.8174999999999999</v>
      </c>
      <c r="I245" s="20">
        <v>80</v>
      </c>
      <c r="J245" s="21">
        <v>305.39999999999998</v>
      </c>
      <c r="K245" s="21">
        <v>0</v>
      </c>
      <c r="L245" s="21">
        <v>305.39999999999998</v>
      </c>
      <c r="M245" s="22">
        <v>3257303</v>
      </c>
      <c r="N245" s="19">
        <v>200210</v>
      </c>
      <c r="O245" s="18"/>
      <c r="P245" s="17" t="s">
        <v>116</v>
      </c>
    </row>
    <row r="246" spans="1:16" hidden="1" x14ac:dyDescent="0.25">
      <c r="A246" s="18">
        <v>41290</v>
      </c>
      <c r="B246" s="19" t="s">
        <v>74</v>
      </c>
      <c r="C246" s="44" t="s">
        <v>318</v>
      </c>
      <c r="D246" s="19" t="s">
        <v>61</v>
      </c>
      <c r="E246" s="17" t="s">
        <v>51</v>
      </c>
      <c r="F246" s="17"/>
      <c r="G246" s="19">
        <v>2955</v>
      </c>
      <c r="H246" s="17">
        <f>G246/2000</f>
        <v>1.4775</v>
      </c>
      <c r="I246" s="20">
        <f>J246/H246</f>
        <v>60</v>
      </c>
      <c r="J246" s="21">
        <v>88.65</v>
      </c>
      <c r="K246" s="21">
        <v>0</v>
      </c>
      <c r="L246" s="21">
        <v>88.65</v>
      </c>
      <c r="M246" s="22">
        <v>3257303</v>
      </c>
      <c r="N246" s="19">
        <v>200210</v>
      </c>
      <c r="O246" s="18"/>
      <c r="P246" s="17" t="s">
        <v>116</v>
      </c>
    </row>
    <row r="247" spans="1:16" hidden="1" x14ac:dyDescent="0.25">
      <c r="A247" s="46">
        <v>41291</v>
      </c>
      <c r="B247" s="44" t="s">
        <v>107</v>
      </c>
      <c r="C247" s="44" t="s">
        <v>319</v>
      </c>
      <c r="D247" s="44" t="s">
        <v>108</v>
      </c>
      <c r="E247" s="44" t="s">
        <v>109</v>
      </c>
      <c r="G247" s="44">
        <f>H247*2000</f>
        <v>4420</v>
      </c>
      <c r="H247" s="44">
        <v>2.21</v>
      </c>
      <c r="I247" s="44">
        <v>0</v>
      </c>
      <c r="J247" s="8">
        <v>0</v>
      </c>
      <c r="K247" s="8">
        <v>210</v>
      </c>
      <c r="M247" s="45">
        <v>4533</v>
      </c>
    </row>
    <row r="248" spans="1:16" x14ac:dyDescent="0.25">
      <c r="A248" s="46">
        <v>41302</v>
      </c>
      <c r="B248" s="44" t="s">
        <v>41</v>
      </c>
      <c r="C248" s="44" t="s">
        <v>58</v>
      </c>
      <c r="D248" s="44" t="s">
        <v>58</v>
      </c>
      <c r="E248" s="44" t="s">
        <v>59</v>
      </c>
      <c r="G248" s="44">
        <v>336</v>
      </c>
      <c r="H248" s="44">
        <f>G248/2000</f>
        <v>0.16800000000000001</v>
      </c>
    </row>
    <row r="249" spans="1:16" hidden="1" x14ac:dyDescent="0.25">
      <c r="A249" s="18">
        <v>41304</v>
      </c>
      <c r="B249" s="19" t="s">
        <v>53</v>
      </c>
      <c r="C249" s="15" t="s">
        <v>50</v>
      </c>
      <c r="D249" s="19" t="s">
        <v>50</v>
      </c>
      <c r="E249" s="44" t="s">
        <v>100</v>
      </c>
      <c r="G249" s="55">
        <v>5000</v>
      </c>
      <c r="H249" s="44">
        <f>G249/2000</f>
        <v>2.5</v>
      </c>
      <c r="I249" s="49"/>
      <c r="J249" s="21"/>
      <c r="L249" s="21"/>
      <c r="M249" s="22"/>
      <c r="N249" s="19"/>
      <c r="O249" s="18"/>
    </row>
    <row r="250" spans="1:16" hidden="1" x14ac:dyDescent="0.25">
      <c r="A250" s="46">
        <v>41311</v>
      </c>
      <c r="B250" s="58" t="s">
        <v>76</v>
      </c>
      <c r="C250" s="44" t="s">
        <v>4</v>
      </c>
      <c r="D250" s="58" t="s">
        <v>77</v>
      </c>
      <c r="E250" s="44" t="s">
        <v>78</v>
      </c>
      <c r="G250" s="44">
        <v>4620</v>
      </c>
      <c r="H250" s="44">
        <f>G250/2000</f>
        <v>2.31</v>
      </c>
      <c r="I250" s="47">
        <v>9.2499999999999999E-2</v>
      </c>
      <c r="J250" s="43">
        <f>K250+L250</f>
        <v>427.35</v>
      </c>
      <c r="K250" s="8">
        <v>180</v>
      </c>
      <c r="L250" s="8">
        <v>247.35</v>
      </c>
      <c r="M250" s="45" t="s">
        <v>117</v>
      </c>
      <c r="O250" s="46"/>
    </row>
    <row r="251" spans="1:16" hidden="1" x14ac:dyDescent="0.25">
      <c r="A251" s="15">
        <v>41312</v>
      </c>
      <c r="B251" s="10" t="s">
        <v>49</v>
      </c>
      <c r="C251" s="15" t="s">
        <v>50</v>
      </c>
      <c r="D251" s="10" t="s">
        <v>50</v>
      </c>
      <c r="E251" s="44" t="s">
        <v>100</v>
      </c>
      <c r="G251" s="44">
        <v>7000</v>
      </c>
      <c r="H251" s="44">
        <f>G251/2000</f>
        <v>3.5</v>
      </c>
    </row>
    <row r="252" spans="1:16" hidden="1" x14ac:dyDescent="0.25">
      <c r="A252" s="46">
        <v>41313</v>
      </c>
      <c r="B252" s="44" t="s">
        <v>118</v>
      </c>
      <c r="C252" s="15" t="s">
        <v>50</v>
      </c>
      <c r="D252" s="44" t="s">
        <v>50</v>
      </c>
      <c r="E252" s="44" t="s">
        <v>119</v>
      </c>
      <c r="G252" s="61">
        <f>H252*2000</f>
        <v>5320</v>
      </c>
      <c r="H252" s="47">
        <v>2.66</v>
      </c>
      <c r="I252" s="44">
        <v>49</v>
      </c>
      <c r="J252" s="8">
        <v>130.34</v>
      </c>
      <c r="K252" s="8">
        <v>85</v>
      </c>
      <c r="L252" s="8">
        <v>45.34</v>
      </c>
      <c r="M252" s="56">
        <v>174786</v>
      </c>
      <c r="N252" s="44">
        <v>200589</v>
      </c>
      <c r="O252" s="46">
        <v>41360</v>
      </c>
    </row>
    <row r="253" spans="1:16" hidden="1" x14ac:dyDescent="0.25">
      <c r="A253" s="46">
        <v>41320</v>
      </c>
      <c r="B253" s="44" t="s">
        <v>41</v>
      </c>
      <c r="C253" s="44" t="s">
        <v>3</v>
      </c>
      <c r="D253" s="44" t="s">
        <v>3</v>
      </c>
      <c r="E253" s="44" t="s">
        <v>42</v>
      </c>
      <c r="G253" s="44">
        <v>4450</v>
      </c>
      <c r="H253" s="44">
        <f>G253/2000</f>
        <v>2.2250000000000001</v>
      </c>
      <c r="I253" s="47"/>
    </row>
    <row r="254" spans="1:16" hidden="1" x14ac:dyDescent="0.25">
      <c r="A254" s="46">
        <v>41323</v>
      </c>
      <c r="B254" s="44" t="s">
        <v>107</v>
      </c>
      <c r="C254" s="44" t="s">
        <v>319</v>
      </c>
      <c r="D254" s="44" t="s">
        <v>108</v>
      </c>
      <c r="E254" s="44" t="s">
        <v>109</v>
      </c>
      <c r="G254" s="44">
        <f>H254*2000</f>
        <v>4840</v>
      </c>
      <c r="H254" s="44">
        <v>2.42</v>
      </c>
      <c r="I254" s="44">
        <v>0</v>
      </c>
      <c r="J254" s="8">
        <v>0</v>
      </c>
      <c r="K254" s="8">
        <v>210</v>
      </c>
      <c r="M254" s="45">
        <v>4779</v>
      </c>
    </row>
    <row r="255" spans="1:16" x14ac:dyDescent="0.25">
      <c r="A255" s="46">
        <v>41333</v>
      </c>
      <c r="B255" s="44" t="s">
        <v>41</v>
      </c>
      <c r="C255" s="44" t="s">
        <v>58</v>
      </c>
      <c r="D255" s="44" t="s">
        <v>58</v>
      </c>
      <c r="E255" s="44" t="s">
        <v>59</v>
      </c>
      <c r="G255" s="44">
        <v>336</v>
      </c>
      <c r="H255" s="44">
        <f>G255/2000</f>
        <v>0.16800000000000001</v>
      </c>
    </row>
    <row r="256" spans="1:16" hidden="1" x14ac:dyDescent="0.25">
      <c r="A256" s="18">
        <v>41333</v>
      </c>
      <c r="B256" s="19" t="s">
        <v>53</v>
      </c>
      <c r="C256" s="15" t="s">
        <v>50</v>
      </c>
      <c r="D256" s="19" t="s">
        <v>50</v>
      </c>
      <c r="E256" s="44" t="s">
        <v>100</v>
      </c>
      <c r="G256" s="55">
        <v>5000</v>
      </c>
      <c r="H256" s="44">
        <f>G256/2000</f>
        <v>2.5</v>
      </c>
      <c r="I256" s="49"/>
      <c r="J256" s="21"/>
      <c r="L256" s="21"/>
      <c r="M256" s="22"/>
      <c r="N256" s="19"/>
      <c r="O256" s="18"/>
    </row>
    <row r="257" spans="1:15" hidden="1" x14ac:dyDescent="0.25">
      <c r="A257" s="46">
        <v>41333</v>
      </c>
      <c r="B257" s="19" t="s">
        <v>41</v>
      </c>
      <c r="C257" s="44" t="s">
        <v>3</v>
      </c>
      <c r="D257" s="19" t="s">
        <v>3</v>
      </c>
      <c r="E257" s="44" t="s">
        <v>120</v>
      </c>
      <c r="G257" s="44">
        <v>1825</v>
      </c>
      <c r="H257" s="44">
        <f>G257/2000</f>
        <v>0.91249999999999998</v>
      </c>
    </row>
    <row r="258" spans="1:15" hidden="1" x14ac:dyDescent="0.25">
      <c r="A258" s="62">
        <v>41333</v>
      </c>
      <c r="B258" s="19" t="s">
        <v>53</v>
      </c>
      <c r="C258" s="15" t="s">
        <v>50</v>
      </c>
      <c r="D258" s="19" t="s">
        <v>50</v>
      </c>
      <c r="E258" s="44" t="s">
        <v>119</v>
      </c>
      <c r="G258" s="61">
        <f>Legend!B$27</f>
        <v>17347.2</v>
      </c>
      <c r="H258" s="47">
        <f>G258/2000</f>
        <v>8.6736000000000004</v>
      </c>
      <c r="I258" s="49"/>
      <c r="J258" s="21"/>
      <c r="L258" s="21"/>
      <c r="M258" s="22"/>
      <c r="N258" s="19"/>
      <c r="O258" s="18"/>
    </row>
    <row r="259" spans="1:15" hidden="1" x14ac:dyDescent="0.25">
      <c r="A259" s="46">
        <v>41336</v>
      </c>
      <c r="B259" s="44" t="s">
        <v>49</v>
      </c>
      <c r="C259" s="15" t="s">
        <v>50</v>
      </c>
      <c r="D259" s="44" t="s">
        <v>75</v>
      </c>
      <c r="E259" s="44" t="s">
        <v>119</v>
      </c>
      <c r="G259" s="61">
        <f>2000*H259</f>
        <v>6760</v>
      </c>
      <c r="H259" s="47">
        <v>3.38</v>
      </c>
      <c r="I259" s="44">
        <v>38.5</v>
      </c>
      <c r="J259" s="8">
        <v>130.13</v>
      </c>
      <c r="K259" s="8">
        <v>85</v>
      </c>
      <c r="L259" s="8">
        <v>45.13</v>
      </c>
      <c r="M259" s="45">
        <v>206154</v>
      </c>
      <c r="N259" s="45">
        <v>230249</v>
      </c>
      <c r="O259" s="46">
        <v>41731</v>
      </c>
    </row>
    <row r="260" spans="1:15" hidden="1" x14ac:dyDescent="0.25">
      <c r="A260" s="46">
        <v>41339</v>
      </c>
      <c r="B260" s="44" t="s">
        <v>52</v>
      </c>
      <c r="C260" s="15" t="s">
        <v>50</v>
      </c>
      <c r="D260" s="44" t="s">
        <v>50</v>
      </c>
      <c r="E260" s="44" t="s">
        <v>119</v>
      </c>
      <c r="G260" s="61">
        <f>H260*2000</f>
        <v>8740</v>
      </c>
      <c r="H260" s="47">
        <v>4.37</v>
      </c>
      <c r="I260" s="44">
        <v>49</v>
      </c>
      <c r="J260" s="8">
        <v>214.13</v>
      </c>
      <c r="K260" s="8">
        <v>85</v>
      </c>
      <c r="L260" s="8">
        <v>129.13</v>
      </c>
      <c r="M260" s="56">
        <v>176689</v>
      </c>
      <c r="N260" s="45">
        <v>202290</v>
      </c>
      <c r="O260" s="46">
        <v>41381</v>
      </c>
    </row>
    <row r="261" spans="1:15" hidden="1" x14ac:dyDescent="0.25">
      <c r="A261" s="46">
        <v>41351</v>
      </c>
      <c r="B261" s="58" t="s">
        <v>121</v>
      </c>
      <c r="C261" s="44" t="s">
        <v>4</v>
      </c>
      <c r="D261" s="58" t="s">
        <v>77</v>
      </c>
      <c r="E261" s="44" t="s">
        <v>78</v>
      </c>
      <c r="G261" s="44">
        <v>3160</v>
      </c>
      <c r="H261" s="44">
        <f>G261/2000</f>
        <v>1.58</v>
      </c>
      <c r="I261" s="47">
        <v>9.5200000000000007E-2</v>
      </c>
      <c r="J261" s="43">
        <f>K261+L261</f>
        <v>331.8</v>
      </c>
      <c r="K261" s="8">
        <v>180</v>
      </c>
      <c r="L261" s="8">
        <v>151.80000000000001</v>
      </c>
      <c r="M261" s="45" t="s">
        <v>122</v>
      </c>
      <c r="N261" s="44">
        <v>200106</v>
      </c>
      <c r="O261" s="46">
        <v>41353</v>
      </c>
    </row>
    <row r="262" spans="1:15" hidden="1" x14ac:dyDescent="0.25">
      <c r="A262" s="46">
        <v>41352</v>
      </c>
      <c r="B262" s="58" t="s">
        <v>121</v>
      </c>
      <c r="C262" s="44" t="s">
        <v>4</v>
      </c>
      <c r="D262" s="58" t="s">
        <v>77</v>
      </c>
      <c r="E262" s="44" t="s">
        <v>78</v>
      </c>
      <c r="G262" s="44">
        <v>3580</v>
      </c>
      <c r="H262" s="44">
        <f>G262/2000</f>
        <v>1.79</v>
      </c>
      <c r="I262" s="47">
        <v>0.105</v>
      </c>
      <c r="J262" s="43">
        <f>K262+L262</f>
        <v>375.9</v>
      </c>
      <c r="K262" s="8">
        <v>180</v>
      </c>
      <c r="L262" s="8">
        <v>195.9</v>
      </c>
      <c r="M262" s="45" t="s">
        <v>123</v>
      </c>
      <c r="N262" s="44">
        <v>200338</v>
      </c>
      <c r="O262" s="46">
        <v>41358</v>
      </c>
    </row>
    <row r="263" spans="1:15" x14ac:dyDescent="0.25">
      <c r="A263" s="46">
        <v>41361</v>
      </c>
      <c r="B263" s="44" t="s">
        <v>41</v>
      </c>
      <c r="C263" s="44" t="s">
        <v>58</v>
      </c>
      <c r="D263" s="44" t="s">
        <v>58</v>
      </c>
      <c r="E263" s="44" t="s">
        <v>59</v>
      </c>
      <c r="G263" s="44">
        <v>336</v>
      </c>
      <c r="H263" s="44">
        <f>G263/2000</f>
        <v>0.16800000000000001</v>
      </c>
    </row>
    <row r="264" spans="1:15" hidden="1" x14ac:dyDescent="0.25">
      <c r="A264" s="46">
        <v>41363</v>
      </c>
      <c r="B264" s="44" t="s">
        <v>52</v>
      </c>
      <c r="C264" s="15" t="s">
        <v>50</v>
      </c>
      <c r="D264" s="44" t="s">
        <v>50</v>
      </c>
      <c r="E264" s="44" t="s">
        <v>119</v>
      </c>
      <c r="G264" s="61">
        <f>H264*2000</f>
        <v>9680</v>
      </c>
      <c r="H264" s="47">
        <v>4.84</v>
      </c>
      <c r="I264" s="44">
        <v>49</v>
      </c>
      <c r="J264" s="8">
        <v>237.16</v>
      </c>
      <c r="K264" s="8">
        <v>85</v>
      </c>
      <c r="L264" s="8">
        <v>152.16</v>
      </c>
      <c r="M264" s="45">
        <v>178626</v>
      </c>
      <c r="N264" s="45">
        <v>202290</v>
      </c>
      <c r="O264" s="46">
        <v>41381</v>
      </c>
    </row>
    <row r="265" spans="1:15" hidden="1" x14ac:dyDescent="0.25">
      <c r="A265" s="18">
        <v>41363</v>
      </c>
      <c r="B265" s="19" t="s">
        <v>53</v>
      </c>
      <c r="C265" s="15" t="s">
        <v>50</v>
      </c>
      <c r="D265" s="19" t="s">
        <v>50</v>
      </c>
      <c r="E265" s="44" t="s">
        <v>119</v>
      </c>
      <c r="G265" s="61">
        <f>Legend!B$27</f>
        <v>17347.2</v>
      </c>
      <c r="H265" s="47">
        <f t="shared" ref="H265:H270" si="15">G265/2000</f>
        <v>8.6736000000000004</v>
      </c>
      <c r="I265" s="49"/>
      <c r="J265" s="21"/>
      <c r="L265" s="21"/>
      <c r="M265" s="22"/>
      <c r="N265" s="19"/>
      <c r="O265" s="18"/>
    </row>
    <row r="266" spans="1:15" hidden="1" x14ac:dyDescent="0.25">
      <c r="A266" s="46">
        <v>41366</v>
      </c>
      <c r="B266" s="19" t="s">
        <v>74</v>
      </c>
      <c r="C266" s="44" t="s">
        <v>318</v>
      </c>
      <c r="D266" s="44" t="s">
        <v>56</v>
      </c>
      <c r="E266" s="44" t="s">
        <v>119</v>
      </c>
      <c r="G266" s="61">
        <v>12192</v>
      </c>
      <c r="H266" s="47">
        <f t="shared" si="15"/>
        <v>6.0960000000000001</v>
      </c>
      <c r="I266" s="44">
        <v>126</v>
      </c>
      <c r="J266" s="8">
        <v>768.1</v>
      </c>
      <c r="K266" s="8">
        <v>100</v>
      </c>
      <c r="L266" s="8">
        <f>J266-K266</f>
        <v>668.1</v>
      </c>
      <c r="M266" s="45">
        <v>178827</v>
      </c>
      <c r="N266" s="45">
        <v>207227</v>
      </c>
      <c r="O266" s="46">
        <v>41449</v>
      </c>
    </row>
    <row r="267" spans="1:15" hidden="1" x14ac:dyDescent="0.25">
      <c r="A267" s="46">
        <v>41366</v>
      </c>
      <c r="B267" s="19" t="s">
        <v>74</v>
      </c>
      <c r="C267" s="44" t="s">
        <v>320</v>
      </c>
      <c r="D267" s="44" t="s">
        <v>57</v>
      </c>
      <c r="E267" s="44" t="s">
        <v>119</v>
      </c>
      <c r="G267" s="61">
        <v>448</v>
      </c>
      <c r="H267" s="47">
        <f t="shared" si="15"/>
        <v>0.224</v>
      </c>
      <c r="I267" s="44">
        <v>90</v>
      </c>
      <c r="J267" s="8">
        <v>20.16</v>
      </c>
      <c r="K267" s="8">
        <v>0</v>
      </c>
      <c r="L267" s="8">
        <f>J267-K267</f>
        <v>20.16</v>
      </c>
      <c r="M267" s="45">
        <v>178827</v>
      </c>
      <c r="N267" s="45">
        <v>207227</v>
      </c>
      <c r="O267" s="46">
        <v>41449</v>
      </c>
    </row>
    <row r="268" spans="1:15" hidden="1" x14ac:dyDescent="0.25">
      <c r="A268" s="46">
        <v>41366</v>
      </c>
      <c r="B268" s="19" t="s">
        <v>74</v>
      </c>
      <c r="C268" s="44" t="s">
        <v>318</v>
      </c>
      <c r="D268" s="44" t="s">
        <v>61</v>
      </c>
      <c r="E268" s="44" t="s">
        <v>119</v>
      </c>
      <c r="G268" s="61">
        <v>187</v>
      </c>
      <c r="H268" s="47">
        <f t="shared" si="15"/>
        <v>9.35E-2</v>
      </c>
      <c r="I268" s="44">
        <v>49.5</v>
      </c>
      <c r="J268" s="8">
        <v>4.6500000000000004</v>
      </c>
      <c r="K268" s="8">
        <v>0</v>
      </c>
      <c r="L268" s="8">
        <f>J268-K268</f>
        <v>4.6500000000000004</v>
      </c>
      <c r="M268" s="45">
        <v>178827</v>
      </c>
      <c r="N268" s="45">
        <v>207227</v>
      </c>
      <c r="O268" s="46">
        <v>41449</v>
      </c>
    </row>
    <row r="269" spans="1:15" hidden="1" x14ac:dyDescent="0.25">
      <c r="A269" s="46">
        <v>41366</v>
      </c>
      <c r="B269" s="19" t="s">
        <v>74</v>
      </c>
      <c r="C269" s="44" t="s">
        <v>319</v>
      </c>
      <c r="D269" s="44" t="s">
        <v>258</v>
      </c>
      <c r="E269" s="44" t="s">
        <v>119</v>
      </c>
      <c r="G269" s="61">
        <v>902</v>
      </c>
      <c r="H269" s="47">
        <f t="shared" si="15"/>
        <v>0.45100000000000001</v>
      </c>
      <c r="I269" s="44">
        <v>0</v>
      </c>
      <c r="M269" s="45">
        <v>178827</v>
      </c>
      <c r="N269" s="45">
        <v>207227</v>
      </c>
      <c r="O269" s="46">
        <v>41449</v>
      </c>
    </row>
    <row r="270" spans="1:15" hidden="1" x14ac:dyDescent="0.25">
      <c r="A270" s="46">
        <v>41366</v>
      </c>
      <c r="B270" s="19" t="s">
        <v>74</v>
      </c>
      <c r="C270" s="44" t="s">
        <v>50</v>
      </c>
      <c r="D270" s="44" t="s">
        <v>124</v>
      </c>
      <c r="E270" s="44" t="s">
        <v>119</v>
      </c>
      <c r="G270" s="61">
        <v>1406</v>
      </c>
      <c r="H270" s="47">
        <f t="shared" si="15"/>
        <v>0.70299999999999996</v>
      </c>
      <c r="I270" s="44">
        <v>49.52</v>
      </c>
      <c r="J270" s="8">
        <v>4.6500000000000004</v>
      </c>
      <c r="K270" s="8">
        <v>0</v>
      </c>
      <c r="L270" s="8">
        <f>J270-K270</f>
        <v>4.6500000000000004</v>
      </c>
      <c r="M270" s="45">
        <v>178827</v>
      </c>
      <c r="N270" s="45">
        <v>207227</v>
      </c>
      <c r="O270" s="46">
        <v>41449</v>
      </c>
    </row>
    <row r="271" spans="1:15" hidden="1" x14ac:dyDescent="0.25">
      <c r="A271" s="46">
        <v>41373</v>
      </c>
      <c r="B271" s="44" t="s">
        <v>125</v>
      </c>
      <c r="C271" s="44" t="s">
        <v>319</v>
      </c>
      <c r="D271" s="44" t="s">
        <v>108</v>
      </c>
      <c r="E271" s="44" t="s">
        <v>109</v>
      </c>
      <c r="G271" s="44">
        <f>H271*2000</f>
        <v>3760</v>
      </c>
      <c r="H271" s="44">
        <v>1.88</v>
      </c>
      <c r="K271" s="8">
        <v>230</v>
      </c>
    </row>
    <row r="272" spans="1:15" hidden="1" x14ac:dyDescent="0.25">
      <c r="A272" s="46">
        <v>41373</v>
      </c>
      <c r="B272" s="58" t="s">
        <v>76</v>
      </c>
      <c r="C272" s="44" t="s">
        <v>4</v>
      </c>
      <c r="D272" s="44" t="s">
        <v>77</v>
      </c>
      <c r="E272" s="44" t="s">
        <v>78</v>
      </c>
      <c r="G272" s="44">
        <v>7560</v>
      </c>
      <c r="H272" s="44">
        <f>G272/2000</f>
        <v>3.78</v>
      </c>
      <c r="I272" s="44">
        <f>200/2000</f>
        <v>0.1</v>
      </c>
      <c r="J272" s="8">
        <v>756</v>
      </c>
      <c r="K272" s="8">
        <v>180</v>
      </c>
      <c r="L272" s="8">
        <v>576</v>
      </c>
      <c r="M272" s="45" t="s">
        <v>126</v>
      </c>
    </row>
    <row r="273" spans="1:15" hidden="1" x14ac:dyDescent="0.25">
      <c r="A273" s="46">
        <v>41375</v>
      </c>
      <c r="B273" s="44" t="s">
        <v>81</v>
      </c>
      <c r="C273" s="15" t="s">
        <v>50</v>
      </c>
      <c r="D273" s="44" t="s">
        <v>50</v>
      </c>
      <c r="E273" s="44" t="s">
        <v>119</v>
      </c>
      <c r="G273" s="61">
        <f>H273*2000</f>
        <v>5540</v>
      </c>
      <c r="H273" s="47">
        <v>2.77</v>
      </c>
      <c r="I273" s="44">
        <v>49</v>
      </c>
      <c r="J273" s="8">
        <v>135.72999999999999</v>
      </c>
      <c r="K273" s="8">
        <v>85</v>
      </c>
      <c r="L273" s="8">
        <v>50.73</v>
      </c>
      <c r="M273" s="45">
        <v>179724</v>
      </c>
      <c r="N273" s="45">
        <v>207227</v>
      </c>
      <c r="O273" s="46">
        <v>41449</v>
      </c>
    </row>
    <row r="274" spans="1:15" hidden="1" x14ac:dyDescent="0.25">
      <c r="A274" s="46">
        <v>41389</v>
      </c>
      <c r="B274" s="44" t="s">
        <v>49</v>
      </c>
      <c r="C274" s="15" t="s">
        <v>50</v>
      </c>
      <c r="D274" s="44" t="s">
        <v>127</v>
      </c>
      <c r="E274" s="44" t="s">
        <v>119</v>
      </c>
      <c r="G274" s="61">
        <f>H274*2000</f>
        <v>10320</v>
      </c>
      <c r="H274" s="47">
        <v>5.16</v>
      </c>
      <c r="I274" s="44">
        <v>49</v>
      </c>
      <c r="J274" s="8">
        <v>252.84</v>
      </c>
      <c r="K274" s="8">
        <v>85</v>
      </c>
      <c r="L274" s="8">
        <v>167.84</v>
      </c>
      <c r="M274" s="45">
        <v>181018</v>
      </c>
      <c r="N274" s="45">
        <v>207227</v>
      </c>
      <c r="O274" s="46">
        <v>41449</v>
      </c>
    </row>
    <row r="275" spans="1:15" x14ac:dyDescent="0.25">
      <c r="A275" s="46">
        <v>41392</v>
      </c>
      <c r="B275" s="44" t="s">
        <v>41</v>
      </c>
      <c r="C275" s="44" t="s">
        <v>58</v>
      </c>
      <c r="D275" s="44" t="s">
        <v>58</v>
      </c>
      <c r="E275" s="44" t="s">
        <v>59</v>
      </c>
      <c r="G275" s="44">
        <v>336</v>
      </c>
      <c r="H275" s="44">
        <f>G275/2000</f>
        <v>0.16800000000000001</v>
      </c>
    </row>
    <row r="276" spans="1:15" hidden="1" x14ac:dyDescent="0.25">
      <c r="A276" s="46">
        <v>41394</v>
      </c>
      <c r="B276" s="44" t="s">
        <v>125</v>
      </c>
      <c r="C276" s="44" t="s">
        <v>319</v>
      </c>
      <c r="D276" s="44" t="s">
        <v>108</v>
      </c>
      <c r="E276" s="44" t="s">
        <v>109</v>
      </c>
      <c r="G276" s="44">
        <f>H276*2000</f>
        <v>4740</v>
      </c>
      <c r="H276" s="44">
        <v>2.37</v>
      </c>
      <c r="K276" s="8">
        <v>230</v>
      </c>
    </row>
    <row r="277" spans="1:15" hidden="1" x14ac:dyDescent="0.25">
      <c r="A277" s="18">
        <v>41394</v>
      </c>
      <c r="B277" s="19" t="s">
        <v>53</v>
      </c>
      <c r="C277" s="15" t="s">
        <v>50</v>
      </c>
      <c r="D277" s="19" t="s">
        <v>50</v>
      </c>
      <c r="E277" s="44" t="s">
        <v>119</v>
      </c>
      <c r="G277" s="61">
        <f>Legend!B$27</f>
        <v>17347.2</v>
      </c>
      <c r="H277" s="47">
        <v>2.37</v>
      </c>
      <c r="I277" s="49"/>
      <c r="J277" s="21"/>
      <c r="L277" s="21"/>
      <c r="M277" s="22"/>
      <c r="N277" s="19"/>
      <c r="O277" s="18"/>
    </row>
    <row r="278" spans="1:15" hidden="1" x14ac:dyDescent="0.25">
      <c r="A278" s="46">
        <v>41412</v>
      </c>
      <c r="B278" s="44" t="s">
        <v>125</v>
      </c>
      <c r="C278" s="44" t="s">
        <v>319</v>
      </c>
      <c r="D278" s="44" t="s">
        <v>108</v>
      </c>
      <c r="E278" s="44" t="s">
        <v>109</v>
      </c>
      <c r="G278" s="44">
        <f>H278*2000</f>
        <v>3840</v>
      </c>
      <c r="H278" s="44">
        <v>1.92</v>
      </c>
      <c r="K278" s="8">
        <v>230</v>
      </c>
    </row>
    <row r="279" spans="1:15" hidden="1" x14ac:dyDescent="0.25">
      <c r="A279" s="46">
        <v>41415</v>
      </c>
      <c r="B279" s="44" t="s">
        <v>128</v>
      </c>
      <c r="C279" s="44" t="s">
        <v>4</v>
      </c>
      <c r="D279" s="44" t="s">
        <v>77</v>
      </c>
      <c r="E279" s="44" t="s">
        <v>78</v>
      </c>
      <c r="G279" s="44">
        <v>7000</v>
      </c>
      <c r="H279" s="44">
        <f>G279/2000</f>
        <v>3.5</v>
      </c>
      <c r="I279" s="44">
        <f>170/2000</f>
        <v>8.5000000000000006E-2</v>
      </c>
      <c r="J279" s="43">
        <f>K279+L279</f>
        <v>595</v>
      </c>
      <c r="K279" s="8">
        <v>180</v>
      </c>
      <c r="L279" s="8">
        <v>415</v>
      </c>
      <c r="M279" s="45" t="s">
        <v>129</v>
      </c>
      <c r="N279" s="44">
        <v>205135</v>
      </c>
      <c r="O279" s="46">
        <v>41418</v>
      </c>
    </row>
    <row r="280" spans="1:15" hidden="1" x14ac:dyDescent="0.25">
      <c r="A280" s="46">
        <v>41415</v>
      </c>
      <c r="B280" s="44" t="s">
        <v>49</v>
      </c>
      <c r="C280" s="15" t="s">
        <v>50</v>
      </c>
      <c r="D280" s="44" t="s">
        <v>127</v>
      </c>
      <c r="E280" s="44" t="s">
        <v>119</v>
      </c>
      <c r="G280" s="61">
        <f>H280*2000</f>
        <v>15600</v>
      </c>
      <c r="H280" s="47">
        <v>7.8</v>
      </c>
      <c r="I280" s="44">
        <v>45.5</v>
      </c>
      <c r="J280" s="8">
        <v>354.9</v>
      </c>
      <c r="K280" s="8">
        <v>85</v>
      </c>
      <c r="L280" s="8">
        <v>269.89999999999998</v>
      </c>
      <c r="M280" s="45">
        <v>183227</v>
      </c>
      <c r="N280" s="45">
        <v>208258</v>
      </c>
      <c r="O280" s="46">
        <v>41465</v>
      </c>
    </row>
    <row r="281" spans="1:15" x14ac:dyDescent="0.25">
      <c r="A281" s="46">
        <v>41422</v>
      </c>
      <c r="B281" s="44" t="s">
        <v>41</v>
      </c>
      <c r="C281" s="44" t="s">
        <v>58</v>
      </c>
      <c r="D281" s="44" t="s">
        <v>58</v>
      </c>
      <c r="E281" s="44" t="s">
        <v>59</v>
      </c>
      <c r="G281" s="44">
        <v>336</v>
      </c>
      <c r="H281" s="44">
        <f>G281/2000</f>
        <v>0.16800000000000001</v>
      </c>
    </row>
    <row r="282" spans="1:15" hidden="1" x14ac:dyDescent="0.25">
      <c r="A282" s="18">
        <v>41424</v>
      </c>
      <c r="B282" s="19" t="s">
        <v>53</v>
      </c>
      <c r="C282" s="15" t="s">
        <v>50</v>
      </c>
      <c r="D282" s="19" t="s">
        <v>50</v>
      </c>
      <c r="E282" s="44" t="s">
        <v>119</v>
      </c>
      <c r="G282" s="61">
        <f>Legend!B$27</f>
        <v>17347.2</v>
      </c>
      <c r="H282" s="47">
        <v>7.8</v>
      </c>
      <c r="I282" s="49"/>
      <c r="J282" s="21"/>
      <c r="L282" s="21"/>
      <c r="M282" s="22"/>
      <c r="N282" s="19"/>
      <c r="O282" s="18"/>
    </row>
    <row r="283" spans="1:15" hidden="1" x14ac:dyDescent="0.25">
      <c r="A283" s="46">
        <v>41428</v>
      </c>
      <c r="B283" s="44" t="s">
        <v>125</v>
      </c>
      <c r="C283" s="44" t="s">
        <v>319</v>
      </c>
      <c r="D283" s="44" t="s">
        <v>108</v>
      </c>
      <c r="E283" s="44" t="s">
        <v>109</v>
      </c>
      <c r="G283" s="44">
        <f>H283*2000</f>
        <v>11140</v>
      </c>
      <c r="H283" s="44">
        <v>5.57</v>
      </c>
      <c r="K283" s="8">
        <v>230</v>
      </c>
      <c r="M283" s="45">
        <v>5790</v>
      </c>
    </row>
    <row r="284" spans="1:15" hidden="1" x14ac:dyDescent="0.25">
      <c r="A284" s="46">
        <v>41431</v>
      </c>
      <c r="B284" s="44" t="s">
        <v>41</v>
      </c>
      <c r="C284" s="44" t="s">
        <v>3</v>
      </c>
      <c r="D284" s="44" t="s">
        <v>3</v>
      </c>
      <c r="E284" s="44" t="s">
        <v>130</v>
      </c>
      <c r="F284" s="44">
        <v>3</v>
      </c>
      <c r="G284" s="61">
        <v>3013</v>
      </c>
      <c r="H284" s="47">
        <f t="shared" ref="H284:H293" si="16">G284/2000</f>
        <v>1.5065</v>
      </c>
    </row>
    <row r="285" spans="1:15" hidden="1" x14ac:dyDescent="0.25">
      <c r="A285" s="46">
        <v>41432</v>
      </c>
      <c r="B285" s="44" t="s">
        <v>41</v>
      </c>
      <c r="C285" s="44" t="s">
        <v>3</v>
      </c>
      <c r="D285" s="44" t="s">
        <v>3</v>
      </c>
      <c r="E285" s="44" t="s">
        <v>130</v>
      </c>
      <c r="F285" s="44">
        <v>2</v>
      </c>
      <c r="G285" s="61">
        <v>1854</v>
      </c>
      <c r="H285" s="47">
        <f t="shared" si="16"/>
        <v>0.92700000000000005</v>
      </c>
    </row>
    <row r="286" spans="1:15" hidden="1" x14ac:dyDescent="0.25">
      <c r="A286" s="46">
        <v>41438</v>
      </c>
      <c r="B286" s="19" t="s">
        <v>74</v>
      </c>
      <c r="C286" s="44" t="s">
        <v>318</v>
      </c>
      <c r="D286" s="44" t="s">
        <v>69</v>
      </c>
      <c r="E286" s="44" t="s">
        <v>119</v>
      </c>
      <c r="G286" s="61">
        <v>13336</v>
      </c>
      <c r="H286" s="47">
        <f t="shared" si="16"/>
        <v>6.6680000000000001</v>
      </c>
      <c r="I286" s="44">
        <v>112.5</v>
      </c>
      <c r="J286" s="8">
        <v>750.15</v>
      </c>
      <c r="K286" s="8">
        <v>100</v>
      </c>
      <c r="L286" s="8">
        <v>650.15</v>
      </c>
      <c r="M286" s="44">
        <v>185343</v>
      </c>
      <c r="N286" s="45">
        <v>214007</v>
      </c>
      <c r="O286" s="46">
        <v>41522</v>
      </c>
    </row>
    <row r="287" spans="1:15" hidden="1" x14ac:dyDescent="0.25">
      <c r="A287" s="46">
        <v>41438</v>
      </c>
      <c r="B287" s="19" t="s">
        <v>74</v>
      </c>
      <c r="C287" s="44" t="s">
        <v>318</v>
      </c>
      <c r="D287" s="44" t="s">
        <v>69</v>
      </c>
      <c r="E287" s="44" t="s">
        <v>119</v>
      </c>
      <c r="G287" s="61">
        <v>240</v>
      </c>
      <c r="H287" s="47">
        <f t="shared" si="16"/>
        <v>0.12</v>
      </c>
      <c r="I287" s="44">
        <v>81</v>
      </c>
      <c r="J287" s="8">
        <v>9.7200000000000006</v>
      </c>
      <c r="K287" s="8">
        <v>0</v>
      </c>
      <c r="L287" s="8">
        <v>9.7200000000000006</v>
      </c>
      <c r="M287" s="44">
        <v>185343</v>
      </c>
      <c r="N287" s="45">
        <v>214007</v>
      </c>
      <c r="O287" s="46">
        <v>41522</v>
      </c>
    </row>
    <row r="288" spans="1:15" hidden="1" x14ac:dyDescent="0.25">
      <c r="A288" s="46">
        <v>41438</v>
      </c>
      <c r="B288" s="19" t="s">
        <v>74</v>
      </c>
      <c r="C288" s="44" t="s">
        <v>319</v>
      </c>
      <c r="D288" s="44" t="s">
        <v>258</v>
      </c>
      <c r="E288" s="44" t="s">
        <v>119</v>
      </c>
      <c r="G288" s="61">
        <v>664</v>
      </c>
      <c r="H288" s="47">
        <f t="shared" si="16"/>
        <v>0.33200000000000002</v>
      </c>
      <c r="I288" s="44">
        <v>0</v>
      </c>
      <c r="J288" s="8">
        <v>0</v>
      </c>
      <c r="K288" s="8">
        <v>0</v>
      </c>
      <c r="L288" s="8">
        <v>0</v>
      </c>
      <c r="M288" s="44">
        <v>185343</v>
      </c>
      <c r="N288" s="45">
        <v>214007</v>
      </c>
      <c r="O288" s="46">
        <v>41522</v>
      </c>
    </row>
    <row r="289" spans="1:16" hidden="1" x14ac:dyDescent="0.25">
      <c r="A289" s="46">
        <v>41439</v>
      </c>
      <c r="B289" s="44" t="s">
        <v>82</v>
      </c>
      <c r="C289" s="44" t="s">
        <v>4</v>
      </c>
      <c r="D289" s="44" t="s">
        <v>66</v>
      </c>
      <c r="E289" s="44" t="s">
        <v>78</v>
      </c>
      <c r="G289" s="44">
        <v>909</v>
      </c>
      <c r="H289" s="44">
        <f t="shared" si="16"/>
        <v>0.45450000000000002</v>
      </c>
      <c r="I289" s="47">
        <v>0.65</v>
      </c>
      <c r="J289" s="8">
        <v>590.85</v>
      </c>
      <c r="K289" s="8">
        <v>0</v>
      </c>
      <c r="L289" s="8">
        <v>590.85</v>
      </c>
      <c r="M289" s="45" t="s">
        <v>131</v>
      </c>
      <c r="N289" s="45">
        <v>206994</v>
      </c>
      <c r="O289" s="46">
        <v>41412</v>
      </c>
    </row>
    <row r="290" spans="1:16" hidden="1" x14ac:dyDescent="0.25">
      <c r="A290" s="46">
        <v>41439</v>
      </c>
      <c r="B290" s="44" t="s">
        <v>82</v>
      </c>
      <c r="C290" s="44" t="s">
        <v>4</v>
      </c>
      <c r="D290" s="44" t="s">
        <v>92</v>
      </c>
      <c r="E290" s="44" t="s">
        <v>78</v>
      </c>
      <c r="G290" s="44">
        <v>188</v>
      </c>
      <c r="H290" s="44">
        <f t="shared" si="16"/>
        <v>9.4E-2</v>
      </c>
      <c r="I290" s="47">
        <v>0.51</v>
      </c>
      <c r="J290" s="8">
        <v>95.88</v>
      </c>
      <c r="K290" s="8">
        <v>0</v>
      </c>
      <c r="L290" s="8">
        <v>95.88</v>
      </c>
      <c r="M290" s="45" t="s">
        <v>131</v>
      </c>
      <c r="N290" s="45">
        <v>206994</v>
      </c>
      <c r="O290" s="46">
        <v>41412</v>
      </c>
    </row>
    <row r="291" spans="1:16" hidden="1" x14ac:dyDescent="0.25">
      <c r="A291" s="46">
        <v>41439</v>
      </c>
      <c r="B291" s="44" t="s">
        <v>82</v>
      </c>
      <c r="C291" s="44" t="s">
        <v>4</v>
      </c>
      <c r="D291" s="44" t="s">
        <v>132</v>
      </c>
      <c r="E291" s="44" t="s">
        <v>78</v>
      </c>
      <c r="G291" s="44">
        <v>119</v>
      </c>
      <c r="H291" s="44">
        <f t="shared" si="16"/>
        <v>5.9499999999999997E-2</v>
      </c>
      <c r="I291" s="47">
        <v>0.5</v>
      </c>
      <c r="J291" s="8">
        <v>59.5</v>
      </c>
      <c r="K291" s="8">
        <v>0</v>
      </c>
      <c r="L291" s="8">
        <v>59.5</v>
      </c>
      <c r="M291" s="45" t="s">
        <v>131</v>
      </c>
      <c r="N291" s="45">
        <v>206994</v>
      </c>
      <c r="O291" s="46">
        <v>41412</v>
      </c>
    </row>
    <row r="292" spans="1:16" hidden="1" x14ac:dyDescent="0.25">
      <c r="A292" s="46">
        <v>41439</v>
      </c>
      <c r="B292" s="44" t="s">
        <v>82</v>
      </c>
      <c r="C292" s="44" t="s">
        <v>4</v>
      </c>
      <c r="D292" s="44" t="s">
        <v>94</v>
      </c>
      <c r="E292" s="44" t="s">
        <v>78</v>
      </c>
      <c r="G292" s="44">
        <v>112</v>
      </c>
      <c r="H292" s="44">
        <f t="shared" si="16"/>
        <v>5.6000000000000001E-2</v>
      </c>
      <c r="I292" s="47">
        <v>1.47</v>
      </c>
      <c r="J292" s="8">
        <v>164.64</v>
      </c>
      <c r="K292" s="8">
        <v>0</v>
      </c>
      <c r="L292" s="8">
        <v>164.64</v>
      </c>
      <c r="M292" s="45" t="s">
        <v>131</v>
      </c>
      <c r="N292" s="45">
        <v>206994</v>
      </c>
      <c r="O292" s="46">
        <v>41412</v>
      </c>
    </row>
    <row r="293" spans="1:16" hidden="1" x14ac:dyDescent="0.25">
      <c r="A293" s="46">
        <v>41439</v>
      </c>
      <c r="B293" s="44" t="s">
        <v>82</v>
      </c>
      <c r="C293" s="44" t="s">
        <v>4</v>
      </c>
      <c r="D293" s="44" t="s">
        <v>133</v>
      </c>
      <c r="E293" s="44" t="s">
        <v>78</v>
      </c>
      <c r="G293" s="44">
        <v>92</v>
      </c>
      <c r="H293" s="44">
        <f t="shared" si="16"/>
        <v>4.5999999999999999E-2</v>
      </c>
      <c r="I293" s="47">
        <v>0.35</v>
      </c>
      <c r="J293" s="8">
        <v>32.200000000000003</v>
      </c>
      <c r="K293" s="8">
        <v>0</v>
      </c>
      <c r="L293" s="8">
        <v>32.200000000000003</v>
      </c>
      <c r="M293" s="45" t="s">
        <v>131</v>
      </c>
      <c r="N293" s="45">
        <v>206994</v>
      </c>
      <c r="O293" s="46">
        <v>41412</v>
      </c>
    </row>
    <row r="294" spans="1:16" hidden="1" x14ac:dyDescent="0.25">
      <c r="A294" s="46">
        <v>41452</v>
      </c>
      <c r="B294" s="44" t="s">
        <v>49</v>
      </c>
      <c r="C294" s="15" t="s">
        <v>50</v>
      </c>
      <c r="D294" s="44" t="s">
        <v>127</v>
      </c>
      <c r="E294" s="44" t="s">
        <v>119</v>
      </c>
      <c r="G294" s="61" t="s">
        <v>110</v>
      </c>
      <c r="H294" s="47"/>
    </row>
    <row r="295" spans="1:16" x14ac:dyDescent="0.25">
      <c r="A295" s="46">
        <v>41453</v>
      </c>
      <c r="B295" s="44" t="s">
        <v>41</v>
      </c>
      <c r="C295" s="44" t="s">
        <v>58</v>
      </c>
      <c r="D295" s="44" t="s">
        <v>58</v>
      </c>
      <c r="E295" s="44" t="s">
        <v>59</v>
      </c>
      <c r="G295" s="44">
        <v>336</v>
      </c>
      <c r="H295" s="44">
        <f>G295/2000</f>
        <v>0.16800000000000001</v>
      </c>
    </row>
    <row r="296" spans="1:16" hidden="1" x14ac:dyDescent="0.25">
      <c r="A296" s="18">
        <v>41455</v>
      </c>
      <c r="B296" s="19" t="s">
        <v>53</v>
      </c>
      <c r="C296" s="15" t="s">
        <v>50</v>
      </c>
      <c r="D296" s="19" t="s">
        <v>50</v>
      </c>
      <c r="E296" s="44" t="s">
        <v>119</v>
      </c>
      <c r="G296" s="61">
        <f>Legend!B$27</f>
        <v>17347.2</v>
      </c>
      <c r="H296" s="47">
        <f>G296/2000</f>
        <v>8.6736000000000004</v>
      </c>
      <c r="I296" s="49"/>
      <c r="J296" s="21"/>
      <c r="L296" s="21"/>
      <c r="M296" s="22"/>
      <c r="N296" s="19"/>
      <c r="O296" s="18"/>
    </row>
    <row r="297" spans="1:16" hidden="1" x14ac:dyDescent="0.25">
      <c r="A297" s="46">
        <v>41457</v>
      </c>
      <c r="B297" s="44" t="s">
        <v>41</v>
      </c>
      <c r="C297" s="44" t="s">
        <v>3</v>
      </c>
      <c r="D297" s="44" t="s">
        <v>3</v>
      </c>
      <c r="E297" s="44" t="s">
        <v>134</v>
      </c>
      <c r="F297" s="44">
        <v>5</v>
      </c>
      <c r="G297" s="61">
        <v>2724</v>
      </c>
      <c r="H297" s="47">
        <f>G297/2000</f>
        <v>1.3620000000000001</v>
      </c>
    </row>
    <row r="298" spans="1:16" hidden="1" x14ac:dyDescent="0.25">
      <c r="A298" s="46">
        <v>41466</v>
      </c>
      <c r="B298" s="44" t="s">
        <v>125</v>
      </c>
      <c r="C298" s="44" t="s">
        <v>319</v>
      </c>
      <c r="D298" s="44" t="s">
        <v>108</v>
      </c>
      <c r="E298" s="44" t="s">
        <v>109</v>
      </c>
      <c r="G298" s="44">
        <f>H298*2000</f>
        <v>4380</v>
      </c>
      <c r="H298" s="44">
        <v>2.19</v>
      </c>
      <c r="K298" s="8">
        <v>230</v>
      </c>
    </row>
    <row r="299" spans="1:16" x14ac:dyDescent="0.25">
      <c r="A299" s="46">
        <v>41483</v>
      </c>
      <c r="B299" s="44" t="s">
        <v>41</v>
      </c>
      <c r="C299" s="44" t="s">
        <v>58</v>
      </c>
      <c r="D299" s="44" t="s">
        <v>58</v>
      </c>
      <c r="E299" s="44" t="s">
        <v>59</v>
      </c>
      <c r="G299" s="44">
        <v>336</v>
      </c>
      <c r="H299" s="44">
        <f>G299/2000</f>
        <v>0.16800000000000001</v>
      </c>
    </row>
    <row r="300" spans="1:16" hidden="1" x14ac:dyDescent="0.25">
      <c r="A300" s="46">
        <v>41485</v>
      </c>
      <c r="B300" s="44" t="s">
        <v>125</v>
      </c>
      <c r="C300" s="44" t="s">
        <v>319</v>
      </c>
      <c r="D300" s="44" t="s">
        <v>108</v>
      </c>
      <c r="E300" s="44" t="s">
        <v>109</v>
      </c>
      <c r="G300" s="44">
        <f>H300*2000</f>
        <v>4000</v>
      </c>
      <c r="H300" s="44">
        <v>2</v>
      </c>
      <c r="K300" s="8">
        <v>230</v>
      </c>
      <c r="M300" s="44"/>
      <c r="N300" s="45"/>
    </row>
    <row r="301" spans="1:16" hidden="1" x14ac:dyDescent="0.25">
      <c r="A301" s="46">
        <v>41485</v>
      </c>
      <c r="B301" s="44" t="s">
        <v>49</v>
      </c>
      <c r="C301" s="15" t="s">
        <v>50</v>
      </c>
      <c r="D301" s="44" t="s">
        <v>127</v>
      </c>
      <c r="E301" s="44" t="s">
        <v>119</v>
      </c>
      <c r="G301" s="61">
        <f>H301*2000</f>
        <v>13920</v>
      </c>
      <c r="H301" s="47">
        <v>6.96</v>
      </c>
      <c r="I301" s="44">
        <v>38.5</v>
      </c>
      <c r="J301" s="8">
        <v>267.95999999999998</v>
      </c>
      <c r="K301" s="8">
        <v>85</v>
      </c>
      <c r="L301" s="8">
        <v>182.96</v>
      </c>
      <c r="M301" s="44">
        <v>189503</v>
      </c>
      <c r="N301" s="45">
        <v>214008</v>
      </c>
      <c r="O301" s="46">
        <v>41522</v>
      </c>
      <c r="P301" s="46"/>
    </row>
    <row r="302" spans="1:16" hidden="1" x14ac:dyDescent="0.25">
      <c r="A302" s="18">
        <v>41485</v>
      </c>
      <c r="B302" s="19" t="s">
        <v>53</v>
      </c>
      <c r="C302" s="15" t="s">
        <v>50</v>
      </c>
      <c r="D302" s="19" t="s">
        <v>50</v>
      </c>
      <c r="E302" s="44" t="s">
        <v>119</v>
      </c>
      <c r="G302" s="61">
        <f>Legend!B$27</f>
        <v>17347.2</v>
      </c>
      <c r="H302" s="47">
        <f>G302/2000</f>
        <v>8.6736000000000004</v>
      </c>
      <c r="I302" s="49"/>
      <c r="J302" s="21"/>
      <c r="L302" s="21"/>
      <c r="M302" s="22"/>
      <c r="N302" s="19"/>
      <c r="O302" s="18"/>
    </row>
    <row r="303" spans="1:16" hidden="1" x14ac:dyDescent="0.25">
      <c r="A303" s="46">
        <v>41492</v>
      </c>
      <c r="B303" s="44" t="s">
        <v>41</v>
      </c>
      <c r="C303" s="44" t="s">
        <v>3</v>
      </c>
      <c r="D303" s="44" t="s">
        <v>3</v>
      </c>
      <c r="E303" s="44" t="s">
        <v>130</v>
      </c>
      <c r="F303" s="44">
        <v>5</v>
      </c>
      <c r="G303" s="61">
        <v>2764</v>
      </c>
      <c r="H303" s="47">
        <f>G303/2000</f>
        <v>1.3819999999999999</v>
      </c>
    </row>
    <row r="304" spans="1:16" hidden="1" x14ac:dyDescent="0.25">
      <c r="A304" s="46">
        <v>41499</v>
      </c>
      <c r="B304" s="44" t="s">
        <v>128</v>
      </c>
      <c r="C304" s="44" t="s">
        <v>4</v>
      </c>
      <c r="D304" s="44" t="s">
        <v>77</v>
      </c>
      <c r="E304" s="44" t="s">
        <v>78</v>
      </c>
      <c r="G304" s="44">
        <v>5880</v>
      </c>
      <c r="H304" s="44">
        <f>G304/2000</f>
        <v>2.94</v>
      </c>
      <c r="I304" s="44">
        <f>170/2000</f>
        <v>8.5000000000000006E-2</v>
      </c>
      <c r="J304" s="8">
        <v>499.8</v>
      </c>
      <c r="K304" s="43">
        <v>180</v>
      </c>
      <c r="L304" s="8">
        <v>319.8</v>
      </c>
      <c r="M304" s="44" t="s">
        <v>293</v>
      </c>
      <c r="N304" s="44">
        <v>212215</v>
      </c>
      <c r="O304" s="46">
        <v>41502</v>
      </c>
    </row>
    <row r="305" spans="1:16" hidden="1" x14ac:dyDescent="0.25">
      <c r="A305" s="46">
        <v>41499</v>
      </c>
      <c r="B305" s="44" t="s">
        <v>60</v>
      </c>
      <c r="C305" s="15" t="s">
        <v>50</v>
      </c>
      <c r="D305" s="44" t="s">
        <v>50</v>
      </c>
      <c r="E305" s="44" t="s">
        <v>119</v>
      </c>
      <c r="G305" s="61">
        <f>H305*2000</f>
        <v>11740</v>
      </c>
      <c r="H305" s="47">
        <v>5.87</v>
      </c>
      <c r="I305" s="44">
        <v>38.5</v>
      </c>
      <c r="J305" s="8">
        <v>226</v>
      </c>
      <c r="K305" s="8">
        <v>85</v>
      </c>
      <c r="L305" s="8">
        <v>141</v>
      </c>
      <c r="M305" s="44">
        <v>190624</v>
      </c>
      <c r="N305" s="45">
        <v>216044</v>
      </c>
      <c r="O305" s="46">
        <v>41541</v>
      </c>
    </row>
    <row r="306" spans="1:16" hidden="1" x14ac:dyDescent="0.25">
      <c r="A306" s="46">
        <v>41501</v>
      </c>
      <c r="B306" s="44" t="s">
        <v>49</v>
      </c>
      <c r="C306" s="15" t="s">
        <v>50</v>
      </c>
      <c r="D306" s="44" t="s">
        <v>127</v>
      </c>
      <c r="E306" s="44" t="s">
        <v>100</v>
      </c>
      <c r="G306" s="44">
        <f>H306*2000</f>
        <v>6160</v>
      </c>
      <c r="H306" s="44">
        <v>3.08</v>
      </c>
      <c r="M306" s="44"/>
      <c r="N306" s="45"/>
    </row>
    <row r="307" spans="1:16" hidden="1" x14ac:dyDescent="0.25">
      <c r="A307" s="46">
        <v>41508</v>
      </c>
      <c r="B307" s="44" t="s">
        <v>125</v>
      </c>
      <c r="C307" s="44" t="s">
        <v>319</v>
      </c>
      <c r="D307" s="44" t="s">
        <v>108</v>
      </c>
      <c r="E307" s="44" t="s">
        <v>109</v>
      </c>
      <c r="G307" s="44">
        <f>H307*2000</f>
        <v>5820</v>
      </c>
      <c r="H307" s="44">
        <v>2.91</v>
      </c>
      <c r="K307" s="8">
        <v>230</v>
      </c>
      <c r="M307" s="44"/>
      <c r="N307" s="45"/>
    </row>
    <row r="308" spans="1:16" hidden="1" x14ac:dyDescent="0.25">
      <c r="A308" s="46">
        <v>41509</v>
      </c>
      <c r="B308" s="19" t="s">
        <v>74</v>
      </c>
      <c r="C308" s="44" t="s">
        <v>318</v>
      </c>
      <c r="D308" s="44" t="s">
        <v>69</v>
      </c>
      <c r="E308" s="44" t="s">
        <v>119</v>
      </c>
      <c r="G308" s="61">
        <v>15060</v>
      </c>
      <c r="H308" s="47" t="b">
        <f>H346=G308/2000</f>
        <v>0</v>
      </c>
      <c r="I308" s="44">
        <v>112.5</v>
      </c>
      <c r="J308" s="8">
        <v>847.13</v>
      </c>
      <c r="K308" s="8">
        <v>100</v>
      </c>
      <c r="L308" s="8">
        <v>747.13</v>
      </c>
      <c r="M308" s="44">
        <v>191725</v>
      </c>
      <c r="N308" s="45">
        <v>216044</v>
      </c>
    </row>
    <row r="309" spans="1:16" hidden="1" x14ac:dyDescent="0.25">
      <c r="A309" s="46">
        <v>41512</v>
      </c>
      <c r="B309" s="44" t="s">
        <v>41</v>
      </c>
      <c r="C309" s="44" t="s">
        <v>3</v>
      </c>
      <c r="D309" s="44" t="s">
        <v>43</v>
      </c>
      <c r="E309" s="44" t="s">
        <v>257</v>
      </c>
      <c r="G309" s="44">
        <v>8466</v>
      </c>
      <c r="H309" s="44">
        <f>G309/2000</f>
        <v>4.2329999999999997</v>
      </c>
      <c r="M309" s="44"/>
      <c r="N309" s="45"/>
    </row>
    <row r="310" spans="1:16" hidden="1" x14ac:dyDescent="0.25">
      <c r="A310" s="46">
        <v>41513</v>
      </c>
      <c r="B310" s="44" t="s">
        <v>285</v>
      </c>
      <c r="C310" s="15" t="s">
        <v>50</v>
      </c>
      <c r="D310" s="44" t="s">
        <v>75</v>
      </c>
      <c r="E310" s="44" t="s">
        <v>100</v>
      </c>
      <c r="G310" s="44" t="s">
        <v>110</v>
      </c>
      <c r="L310" s="8">
        <v>0</v>
      </c>
      <c r="P310" s="44" t="s">
        <v>286</v>
      </c>
    </row>
    <row r="311" spans="1:16" x14ac:dyDescent="0.25">
      <c r="A311" s="46">
        <v>41514</v>
      </c>
      <c r="B311" s="44" t="s">
        <v>41</v>
      </c>
      <c r="C311" s="44" t="s">
        <v>58</v>
      </c>
      <c r="D311" s="44" t="s">
        <v>58</v>
      </c>
      <c r="E311" s="44" t="s">
        <v>59</v>
      </c>
      <c r="G311" s="44">
        <v>336</v>
      </c>
      <c r="H311" s="44">
        <f>G311/2000</f>
        <v>0.16800000000000001</v>
      </c>
    </row>
    <row r="312" spans="1:16" hidden="1" x14ac:dyDescent="0.25">
      <c r="A312" s="18">
        <v>41516</v>
      </c>
      <c r="B312" s="19" t="s">
        <v>53</v>
      </c>
      <c r="C312" s="15" t="s">
        <v>50</v>
      </c>
      <c r="D312" s="19" t="s">
        <v>50</v>
      </c>
      <c r="E312" s="44" t="s">
        <v>119</v>
      </c>
      <c r="G312" s="61">
        <f>Legend!B$27</f>
        <v>17347.2</v>
      </c>
      <c r="H312" s="47">
        <f>G312/2000</f>
        <v>8.6736000000000004</v>
      </c>
      <c r="I312" s="49"/>
      <c r="J312" s="21"/>
      <c r="L312" s="21"/>
      <c r="M312" s="22"/>
      <c r="N312" s="19"/>
      <c r="O312" s="18"/>
    </row>
    <row r="313" spans="1:16" hidden="1" x14ac:dyDescent="0.25">
      <c r="A313" s="46">
        <v>41521</v>
      </c>
      <c r="B313" s="44" t="s">
        <v>82</v>
      </c>
      <c r="C313" s="44" t="s">
        <v>319</v>
      </c>
      <c r="D313" s="44" t="s">
        <v>258</v>
      </c>
      <c r="E313" s="44" t="s">
        <v>259</v>
      </c>
      <c r="F313" s="44">
        <v>40</v>
      </c>
      <c r="G313" s="61">
        <f>37*F313</f>
        <v>1480</v>
      </c>
      <c r="H313" s="47">
        <f>G313/2000</f>
        <v>0.74</v>
      </c>
      <c r="L313" s="8">
        <v>146.5</v>
      </c>
      <c r="N313" s="44">
        <v>214211</v>
      </c>
      <c r="O313" s="46">
        <v>41158</v>
      </c>
    </row>
    <row r="314" spans="1:16" hidden="1" x14ac:dyDescent="0.25">
      <c r="A314" s="46">
        <v>41521</v>
      </c>
      <c r="B314" s="44" t="s">
        <v>110</v>
      </c>
      <c r="C314" s="44" t="s">
        <v>321</v>
      </c>
      <c r="D314" s="44" t="s">
        <v>260</v>
      </c>
      <c r="E314" s="44" t="s">
        <v>261</v>
      </c>
      <c r="L314" s="8">
        <v>151.19999999999999</v>
      </c>
      <c r="M314" s="45" t="s">
        <v>262</v>
      </c>
      <c r="N314" s="44">
        <v>215103</v>
      </c>
      <c r="O314" s="46">
        <v>41530</v>
      </c>
    </row>
    <row r="315" spans="1:16" hidden="1" x14ac:dyDescent="0.25">
      <c r="A315" s="46">
        <v>41521</v>
      </c>
      <c r="B315" s="44" t="s">
        <v>60</v>
      </c>
      <c r="C315" s="15" t="s">
        <v>50</v>
      </c>
      <c r="D315" s="44" t="s">
        <v>50</v>
      </c>
      <c r="E315" s="44" t="s">
        <v>119</v>
      </c>
      <c r="G315" s="61">
        <f>2000*H315</f>
        <v>8940</v>
      </c>
      <c r="H315" s="47">
        <v>4.47</v>
      </c>
      <c r="I315" s="44">
        <v>38.5</v>
      </c>
      <c r="J315" s="8">
        <v>172.1</v>
      </c>
      <c r="K315" s="8">
        <v>85</v>
      </c>
      <c r="L315" s="8">
        <v>87.1</v>
      </c>
      <c r="M315" s="44">
        <v>192498</v>
      </c>
      <c r="N315" s="45">
        <v>218201</v>
      </c>
      <c r="O315" s="46">
        <v>41564</v>
      </c>
    </row>
    <row r="316" spans="1:16" hidden="1" x14ac:dyDescent="0.25">
      <c r="A316" s="46">
        <v>41542</v>
      </c>
      <c r="B316" s="44" t="s">
        <v>41</v>
      </c>
      <c r="C316" s="44" t="s">
        <v>3</v>
      </c>
      <c r="D316" s="44" t="s">
        <v>3</v>
      </c>
      <c r="E316" s="44" t="s">
        <v>130</v>
      </c>
      <c r="F316" s="44">
        <v>6</v>
      </c>
      <c r="G316" s="61">
        <v>3174</v>
      </c>
      <c r="H316" s="47">
        <f>G316/2000</f>
        <v>1.587</v>
      </c>
    </row>
    <row r="317" spans="1:16" x14ac:dyDescent="0.25">
      <c r="A317" s="46">
        <v>41545</v>
      </c>
      <c r="B317" s="44" t="s">
        <v>41</v>
      </c>
      <c r="C317" s="44" t="s">
        <v>58</v>
      </c>
      <c r="D317" s="44" t="s">
        <v>58</v>
      </c>
      <c r="E317" s="44" t="s">
        <v>59</v>
      </c>
      <c r="G317" s="44">
        <v>336</v>
      </c>
      <c r="H317" s="44">
        <f>G317/2000</f>
        <v>0.16800000000000001</v>
      </c>
    </row>
    <row r="318" spans="1:16" hidden="1" x14ac:dyDescent="0.25">
      <c r="A318" s="18">
        <v>41547</v>
      </c>
      <c r="B318" s="19" t="s">
        <v>53</v>
      </c>
      <c r="C318" s="15" t="s">
        <v>50</v>
      </c>
      <c r="D318" s="19" t="s">
        <v>50</v>
      </c>
      <c r="E318" s="44" t="s">
        <v>119</v>
      </c>
      <c r="G318" s="61">
        <f>Legend!B$27</f>
        <v>17347.2</v>
      </c>
      <c r="H318" s="47">
        <f>G318/2000</f>
        <v>8.6736000000000004</v>
      </c>
      <c r="I318" s="49"/>
      <c r="J318" s="21"/>
      <c r="L318" s="21"/>
      <c r="M318" s="22"/>
      <c r="N318" s="19"/>
      <c r="O318" s="18"/>
    </row>
    <row r="319" spans="1:16" hidden="1" x14ac:dyDescent="0.25">
      <c r="A319" s="46">
        <v>41563</v>
      </c>
      <c r="B319" s="44" t="s">
        <v>125</v>
      </c>
      <c r="C319" s="44" t="s">
        <v>319</v>
      </c>
      <c r="D319" s="44" t="s">
        <v>108</v>
      </c>
      <c r="E319" s="44" t="s">
        <v>109</v>
      </c>
      <c r="G319" s="44">
        <f>H319*2000</f>
        <v>4080</v>
      </c>
      <c r="H319" s="44">
        <v>2.04</v>
      </c>
      <c r="K319" s="8">
        <v>230</v>
      </c>
      <c r="M319" s="44"/>
      <c r="N319" s="45"/>
    </row>
    <row r="320" spans="1:16" hidden="1" x14ac:dyDescent="0.25">
      <c r="A320" s="46">
        <v>41564</v>
      </c>
      <c r="B320" s="44" t="s">
        <v>60</v>
      </c>
      <c r="C320" s="15" t="s">
        <v>50</v>
      </c>
      <c r="D320" s="44" t="s">
        <v>75</v>
      </c>
      <c r="E320" s="44" t="s">
        <v>119</v>
      </c>
      <c r="G320" s="61">
        <f>2000*H320</f>
        <v>8920</v>
      </c>
      <c r="H320" s="47">
        <v>4.46</v>
      </c>
      <c r="I320" s="44">
        <v>38.5</v>
      </c>
      <c r="J320" s="8">
        <v>171.71</v>
      </c>
      <c r="K320" s="8">
        <v>85</v>
      </c>
      <c r="L320" s="8">
        <v>86.71</v>
      </c>
      <c r="M320" s="45">
        <v>196037</v>
      </c>
      <c r="N320" s="45">
        <v>221330</v>
      </c>
      <c r="O320" s="46">
        <v>41617</v>
      </c>
    </row>
    <row r="321" spans="1:16" hidden="1" x14ac:dyDescent="0.25">
      <c r="A321" s="46">
        <v>41570</v>
      </c>
      <c r="B321" s="44" t="s">
        <v>49</v>
      </c>
      <c r="C321" s="15" t="s">
        <v>50</v>
      </c>
      <c r="D321" s="44" t="s">
        <v>75</v>
      </c>
      <c r="E321" s="44" t="s">
        <v>119</v>
      </c>
      <c r="G321" s="61">
        <f>2000*H321</f>
        <v>12140</v>
      </c>
      <c r="H321" s="47">
        <v>6.07</v>
      </c>
      <c r="I321" s="44">
        <v>38.5</v>
      </c>
      <c r="J321" s="8">
        <v>233.7</v>
      </c>
      <c r="K321" s="8">
        <v>85</v>
      </c>
      <c r="L321" s="8">
        <v>148.69999999999999</v>
      </c>
      <c r="M321" s="45">
        <v>196575</v>
      </c>
      <c r="N321" s="45">
        <v>221330</v>
      </c>
      <c r="O321" s="46">
        <v>41617</v>
      </c>
    </row>
    <row r="322" spans="1:16" hidden="1" x14ac:dyDescent="0.25">
      <c r="A322" s="46">
        <v>41570</v>
      </c>
      <c r="B322" s="44" t="s">
        <v>74</v>
      </c>
      <c r="C322" s="44" t="s">
        <v>318</v>
      </c>
      <c r="D322" s="44" t="s">
        <v>56</v>
      </c>
      <c r="E322" s="44" t="s">
        <v>119</v>
      </c>
      <c r="G322" s="61">
        <v>15280</v>
      </c>
      <c r="H322" s="47">
        <v>7.64</v>
      </c>
      <c r="I322" s="44">
        <v>112.5</v>
      </c>
      <c r="J322" s="8">
        <v>859.5</v>
      </c>
      <c r="K322" s="8">
        <v>100</v>
      </c>
      <c r="L322" s="8">
        <v>759.5</v>
      </c>
      <c r="M322" s="45">
        <v>200456</v>
      </c>
      <c r="N322" s="45">
        <v>224655</v>
      </c>
      <c r="O322" s="46">
        <v>41653</v>
      </c>
    </row>
    <row r="323" spans="1:16" x14ac:dyDescent="0.25">
      <c r="A323" s="46">
        <v>41575</v>
      </c>
      <c r="B323" s="44" t="s">
        <v>41</v>
      </c>
      <c r="C323" s="44" t="s">
        <v>58</v>
      </c>
      <c r="D323" s="44" t="s">
        <v>58</v>
      </c>
      <c r="E323" s="44" t="s">
        <v>59</v>
      </c>
      <c r="G323" s="44">
        <v>336</v>
      </c>
      <c r="H323" s="44">
        <f t="shared" ref="H323:H331" si="17">G323/2000</f>
        <v>0.16800000000000001</v>
      </c>
    </row>
    <row r="324" spans="1:16" hidden="1" x14ac:dyDescent="0.25">
      <c r="A324" s="46">
        <v>41577</v>
      </c>
      <c r="B324" s="44" t="s">
        <v>82</v>
      </c>
      <c r="C324" s="44" t="s">
        <v>319</v>
      </c>
      <c r="D324" s="44" t="s">
        <v>258</v>
      </c>
      <c r="E324" s="44" t="s">
        <v>259</v>
      </c>
      <c r="F324" s="44">
        <v>40</v>
      </c>
      <c r="G324" s="61">
        <f>37*F324</f>
        <v>1480</v>
      </c>
      <c r="H324" s="47">
        <f t="shared" si="17"/>
        <v>0.74</v>
      </c>
      <c r="L324" s="8">
        <v>108.5</v>
      </c>
      <c r="N324" s="45">
        <v>219248</v>
      </c>
      <c r="O324" s="46">
        <v>41578</v>
      </c>
    </row>
    <row r="325" spans="1:16" hidden="1" x14ac:dyDescent="0.25">
      <c r="A325" s="18">
        <v>41577</v>
      </c>
      <c r="B325" s="19" t="s">
        <v>53</v>
      </c>
      <c r="C325" s="15" t="s">
        <v>50</v>
      </c>
      <c r="D325" s="19" t="s">
        <v>50</v>
      </c>
      <c r="E325" s="44" t="s">
        <v>119</v>
      </c>
      <c r="G325" s="61">
        <f>Legend!B$27</f>
        <v>17347.2</v>
      </c>
      <c r="H325" s="47">
        <f t="shared" si="17"/>
        <v>8.6736000000000004</v>
      </c>
      <c r="I325" s="49"/>
      <c r="J325" s="21"/>
      <c r="L325" s="21"/>
      <c r="M325" s="22"/>
      <c r="N325" s="19"/>
      <c r="O325" s="18"/>
    </row>
    <row r="326" spans="1:16" hidden="1" x14ac:dyDescent="0.25">
      <c r="A326" s="46">
        <v>41583</v>
      </c>
      <c r="B326" s="44" t="s">
        <v>82</v>
      </c>
      <c r="C326" s="44" t="s">
        <v>4</v>
      </c>
      <c r="D326" s="44" t="s">
        <v>77</v>
      </c>
      <c r="E326" s="44" t="s">
        <v>78</v>
      </c>
      <c r="G326" s="44">
        <v>1259</v>
      </c>
      <c r="H326" s="44">
        <f t="shared" si="17"/>
        <v>0.62949999999999995</v>
      </c>
      <c r="I326" s="44">
        <f>170/2000</f>
        <v>8.5000000000000006E-2</v>
      </c>
      <c r="J326" s="8">
        <f>170/2000</f>
        <v>8.5000000000000006E-2</v>
      </c>
      <c r="K326" s="8">
        <v>0</v>
      </c>
      <c r="L326" s="8">
        <v>107.02</v>
      </c>
      <c r="M326" s="45" t="s">
        <v>290</v>
      </c>
      <c r="N326" s="45">
        <v>219794</v>
      </c>
      <c r="O326" s="46">
        <v>41589</v>
      </c>
    </row>
    <row r="327" spans="1:16" hidden="1" x14ac:dyDescent="0.25">
      <c r="A327" s="46">
        <v>41583</v>
      </c>
      <c r="B327" s="44" t="s">
        <v>82</v>
      </c>
      <c r="C327" s="44" t="s">
        <v>4</v>
      </c>
      <c r="D327" s="44" t="s">
        <v>132</v>
      </c>
      <c r="E327" s="44" t="s">
        <v>78</v>
      </c>
      <c r="G327" s="44">
        <v>9</v>
      </c>
      <c r="H327" s="44">
        <f t="shared" si="17"/>
        <v>4.4999999999999997E-3</v>
      </c>
      <c r="I327" s="47">
        <v>0.2</v>
      </c>
      <c r="J327" s="8">
        <v>1.8</v>
      </c>
      <c r="K327" s="8">
        <v>0</v>
      </c>
      <c r="L327" s="8">
        <v>1.8</v>
      </c>
      <c r="M327" s="45" t="s">
        <v>290</v>
      </c>
      <c r="N327" s="45">
        <v>219794</v>
      </c>
      <c r="O327" s="46">
        <v>41589</v>
      </c>
    </row>
    <row r="328" spans="1:16" hidden="1" x14ac:dyDescent="0.25">
      <c r="A328" s="46">
        <v>41583</v>
      </c>
      <c r="B328" s="44" t="s">
        <v>82</v>
      </c>
      <c r="C328" s="44" t="s">
        <v>4</v>
      </c>
      <c r="D328" s="44" t="s">
        <v>133</v>
      </c>
      <c r="E328" s="44" t="s">
        <v>78</v>
      </c>
      <c r="G328" s="44">
        <v>400</v>
      </c>
      <c r="H328" s="44">
        <f t="shared" si="17"/>
        <v>0.2</v>
      </c>
      <c r="I328" s="47">
        <v>0.35</v>
      </c>
      <c r="J328" s="8">
        <v>140</v>
      </c>
      <c r="K328" s="8">
        <v>0</v>
      </c>
      <c r="L328" s="8">
        <v>140</v>
      </c>
      <c r="M328" s="45" t="s">
        <v>131</v>
      </c>
      <c r="N328" s="45">
        <v>219794</v>
      </c>
      <c r="O328" s="46">
        <v>41589</v>
      </c>
    </row>
    <row r="329" spans="1:16" hidden="1" x14ac:dyDescent="0.25">
      <c r="A329" s="46">
        <v>41589</v>
      </c>
      <c r="B329" s="44" t="s">
        <v>128</v>
      </c>
      <c r="C329" s="44" t="s">
        <v>4</v>
      </c>
      <c r="D329" s="44" t="s">
        <v>77</v>
      </c>
      <c r="E329" s="44" t="s">
        <v>78</v>
      </c>
      <c r="G329" s="44">
        <v>7680</v>
      </c>
      <c r="H329" s="44">
        <f t="shared" si="17"/>
        <v>3.84</v>
      </c>
      <c r="I329" s="44">
        <f>180/2000</f>
        <v>0.09</v>
      </c>
      <c r="J329" s="8">
        <v>710.4</v>
      </c>
      <c r="K329" s="43">
        <v>180</v>
      </c>
      <c r="L329" s="8">
        <v>530.4</v>
      </c>
      <c r="M329" s="44" t="s">
        <v>294</v>
      </c>
      <c r="N329" s="45">
        <v>220751</v>
      </c>
      <c r="O329" s="46">
        <v>41604</v>
      </c>
      <c r="P329" s="46"/>
    </row>
    <row r="330" spans="1:16" hidden="1" x14ac:dyDescent="0.25">
      <c r="A330" s="46">
        <v>41590</v>
      </c>
      <c r="B330" s="44" t="s">
        <v>41</v>
      </c>
      <c r="C330" s="44" t="s">
        <v>3</v>
      </c>
      <c r="D330" s="44" t="s">
        <v>291</v>
      </c>
      <c r="E330" s="44" t="s">
        <v>292</v>
      </c>
      <c r="F330" s="44">
        <v>433</v>
      </c>
      <c r="G330" s="44">
        <f>5*F330</f>
        <v>2165</v>
      </c>
      <c r="H330" s="44">
        <f t="shared" si="17"/>
        <v>1.0825</v>
      </c>
      <c r="L330" s="8">
        <v>496.05</v>
      </c>
      <c r="M330" s="45" t="s">
        <v>299</v>
      </c>
      <c r="N330" s="45">
        <v>221649</v>
      </c>
      <c r="O330" s="46">
        <v>41620</v>
      </c>
    </row>
    <row r="331" spans="1:16" hidden="1" x14ac:dyDescent="0.25">
      <c r="A331" s="46">
        <v>41592</v>
      </c>
      <c r="B331" s="44" t="s">
        <v>41</v>
      </c>
      <c r="C331" s="44" t="s">
        <v>3</v>
      </c>
      <c r="D331" s="44" t="s">
        <v>3</v>
      </c>
      <c r="E331" s="44" t="s">
        <v>134</v>
      </c>
      <c r="F331" s="44">
        <v>5</v>
      </c>
      <c r="G331" s="61">
        <v>1347</v>
      </c>
      <c r="H331" s="47">
        <f t="shared" si="17"/>
        <v>0.67349999999999999</v>
      </c>
    </row>
    <row r="332" spans="1:16" hidden="1" x14ac:dyDescent="0.25">
      <c r="A332" s="46">
        <v>41599</v>
      </c>
      <c r="B332" s="44" t="s">
        <v>125</v>
      </c>
      <c r="C332" s="44" t="s">
        <v>319</v>
      </c>
      <c r="D332" s="44" t="s">
        <v>108</v>
      </c>
      <c r="E332" s="44" t="s">
        <v>109</v>
      </c>
      <c r="G332" s="44">
        <f>H332*2000</f>
        <v>3940</v>
      </c>
      <c r="H332" s="44">
        <v>1.97</v>
      </c>
      <c r="K332" s="8">
        <v>230</v>
      </c>
      <c r="M332" s="44"/>
      <c r="N332" s="45"/>
    </row>
    <row r="333" spans="1:16" hidden="1" x14ac:dyDescent="0.25">
      <c r="A333" s="46">
        <v>41600</v>
      </c>
      <c r="B333" s="44" t="s">
        <v>82</v>
      </c>
      <c r="C333" s="44" t="s">
        <v>319</v>
      </c>
      <c r="D333" s="44" t="s">
        <v>258</v>
      </c>
      <c r="E333" s="44" t="s">
        <v>259</v>
      </c>
      <c r="F333" s="44">
        <v>40</v>
      </c>
      <c r="G333" s="61">
        <f>37*F333</f>
        <v>1480</v>
      </c>
      <c r="H333" s="47">
        <f t="shared" ref="H333:H341" si="18">G333/2000</f>
        <v>0.74</v>
      </c>
      <c r="L333" s="8">
        <v>135</v>
      </c>
      <c r="M333" s="44"/>
      <c r="N333" s="45">
        <v>220587</v>
      </c>
      <c r="O333" s="46">
        <v>41600</v>
      </c>
      <c r="P333" s="46"/>
    </row>
    <row r="334" spans="1:16" x14ac:dyDescent="0.25">
      <c r="A334" s="46">
        <v>41606</v>
      </c>
      <c r="B334" s="44" t="s">
        <v>41</v>
      </c>
      <c r="C334" s="44" t="s">
        <v>58</v>
      </c>
      <c r="D334" s="44" t="s">
        <v>58</v>
      </c>
      <c r="E334" s="44" t="s">
        <v>59</v>
      </c>
      <c r="G334" s="44">
        <v>336</v>
      </c>
      <c r="H334" s="44">
        <f t="shared" si="18"/>
        <v>0.16800000000000001</v>
      </c>
    </row>
    <row r="335" spans="1:16" hidden="1" x14ac:dyDescent="0.25">
      <c r="A335" s="18">
        <v>41608</v>
      </c>
      <c r="B335" s="19" t="s">
        <v>53</v>
      </c>
      <c r="C335" s="15" t="s">
        <v>50</v>
      </c>
      <c r="D335" s="19" t="s">
        <v>50</v>
      </c>
      <c r="E335" s="44" t="s">
        <v>119</v>
      </c>
      <c r="G335" s="61">
        <f>Legend!B$27</f>
        <v>17347.2</v>
      </c>
      <c r="H335" s="47">
        <f t="shared" si="18"/>
        <v>8.6736000000000004</v>
      </c>
      <c r="I335" s="49"/>
      <c r="J335" s="21"/>
      <c r="L335" s="21"/>
      <c r="M335" s="22"/>
      <c r="N335" s="19"/>
      <c r="O335" s="18"/>
    </row>
    <row r="336" spans="1:16" hidden="1" x14ac:dyDescent="0.25">
      <c r="A336" s="46">
        <v>41610</v>
      </c>
      <c r="B336" s="44" t="s">
        <v>82</v>
      </c>
      <c r="C336" s="44" t="s">
        <v>4</v>
      </c>
      <c r="D336" s="44" t="s">
        <v>77</v>
      </c>
      <c r="E336" s="44" t="s">
        <v>78</v>
      </c>
      <c r="G336" s="44">
        <v>37</v>
      </c>
      <c r="H336" s="44">
        <f t="shared" si="18"/>
        <v>1.8499999999999999E-2</v>
      </c>
      <c r="I336" s="44">
        <f>200/2000</f>
        <v>0.1</v>
      </c>
      <c r="J336" s="8">
        <f>170/2000</f>
        <v>8.5000000000000006E-2</v>
      </c>
      <c r="K336" s="8">
        <v>0</v>
      </c>
      <c r="L336" s="8">
        <v>3.7</v>
      </c>
      <c r="M336" s="45" t="s">
        <v>296</v>
      </c>
      <c r="N336" s="44">
        <v>221244</v>
      </c>
      <c r="O336" s="46">
        <v>41614</v>
      </c>
    </row>
    <row r="337" spans="1:15" hidden="1" x14ac:dyDescent="0.25">
      <c r="A337" s="46">
        <v>41610</v>
      </c>
      <c r="B337" s="44" t="s">
        <v>82</v>
      </c>
      <c r="C337" s="44" t="s">
        <v>4</v>
      </c>
      <c r="D337" s="44" t="s">
        <v>295</v>
      </c>
      <c r="E337" s="44" t="s">
        <v>78</v>
      </c>
      <c r="G337" s="44">
        <v>8</v>
      </c>
      <c r="H337" s="44">
        <f t="shared" si="18"/>
        <v>4.0000000000000001E-3</v>
      </c>
      <c r="I337" s="47">
        <v>0.2</v>
      </c>
      <c r="J337" s="8">
        <v>1.8</v>
      </c>
      <c r="K337" s="8">
        <v>0</v>
      </c>
      <c r="L337" s="8">
        <v>1.8</v>
      </c>
      <c r="M337" s="45" t="s">
        <v>296</v>
      </c>
      <c r="N337" s="44">
        <v>221244</v>
      </c>
      <c r="O337" s="46">
        <v>41614</v>
      </c>
    </row>
    <row r="338" spans="1:15" hidden="1" x14ac:dyDescent="0.25">
      <c r="A338" s="46">
        <v>41610</v>
      </c>
      <c r="B338" s="44" t="s">
        <v>82</v>
      </c>
      <c r="C338" s="44" t="s">
        <v>4</v>
      </c>
      <c r="D338" s="44" t="s">
        <v>133</v>
      </c>
      <c r="E338" s="44" t="s">
        <v>78</v>
      </c>
      <c r="G338" s="44">
        <v>117</v>
      </c>
      <c r="H338" s="44">
        <f t="shared" si="18"/>
        <v>5.8500000000000003E-2</v>
      </c>
      <c r="I338" s="47">
        <v>0.32</v>
      </c>
      <c r="J338" s="8">
        <v>37.44</v>
      </c>
      <c r="K338" s="8">
        <v>0</v>
      </c>
      <c r="L338" s="8">
        <v>37.44</v>
      </c>
      <c r="M338" s="45" t="s">
        <v>296</v>
      </c>
      <c r="N338" s="44">
        <v>221244</v>
      </c>
      <c r="O338" s="46">
        <v>41614</v>
      </c>
    </row>
    <row r="339" spans="1:15" hidden="1" x14ac:dyDescent="0.25">
      <c r="A339" s="46">
        <v>41610</v>
      </c>
      <c r="B339" s="44" t="s">
        <v>82</v>
      </c>
      <c r="C339" s="44" t="s">
        <v>4</v>
      </c>
      <c r="D339" s="44" t="s">
        <v>66</v>
      </c>
      <c r="E339" s="44" t="s">
        <v>78</v>
      </c>
      <c r="G339" s="44">
        <v>194</v>
      </c>
      <c r="H339" s="44">
        <f t="shared" si="18"/>
        <v>9.7000000000000003E-2</v>
      </c>
      <c r="I339" s="47">
        <v>0.48</v>
      </c>
      <c r="J339" s="8">
        <v>93.12</v>
      </c>
      <c r="K339" s="8">
        <v>0</v>
      </c>
      <c r="L339" s="8">
        <v>93.12</v>
      </c>
      <c r="M339" s="45" t="s">
        <v>296</v>
      </c>
      <c r="N339" s="44">
        <v>221244</v>
      </c>
      <c r="O339" s="46">
        <v>41614</v>
      </c>
    </row>
    <row r="340" spans="1:15" hidden="1" x14ac:dyDescent="0.25">
      <c r="A340" s="46">
        <v>41610</v>
      </c>
      <c r="B340" s="44" t="s">
        <v>82</v>
      </c>
      <c r="C340" s="44" t="s">
        <v>4</v>
      </c>
      <c r="D340" s="44" t="s">
        <v>297</v>
      </c>
      <c r="E340" s="44" t="s">
        <v>78</v>
      </c>
      <c r="G340" s="44">
        <v>1080</v>
      </c>
      <c r="H340" s="44">
        <f t="shared" si="18"/>
        <v>0.54</v>
      </c>
      <c r="I340" s="44">
        <v>0.48</v>
      </c>
      <c r="J340" s="8">
        <v>518.4</v>
      </c>
      <c r="L340" s="8">
        <v>518.4</v>
      </c>
      <c r="M340" s="45" t="s">
        <v>296</v>
      </c>
      <c r="N340" s="44">
        <v>221244</v>
      </c>
      <c r="O340" s="46">
        <v>41614</v>
      </c>
    </row>
    <row r="341" spans="1:15" hidden="1" x14ac:dyDescent="0.25">
      <c r="A341" s="46">
        <v>41610</v>
      </c>
      <c r="B341" s="44" t="s">
        <v>82</v>
      </c>
      <c r="C341" s="44" t="s">
        <v>4</v>
      </c>
      <c r="D341" s="44" t="s">
        <v>298</v>
      </c>
      <c r="E341" s="44" t="s">
        <v>78</v>
      </c>
      <c r="G341" s="44">
        <v>6</v>
      </c>
      <c r="H341" s="44">
        <f t="shared" si="18"/>
        <v>3.0000000000000001E-3</v>
      </c>
      <c r="I341" s="47">
        <v>0.92</v>
      </c>
      <c r="J341" s="8">
        <v>5.52</v>
      </c>
      <c r="K341" s="8">
        <v>0</v>
      </c>
      <c r="L341" s="8">
        <v>5.52</v>
      </c>
      <c r="M341" s="45" t="s">
        <v>296</v>
      </c>
      <c r="N341" s="44">
        <v>221244</v>
      </c>
      <c r="O341" s="46">
        <v>41614</v>
      </c>
    </row>
    <row r="342" spans="1:15" hidden="1" x14ac:dyDescent="0.25">
      <c r="A342" s="46">
        <v>41617</v>
      </c>
      <c r="B342" s="44" t="s">
        <v>74</v>
      </c>
      <c r="C342" s="44" t="s">
        <v>318</v>
      </c>
      <c r="D342" s="44" t="s">
        <v>56</v>
      </c>
      <c r="E342" s="44" t="s">
        <v>119</v>
      </c>
      <c r="G342" s="61">
        <v>12655</v>
      </c>
      <c r="H342" s="47">
        <v>6.33</v>
      </c>
      <c r="I342" s="44">
        <v>112.5</v>
      </c>
      <c r="J342" s="8">
        <v>712.33</v>
      </c>
      <c r="K342" s="8">
        <v>100</v>
      </c>
      <c r="L342" s="8">
        <f>J342-K342</f>
        <v>612.33000000000004</v>
      </c>
      <c r="M342" s="45">
        <v>202395</v>
      </c>
      <c r="N342" s="45">
        <v>226509</v>
      </c>
      <c r="O342" s="46">
        <v>41676</v>
      </c>
    </row>
    <row r="343" spans="1:15" hidden="1" x14ac:dyDescent="0.25">
      <c r="A343" s="46">
        <v>41617</v>
      </c>
      <c r="B343" s="44" t="s">
        <v>74</v>
      </c>
      <c r="C343" s="44" t="s">
        <v>320</v>
      </c>
      <c r="D343" s="44" t="s">
        <v>57</v>
      </c>
      <c r="E343" s="44" t="s">
        <v>119</v>
      </c>
      <c r="G343" s="61">
        <v>2625</v>
      </c>
      <c r="H343" s="47">
        <f>G343/2000</f>
        <v>1.3125</v>
      </c>
      <c r="I343" s="44">
        <v>38.5</v>
      </c>
      <c r="J343" s="8">
        <v>106.11</v>
      </c>
      <c r="K343" s="8">
        <v>0</v>
      </c>
      <c r="L343" s="8">
        <f>J343-K343</f>
        <v>106.11</v>
      </c>
      <c r="M343" s="45">
        <v>202395</v>
      </c>
      <c r="N343" s="45">
        <v>226509</v>
      </c>
      <c r="O343" s="46">
        <v>41676</v>
      </c>
    </row>
    <row r="344" spans="1:15" hidden="1" x14ac:dyDescent="0.25">
      <c r="A344" s="46">
        <v>41618</v>
      </c>
      <c r="B344" s="44" t="s">
        <v>49</v>
      </c>
      <c r="C344" s="15" t="s">
        <v>50</v>
      </c>
      <c r="D344" s="44" t="s">
        <v>75</v>
      </c>
      <c r="E344" s="44" t="s">
        <v>119</v>
      </c>
      <c r="G344" s="61">
        <f>2000*H344</f>
        <v>9620</v>
      </c>
      <c r="H344" s="47">
        <v>4.8099999999999996</v>
      </c>
      <c r="I344" s="44">
        <v>38.5</v>
      </c>
      <c r="J344" s="8">
        <v>185.19</v>
      </c>
      <c r="K344" s="8">
        <v>85</v>
      </c>
      <c r="L344" s="8">
        <v>100.19</v>
      </c>
      <c r="M344" s="45">
        <v>200165</v>
      </c>
      <c r="N344" s="45">
        <v>226509</v>
      </c>
      <c r="O344" s="46">
        <v>41676</v>
      </c>
    </row>
    <row r="345" spans="1:15" hidden="1" x14ac:dyDescent="0.25">
      <c r="A345" s="46">
        <v>41621</v>
      </c>
      <c r="B345" s="44" t="s">
        <v>82</v>
      </c>
      <c r="C345" s="44" t="s">
        <v>319</v>
      </c>
      <c r="D345" s="44" t="s">
        <v>258</v>
      </c>
      <c r="E345" s="44" t="s">
        <v>259</v>
      </c>
      <c r="F345" s="44">
        <v>26</v>
      </c>
      <c r="G345" s="61">
        <f>37*F345</f>
        <v>962</v>
      </c>
      <c r="H345" s="47">
        <f t="shared" ref="H345:H353" si="19">G345/2000</f>
        <v>0.48099999999999998</v>
      </c>
      <c r="L345" s="8">
        <v>75</v>
      </c>
      <c r="N345" s="45">
        <v>221851</v>
      </c>
      <c r="O345" s="46">
        <v>41624</v>
      </c>
    </row>
    <row r="346" spans="1:15" x14ac:dyDescent="0.25">
      <c r="A346" s="46">
        <v>41636</v>
      </c>
      <c r="B346" s="44" t="s">
        <v>41</v>
      </c>
      <c r="C346" s="44" t="s">
        <v>58</v>
      </c>
      <c r="D346" s="44" t="s">
        <v>58</v>
      </c>
      <c r="E346" s="44" t="s">
        <v>59</v>
      </c>
      <c r="G346" s="44">
        <v>336</v>
      </c>
      <c r="H346" s="44">
        <f t="shared" si="19"/>
        <v>0.16800000000000001</v>
      </c>
    </row>
    <row r="347" spans="1:15" hidden="1" x14ac:dyDescent="0.25">
      <c r="A347" s="62">
        <v>41638</v>
      </c>
      <c r="B347" s="19" t="s">
        <v>53</v>
      </c>
      <c r="C347" s="15" t="s">
        <v>50</v>
      </c>
      <c r="D347" s="19" t="s">
        <v>50</v>
      </c>
      <c r="E347" s="44" t="s">
        <v>119</v>
      </c>
      <c r="G347" s="61">
        <f>Legend!B$27</f>
        <v>17347.2</v>
      </c>
      <c r="H347" s="47">
        <f t="shared" si="19"/>
        <v>8.6736000000000004</v>
      </c>
      <c r="I347" s="49"/>
      <c r="J347" s="21"/>
      <c r="L347" s="21"/>
      <c r="M347" s="22"/>
      <c r="N347" s="19"/>
      <c r="O347" s="18"/>
    </row>
    <row r="348" spans="1:15" hidden="1" x14ac:dyDescent="0.25">
      <c r="A348" s="46">
        <v>41639</v>
      </c>
      <c r="B348" s="44" t="s">
        <v>300</v>
      </c>
      <c r="C348" s="44" t="s">
        <v>318</v>
      </c>
      <c r="D348" s="44" t="s">
        <v>69</v>
      </c>
      <c r="E348" s="44" t="s">
        <v>301</v>
      </c>
      <c r="G348" s="61">
        <v>31015</v>
      </c>
      <c r="H348" s="47">
        <f t="shared" si="19"/>
        <v>15.5075</v>
      </c>
      <c r="I348" s="44">
        <v>0</v>
      </c>
      <c r="J348" s="8">
        <v>0</v>
      </c>
      <c r="K348" s="8">
        <v>0</v>
      </c>
      <c r="L348" s="8">
        <v>0</v>
      </c>
      <c r="M348" s="45">
        <v>0</v>
      </c>
      <c r="N348" s="44">
        <v>0</v>
      </c>
      <c r="O348" s="44">
        <v>0</v>
      </c>
    </row>
    <row r="349" spans="1:15" hidden="1" x14ac:dyDescent="0.25">
      <c r="A349" s="46">
        <v>41639</v>
      </c>
      <c r="B349" s="44" t="s">
        <v>45</v>
      </c>
      <c r="C349" s="44" t="s">
        <v>330</v>
      </c>
      <c r="D349" s="44" t="s">
        <v>46</v>
      </c>
      <c r="E349" s="44" t="s">
        <v>47</v>
      </c>
      <c r="F349" s="44">
        <v>364</v>
      </c>
      <c r="G349" s="44">
        <f>40*530</f>
        <v>21200</v>
      </c>
      <c r="H349" s="44">
        <f t="shared" si="19"/>
        <v>10.6</v>
      </c>
      <c r="L349" s="8">
        <v>3640</v>
      </c>
    </row>
    <row r="350" spans="1:15" hidden="1" x14ac:dyDescent="0.25">
      <c r="A350" s="46">
        <v>41639</v>
      </c>
      <c r="B350" s="44" t="s">
        <v>342</v>
      </c>
      <c r="C350" s="44" t="s">
        <v>6</v>
      </c>
      <c r="D350" s="44" t="s">
        <v>344</v>
      </c>
      <c r="E350" s="44" t="s">
        <v>343</v>
      </c>
      <c r="F350" s="44">
        <v>111</v>
      </c>
      <c r="G350" s="61">
        <f>350*F350</f>
        <v>38850</v>
      </c>
      <c r="H350" s="47">
        <f t="shared" si="19"/>
        <v>19.425000000000001</v>
      </c>
    </row>
    <row r="351" spans="1:15" hidden="1" x14ac:dyDescent="0.25">
      <c r="A351" s="46">
        <v>41639</v>
      </c>
      <c r="B351" s="44" t="s">
        <v>342</v>
      </c>
      <c r="C351" s="44" t="s">
        <v>319</v>
      </c>
      <c r="D351" s="44" t="s">
        <v>345</v>
      </c>
      <c r="E351" s="44" t="s">
        <v>343</v>
      </c>
      <c r="F351" s="44">
        <v>50</v>
      </c>
      <c r="G351" s="61">
        <f>350*F351</f>
        <v>17500</v>
      </c>
      <c r="H351" s="47">
        <f t="shared" si="19"/>
        <v>8.75</v>
      </c>
    </row>
    <row r="352" spans="1:15" hidden="1" x14ac:dyDescent="0.25">
      <c r="A352" s="46">
        <v>41655</v>
      </c>
      <c r="B352" s="44" t="s">
        <v>41</v>
      </c>
      <c r="C352" s="44" t="s">
        <v>3</v>
      </c>
      <c r="D352" s="44" t="s">
        <v>3</v>
      </c>
      <c r="E352" s="44" t="s">
        <v>134</v>
      </c>
      <c r="F352" s="44">
        <v>4</v>
      </c>
      <c r="G352" s="61">
        <v>2175</v>
      </c>
      <c r="H352" s="47">
        <f t="shared" si="19"/>
        <v>1.0874999999999999</v>
      </c>
    </row>
    <row r="353" spans="1:16" hidden="1" x14ac:dyDescent="0.25">
      <c r="A353" s="46">
        <v>41655</v>
      </c>
      <c r="B353" s="44" t="s">
        <v>82</v>
      </c>
      <c r="C353" s="44" t="s">
        <v>319</v>
      </c>
      <c r="D353" s="44" t="s">
        <v>258</v>
      </c>
      <c r="E353" s="44" t="s">
        <v>259</v>
      </c>
      <c r="F353" s="44">
        <v>30</v>
      </c>
      <c r="G353" s="61">
        <f>37*F353</f>
        <v>1110</v>
      </c>
      <c r="H353" s="47">
        <f t="shared" si="19"/>
        <v>0.55500000000000005</v>
      </c>
      <c r="L353" s="8">
        <v>78</v>
      </c>
      <c r="N353" s="45">
        <v>225221</v>
      </c>
      <c r="O353" s="46">
        <v>41656</v>
      </c>
    </row>
    <row r="354" spans="1:16" hidden="1" x14ac:dyDescent="0.25">
      <c r="A354" s="46">
        <v>41655</v>
      </c>
      <c r="B354" s="44" t="s">
        <v>49</v>
      </c>
      <c r="C354" s="15" t="s">
        <v>50</v>
      </c>
      <c r="D354" s="44" t="s">
        <v>75</v>
      </c>
      <c r="E354" s="44" t="s">
        <v>119</v>
      </c>
      <c r="G354" s="61"/>
      <c r="H354" s="47">
        <v>6.35</v>
      </c>
      <c r="I354" s="44">
        <v>38.5</v>
      </c>
      <c r="J354" s="8">
        <v>244.48</v>
      </c>
      <c r="K354" s="8">
        <v>85</v>
      </c>
      <c r="L354" s="8">
        <v>159.47999999999999</v>
      </c>
      <c r="M354" s="45">
        <v>203004</v>
      </c>
      <c r="N354" s="44">
        <v>227605</v>
      </c>
      <c r="O354" s="46">
        <v>41689</v>
      </c>
    </row>
    <row r="355" spans="1:16" hidden="1" x14ac:dyDescent="0.25">
      <c r="A355" s="46">
        <v>41656</v>
      </c>
      <c r="B355" s="44" t="s">
        <v>60</v>
      </c>
      <c r="C355" s="15" t="s">
        <v>50</v>
      </c>
      <c r="D355" s="44" t="s">
        <v>75</v>
      </c>
      <c r="E355" s="44" t="s">
        <v>119</v>
      </c>
      <c r="G355" s="61"/>
      <c r="H355" s="47">
        <v>4.45</v>
      </c>
      <c r="I355" s="44">
        <v>38.5</v>
      </c>
      <c r="J355" s="8">
        <v>171.33</v>
      </c>
      <c r="K355" s="8">
        <v>85</v>
      </c>
      <c r="L355" s="8">
        <v>88.33</v>
      </c>
      <c r="M355" s="45">
        <v>203287</v>
      </c>
      <c r="N355" s="44">
        <v>227605</v>
      </c>
      <c r="O355" s="46">
        <v>41689</v>
      </c>
    </row>
    <row r="356" spans="1:16" hidden="1" x14ac:dyDescent="0.25">
      <c r="A356" s="46">
        <v>41667</v>
      </c>
      <c r="B356" s="44" t="s">
        <v>125</v>
      </c>
      <c r="C356" s="44" t="s">
        <v>319</v>
      </c>
      <c r="D356" s="44" t="s">
        <v>108</v>
      </c>
      <c r="E356" s="44" t="s">
        <v>109</v>
      </c>
      <c r="G356" s="44">
        <f>H356*2000</f>
        <v>2840</v>
      </c>
      <c r="H356" s="44">
        <v>1.42</v>
      </c>
      <c r="K356" s="8">
        <v>230</v>
      </c>
      <c r="M356" s="44"/>
      <c r="N356" s="45"/>
    </row>
    <row r="357" spans="1:16" x14ac:dyDescent="0.25">
      <c r="A357" s="46">
        <v>41667</v>
      </c>
      <c r="B357" s="44" t="s">
        <v>41</v>
      </c>
      <c r="C357" s="44" t="s">
        <v>58</v>
      </c>
      <c r="D357" s="44" t="s">
        <v>58</v>
      </c>
      <c r="E357" s="44" t="s">
        <v>59</v>
      </c>
      <c r="G357" s="44">
        <v>336</v>
      </c>
      <c r="H357" s="44">
        <f>G357/2000</f>
        <v>0.16800000000000001</v>
      </c>
    </row>
    <row r="358" spans="1:16" hidden="1" x14ac:dyDescent="0.25">
      <c r="A358" s="62">
        <v>41669</v>
      </c>
      <c r="B358" s="19" t="s">
        <v>53</v>
      </c>
      <c r="C358" s="15" t="s">
        <v>50</v>
      </c>
      <c r="D358" s="19" t="s">
        <v>50</v>
      </c>
      <c r="E358" s="44" t="s">
        <v>119</v>
      </c>
      <c r="G358" s="61">
        <f>Legend!B$27</f>
        <v>17347.2</v>
      </c>
      <c r="H358" s="47">
        <f>G358/2000</f>
        <v>8.6736000000000004</v>
      </c>
      <c r="I358" s="49"/>
      <c r="J358" s="21"/>
      <c r="L358" s="21"/>
      <c r="M358" s="22"/>
      <c r="N358" s="19"/>
      <c r="O358" s="18"/>
    </row>
    <row r="359" spans="1:16" hidden="1" x14ac:dyDescent="0.25">
      <c r="A359" s="46">
        <v>41682</v>
      </c>
      <c r="B359" s="44" t="s">
        <v>74</v>
      </c>
      <c r="C359" s="44" t="s">
        <v>318</v>
      </c>
      <c r="D359" s="44" t="s">
        <v>56</v>
      </c>
      <c r="E359" s="44" t="s">
        <v>119</v>
      </c>
      <c r="G359" s="61">
        <v>14962</v>
      </c>
      <c r="H359" s="44">
        <f>G359/2000</f>
        <v>7.4809999999999999</v>
      </c>
      <c r="I359" s="44">
        <v>121.5</v>
      </c>
      <c r="J359" s="8">
        <f>I359*H359</f>
        <v>908.94150000000002</v>
      </c>
      <c r="K359" s="8">
        <v>100</v>
      </c>
      <c r="L359" s="8">
        <f>J359-K359</f>
        <v>808.94150000000002</v>
      </c>
      <c r="M359" s="45">
        <v>204775</v>
      </c>
      <c r="N359" s="45">
        <v>229855</v>
      </c>
      <c r="O359" s="46">
        <v>41724</v>
      </c>
    </row>
    <row r="360" spans="1:16" hidden="1" x14ac:dyDescent="0.25">
      <c r="A360" s="46">
        <v>41682</v>
      </c>
      <c r="B360" s="44" t="s">
        <v>74</v>
      </c>
      <c r="C360" s="44" t="s">
        <v>320</v>
      </c>
      <c r="D360" s="44" t="s">
        <v>57</v>
      </c>
      <c r="E360" s="44" t="s">
        <v>119</v>
      </c>
      <c r="G360" s="61">
        <v>769</v>
      </c>
      <c r="H360" s="44">
        <v>0.38</v>
      </c>
      <c r="I360" s="44">
        <v>81</v>
      </c>
      <c r="J360" s="8">
        <f>I360*H360</f>
        <v>30.78</v>
      </c>
      <c r="K360" s="8">
        <v>0</v>
      </c>
      <c r="L360" s="8">
        <f>J360-K360</f>
        <v>30.78</v>
      </c>
      <c r="M360" s="45">
        <v>204775</v>
      </c>
      <c r="N360" s="45">
        <v>229855</v>
      </c>
      <c r="O360" s="46">
        <v>41724</v>
      </c>
    </row>
    <row r="361" spans="1:16" hidden="1" x14ac:dyDescent="0.25">
      <c r="A361" s="46">
        <v>41682</v>
      </c>
      <c r="B361" s="44" t="s">
        <v>74</v>
      </c>
      <c r="C361" s="44" t="s">
        <v>318</v>
      </c>
      <c r="D361" s="44" t="s">
        <v>56</v>
      </c>
      <c r="E361" s="44" t="s">
        <v>119</v>
      </c>
      <c r="G361" s="61">
        <v>1380</v>
      </c>
      <c r="H361" s="44">
        <f>G361/2000</f>
        <v>0.69</v>
      </c>
      <c r="I361" s="44">
        <v>0</v>
      </c>
      <c r="J361" s="8">
        <f>I361*H361</f>
        <v>0</v>
      </c>
      <c r="L361" s="8">
        <f>J361-K361</f>
        <v>0</v>
      </c>
      <c r="M361" s="45">
        <v>204775</v>
      </c>
      <c r="N361" s="45">
        <v>229855</v>
      </c>
      <c r="O361" s="46">
        <v>41724</v>
      </c>
    </row>
    <row r="362" spans="1:16" hidden="1" x14ac:dyDescent="0.25">
      <c r="A362" s="46">
        <v>41695</v>
      </c>
      <c r="B362" s="44" t="s">
        <v>125</v>
      </c>
      <c r="C362" s="44" t="s">
        <v>319</v>
      </c>
      <c r="D362" s="44" t="s">
        <v>108</v>
      </c>
      <c r="E362" s="44" t="s">
        <v>109</v>
      </c>
      <c r="G362" s="44">
        <f>H362*2000</f>
        <v>4100</v>
      </c>
      <c r="H362" s="44">
        <v>2.0499999999999998</v>
      </c>
      <c r="K362" s="8">
        <v>230</v>
      </c>
      <c r="M362" s="44"/>
      <c r="N362" s="45"/>
    </row>
    <row r="363" spans="1:16" hidden="1" x14ac:dyDescent="0.25">
      <c r="A363" s="46">
        <v>41696</v>
      </c>
      <c r="B363" s="44" t="s">
        <v>82</v>
      </c>
      <c r="C363" s="44" t="s">
        <v>319</v>
      </c>
      <c r="D363" s="44" t="s">
        <v>258</v>
      </c>
      <c r="E363" s="44" t="s">
        <v>259</v>
      </c>
      <c r="F363" s="44">
        <v>40</v>
      </c>
      <c r="G363" s="61">
        <f>37*F363</f>
        <v>1480</v>
      </c>
      <c r="H363" s="47">
        <f t="shared" ref="H363:H373" si="20">G363/2000</f>
        <v>0.74</v>
      </c>
      <c r="L363" s="8">
        <v>95</v>
      </c>
      <c r="N363" s="45">
        <v>228337</v>
      </c>
      <c r="O363" s="46">
        <v>41698</v>
      </c>
    </row>
    <row r="364" spans="1:16" hidden="1" x14ac:dyDescent="0.25">
      <c r="A364" s="62">
        <v>41698</v>
      </c>
      <c r="B364" s="19" t="s">
        <v>53</v>
      </c>
      <c r="C364" s="15" t="s">
        <v>50</v>
      </c>
      <c r="D364" s="19" t="s">
        <v>50</v>
      </c>
      <c r="E364" s="44" t="s">
        <v>119</v>
      </c>
      <c r="G364" s="61">
        <f>Legend!B$27</f>
        <v>17347.2</v>
      </c>
      <c r="H364" s="47">
        <f t="shared" si="20"/>
        <v>8.6736000000000004</v>
      </c>
      <c r="I364" s="49"/>
      <c r="J364" s="21"/>
      <c r="L364" s="21"/>
      <c r="M364" s="22"/>
      <c r="N364" s="19"/>
      <c r="O364" s="18"/>
    </row>
    <row r="365" spans="1:16" x14ac:dyDescent="0.25">
      <c r="A365" s="46">
        <v>41698</v>
      </c>
      <c r="B365" s="44" t="s">
        <v>41</v>
      </c>
      <c r="C365" s="44" t="s">
        <v>58</v>
      </c>
      <c r="D365" s="44" t="s">
        <v>58</v>
      </c>
      <c r="E365" s="44" t="s">
        <v>59</v>
      </c>
      <c r="G365" s="44">
        <v>336</v>
      </c>
      <c r="H365" s="44">
        <f t="shared" si="20"/>
        <v>0.16800000000000001</v>
      </c>
    </row>
    <row r="366" spans="1:16" hidden="1" x14ac:dyDescent="0.25">
      <c r="A366" s="46">
        <v>41704</v>
      </c>
      <c r="B366" s="44" t="s">
        <v>128</v>
      </c>
      <c r="C366" s="44" t="s">
        <v>4</v>
      </c>
      <c r="D366" s="44" t="s">
        <v>77</v>
      </c>
      <c r="E366" s="44" t="s">
        <v>78</v>
      </c>
      <c r="G366" s="44">
        <v>6400</v>
      </c>
      <c r="H366" s="44">
        <f t="shared" si="20"/>
        <v>3.2</v>
      </c>
      <c r="I366" s="44">
        <f>185/2000</f>
        <v>9.2499999999999999E-2</v>
      </c>
      <c r="J366" s="8">
        <f>I366*G366</f>
        <v>592</v>
      </c>
      <c r="K366" s="43">
        <v>180</v>
      </c>
      <c r="L366" s="8">
        <v>412</v>
      </c>
      <c r="M366" s="44" t="s">
        <v>303</v>
      </c>
      <c r="N366" s="45">
        <v>228772</v>
      </c>
      <c r="O366" s="46">
        <v>41705</v>
      </c>
      <c r="P366" s="46"/>
    </row>
    <row r="367" spans="1:16" hidden="1" x14ac:dyDescent="0.25">
      <c r="A367" s="46">
        <v>41716</v>
      </c>
      <c r="B367" s="44" t="s">
        <v>82</v>
      </c>
      <c r="C367" s="44" t="s">
        <v>319</v>
      </c>
      <c r="D367" s="44" t="s">
        <v>258</v>
      </c>
      <c r="E367" s="44" t="s">
        <v>259</v>
      </c>
      <c r="F367" s="44">
        <v>30</v>
      </c>
      <c r="G367" s="61">
        <f>37*F367</f>
        <v>1110</v>
      </c>
      <c r="H367" s="47">
        <f t="shared" si="20"/>
        <v>0.55500000000000005</v>
      </c>
      <c r="L367" s="8">
        <v>61</v>
      </c>
      <c r="N367" s="45">
        <v>229441</v>
      </c>
      <c r="O367" s="46">
        <v>41717</v>
      </c>
    </row>
    <row r="368" spans="1:16" hidden="1" x14ac:dyDescent="0.25">
      <c r="A368" s="46">
        <v>41716</v>
      </c>
      <c r="B368" s="44" t="s">
        <v>82</v>
      </c>
      <c r="C368" s="44" t="s">
        <v>4</v>
      </c>
      <c r="D368" s="44" t="s">
        <v>77</v>
      </c>
      <c r="E368" s="44" t="s">
        <v>78</v>
      </c>
      <c r="G368" s="44">
        <v>120</v>
      </c>
      <c r="H368" s="44">
        <f t="shared" si="20"/>
        <v>0.06</v>
      </c>
      <c r="I368" s="44">
        <f>185/2000</f>
        <v>9.2499999999999999E-2</v>
      </c>
      <c r="J368" s="8">
        <f>I368*G368</f>
        <v>11.1</v>
      </c>
      <c r="K368" s="8">
        <v>0</v>
      </c>
      <c r="L368" s="8">
        <f t="shared" ref="L368:L375" si="21">J368-K368</f>
        <v>11.1</v>
      </c>
      <c r="M368" s="45" t="s">
        <v>305</v>
      </c>
      <c r="N368" s="45">
        <v>229442</v>
      </c>
      <c r="O368" s="46">
        <v>41717</v>
      </c>
    </row>
    <row r="369" spans="1:15" hidden="1" x14ac:dyDescent="0.25">
      <c r="A369" s="46">
        <v>41716</v>
      </c>
      <c r="B369" s="44" t="s">
        <v>82</v>
      </c>
      <c r="C369" s="44" t="s">
        <v>4</v>
      </c>
      <c r="D369" s="44" t="s">
        <v>306</v>
      </c>
      <c r="E369" s="44" t="s">
        <v>78</v>
      </c>
      <c r="G369" s="44">
        <v>5</v>
      </c>
      <c r="H369" s="44">
        <f t="shared" si="20"/>
        <v>2.5000000000000001E-3</v>
      </c>
      <c r="I369" s="47">
        <v>0.15</v>
      </c>
      <c r="J369" s="8">
        <f>I369*G369</f>
        <v>0.75</v>
      </c>
      <c r="K369" s="8">
        <v>0</v>
      </c>
      <c r="L369" s="8">
        <f t="shared" si="21"/>
        <v>0.75</v>
      </c>
      <c r="M369" s="45" t="s">
        <v>305</v>
      </c>
      <c r="N369" s="45">
        <v>229442</v>
      </c>
      <c r="O369" s="46">
        <v>41717</v>
      </c>
    </row>
    <row r="370" spans="1:15" hidden="1" x14ac:dyDescent="0.25">
      <c r="A370" s="46">
        <v>41716</v>
      </c>
      <c r="B370" s="44" t="s">
        <v>82</v>
      </c>
      <c r="C370" s="44" t="s">
        <v>4</v>
      </c>
      <c r="D370" s="44" t="s">
        <v>93</v>
      </c>
      <c r="E370" s="44" t="s">
        <v>78</v>
      </c>
      <c r="G370" s="44">
        <v>46</v>
      </c>
      <c r="H370" s="44">
        <f t="shared" si="20"/>
        <v>2.3E-2</v>
      </c>
      <c r="I370" s="47">
        <v>0.44</v>
      </c>
      <c r="J370" s="8">
        <f>I370*G370</f>
        <v>20.239999999999998</v>
      </c>
      <c r="K370" s="8">
        <v>0</v>
      </c>
      <c r="L370" s="8">
        <f t="shared" si="21"/>
        <v>20.239999999999998</v>
      </c>
      <c r="M370" s="45" t="s">
        <v>305</v>
      </c>
      <c r="N370" s="45">
        <v>229442</v>
      </c>
      <c r="O370" s="46">
        <v>41717</v>
      </c>
    </row>
    <row r="371" spans="1:15" hidden="1" x14ac:dyDescent="0.25">
      <c r="A371" s="46">
        <v>41716</v>
      </c>
      <c r="B371" s="44" t="s">
        <v>82</v>
      </c>
      <c r="C371" s="44" t="s">
        <v>4</v>
      </c>
      <c r="D371" s="44" t="s">
        <v>307</v>
      </c>
      <c r="E371" s="44" t="s">
        <v>78</v>
      </c>
      <c r="G371" s="44">
        <v>39</v>
      </c>
      <c r="H371" s="44">
        <f t="shared" si="20"/>
        <v>1.95E-2</v>
      </c>
      <c r="I371" s="47">
        <v>0.38</v>
      </c>
      <c r="J371" s="8">
        <f>I371*G371</f>
        <v>14.82</v>
      </c>
      <c r="K371" s="8">
        <v>0</v>
      </c>
      <c r="L371" s="8">
        <f t="shared" si="21"/>
        <v>14.82</v>
      </c>
      <c r="M371" s="45" t="s">
        <v>305</v>
      </c>
      <c r="N371" s="45">
        <v>229442</v>
      </c>
      <c r="O371" s="46">
        <v>41717</v>
      </c>
    </row>
    <row r="372" spans="1:15" hidden="1" x14ac:dyDescent="0.25">
      <c r="A372" s="46">
        <v>41716</v>
      </c>
      <c r="B372" s="44" t="s">
        <v>82</v>
      </c>
      <c r="C372" s="44" t="s">
        <v>4</v>
      </c>
      <c r="D372" s="44" t="s">
        <v>308</v>
      </c>
      <c r="E372" s="44" t="s">
        <v>78</v>
      </c>
      <c r="G372" s="44">
        <v>6</v>
      </c>
      <c r="H372" s="44">
        <f t="shared" si="20"/>
        <v>3.0000000000000001E-3</v>
      </c>
      <c r="I372" s="47">
        <v>0.54</v>
      </c>
      <c r="J372" s="8">
        <f>I372*G372</f>
        <v>3.24</v>
      </c>
      <c r="K372" s="8">
        <v>0</v>
      </c>
      <c r="L372" s="8">
        <f t="shared" si="21"/>
        <v>3.24</v>
      </c>
      <c r="M372" s="45" t="s">
        <v>305</v>
      </c>
      <c r="N372" s="45">
        <v>229442</v>
      </c>
      <c r="O372" s="46">
        <v>41717</v>
      </c>
    </row>
    <row r="373" spans="1:15" hidden="1" x14ac:dyDescent="0.25">
      <c r="A373" s="46">
        <v>41726</v>
      </c>
      <c r="B373" s="44" t="s">
        <v>74</v>
      </c>
      <c r="C373" s="44" t="s">
        <v>318</v>
      </c>
      <c r="D373" s="44" t="s">
        <v>56</v>
      </c>
      <c r="E373" s="44" t="s">
        <v>119</v>
      </c>
      <c r="G373" s="61">
        <v>16220</v>
      </c>
      <c r="H373" s="44">
        <f t="shared" si="20"/>
        <v>8.11</v>
      </c>
      <c r="I373" s="44">
        <v>121.5</v>
      </c>
      <c r="J373" s="8">
        <f>I373*H373</f>
        <v>985.3649999999999</v>
      </c>
      <c r="K373" s="8">
        <v>100</v>
      </c>
      <c r="L373" s="8">
        <f t="shared" si="21"/>
        <v>885.3649999999999</v>
      </c>
      <c r="M373" s="45">
        <v>204775</v>
      </c>
      <c r="N373" s="45">
        <v>231943</v>
      </c>
      <c r="O373" s="46">
        <v>41758</v>
      </c>
    </row>
    <row r="374" spans="1:15" hidden="1" x14ac:dyDescent="0.25">
      <c r="A374" s="46">
        <v>41726</v>
      </c>
      <c r="B374" s="44" t="s">
        <v>74</v>
      </c>
      <c r="C374" s="44" t="s">
        <v>320</v>
      </c>
      <c r="D374" s="44" t="s">
        <v>57</v>
      </c>
      <c r="E374" s="44" t="s">
        <v>119</v>
      </c>
      <c r="G374" s="61">
        <v>230</v>
      </c>
      <c r="H374" s="44">
        <v>0.12</v>
      </c>
      <c r="I374" s="44">
        <v>90</v>
      </c>
      <c r="J374" s="8">
        <f>I374*H374</f>
        <v>10.799999999999999</v>
      </c>
      <c r="K374" s="8">
        <v>0</v>
      </c>
      <c r="L374" s="8">
        <f t="shared" si="21"/>
        <v>10.799999999999999</v>
      </c>
      <c r="M374" s="45">
        <v>204775</v>
      </c>
      <c r="N374" s="45">
        <v>231943</v>
      </c>
      <c r="O374" s="46">
        <v>41758</v>
      </c>
    </row>
    <row r="375" spans="1:15" hidden="1" x14ac:dyDescent="0.25">
      <c r="A375" s="46">
        <v>41726</v>
      </c>
      <c r="B375" s="44" t="s">
        <v>74</v>
      </c>
      <c r="C375" s="44" t="s">
        <v>318</v>
      </c>
      <c r="D375" s="44" t="s">
        <v>310</v>
      </c>
      <c r="E375" s="44" t="s">
        <v>119</v>
      </c>
      <c r="G375" s="61">
        <v>693</v>
      </c>
      <c r="H375" s="64">
        <v>0.35</v>
      </c>
      <c r="I375" s="44">
        <v>49.5</v>
      </c>
      <c r="J375" s="8">
        <f>I375*H375</f>
        <v>17.324999999999999</v>
      </c>
      <c r="L375" s="8">
        <f t="shared" si="21"/>
        <v>17.324999999999999</v>
      </c>
      <c r="M375" s="45">
        <v>204775</v>
      </c>
      <c r="N375" s="45">
        <v>231943</v>
      </c>
      <c r="O375" s="46">
        <v>41758</v>
      </c>
    </row>
    <row r="376" spans="1:15" x14ac:dyDescent="0.25">
      <c r="A376" s="46">
        <v>41726</v>
      </c>
      <c r="B376" s="44" t="s">
        <v>41</v>
      </c>
      <c r="C376" s="44" t="s">
        <v>58</v>
      </c>
      <c r="D376" s="44" t="s">
        <v>58</v>
      </c>
      <c r="E376" s="44" t="s">
        <v>59</v>
      </c>
      <c r="G376" s="44">
        <v>336</v>
      </c>
      <c r="H376" s="44">
        <f>G376/2000</f>
        <v>0.16800000000000001</v>
      </c>
    </row>
    <row r="377" spans="1:15" hidden="1" x14ac:dyDescent="0.25">
      <c r="A377" s="62">
        <v>41726</v>
      </c>
      <c r="B377" s="19" t="s">
        <v>53</v>
      </c>
      <c r="C377" s="15" t="s">
        <v>50</v>
      </c>
      <c r="D377" s="19" t="s">
        <v>50</v>
      </c>
      <c r="E377" s="44" t="s">
        <v>119</v>
      </c>
      <c r="G377" s="61">
        <f>Legend!B$27</f>
        <v>17347.2</v>
      </c>
      <c r="H377" s="47">
        <f>G377/2000</f>
        <v>8.6736000000000004</v>
      </c>
      <c r="I377" s="49"/>
      <c r="J377" s="21"/>
      <c r="L377" s="21"/>
      <c r="M377" s="22"/>
      <c r="N377" s="19"/>
      <c r="O377" s="18"/>
    </row>
    <row r="378" spans="1:15" hidden="1" x14ac:dyDescent="0.25">
      <c r="A378" s="46">
        <v>41729</v>
      </c>
      <c r="B378" s="44" t="s">
        <v>300</v>
      </c>
      <c r="C378" s="44" t="s">
        <v>318</v>
      </c>
      <c r="D378" s="44" t="s">
        <v>56</v>
      </c>
      <c r="E378" s="44" t="s">
        <v>301</v>
      </c>
      <c r="G378" s="44">
        <v>11800</v>
      </c>
      <c r="H378" s="47">
        <f>G378/2000</f>
        <v>5.9</v>
      </c>
    </row>
    <row r="379" spans="1:15" hidden="1" x14ac:dyDescent="0.25">
      <c r="A379" s="46">
        <v>41737</v>
      </c>
      <c r="B379" s="44" t="s">
        <v>125</v>
      </c>
      <c r="C379" s="44" t="s">
        <v>319</v>
      </c>
      <c r="D379" s="44" t="s">
        <v>108</v>
      </c>
      <c r="E379" s="44" t="s">
        <v>109</v>
      </c>
      <c r="G379" s="44">
        <f>H379*2000</f>
        <v>4200</v>
      </c>
      <c r="H379" s="44">
        <v>2.1</v>
      </c>
      <c r="K379" s="8">
        <v>230</v>
      </c>
      <c r="M379" s="44"/>
      <c r="N379" s="45"/>
    </row>
    <row r="380" spans="1:15" hidden="1" x14ac:dyDescent="0.25">
      <c r="A380" s="46">
        <v>41737</v>
      </c>
      <c r="B380" s="44" t="s">
        <v>49</v>
      </c>
      <c r="C380" s="15" t="s">
        <v>50</v>
      </c>
      <c r="D380" s="44" t="s">
        <v>75</v>
      </c>
      <c r="E380" s="44" t="s">
        <v>119</v>
      </c>
      <c r="G380" s="61">
        <f>2000*H380</f>
        <v>11480</v>
      </c>
      <c r="H380" s="47">
        <v>5.74</v>
      </c>
      <c r="I380" s="44">
        <v>38.5</v>
      </c>
      <c r="J380" s="8">
        <v>220.99</v>
      </c>
      <c r="K380" s="8">
        <v>85</v>
      </c>
      <c r="L380" s="8">
        <v>135.99</v>
      </c>
      <c r="M380" s="45">
        <v>209088</v>
      </c>
      <c r="N380" s="45">
        <v>232243</v>
      </c>
      <c r="O380" s="46">
        <v>41764</v>
      </c>
    </row>
    <row r="381" spans="1:15" hidden="1" x14ac:dyDescent="0.25">
      <c r="A381" s="46">
        <v>41752</v>
      </c>
      <c r="B381" s="44" t="s">
        <v>41</v>
      </c>
      <c r="C381" s="44" t="s">
        <v>3</v>
      </c>
      <c r="D381" s="44" t="s">
        <v>291</v>
      </c>
      <c r="E381" s="44" t="s">
        <v>292</v>
      </c>
      <c r="F381" s="44">
        <v>587</v>
      </c>
      <c r="G381" s="44">
        <f>5*F381</f>
        <v>2935</v>
      </c>
      <c r="H381" s="44">
        <f>G381/2000</f>
        <v>1.4675</v>
      </c>
      <c r="L381" s="8">
        <v>830.7</v>
      </c>
      <c r="M381" s="45" t="s">
        <v>309</v>
      </c>
      <c r="N381" s="44">
        <v>231894</v>
      </c>
      <c r="O381" s="46">
        <v>41757</v>
      </c>
    </row>
    <row r="382" spans="1:15" hidden="1" x14ac:dyDescent="0.25">
      <c r="A382" s="46">
        <v>41757</v>
      </c>
      <c r="B382" s="44" t="s">
        <v>82</v>
      </c>
      <c r="C382" s="44" t="s">
        <v>319</v>
      </c>
      <c r="D382" s="44" t="s">
        <v>258</v>
      </c>
      <c r="E382" s="44" t="s">
        <v>259</v>
      </c>
      <c r="F382" s="44">
        <v>40</v>
      </c>
      <c r="G382" s="61">
        <f>37*F382</f>
        <v>1480</v>
      </c>
      <c r="H382" s="47">
        <f>G382/2000</f>
        <v>0.74</v>
      </c>
      <c r="L382" s="8">
        <v>143</v>
      </c>
      <c r="N382" s="45">
        <v>231941</v>
      </c>
      <c r="O382" s="46">
        <v>41758</v>
      </c>
    </row>
    <row r="383" spans="1:15" x14ac:dyDescent="0.25">
      <c r="A383" s="46">
        <v>41757</v>
      </c>
      <c r="B383" s="44" t="s">
        <v>41</v>
      </c>
      <c r="C383" s="44" t="s">
        <v>58</v>
      </c>
      <c r="D383" s="44" t="s">
        <v>58</v>
      </c>
      <c r="E383" s="44" t="s">
        <v>59</v>
      </c>
      <c r="G383" s="44">
        <v>336</v>
      </c>
      <c r="H383" s="44">
        <f>G383/2000</f>
        <v>0.16800000000000001</v>
      </c>
    </row>
    <row r="384" spans="1:15" hidden="1" x14ac:dyDescent="0.25">
      <c r="A384" s="62">
        <v>41757</v>
      </c>
      <c r="B384" s="19" t="s">
        <v>53</v>
      </c>
      <c r="C384" s="15" t="s">
        <v>50</v>
      </c>
      <c r="D384" s="19" t="s">
        <v>50</v>
      </c>
      <c r="E384" s="44" t="s">
        <v>119</v>
      </c>
      <c r="G384" s="61">
        <f>Legend!B$27</f>
        <v>17347.2</v>
      </c>
      <c r="H384" s="47">
        <f>G384/2000</f>
        <v>8.6736000000000004</v>
      </c>
      <c r="I384" s="49"/>
      <c r="J384" s="21"/>
      <c r="L384" s="21"/>
      <c r="M384" s="22"/>
      <c r="N384" s="19"/>
      <c r="O384" s="18"/>
    </row>
    <row r="385" spans="1:16" hidden="1" x14ac:dyDescent="0.25">
      <c r="A385" s="46">
        <v>41779</v>
      </c>
      <c r="B385" s="44" t="s">
        <v>41</v>
      </c>
      <c r="C385" s="44" t="s">
        <v>3</v>
      </c>
      <c r="D385" s="44" t="s">
        <v>3</v>
      </c>
      <c r="E385" s="44" t="s">
        <v>134</v>
      </c>
      <c r="F385" s="44">
        <v>4</v>
      </c>
      <c r="G385" s="61">
        <v>2863</v>
      </c>
      <c r="H385" s="47">
        <f>G385/2000</f>
        <v>1.4315</v>
      </c>
    </row>
    <row r="386" spans="1:16" hidden="1" x14ac:dyDescent="0.25">
      <c r="A386" s="46">
        <v>41780</v>
      </c>
      <c r="B386" s="44" t="s">
        <v>125</v>
      </c>
      <c r="C386" s="44" t="s">
        <v>319</v>
      </c>
      <c r="D386" s="44" t="s">
        <v>108</v>
      </c>
      <c r="E386" s="44" t="s">
        <v>109</v>
      </c>
      <c r="G386" s="44">
        <f>H386*2000</f>
        <v>5160</v>
      </c>
      <c r="H386" s="44">
        <v>2.58</v>
      </c>
      <c r="K386" s="8">
        <v>230</v>
      </c>
      <c r="M386" s="44"/>
      <c r="N386" s="45"/>
    </row>
    <row r="387" spans="1:16" hidden="1" x14ac:dyDescent="0.25">
      <c r="A387" s="46">
        <v>41782</v>
      </c>
      <c r="B387" s="44" t="s">
        <v>49</v>
      </c>
      <c r="C387" s="15" t="s">
        <v>50</v>
      </c>
      <c r="D387" s="44" t="s">
        <v>75</v>
      </c>
      <c r="E387" s="44" t="s">
        <v>119</v>
      </c>
      <c r="G387" s="61">
        <f>2000*H387</f>
        <v>14300</v>
      </c>
      <c r="H387" s="47">
        <v>7.15</v>
      </c>
      <c r="I387" s="44">
        <v>38.5</v>
      </c>
      <c r="J387" s="8">
        <v>289.14</v>
      </c>
      <c r="K387" s="8">
        <v>85</v>
      </c>
      <c r="L387" s="8">
        <v>204.14</v>
      </c>
      <c r="M387" s="45">
        <v>212936</v>
      </c>
      <c r="N387" s="45">
        <v>236057</v>
      </c>
      <c r="O387" s="46">
        <v>41789</v>
      </c>
    </row>
    <row r="388" spans="1:16" x14ac:dyDescent="0.25">
      <c r="A388" s="46">
        <v>41787</v>
      </c>
      <c r="B388" s="44" t="s">
        <v>41</v>
      </c>
      <c r="C388" s="44" t="s">
        <v>58</v>
      </c>
      <c r="D388" s="44" t="s">
        <v>58</v>
      </c>
      <c r="E388" s="44" t="s">
        <v>59</v>
      </c>
      <c r="G388" s="44">
        <v>336</v>
      </c>
      <c r="H388" s="44">
        <f>G388/2000</f>
        <v>0.16800000000000001</v>
      </c>
    </row>
    <row r="389" spans="1:16" hidden="1" x14ac:dyDescent="0.25">
      <c r="A389" s="62">
        <v>41787</v>
      </c>
      <c r="B389" s="19" t="s">
        <v>53</v>
      </c>
      <c r="C389" s="15" t="s">
        <v>50</v>
      </c>
      <c r="D389" s="19" t="s">
        <v>50</v>
      </c>
      <c r="E389" s="44" t="s">
        <v>119</v>
      </c>
      <c r="G389" s="61">
        <f>Legend!B$27</f>
        <v>17347.2</v>
      </c>
      <c r="H389" s="47">
        <f>G389/2000</f>
        <v>8.6736000000000004</v>
      </c>
      <c r="I389" s="49"/>
      <c r="J389" s="21"/>
      <c r="L389" s="21"/>
      <c r="M389" s="22"/>
      <c r="N389" s="19"/>
      <c r="O389" s="18"/>
    </row>
    <row r="390" spans="1:16" hidden="1" x14ac:dyDescent="0.25">
      <c r="A390" s="46">
        <v>41788</v>
      </c>
      <c r="B390" s="44" t="s">
        <v>128</v>
      </c>
      <c r="C390" s="44" t="s">
        <v>4</v>
      </c>
      <c r="D390" s="44" t="s">
        <v>77</v>
      </c>
      <c r="E390" s="44" t="s">
        <v>78</v>
      </c>
      <c r="G390" s="44">
        <v>10500</v>
      </c>
      <c r="H390" s="44">
        <f>G390/2000</f>
        <v>5.25</v>
      </c>
      <c r="I390" s="44">
        <f>175/2000</f>
        <v>8.7499999999999994E-2</v>
      </c>
      <c r="J390" s="8">
        <f>I390*G390</f>
        <v>918.74999999999989</v>
      </c>
      <c r="K390" s="43">
        <v>180</v>
      </c>
      <c r="L390" s="8">
        <v>738.75</v>
      </c>
      <c r="M390" s="44" t="s">
        <v>311</v>
      </c>
      <c r="N390" s="45">
        <v>234870</v>
      </c>
      <c r="O390" s="46">
        <v>41793</v>
      </c>
      <c r="P390" s="46"/>
    </row>
    <row r="391" spans="1:16" hidden="1" x14ac:dyDescent="0.25">
      <c r="A391" s="46">
        <v>41796</v>
      </c>
      <c r="B391" s="44" t="s">
        <v>60</v>
      </c>
      <c r="C391" s="15" t="s">
        <v>50</v>
      </c>
      <c r="D391" s="44" t="s">
        <v>75</v>
      </c>
      <c r="E391" s="44" t="s">
        <v>119</v>
      </c>
      <c r="G391" s="61">
        <f>2000*H391</f>
        <v>11420</v>
      </c>
      <c r="H391" s="47">
        <v>5.71</v>
      </c>
      <c r="I391" s="44">
        <v>72</v>
      </c>
      <c r="J391" s="8">
        <v>411.12</v>
      </c>
      <c r="K391" s="8">
        <v>85</v>
      </c>
      <c r="L391" s="8">
        <v>326.12</v>
      </c>
      <c r="M391" s="45">
        <v>21104</v>
      </c>
      <c r="N391" s="45">
        <v>237009</v>
      </c>
      <c r="O391" s="46">
        <v>41842</v>
      </c>
    </row>
    <row r="392" spans="1:16" hidden="1" x14ac:dyDescent="0.25">
      <c r="A392" s="46">
        <v>41808</v>
      </c>
      <c r="B392" s="44" t="s">
        <v>82</v>
      </c>
      <c r="C392" s="44" t="s">
        <v>4</v>
      </c>
      <c r="D392" s="44" t="s">
        <v>306</v>
      </c>
      <c r="E392" s="44" t="s">
        <v>78</v>
      </c>
      <c r="G392" s="44">
        <v>298</v>
      </c>
      <c r="H392" s="44">
        <f t="shared" ref="H392:H397" si="22">G392/2000</f>
        <v>0.14899999999999999</v>
      </c>
      <c r="I392" s="47">
        <v>0.45</v>
      </c>
      <c r="J392" s="8">
        <f>I392*G392</f>
        <v>134.1</v>
      </c>
      <c r="K392" s="8">
        <v>0</v>
      </c>
      <c r="L392" s="8">
        <f t="shared" ref="L392:L399" si="23">J392-K392</f>
        <v>134.1</v>
      </c>
      <c r="M392" s="45" t="s">
        <v>316</v>
      </c>
      <c r="N392" s="45">
        <v>235686</v>
      </c>
      <c r="O392" s="46">
        <v>41809</v>
      </c>
    </row>
    <row r="393" spans="1:16" hidden="1" x14ac:dyDescent="0.25">
      <c r="A393" s="46">
        <v>41808</v>
      </c>
      <c r="B393" s="44" t="s">
        <v>82</v>
      </c>
      <c r="C393" s="44" t="s">
        <v>4</v>
      </c>
      <c r="D393" s="44" t="s">
        <v>312</v>
      </c>
      <c r="E393" s="44" t="s">
        <v>78</v>
      </c>
      <c r="G393" s="44">
        <v>231</v>
      </c>
      <c r="H393" s="44">
        <f t="shared" si="22"/>
        <v>0.11550000000000001</v>
      </c>
      <c r="I393" s="47">
        <v>0.57999999999999996</v>
      </c>
      <c r="J393" s="8">
        <f>I393*G393</f>
        <v>133.97999999999999</v>
      </c>
      <c r="K393" s="8">
        <v>0</v>
      </c>
      <c r="L393" s="8">
        <f t="shared" si="23"/>
        <v>133.97999999999999</v>
      </c>
      <c r="M393" s="45" t="s">
        <v>316</v>
      </c>
      <c r="N393" s="45">
        <v>235686</v>
      </c>
      <c r="O393" s="46">
        <v>41809</v>
      </c>
    </row>
    <row r="394" spans="1:16" hidden="1" x14ac:dyDescent="0.25">
      <c r="A394" s="46">
        <v>41808</v>
      </c>
      <c r="B394" s="44" t="s">
        <v>82</v>
      </c>
      <c r="C394" s="44" t="s">
        <v>4</v>
      </c>
      <c r="D394" s="44" t="s">
        <v>313</v>
      </c>
      <c r="E394" s="44" t="s">
        <v>78</v>
      </c>
      <c r="G394" s="44">
        <v>114</v>
      </c>
      <c r="H394" s="44">
        <f t="shared" si="22"/>
        <v>5.7000000000000002E-2</v>
      </c>
      <c r="I394" s="47">
        <v>0.6</v>
      </c>
      <c r="J394" s="8">
        <f>I394*G394</f>
        <v>68.399999999999991</v>
      </c>
      <c r="K394" s="8">
        <v>0</v>
      </c>
      <c r="L394" s="8">
        <f t="shared" si="23"/>
        <v>68.399999999999991</v>
      </c>
      <c r="M394" s="45" t="s">
        <v>316</v>
      </c>
      <c r="N394" s="45">
        <v>235686</v>
      </c>
      <c r="O394" s="46">
        <v>41809</v>
      </c>
    </row>
    <row r="395" spans="1:16" hidden="1" x14ac:dyDescent="0.25">
      <c r="A395" s="46">
        <v>41808</v>
      </c>
      <c r="B395" s="44" t="s">
        <v>82</v>
      </c>
      <c r="C395" s="44" t="s">
        <v>4</v>
      </c>
      <c r="D395" s="44" t="s">
        <v>314</v>
      </c>
      <c r="E395" s="44" t="s">
        <v>78</v>
      </c>
      <c r="G395" s="44">
        <v>26</v>
      </c>
      <c r="H395" s="44">
        <f t="shared" si="22"/>
        <v>1.2999999999999999E-2</v>
      </c>
      <c r="I395" s="47">
        <v>1.75</v>
      </c>
      <c r="J395" s="8">
        <f>I395*G395</f>
        <v>45.5</v>
      </c>
      <c r="K395" s="8">
        <v>0</v>
      </c>
      <c r="L395" s="8">
        <f t="shared" si="23"/>
        <v>45.5</v>
      </c>
      <c r="M395" s="45" t="s">
        <v>316</v>
      </c>
      <c r="N395" s="45">
        <v>235686</v>
      </c>
      <c r="O395" s="46">
        <v>41809</v>
      </c>
    </row>
    <row r="396" spans="1:16" hidden="1" x14ac:dyDescent="0.25">
      <c r="A396" s="46">
        <v>41808</v>
      </c>
      <c r="B396" s="44" t="s">
        <v>82</v>
      </c>
      <c r="C396" s="44" t="s">
        <v>4</v>
      </c>
      <c r="D396" s="44" t="s">
        <v>315</v>
      </c>
      <c r="E396" s="44" t="s">
        <v>78</v>
      </c>
      <c r="G396" s="44">
        <v>953</v>
      </c>
      <c r="H396" s="44">
        <f t="shared" si="22"/>
        <v>0.47649999999999998</v>
      </c>
      <c r="I396" s="47">
        <v>0.84</v>
      </c>
      <c r="J396" s="8">
        <f>I396*G396</f>
        <v>800.52</v>
      </c>
      <c r="K396" s="8">
        <v>0</v>
      </c>
      <c r="L396" s="8">
        <f t="shared" si="23"/>
        <v>800.52</v>
      </c>
      <c r="M396" s="45" t="s">
        <v>316</v>
      </c>
      <c r="N396" s="45">
        <v>235686</v>
      </c>
      <c r="O396" s="46">
        <v>41809</v>
      </c>
    </row>
    <row r="397" spans="1:16" hidden="1" x14ac:dyDescent="0.25">
      <c r="A397" s="46">
        <v>41809</v>
      </c>
      <c r="B397" s="44" t="s">
        <v>74</v>
      </c>
      <c r="C397" s="44" t="s">
        <v>318</v>
      </c>
      <c r="D397" s="44" t="s">
        <v>56</v>
      </c>
      <c r="E397" s="44" t="s">
        <v>119</v>
      </c>
      <c r="G397" s="61">
        <v>6840</v>
      </c>
      <c r="H397" s="44">
        <f t="shared" si="22"/>
        <v>3.42</v>
      </c>
      <c r="I397" s="44">
        <v>121.5</v>
      </c>
      <c r="J397" s="8">
        <f>I397*H397</f>
        <v>415.53</v>
      </c>
      <c r="K397" s="8">
        <v>100</v>
      </c>
      <c r="L397" s="8">
        <f t="shared" si="23"/>
        <v>315.52999999999997</v>
      </c>
      <c r="M397" s="45">
        <v>22279</v>
      </c>
      <c r="N397" s="45">
        <v>237009</v>
      </c>
      <c r="O397" s="46">
        <v>41842</v>
      </c>
    </row>
    <row r="398" spans="1:16" hidden="1" x14ac:dyDescent="0.25">
      <c r="A398" s="46">
        <v>41809</v>
      </c>
      <c r="B398" s="44" t="s">
        <v>74</v>
      </c>
      <c r="C398" s="44" t="s">
        <v>320</v>
      </c>
      <c r="D398" s="44" t="s">
        <v>57</v>
      </c>
      <c r="E398" s="44" t="s">
        <v>119</v>
      </c>
      <c r="G398" s="61">
        <v>269</v>
      </c>
      <c r="H398" s="44">
        <v>0.13</v>
      </c>
      <c r="I398" s="44">
        <v>72</v>
      </c>
      <c r="J398" s="8">
        <f>I398*H398</f>
        <v>9.36</v>
      </c>
      <c r="K398" s="8">
        <v>0</v>
      </c>
      <c r="L398" s="8">
        <f t="shared" si="23"/>
        <v>9.36</v>
      </c>
      <c r="M398" s="45">
        <v>22279</v>
      </c>
      <c r="N398" s="45">
        <v>237009</v>
      </c>
      <c r="O398" s="46">
        <v>41842</v>
      </c>
    </row>
    <row r="399" spans="1:16" hidden="1" x14ac:dyDescent="0.25">
      <c r="A399" s="46">
        <v>41809</v>
      </c>
      <c r="B399" s="44" t="s">
        <v>74</v>
      </c>
      <c r="C399" s="44" t="s">
        <v>318</v>
      </c>
      <c r="D399" s="44" t="s">
        <v>310</v>
      </c>
      <c r="E399" s="44" t="s">
        <v>119</v>
      </c>
      <c r="G399" s="61">
        <v>8719</v>
      </c>
      <c r="H399" s="64">
        <v>4.3600000000000003</v>
      </c>
      <c r="I399" s="44">
        <v>49.5</v>
      </c>
      <c r="J399" s="8">
        <f>I399*H399</f>
        <v>215.82000000000002</v>
      </c>
      <c r="L399" s="8">
        <f t="shared" si="23"/>
        <v>215.82000000000002</v>
      </c>
      <c r="M399" s="45">
        <v>22279</v>
      </c>
      <c r="N399" s="45">
        <v>237009</v>
      </c>
      <c r="O399" s="46">
        <v>41842</v>
      </c>
    </row>
    <row r="400" spans="1:16" x14ac:dyDescent="0.25">
      <c r="A400" s="46">
        <v>41818</v>
      </c>
      <c r="B400" s="44" t="s">
        <v>41</v>
      </c>
      <c r="C400" s="44" t="s">
        <v>58</v>
      </c>
      <c r="D400" s="44" t="s">
        <v>58</v>
      </c>
      <c r="E400" s="44" t="s">
        <v>59</v>
      </c>
      <c r="G400" s="44">
        <v>336</v>
      </c>
      <c r="H400" s="44">
        <f>G400/2000</f>
        <v>0.16800000000000001</v>
      </c>
    </row>
    <row r="401" spans="1:15" hidden="1" x14ac:dyDescent="0.25">
      <c r="A401" s="62">
        <v>41818</v>
      </c>
      <c r="B401" s="19" t="s">
        <v>53</v>
      </c>
      <c r="C401" s="15" t="s">
        <v>50</v>
      </c>
      <c r="D401" s="19" t="s">
        <v>50</v>
      </c>
      <c r="E401" s="44" t="s">
        <v>119</v>
      </c>
      <c r="G401" s="61">
        <f>Legend!B$27</f>
        <v>17347.2</v>
      </c>
      <c r="H401" s="47">
        <f>G401/2000</f>
        <v>8.6736000000000004</v>
      </c>
      <c r="I401" s="49"/>
      <c r="J401" s="21"/>
      <c r="L401" s="21"/>
      <c r="M401" s="22"/>
      <c r="N401" s="19"/>
      <c r="O401" s="18"/>
    </row>
    <row r="402" spans="1:15" hidden="1" x14ac:dyDescent="0.25">
      <c r="A402" s="46">
        <v>41820</v>
      </c>
      <c r="B402" s="44" t="s">
        <v>300</v>
      </c>
      <c r="C402" s="44" t="s">
        <v>318</v>
      </c>
      <c r="D402" s="44" t="s">
        <v>56</v>
      </c>
      <c r="E402" s="44" t="s">
        <v>301</v>
      </c>
      <c r="G402" s="44">
        <v>24786</v>
      </c>
      <c r="H402" s="47">
        <f>G402/2000</f>
        <v>12.393000000000001</v>
      </c>
    </row>
    <row r="403" spans="1:15" hidden="1" x14ac:dyDescent="0.25">
      <c r="A403" s="46">
        <v>41841</v>
      </c>
      <c r="B403" s="44" t="s">
        <v>49</v>
      </c>
      <c r="C403" s="15" t="s">
        <v>50</v>
      </c>
      <c r="D403" s="44" t="s">
        <v>75</v>
      </c>
      <c r="E403" s="44" t="s">
        <v>119</v>
      </c>
      <c r="G403" s="61">
        <f>2000*H403</f>
        <v>13260</v>
      </c>
      <c r="H403" s="47">
        <v>6.63</v>
      </c>
      <c r="I403" s="44">
        <v>38.5</v>
      </c>
      <c r="J403" s="8">
        <v>255.26</v>
      </c>
      <c r="K403" s="8">
        <v>85</v>
      </c>
      <c r="L403" s="8">
        <v>170.26</v>
      </c>
      <c r="M403" s="45">
        <v>212936</v>
      </c>
      <c r="N403" s="45">
        <v>243680</v>
      </c>
      <c r="O403" s="46">
        <v>41922</v>
      </c>
    </row>
    <row r="404" spans="1:15" hidden="1" x14ac:dyDescent="0.25">
      <c r="A404" s="46">
        <v>41842</v>
      </c>
      <c r="B404" s="44" t="s">
        <v>74</v>
      </c>
      <c r="C404" s="44" t="s">
        <v>318</v>
      </c>
      <c r="D404" s="44" t="s">
        <v>70</v>
      </c>
      <c r="E404" s="44" t="s">
        <v>119</v>
      </c>
      <c r="G404" s="61">
        <v>90</v>
      </c>
      <c r="H404" s="64">
        <v>0.05</v>
      </c>
      <c r="I404" s="44">
        <v>72</v>
      </c>
      <c r="J404" s="8">
        <f>I404*H404</f>
        <v>3.6</v>
      </c>
      <c r="K404" s="8">
        <v>100</v>
      </c>
      <c r="L404" s="8">
        <f>J404-K404</f>
        <v>-96.4</v>
      </c>
      <c r="N404" s="45">
        <v>243680</v>
      </c>
      <c r="O404" s="46">
        <v>41922</v>
      </c>
    </row>
    <row r="405" spans="1:15" hidden="1" x14ac:dyDescent="0.25">
      <c r="A405" s="46">
        <v>41842</v>
      </c>
      <c r="B405" s="44" t="s">
        <v>74</v>
      </c>
      <c r="C405" s="44" t="s">
        <v>318</v>
      </c>
      <c r="D405" s="44" t="s">
        <v>310</v>
      </c>
      <c r="E405" s="44" t="s">
        <v>119</v>
      </c>
      <c r="G405" s="61">
        <v>12659</v>
      </c>
      <c r="H405" s="44">
        <v>6.33</v>
      </c>
      <c r="I405" s="44">
        <v>49.5</v>
      </c>
      <c r="J405" s="8">
        <f>I405*H405</f>
        <v>313.33499999999998</v>
      </c>
      <c r="L405" s="8">
        <f>J405-K405</f>
        <v>313.33499999999998</v>
      </c>
      <c r="N405" s="45">
        <v>243680</v>
      </c>
      <c r="O405" s="46">
        <v>41922</v>
      </c>
    </row>
    <row r="406" spans="1:15" x14ac:dyDescent="0.25">
      <c r="A406" s="46">
        <v>41848</v>
      </c>
      <c r="B406" s="44" t="s">
        <v>41</v>
      </c>
      <c r="C406" s="44" t="s">
        <v>58</v>
      </c>
      <c r="D406" s="44" t="s">
        <v>58</v>
      </c>
      <c r="E406" s="44" t="s">
        <v>59</v>
      </c>
      <c r="G406" s="44">
        <v>336</v>
      </c>
      <c r="H406" s="44">
        <f>G406/2000</f>
        <v>0.16800000000000001</v>
      </c>
    </row>
    <row r="407" spans="1:15" hidden="1" x14ac:dyDescent="0.25">
      <c r="A407" s="62">
        <v>41848</v>
      </c>
      <c r="B407" s="19" t="s">
        <v>53</v>
      </c>
      <c r="C407" s="15" t="s">
        <v>50</v>
      </c>
      <c r="D407" s="19" t="s">
        <v>50</v>
      </c>
      <c r="E407" s="44" t="s">
        <v>119</v>
      </c>
      <c r="G407" s="61">
        <f>Legend!B$27</f>
        <v>17347.2</v>
      </c>
      <c r="H407" s="47">
        <f>G407/2000</f>
        <v>8.6736000000000004</v>
      </c>
      <c r="I407" s="49"/>
      <c r="J407" s="21"/>
      <c r="L407" s="21"/>
      <c r="M407" s="22"/>
      <c r="N407" s="19"/>
      <c r="O407" s="18"/>
    </row>
    <row r="408" spans="1:15" hidden="1" x14ac:dyDescent="0.25">
      <c r="A408" s="46">
        <v>41849</v>
      </c>
      <c r="B408" s="44" t="s">
        <v>125</v>
      </c>
      <c r="C408" s="44" t="s">
        <v>319</v>
      </c>
      <c r="D408" s="44" t="s">
        <v>108</v>
      </c>
      <c r="E408" s="44" t="s">
        <v>109</v>
      </c>
      <c r="G408" s="44">
        <f>H408*2000</f>
        <v>3360</v>
      </c>
      <c r="H408" s="44">
        <v>1.68</v>
      </c>
      <c r="K408" s="8">
        <v>230</v>
      </c>
      <c r="M408" s="45">
        <v>8899</v>
      </c>
    </row>
    <row r="409" spans="1:15" hidden="1" x14ac:dyDescent="0.25">
      <c r="A409" s="46">
        <v>41858</v>
      </c>
      <c r="B409" s="44" t="s">
        <v>41</v>
      </c>
      <c r="C409" s="44" t="s">
        <v>3</v>
      </c>
      <c r="D409" s="44" t="s">
        <v>3</v>
      </c>
      <c r="E409" s="44" t="s">
        <v>134</v>
      </c>
      <c r="F409" s="44">
        <v>5</v>
      </c>
      <c r="G409" s="61">
        <v>1500</v>
      </c>
      <c r="H409" s="47">
        <f>G409/2000</f>
        <v>0.75</v>
      </c>
    </row>
    <row r="410" spans="1:15" hidden="1" x14ac:dyDescent="0.25">
      <c r="A410" s="46">
        <v>41859</v>
      </c>
      <c r="B410" s="44" t="s">
        <v>49</v>
      </c>
      <c r="C410" s="15" t="s">
        <v>50</v>
      </c>
      <c r="D410" s="44" t="s">
        <v>75</v>
      </c>
      <c r="E410" s="44" t="s">
        <v>119</v>
      </c>
      <c r="G410" s="61">
        <f>2000*H410</f>
        <v>4600</v>
      </c>
      <c r="H410" s="47">
        <v>2.2999999999999998</v>
      </c>
      <c r="I410" s="44">
        <v>38.5</v>
      </c>
      <c r="J410" s="8">
        <v>88.55</v>
      </c>
      <c r="K410" s="8">
        <v>85</v>
      </c>
      <c r="L410" s="8">
        <v>3.55</v>
      </c>
      <c r="M410" s="45">
        <v>212936</v>
      </c>
      <c r="N410" s="45">
        <v>243680</v>
      </c>
      <c r="O410" s="46">
        <v>41922</v>
      </c>
    </row>
    <row r="411" spans="1:15" hidden="1" x14ac:dyDescent="0.25">
      <c r="A411" s="46">
        <v>41879</v>
      </c>
      <c r="B411" s="44" t="s">
        <v>41</v>
      </c>
      <c r="C411" s="44" t="s">
        <v>3</v>
      </c>
      <c r="D411" s="44" t="s">
        <v>3</v>
      </c>
      <c r="E411" s="44" t="s">
        <v>134</v>
      </c>
      <c r="F411" s="44">
        <v>9</v>
      </c>
      <c r="G411" s="61">
        <v>3538</v>
      </c>
      <c r="H411" s="47">
        <f>G411/2000</f>
        <v>1.7689999999999999</v>
      </c>
    </row>
    <row r="412" spans="1:15" hidden="1" x14ac:dyDescent="0.25">
      <c r="A412" s="46">
        <v>41879</v>
      </c>
      <c r="B412" s="44" t="s">
        <v>49</v>
      </c>
      <c r="C412" s="15" t="s">
        <v>50</v>
      </c>
      <c r="D412" s="44" t="s">
        <v>75</v>
      </c>
      <c r="E412" s="44" t="s">
        <v>119</v>
      </c>
      <c r="G412" s="61">
        <f>2000*H412</f>
        <v>8160</v>
      </c>
      <c r="H412" s="47">
        <v>4.08</v>
      </c>
      <c r="I412" s="44">
        <v>38.5</v>
      </c>
      <c r="J412" s="8">
        <v>157.08000000000001</v>
      </c>
      <c r="K412" s="8">
        <v>85</v>
      </c>
      <c r="L412" s="8">
        <v>72.08</v>
      </c>
      <c r="M412" s="45">
        <v>212936</v>
      </c>
      <c r="N412" s="45">
        <v>243680</v>
      </c>
      <c r="O412" s="46">
        <v>41922</v>
      </c>
    </row>
    <row r="413" spans="1:15" hidden="1" x14ac:dyDescent="0.25">
      <c r="A413" s="62">
        <v>41879</v>
      </c>
      <c r="B413" s="19" t="s">
        <v>53</v>
      </c>
      <c r="C413" s="15" t="s">
        <v>50</v>
      </c>
      <c r="D413" s="19" t="s">
        <v>50</v>
      </c>
      <c r="E413" s="44" t="s">
        <v>119</v>
      </c>
      <c r="G413" s="61">
        <f>Legend!B$27</f>
        <v>17347.2</v>
      </c>
      <c r="H413" s="47">
        <f>G413/2000</f>
        <v>8.6736000000000004</v>
      </c>
      <c r="I413" s="49"/>
      <c r="J413" s="21"/>
      <c r="L413" s="21"/>
      <c r="M413" s="22"/>
      <c r="N413" s="19"/>
      <c r="O413" s="18"/>
    </row>
    <row r="414" spans="1:15" hidden="1" x14ac:dyDescent="0.25">
      <c r="A414" s="46">
        <v>41880</v>
      </c>
      <c r="B414" s="44" t="s">
        <v>41</v>
      </c>
      <c r="C414" s="44" t="s">
        <v>3</v>
      </c>
      <c r="D414" s="44" t="s">
        <v>291</v>
      </c>
      <c r="E414" s="44" t="s">
        <v>292</v>
      </c>
      <c r="F414" s="44">
        <v>351</v>
      </c>
      <c r="G414" s="44">
        <f>5*F414</f>
        <v>1755</v>
      </c>
      <c r="H414" s="44">
        <f>G414/2000</f>
        <v>0.87749999999999995</v>
      </c>
      <c r="L414" s="8">
        <v>448.85</v>
      </c>
      <c r="M414" s="45" t="s">
        <v>339</v>
      </c>
      <c r="N414" s="44">
        <v>243441</v>
      </c>
      <c r="O414" s="46">
        <v>41919</v>
      </c>
    </row>
    <row r="415" spans="1:15" hidden="1" x14ac:dyDescent="0.25">
      <c r="A415" s="46">
        <v>41891</v>
      </c>
      <c r="B415" s="44" t="s">
        <v>81</v>
      </c>
      <c r="C415" s="15" t="s">
        <v>50</v>
      </c>
      <c r="D415" s="44" t="s">
        <v>75</v>
      </c>
      <c r="E415" s="44" t="s">
        <v>119</v>
      </c>
      <c r="G415" s="61">
        <f>2000*H415</f>
        <v>11080</v>
      </c>
      <c r="H415" s="47">
        <v>5.54</v>
      </c>
      <c r="I415" s="44">
        <v>38.5</v>
      </c>
      <c r="J415" s="8">
        <v>213.29</v>
      </c>
      <c r="K415" s="8">
        <v>85</v>
      </c>
      <c r="L415" s="8">
        <v>128.29</v>
      </c>
      <c r="M415" s="45">
        <v>212936</v>
      </c>
      <c r="N415" s="45">
        <v>243680</v>
      </c>
      <c r="O415" s="46">
        <v>41922</v>
      </c>
    </row>
    <row r="416" spans="1:15" hidden="1" x14ac:dyDescent="0.25">
      <c r="A416" s="46">
        <v>41892</v>
      </c>
      <c r="B416" s="44" t="s">
        <v>125</v>
      </c>
      <c r="C416" s="44" t="s">
        <v>319</v>
      </c>
      <c r="D416" s="44" t="s">
        <v>108</v>
      </c>
      <c r="E416" s="44" t="s">
        <v>109</v>
      </c>
      <c r="G416" s="44">
        <f>H416*2000</f>
        <v>5180</v>
      </c>
      <c r="H416" s="44">
        <v>2.59</v>
      </c>
      <c r="K416" s="8">
        <v>230</v>
      </c>
      <c r="M416" s="44"/>
      <c r="N416" s="45"/>
    </row>
    <row r="417" spans="1:16" hidden="1" x14ac:dyDescent="0.25">
      <c r="A417" s="62">
        <v>41910</v>
      </c>
      <c r="B417" s="19" t="s">
        <v>53</v>
      </c>
      <c r="C417" s="15" t="s">
        <v>50</v>
      </c>
      <c r="D417" s="19" t="s">
        <v>50</v>
      </c>
      <c r="E417" s="44" t="s">
        <v>119</v>
      </c>
      <c r="G417" s="61">
        <f>Legend!B$27</f>
        <v>17347.2</v>
      </c>
      <c r="H417" s="47">
        <f>G417/2000</f>
        <v>8.6736000000000004</v>
      </c>
      <c r="I417" s="49"/>
      <c r="J417" s="21"/>
      <c r="L417" s="21"/>
      <c r="M417" s="22"/>
      <c r="N417" s="19"/>
      <c r="O417" s="18"/>
    </row>
    <row r="418" spans="1:16" hidden="1" x14ac:dyDescent="0.25">
      <c r="A418" s="46">
        <v>41918</v>
      </c>
      <c r="B418" s="44" t="s">
        <v>74</v>
      </c>
      <c r="C418" s="44" t="s">
        <v>318</v>
      </c>
      <c r="D418" s="44" t="s">
        <v>70</v>
      </c>
      <c r="E418" s="44" t="s">
        <v>119</v>
      </c>
      <c r="G418" s="61">
        <v>2092</v>
      </c>
      <c r="H418" s="64">
        <v>1.05</v>
      </c>
      <c r="I418" s="44">
        <v>67.5</v>
      </c>
      <c r="J418" s="8">
        <f>I418*H418</f>
        <v>70.875</v>
      </c>
      <c r="K418" s="8">
        <v>100</v>
      </c>
      <c r="L418" s="8">
        <f>J418-K418</f>
        <v>-29.125</v>
      </c>
      <c r="M418" s="45">
        <v>32955</v>
      </c>
      <c r="N418" s="44">
        <v>245792</v>
      </c>
      <c r="O418" s="46">
        <v>41975</v>
      </c>
    </row>
    <row r="419" spans="1:16" hidden="1" x14ac:dyDescent="0.25">
      <c r="A419" s="46">
        <v>41918</v>
      </c>
      <c r="B419" s="44" t="s">
        <v>74</v>
      </c>
      <c r="C419" s="44" t="s">
        <v>318</v>
      </c>
      <c r="D419" s="44" t="s">
        <v>310</v>
      </c>
      <c r="E419" s="44" t="s">
        <v>119</v>
      </c>
      <c r="G419" s="61">
        <v>7133</v>
      </c>
      <c r="H419" s="44">
        <v>3.57</v>
      </c>
      <c r="I419" s="44">
        <v>49.5</v>
      </c>
      <c r="J419" s="8">
        <f>I419*H419</f>
        <v>176.715</v>
      </c>
      <c r="L419" s="8">
        <f>J419-K419</f>
        <v>176.715</v>
      </c>
      <c r="M419" s="45">
        <v>32955</v>
      </c>
      <c r="N419" s="44">
        <v>245792</v>
      </c>
      <c r="O419" s="46">
        <v>41975</v>
      </c>
    </row>
    <row r="420" spans="1:16" hidden="1" x14ac:dyDescent="0.25">
      <c r="A420" s="46">
        <v>41918</v>
      </c>
      <c r="B420" s="44" t="s">
        <v>74</v>
      </c>
      <c r="C420" s="44" t="s">
        <v>318</v>
      </c>
      <c r="D420" s="44" t="s">
        <v>56</v>
      </c>
      <c r="E420" s="44" t="s">
        <v>119</v>
      </c>
      <c r="G420" s="61">
        <v>11507</v>
      </c>
      <c r="H420" s="44">
        <v>5.75</v>
      </c>
      <c r="I420" s="44">
        <v>126</v>
      </c>
      <c r="J420" s="8">
        <f>I420*H420</f>
        <v>724.5</v>
      </c>
      <c r="L420" s="8">
        <f>J420-K420</f>
        <v>724.5</v>
      </c>
      <c r="M420" s="45">
        <v>32955</v>
      </c>
      <c r="N420" s="44">
        <v>245792</v>
      </c>
      <c r="O420" s="46">
        <v>41975</v>
      </c>
    </row>
    <row r="421" spans="1:16" hidden="1" x14ac:dyDescent="0.25">
      <c r="A421" s="46">
        <v>41918</v>
      </c>
      <c r="B421" s="44" t="s">
        <v>74</v>
      </c>
      <c r="C421" s="44" t="s">
        <v>318</v>
      </c>
      <c r="D421" s="44" t="s">
        <v>310</v>
      </c>
      <c r="E421" s="44" t="s">
        <v>119</v>
      </c>
      <c r="G421" s="61">
        <v>1251</v>
      </c>
      <c r="H421" s="44">
        <v>0.63</v>
      </c>
      <c r="I421" s="44">
        <v>49.5</v>
      </c>
      <c r="J421" s="8">
        <f>I421*H421</f>
        <v>31.184999999999999</v>
      </c>
      <c r="L421" s="8">
        <f>J421-K421</f>
        <v>31.184999999999999</v>
      </c>
      <c r="M421" s="45">
        <v>32955</v>
      </c>
      <c r="N421" s="44">
        <v>245792</v>
      </c>
      <c r="O421" s="46">
        <v>41975</v>
      </c>
    </row>
    <row r="422" spans="1:16" hidden="1" x14ac:dyDescent="0.25">
      <c r="A422" s="46">
        <v>41920</v>
      </c>
      <c r="B422" s="44" t="s">
        <v>49</v>
      </c>
      <c r="C422" s="15" t="s">
        <v>50</v>
      </c>
      <c r="D422" s="44" t="s">
        <v>75</v>
      </c>
      <c r="E422" s="44" t="s">
        <v>119</v>
      </c>
      <c r="G422" s="61">
        <f>2000*H422</f>
        <v>12540</v>
      </c>
      <c r="H422" s="47">
        <v>6.27</v>
      </c>
      <c r="I422" s="44">
        <v>38.5</v>
      </c>
      <c r="J422" s="8">
        <v>241.4</v>
      </c>
      <c r="K422" s="8">
        <v>85</v>
      </c>
      <c r="L422" s="8">
        <v>156.4</v>
      </c>
      <c r="M422" s="45">
        <v>33278</v>
      </c>
      <c r="N422" s="44">
        <v>245792</v>
      </c>
      <c r="O422" s="46">
        <v>41975</v>
      </c>
    </row>
    <row r="423" spans="1:16" hidden="1" x14ac:dyDescent="0.25">
      <c r="A423" s="46">
        <v>41925</v>
      </c>
      <c r="B423" s="44" t="s">
        <v>82</v>
      </c>
      <c r="C423" s="44" t="s">
        <v>319</v>
      </c>
      <c r="D423" s="44" t="s">
        <v>258</v>
      </c>
      <c r="E423" s="44" t="s">
        <v>340</v>
      </c>
      <c r="F423" s="44">
        <v>80</v>
      </c>
      <c r="G423" s="61">
        <f>37*F423</f>
        <v>2960</v>
      </c>
      <c r="H423" s="47">
        <f>G423/2000</f>
        <v>1.48</v>
      </c>
      <c r="L423" s="8">
        <v>52.5</v>
      </c>
      <c r="N423" s="45">
        <v>243771</v>
      </c>
      <c r="O423" s="46">
        <v>41925</v>
      </c>
    </row>
    <row r="424" spans="1:16" hidden="1" x14ac:dyDescent="0.25">
      <c r="A424" s="62">
        <v>41940</v>
      </c>
      <c r="B424" s="19" t="s">
        <v>53</v>
      </c>
      <c r="C424" s="15" t="s">
        <v>50</v>
      </c>
      <c r="D424" s="19" t="s">
        <v>50</v>
      </c>
      <c r="E424" s="44" t="s">
        <v>119</v>
      </c>
      <c r="G424" s="61">
        <f>Legend!B$27</f>
        <v>17347.2</v>
      </c>
      <c r="H424" s="47">
        <f>G424/2000</f>
        <v>8.6736000000000004</v>
      </c>
      <c r="I424" s="49"/>
      <c r="J424" s="21"/>
      <c r="L424" s="21"/>
      <c r="M424" s="22"/>
      <c r="N424" s="19"/>
      <c r="O424" s="18"/>
    </row>
    <row r="425" spans="1:16" hidden="1" x14ac:dyDescent="0.25">
      <c r="A425" s="46">
        <v>41948</v>
      </c>
      <c r="B425" s="44" t="s">
        <v>41</v>
      </c>
      <c r="C425" s="44" t="s">
        <v>3</v>
      </c>
      <c r="D425" s="44" t="s">
        <v>3</v>
      </c>
      <c r="E425" s="44" t="s">
        <v>134</v>
      </c>
      <c r="F425" s="44">
        <v>2</v>
      </c>
      <c r="G425" s="61">
        <v>1200</v>
      </c>
      <c r="H425" s="47">
        <f>G425/2000</f>
        <v>0.6</v>
      </c>
    </row>
    <row r="426" spans="1:16" hidden="1" x14ac:dyDescent="0.25">
      <c r="A426" s="46">
        <v>41953</v>
      </c>
      <c r="B426" s="44" t="s">
        <v>82</v>
      </c>
      <c r="C426" s="44" t="s">
        <v>319</v>
      </c>
      <c r="D426" s="44" t="s">
        <v>258</v>
      </c>
      <c r="E426" s="44" t="s">
        <v>340</v>
      </c>
      <c r="F426" s="44">
        <v>70</v>
      </c>
      <c r="G426" s="61">
        <f>37*F426</f>
        <v>2590</v>
      </c>
      <c r="H426" s="47">
        <f>G426/2000</f>
        <v>1.2949999999999999</v>
      </c>
      <c r="L426" s="8">
        <v>40</v>
      </c>
      <c r="N426" s="45">
        <v>245006</v>
      </c>
      <c r="O426" s="46">
        <v>41953</v>
      </c>
    </row>
    <row r="427" spans="1:16" hidden="1" x14ac:dyDescent="0.25">
      <c r="A427" s="46">
        <v>41955</v>
      </c>
      <c r="B427" s="44" t="s">
        <v>128</v>
      </c>
      <c r="C427" s="44" t="s">
        <v>4</v>
      </c>
      <c r="D427" s="44" t="s">
        <v>77</v>
      </c>
      <c r="E427" s="44" t="s">
        <v>78</v>
      </c>
      <c r="G427" s="44">
        <v>7900</v>
      </c>
      <c r="H427" s="44">
        <f>G427/2000</f>
        <v>3.95</v>
      </c>
      <c r="I427" s="44">
        <f>165/2000</f>
        <v>8.2500000000000004E-2</v>
      </c>
      <c r="J427" s="8">
        <f>I427*G427</f>
        <v>651.75</v>
      </c>
      <c r="K427" s="43">
        <v>180</v>
      </c>
      <c r="L427" s="8">
        <v>471.75</v>
      </c>
      <c r="M427" s="44" t="s">
        <v>341</v>
      </c>
      <c r="N427" s="45">
        <v>245322</v>
      </c>
      <c r="O427" s="46">
        <v>41960</v>
      </c>
      <c r="P427" s="46"/>
    </row>
    <row r="428" spans="1:16" hidden="1" x14ac:dyDescent="0.25">
      <c r="A428" s="46">
        <v>41957</v>
      </c>
      <c r="B428" s="44" t="s">
        <v>49</v>
      </c>
      <c r="C428" s="15" t="s">
        <v>50</v>
      </c>
      <c r="D428" s="44" t="s">
        <v>75</v>
      </c>
      <c r="E428" s="44" t="s">
        <v>119</v>
      </c>
      <c r="G428" s="61">
        <f>2000*H428</f>
        <v>11480</v>
      </c>
      <c r="H428" s="47">
        <v>5.74</v>
      </c>
      <c r="I428" s="44">
        <v>38.5</v>
      </c>
      <c r="J428" s="8">
        <v>220.99</v>
      </c>
      <c r="K428" s="8">
        <v>85</v>
      </c>
      <c r="L428" s="8">
        <v>135.99</v>
      </c>
      <c r="M428" s="45">
        <v>36470</v>
      </c>
      <c r="N428" s="44">
        <v>246878</v>
      </c>
      <c r="O428" s="46">
        <v>42010</v>
      </c>
    </row>
    <row r="429" spans="1:16" hidden="1" x14ac:dyDescent="0.25">
      <c r="A429" s="62">
        <v>41971</v>
      </c>
      <c r="B429" s="19" t="s">
        <v>53</v>
      </c>
      <c r="C429" s="15" t="s">
        <v>50</v>
      </c>
      <c r="D429" s="19" t="s">
        <v>50</v>
      </c>
      <c r="E429" s="44" t="s">
        <v>119</v>
      </c>
      <c r="G429" s="61">
        <f>Legend!B$27</f>
        <v>17347.2</v>
      </c>
      <c r="H429" s="47">
        <f>G429/2000</f>
        <v>8.6736000000000004</v>
      </c>
      <c r="I429" s="49"/>
      <c r="J429" s="21"/>
      <c r="L429" s="21"/>
      <c r="M429" s="22"/>
      <c r="N429" s="19"/>
      <c r="O429" s="18"/>
    </row>
    <row r="430" spans="1:16" hidden="1" x14ac:dyDescent="0.25">
      <c r="A430" s="46">
        <v>41982</v>
      </c>
      <c r="B430" s="44" t="s">
        <v>82</v>
      </c>
      <c r="C430" s="44" t="s">
        <v>319</v>
      </c>
      <c r="D430" s="44" t="s">
        <v>258</v>
      </c>
      <c r="E430" s="44" t="s">
        <v>340</v>
      </c>
      <c r="F430" s="44">
        <v>80</v>
      </c>
      <c r="G430" s="61">
        <f>37*F430</f>
        <v>2960</v>
      </c>
      <c r="H430" s="47">
        <f>G430/2000</f>
        <v>1.48</v>
      </c>
      <c r="L430" s="8">
        <v>53.75</v>
      </c>
      <c r="N430" s="45">
        <v>246084</v>
      </c>
      <c r="O430" s="46">
        <v>41982</v>
      </c>
    </row>
    <row r="431" spans="1:16" hidden="1" x14ac:dyDescent="0.25">
      <c r="A431" s="46">
        <v>41988</v>
      </c>
      <c r="B431" s="44" t="s">
        <v>74</v>
      </c>
      <c r="C431" s="44" t="s">
        <v>318</v>
      </c>
      <c r="D431" s="44" t="s">
        <v>310</v>
      </c>
      <c r="E431" s="44" t="s">
        <v>119</v>
      </c>
      <c r="G431" s="61"/>
      <c r="O431" s="46"/>
    </row>
    <row r="432" spans="1:16" hidden="1" x14ac:dyDescent="0.25">
      <c r="A432" s="46">
        <v>41996</v>
      </c>
      <c r="B432" s="44" t="s">
        <v>60</v>
      </c>
      <c r="C432" s="15" t="s">
        <v>50</v>
      </c>
      <c r="D432" s="44" t="s">
        <v>75</v>
      </c>
      <c r="E432" s="44" t="s">
        <v>119</v>
      </c>
      <c r="G432" s="61"/>
      <c r="H432" s="47"/>
      <c r="N432" s="45"/>
      <c r="O432" s="46"/>
    </row>
    <row r="433" spans="1:15" hidden="1" x14ac:dyDescent="0.25">
      <c r="A433" s="62">
        <v>42001</v>
      </c>
      <c r="B433" s="19" t="s">
        <v>53</v>
      </c>
      <c r="C433" s="15" t="s">
        <v>50</v>
      </c>
      <c r="D433" s="19" t="s">
        <v>50</v>
      </c>
      <c r="E433" s="44" t="s">
        <v>119</v>
      </c>
      <c r="G433" s="61">
        <f>Legend!B$27</f>
        <v>17347.2</v>
      </c>
      <c r="H433" s="47">
        <f>G433/2000</f>
        <v>8.6736000000000004</v>
      </c>
      <c r="I433" s="49"/>
      <c r="J433" s="21"/>
      <c r="L433" s="21"/>
      <c r="M433" s="22"/>
      <c r="N433" s="19"/>
      <c r="O433" s="18"/>
    </row>
    <row r="434" spans="1:15" hidden="1" x14ac:dyDescent="0.25">
      <c r="A434" s="46">
        <v>42002</v>
      </c>
      <c r="B434" s="44" t="s">
        <v>41</v>
      </c>
      <c r="C434" s="44" t="s">
        <v>3</v>
      </c>
      <c r="D434" s="44" t="s">
        <v>291</v>
      </c>
      <c r="E434" s="44" t="s">
        <v>292</v>
      </c>
      <c r="F434" s="44">
        <v>541</v>
      </c>
      <c r="G434" s="44">
        <f>5*F434</f>
        <v>2705</v>
      </c>
      <c r="H434" s="44">
        <f>G434/2000</f>
        <v>1.3525</v>
      </c>
      <c r="L434" s="8">
        <v>2585.4</v>
      </c>
      <c r="M434" s="45" t="s">
        <v>349</v>
      </c>
      <c r="N434" s="44">
        <v>246935</v>
      </c>
      <c r="O434" s="46">
        <v>42010</v>
      </c>
    </row>
    <row r="435" spans="1:15" hidden="1" x14ac:dyDescent="0.25">
      <c r="A435" s="46">
        <v>42004</v>
      </c>
      <c r="B435" s="44" t="s">
        <v>342</v>
      </c>
      <c r="C435" s="44" t="s">
        <v>6</v>
      </c>
      <c r="D435" s="44" t="s">
        <v>344</v>
      </c>
      <c r="E435" s="44" t="s">
        <v>343</v>
      </c>
      <c r="F435" s="44">
        <v>111</v>
      </c>
      <c r="G435" s="61">
        <f>350*F435</f>
        <v>38850</v>
      </c>
      <c r="H435" s="47">
        <f>G435/2000</f>
        <v>19.425000000000001</v>
      </c>
    </row>
    <row r="436" spans="1:15" hidden="1" x14ac:dyDescent="0.25">
      <c r="A436" s="46">
        <v>42004</v>
      </c>
      <c r="B436" s="44" t="s">
        <v>342</v>
      </c>
      <c r="C436" s="44" t="s">
        <v>319</v>
      </c>
      <c r="D436" s="44" t="s">
        <v>345</v>
      </c>
      <c r="E436" s="44" t="s">
        <v>343</v>
      </c>
      <c r="F436" s="44">
        <v>50</v>
      </c>
      <c r="G436" s="61">
        <f>350*F436</f>
        <v>17500</v>
      </c>
      <c r="H436" s="47">
        <f>G436/2000</f>
        <v>8.75</v>
      </c>
    </row>
    <row r="437" spans="1:15" hidden="1" x14ac:dyDescent="0.25">
      <c r="A437" s="46">
        <v>42010</v>
      </c>
      <c r="B437" s="44" t="s">
        <v>49</v>
      </c>
      <c r="C437" s="15" t="s">
        <v>50</v>
      </c>
      <c r="D437" s="44" t="s">
        <v>75</v>
      </c>
      <c r="E437" s="44" t="s">
        <v>119</v>
      </c>
      <c r="G437" s="61"/>
      <c r="H437" s="47"/>
      <c r="O437" s="46"/>
    </row>
  </sheetData>
  <autoFilter ref="A1:P437">
    <filterColumn colId="2">
      <filters>
        <filter val="Glass"/>
      </filters>
    </filterColumn>
    <sortState ref="A2:P437">
      <sortCondition ref="A1:A433"/>
    </sortState>
  </autoFilter>
  <pageMargins left="0.25" right="0.25" top="0.75" bottom="0.75" header="0.3" footer="0.3"/>
  <pageSetup scale="58" fitToHeight="0"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1"/>
  <sheetViews>
    <sheetView zoomScale="80" zoomScaleNormal="80" zoomScalePageLayoutView="80" workbookViewId="0">
      <pane ySplit="3" topLeftCell="A4" activePane="bottomLeft" state="frozen"/>
      <selection activeCell="C27" sqref="C27"/>
      <selection pane="bottomLeft" activeCell="R948" sqref="R948"/>
    </sheetView>
  </sheetViews>
  <sheetFormatPr defaultColWidth="8.85546875" defaultRowHeight="15" x14ac:dyDescent="0.25"/>
  <cols>
    <col min="1" max="1" width="14.7109375" style="13" customWidth="1"/>
    <col min="2" max="2" width="13.42578125" style="13" customWidth="1"/>
    <col min="3" max="3" width="16.42578125" style="13" customWidth="1"/>
    <col min="4" max="4" width="10.28515625" style="13" customWidth="1"/>
    <col min="5" max="5" width="10.42578125" style="13" customWidth="1"/>
    <col min="6" max="6" width="13.140625" style="25" customWidth="1"/>
    <col min="7" max="7" width="22" style="26" customWidth="1"/>
    <col min="8" max="8" width="18.140625" style="26" customWidth="1"/>
    <col min="9" max="9" width="15.28515625" style="26" customWidth="1"/>
    <col min="10" max="11" width="13.85546875" style="13" customWidth="1"/>
    <col min="12" max="12" width="19.140625" style="13" customWidth="1"/>
    <col min="13" max="13" width="14.28515625" style="13" customWidth="1"/>
    <col min="14" max="16384" width="8.85546875" style="13"/>
  </cols>
  <sheetData>
    <row r="1" spans="1:13" x14ac:dyDescent="0.25">
      <c r="G1" s="26" t="s">
        <v>157</v>
      </c>
    </row>
    <row r="2" spans="1:13" x14ac:dyDescent="0.25">
      <c r="G2" s="26">
        <v>26</v>
      </c>
    </row>
    <row r="3" spans="1:13" x14ac:dyDescent="0.25">
      <c r="A3" s="13" t="s">
        <v>158</v>
      </c>
      <c r="B3" s="13" t="s">
        <v>135</v>
      </c>
      <c r="C3" s="13" t="s">
        <v>27</v>
      </c>
      <c r="D3" s="13" t="s">
        <v>159</v>
      </c>
      <c r="E3" s="13" t="s">
        <v>160</v>
      </c>
      <c r="F3" s="25" t="s">
        <v>161</v>
      </c>
      <c r="G3" s="26" t="s">
        <v>162</v>
      </c>
      <c r="H3" s="26" t="s">
        <v>163</v>
      </c>
      <c r="I3" s="26" t="s">
        <v>164</v>
      </c>
      <c r="J3" s="13" t="s">
        <v>165</v>
      </c>
      <c r="K3" s="26" t="s">
        <v>166</v>
      </c>
      <c r="L3" s="13" t="s">
        <v>167</v>
      </c>
      <c r="M3" s="26" t="s">
        <v>168</v>
      </c>
    </row>
    <row r="4" spans="1:13" ht="15" customHeight="1" x14ac:dyDescent="0.25">
      <c r="A4" s="13">
        <v>5749391</v>
      </c>
      <c r="B4" s="27">
        <v>40186</v>
      </c>
      <c r="C4" s="13" t="s">
        <v>110</v>
      </c>
      <c r="D4" s="13" t="s">
        <v>169</v>
      </c>
      <c r="E4" s="28">
        <v>40</v>
      </c>
      <c r="F4" s="25">
        <v>1.27</v>
      </c>
      <c r="G4" s="26">
        <f t="shared" ref="G4:G17" si="0">F4*$G$2</f>
        <v>33.020000000000003</v>
      </c>
      <c r="H4" s="26">
        <v>115</v>
      </c>
      <c r="I4" s="26">
        <v>15.96</v>
      </c>
      <c r="J4" s="26">
        <f t="shared" ref="J4:J17" si="1">F4</f>
        <v>1.27</v>
      </c>
      <c r="K4" s="26"/>
      <c r="L4" s="14">
        <f t="shared" ref="L4:L67" si="2">G4+H4+I4+J4</f>
        <v>165.25000000000003</v>
      </c>
      <c r="M4" s="14">
        <f t="shared" ref="M4:M67" si="3">L4/F4</f>
        <v>130.1181102362205</v>
      </c>
    </row>
    <row r="5" spans="1:13" ht="15" customHeight="1" x14ac:dyDescent="0.25">
      <c r="A5" s="13">
        <v>5749391</v>
      </c>
      <c r="B5" s="27">
        <v>40186</v>
      </c>
      <c r="C5" s="13" t="s">
        <v>110</v>
      </c>
      <c r="D5" s="13" t="s">
        <v>169</v>
      </c>
      <c r="E5" s="28">
        <v>40</v>
      </c>
      <c r="F5" s="25">
        <v>4.7699999999999996</v>
      </c>
      <c r="G5" s="26">
        <f t="shared" si="0"/>
        <v>124.01999999999998</v>
      </c>
      <c r="H5" s="26">
        <v>115</v>
      </c>
      <c r="I5" s="26">
        <v>15.96</v>
      </c>
      <c r="J5" s="26">
        <f t="shared" si="1"/>
        <v>4.7699999999999996</v>
      </c>
      <c r="K5" s="26"/>
      <c r="L5" s="14">
        <f t="shared" si="2"/>
        <v>259.75</v>
      </c>
      <c r="M5" s="14">
        <f t="shared" si="3"/>
        <v>54.454926624737951</v>
      </c>
    </row>
    <row r="6" spans="1:13" ht="15" customHeight="1" x14ac:dyDescent="0.25">
      <c r="A6" s="13">
        <v>5749391</v>
      </c>
      <c r="B6" s="27">
        <v>40186</v>
      </c>
      <c r="C6" s="13" t="s">
        <v>110</v>
      </c>
      <c r="D6" s="13" t="s">
        <v>169</v>
      </c>
      <c r="E6" s="28">
        <v>30</v>
      </c>
      <c r="F6" s="25">
        <v>1.7</v>
      </c>
      <c r="G6" s="26">
        <f t="shared" si="0"/>
        <v>44.199999999999996</v>
      </c>
      <c r="H6" s="26">
        <v>115</v>
      </c>
      <c r="I6" s="26">
        <v>15.93</v>
      </c>
      <c r="J6" s="26">
        <f t="shared" si="1"/>
        <v>1.7</v>
      </c>
      <c r="K6" s="26"/>
      <c r="L6" s="14">
        <f t="shared" si="2"/>
        <v>176.82999999999998</v>
      </c>
      <c r="M6" s="14">
        <f t="shared" si="3"/>
        <v>104.01764705882353</v>
      </c>
    </row>
    <row r="7" spans="1:13" ht="15" customHeight="1" x14ac:dyDescent="0.25">
      <c r="A7" s="13">
        <v>5749391</v>
      </c>
      <c r="B7" s="27">
        <v>40188</v>
      </c>
      <c r="C7" s="13" t="s">
        <v>170</v>
      </c>
      <c r="D7" s="13" t="s">
        <v>171</v>
      </c>
      <c r="E7" s="28">
        <v>32</v>
      </c>
      <c r="F7" s="25">
        <v>1.3</v>
      </c>
      <c r="G7" s="26">
        <f t="shared" si="0"/>
        <v>33.800000000000004</v>
      </c>
      <c r="H7" s="26">
        <v>115</v>
      </c>
      <c r="I7" s="26">
        <v>15.96</v>
      </c>
      <c r="J7" s="26">
        <f t="shared" si="1"/>
        <v>1.3</v>
      </c>
      <c r="K7" s="26">
        <f>H7+I7</f>
        <v>130.96</v>
      </c>
      <c r="L7" s="14">
        <f t="shared" si="2"/>
        <v>166.06000000000003</v>
      </c>
      <c r="M7" s="14">
        <f t="shared" si="3"/>
        <v>127.73846153846156</v>
      </c>
    </row>
    <row r="8" spans="1:13" ht="15" customHeight="1" x14ac:dyDescent="0.25">
      <c r="A8" s="13">
        <v>5749391</v>
      </c>
      <c r="B8" s="27">
        <v>40192</v>
      </c>
      <c r="C8" s="13" t="s">
        <v>172</v>
      </c>
      <c r="D8" s="13" t="s">
        <v>169</v>
      </c>
      <c r="E8" s="28">
        <v>40</v>
      </c>
      <c r="F8" s="25">
        <v>3.95</v>
      </c>
      <c r="G8" s="26">
        <f t="shared" si="0"/>
        <v>102.7</v>
      </c>
      <c r="H8" s="26">
        <v>115</v>
      </c>
      <c r="I8" s="26">
        <v>15.86</v>
      </c>
      <c r="J8" s="26">
        <f t="shared" si="1"/>
        <v>3.95</v>
      </c>
      <c r="K8" s="26"/>
      <c r="L8" s="14">
        <f t="shared" si="2"/>
        <v>237.51</v>
      </c>
      <c r="M8" s="14">
        <f t="shared" si="3"/>
        <v>60.129113924050628</v>
      </c>
    </row>
    <row r="9" spans="1:13" ht="15" customHeight="1" x14ac:dyDescent="0.25">
      <c r="A9" s="13">
        <v>5749391</v>
      </c>
      <c r="B9" s="27">
        <v>40192</v>
      </c>
      <c r="C9" s="13" t="s">
        <v>128</v>
      </c>
      <c r="D9" s="13" t="s">
        <v>169</v>
      </c>
      <c r="E9" s="28">
        <v>20</v>
      </c>
      <c r="F9" s="25">
        <v>1.69</v>
      </c>
      <c r="G9" s="26">
        <f t="shared" si="0"/>
        <v>43.94</v>
      </c>
      <c r="H9" s="26">
        <v>115</v>
      </c>
      <c r="I9" s="26">
        <v>15.96</v>
      </c>
      <c r="J9" s="26">
        <f t="shared" si="1"/>
        <v>1.69</v>
      </c>
      <c r="K9" s="26"/>
      <c r="L9" s="14">
        <f t="shared" si="2"/>
        <v>176.59</v>
      </c>
      <c r="M9" s="14">
        <f t="shared" si="3"/>
        <v>104.49112426035504</v>
      </c>
    </row>
    <row r="10" spans="1:13" ht="15" customHeight="1" x14ac:dyDescent="0.25">
      <c r="A10" s="13">
        <v>5749391</v>
      </c>
      <c r="B10" s="27">
        <v>40192</v>
      </c>
      <c r="C10" s="13" t="s">
        <v>128</v>
      </c>
      <c r="D10" s="13" t="s">
        <v>171</v>
      </c>
      <c r="E10" s="28">
        <v>34</v>
      </c>
      <c r="F10" s="25">
        <v>4.68</v>
      </c>
      <c r="G10" s="26">
        <f t="shared" si="0"/>
        <v>121.67999999999999</v>
      </c>
      <c r="H10" s="26">
        <v>115</v>
      </c>
      <c r="I10" s="26">
        <v>12.49</v>
      </c>
      <c r="J10" s="26">
        <f t="shared" si="1"/>
        <v>4.68</v>
      </c>
      <c r="K10" s="26"/>
      <c r="L10" s="14">
        <f t="shared" si="2"/>
        <v>253.85000000000002</v>
      </c>
      <c r="M10" s="14">
        <f t="shared" si="3"/>
        <v>54.241452991453002</v>
      </c>
    </row>
    <row r="11" spans="1:13" ht="15" customHeight="1" x14ac:dyDescent="0.25">
      <c r="A11" s="13">
        <v>5749391</v>
      </c>
      <c r="B11" s="27">
        <v>40195</v>
      </c>
      <c r="C11" s="13" t="s">
        <v>170</v>
      </c>
      <c r="D11" s="13" t="s">
        <v>171</v>
      </c>
      <c r="E11" s="28">
        <v>32</v>
      </c>
      <c r="F11" s="25">
        <v>2.5099999999999998</v>
      </c>
      <c r="G11" s="26">
        <f t="shared" si="0"/>
        <v>65.259999999999991</v>
      </c>
      <c r="H11" s="26">
        <v>115</v>
      </c>
      <c r="I11" s="26">
        <v>15.93</v>
      </c>
      <c r="J11" s="26">
        <f t="shared" si="1"/>
        <v>2.5099999999999998</v>
      </c>
      <c r="K11" s="26">
        <f>H11+I11</f>
        <v>130.93</v>
      </c>
      <c r="L11" s="14">
        <f t="shared" si="2"/>
        <v>198.7</v>
      </c>
      <c r="M11" s="14">
        <f t="shared" si="3"/>
        <v>79.163346613545812</v>
      </c>
    </row>
    <row r="12" spans="1:13" ht="15" customHeight="1" x14ac:dyDescent="0.25">
      <c r="A12" s="13">
        <v>5749391</v>
      </c>
      <c r="B12" s="27">
        <v>40198</v>
      </c>
      <c r="C12" s="13" t="s">
        <v>173</v>
      </c>
      <c r="D12" s="13" t="s">
        <v>171</v>
      </c>
      <c r="E12" s="28">
        <v>30</v>
      </c>
      <c r="F12" s="25">
        <v>4.43</v>
      </c>
      <c r="G12" s="26">
        <f t="shared" si="0"/>
        <v>115.17999999999999</v>
      </c>
      <c r="H12" s="26">
        <v>115</v>
      </c>
      <c r="I12" s="26">
        <v>15.93</v>
      </c>
      <c r="J12" s="26">
        <f t="shared" si="1"/>
        <v>4.43</v>
      </c>
      <c r="K12" s="26">
        <f>H12+I12</f>
        <v>130.93</v>
      </c>
      <c r="L12" s="14">
        <f t="shared" si="2"/>
        <v>250.54000000000002</v>
      </c>
      <c r="M12" s="14">
        <f t="shared" si="3"/>
        <v>56.555304740406328</v>
      </c>
    </row>
    <row r="13" spans="1:13" ht="15" customHeight="1" x14ac:dyDescent="0.25">
      <c r="A13" s="13">
        <v>5749391</v>
      </c>
      <c r="B13" s="27">
        <v>40199</v>
      </c>
      <c r="C13" s="13" t="s">
        <v>172</v>
      </c>
      <c r="D13" s="13" t="s">
        <v>169</v>
      </c>
      <c r="E13" s="28">
        <v>40</v>
      </c>
      <c r="F13" s="25">
        <v>3.04</v>
      </c>
      <c r="G13" s="26">
        <f t="shared" si="0"/>
        <v>79.040000000000006</v>
      </c>
      <c r="H13" s="26">
        <v>115</v>
      </c>
      <c r="I13" s="26">
        <v>15.93</v>
      </c>
      <c r="J13" s="26">
        <f t="shared" si="1"/>
        <v>3.04</v>
      </c>
      <c r="K13" s="26"/>
      <c r="L13" s="14">
        <f t="shared" si="2"/>
        <v>213.01000000000002</v>
      </c>
      <c r="M13" s="14">
        <f t="shared" si="3"/>
        <v>70.069078947368425</v>
      </c>
    </row>
    <row r="14" spans="1:13" ht="15" customHeight="1" x14ac:dyDescent="0.25">
      <c r="A14" s="13">
        <v>5749391</v>
      </c>
      <c r="B14" s="27">
        <v>40202</v>
      </c>
      <c r="C14" s="13" t="s">
        <v>170</v>
      </c>
      <c r="D14" s="13" t="s">
        <v>171</v>
      </c>
      <c r="E14" s="28">
        <v>32</v>
      </c>
      <c r="F14" s="25">
        <v>2.79</v>
      </c>
      <c r="G14" s="26">
        <f t="shared" si="0"/>
        <v>72.540000000000006</v>
      </c>
      <c r="H14" s="26">
        <v>115</v>
      </c>
      <c r="I14" s="26">
        <v>15.93</v>
      </c>
      <c r="J14" s="26">
        <f t="shared" si="1"/>
        <v>2.79</v>
      </c>
      <c r="K14" s="26">
        <f>H14+I14</f>
        <v>130.93</v>
      </c>
      <c r="L14" s="14">
        <f t="shared" si="2"/>
        <v>206.26000000000002</v>
      </c>
      <c r="M14" s="14">
        <f t="shared" si="3"/>
        <v>73.928315412186379</v>
      </c>
    </row>
    <row r="15" spans="1:13" ht="15" customHeight="1" x14ac:dyDescent="0.25">
      <c r="A15" s="13">
        <v>5749391</v>
      </c>
      <c r="B15" s="27">
        <v>40205</v>
      </c>
      <c r="C15" s="13" t="s">
        <v>173</v>
      </c>
      <c r="D15" s="13" t="s">
        <v>171</v>
      </c>
      <c r="E15" s="28">
        <v>30</v>
      </c>
      <c r="F15" s="25">
        <v>2.98</v>
      </c>
      <c r="G15" s="26">
        <f t="shared" si="0"/>
        <v>77.48</v>
      </c>
      <c r="H15" s="26">
        <v>115</v>
      </c>
      <c r="I15" s="26">
        <v>15.79</v>
      </c>
      <c r="J15" s="26">
        <f t="shared" si="1"/>
        <v>2.98</v>
      </c>
      <c r="K15" s="26">
        <f>H15+I15</f>
        <v>130.79</v>
      </c>
      <c r="L15" s="14">
        <f t="shared" si="2"/>
        <v>211.25</v>
      </c>
      <c r="M15" s="14">
        <f t="shared" si="3"/>
        <v>70.889261744966447</v>
      </c>
    </row>
    <row r="16" spans="1:13" ht="15" customHeight="1" x14ac:dyDescent="0.25">
      <c r="A16" s="13">
        <v>5749391</v>
      </c>
      <c r="B16" s="27">
        <v>40207</v>
      </c>
      <c r="C16" s="13" t="s">
        <v>172</v>
      </c>
      <c r="D16" s="13" t="s">
        <v>169</v>
      </c>
      <c r="E16" s="28">
        <v>40</v>
      </c>
      <c r="F16" s="25">
        <v>3.57</v>
      </c>
      <c r="G16" s="26">
        <f t="shared" si="0"/>
        <v>92.82</v>
      </c>
      <c r="H16" s="26">
        <v>115</v>
      </c>
      <c r="I16" s="26">
        <v>15.79</v>
      </c>
      <c r="J16" s="26">
        <f t="shared" si="1"/>
        <v>3.57</v>
      </c>
      <c r="K16" s="26"/>
      <c r="L16" s="14">
        <f t="shared" si="2"/>
        <v>227.17999999999998</v>
      </c>
      <c r="M16" s="14">
        <f t="shared" si="3"/>
        <v>63.635854341736689</v>
      </c>
    </row>
    <row r="17" spans="1:13" ht="15" customHeight="1" x14ac:dyDescent="0.25">
      <c r="A17" s="13">
        <v>5749391</v>
      </c>
      <c r="B17" s="27">
        <v>40209</v>
      </c>
      <c r="C17" s="13" t="s">
        <v>170</v>
      </c>
      <c r="D17" s="13" t="s">
        <v>171</v>
      </c>
      <c r="E17" s="28">
        <v>32</v>
      </c>
      <c r="F17" s="25">
        <v>3.04</v>
      </c>
      <c r="G17" s="26">
        <f t="shared" si="0"/>
        <v>79.040000000000006</v>
      </c>
      <c r="H17" s="26">
        <v>115</v>
      </c>
      <c r="I17" s="26">
        <v>15.79</v>
      </c>
      <c r="J17" s="26">
        <f t="shared" si="1"/>
        <v>3.04</v>
      </c>
      <c r="K17" s="26">
        <f>H17+I17</f>
        <v>130.79</v>
      </c>
      <c r="L17" s="14">
        <f t="shared" si="2"/>
        <v>212.87</v>
      </c>
      <c r="M17" s="14">
        <f t="shared" si="3"/>
        <v>70.02302631578948</v>
      </c>
    </row>
    <row r="18" spans="1:13" x14ac:dyDescent="0.25">
      <c r="B18" s="27">
        <v>40209</v>
      </c>
      <c r="C18" s="13" t="s">
        <v>174</v>
      </c>
      <c r="D18" s="13" t="s">
        <v>175</v>
      </c>
      <c r="E18" s="28">
        <v>6</v>
      </c>
      <c r="F18" s="29">
        <v>2.34</v>
      </c>
      <c r="H18" s="26">
        <v>104</v>
      </c>
      <c r="J18" s="26"/>
      <c r="K18" s="26"/>
      <c r="L18" s="14">
        <f t="shared" si="2"/>
        <v>104</v>
      </c>
      <c r="M18" s="14">
        <f t="shared" si="3"/>
        <v>44.44444444444445</v>
      </c>
    </row>
    <row r="19" spans="1:13" ht="15" customHeight="1" x14ac:dyDescent="0.25">
      <c r="B19" s="27">
        <v>40209</v>
      </c>
      <c r="C19" s="13" t="s">
        <v>176</v>
      </c>
      <c r="D19" s="13" t="s">
        <v>175</v>
      </c>
      <c r="E19" s="28">
        <v>2</v>
      </c>
      <c r="F19" s="29">
        <v>0.78</v>
      </c>
      <c r="H19" s="26">
        <v>65</v>
      </c>
      <c r="J19" s="26"/>
      <c r="K19" s="26"/>
      <c r="L19" s="14">
        <f t="shared" si="2"/>
        <v>65</v>
      </c>
      <c r="M19" s="14">
        <f t="shared" si="3"/>
        <v>83.333333333333329</v>
      </c>
    </row>
    <row r="20" spans="1:13" ht="15" customHeight="1" x14ac:dyDescent="0.25">
      <c r="B20" s="27">
        <v>40209</v>
      </c>
      <c r="C20" s="13" t="s">
        <v>176</v>
      </c>
      <c r="D20" s="13" t="s">
        <v>175</v>
      </c>
      <c r="E20" s="28">
        <v>2</v>
      </c>
      <c r="F20" s="29">
        <v>0.78</v>
      </c>
      <c r="H20" s="26">
        <v>65</v>
      </c>
      <c r="J20" s="26"/>
      <c r="K20" s="26"/>
      <c r="L20" s="14">
        <f t="shared" si="2"/>
        <v>65</v>
      </c>
      <c r="M20" s="14">
        <f t="shared" si="3"/>
        <v>83.333333333333329</v>
      </c>
    </row>
    <row r="21" spans="1:13" ht="15" customHeight="1" x14ac:dyDescent="0.25">
      <c r="B21" s="27">
        <v>40209</v>
      </c>
      <c r="C21" s="13" t="s">
        <v>177</v>
      </c>
      <c r="D21" s="13" t="s">
        <v>175</v>
      </c>
      <c r="E21" s="28">
        <v>8</v>
      </c>
      <c r="F21" s="29">
        <v>4.68</v>
      </c>
      <c r="H21" s="26">
        <v>189</v>
      </c>
      <c r="J21" s="26"/>
      <c r="K21" s="26"/>
      <c r="L21" s="14">
        <f t="shared" si="2"/>
        <v>189</v>
      </c>
      <c r="M21" s="14">
        <f t="shared" si="3"/>
        <v>40.384615384615387</v>
      </c>
    </row>
    <row r="22" spans="1:13" ht="15" customHeight="1" x14ac:dyDescent="0.25">
      <c r="B22" s="27">
        <v>40209</v>
      </c>
      <c r="C22" s="13" t="s">
        <v>178</v>
      </c>
      <c r="D22" s="13" t="s">
        <v>171</v>
      </c>
      <c r="E22" s="28">
        <v>6</v>
      </c>
      <c r="F22" s="29">
        <v>3.9</v>
      </c>
      <c r="H22" s="26">
        <v>155.88</v>
      </c>
      <c r="J22" s="26"/>
      <c r="K22" s="26"/>
      <c r="L22" s="14">
        <f t="shared" si="2"/>
        <v>155.88</v>
      </c>
      <c r="M22" s="14">
        <f t="shared" si="3"/>
        <v>39.969230769230769</v>
      </c>
    </row>
    <row r="23" spans="1:13" ht="15" customHeight="1" x14ac:dyDescent="0.25">
      <c r="B23" s="27">
        <v>40209</v>
      </c>
      <c r="C23" s="13" t="s">
        <v>179</v>
      </c>
      <c r="D23" s="13" t="s">
        <v>175</v>
      </c>
      <c r="E23" s="28">
        <v>2</v>
      </c>
      <c r="F23" s="29">
        <v>0.39</v>
      </c>
      <c r="H23" s="26">
        <v>48</v>
      </c>
      <c r="J23" s="26"/>
      <c r="K23" s="26"/>
      <c r="L23" s="14">
        <f t="shared" si="2"/>
        <v>48</v>
      </c>
      <c r="M23" s="14">
        <f t="shared" si="3"/>
        <v>123.07692307692307</v>
      </c>
    </row>
    <row r="24" spans="1:13" ht="15" customHeight="1" x14ac:dyDescent="0.25">
      <c r="A24" s="13">
        <v>5762792</v>
      </c>
      <c r="B24" s="27">
        <v>40212</v>
      </c>
      <c r="C24" s="13" t="s">
        <v>173</v>
      </c>
      <c r="D24" s="13" t="s">
        <v>171</v>
      </c>
      <c r="E24" s="28">
        <v>30</v>
      </c>
      <c r="F24" s="25">
        <v>3.43</v>
      </c>
      <c r="G24" s="26">
        <f t="shared" ref="G24:G38" si="4">F24*$G$2</f>
        <v>89.18</v>
      </c>
      <c r="H24" s="26">
        <v>115</v>
      </c>
      <c r="I24" s="26">
        <v>15.61</v>
      </c>
      <c r="J24" s="26">
        <f t="shared" ref="J24:J38" si="5">F24</f>
        <v>3.43</v>
      </c>
      <c r="K24" s="26">
        <f>H24+I24</f>
        <v>130.61000000000001</v>
      </c>
      <c r="L24" s="14">
        <f t="shared" si="2"/>
        <v>223.22000000000003</v>
      </c>
      <c r="M24" s="14">
        <f t="shared" si="3"/>
        <v>65.078717201166185</v>
      </c>
    </row>
    <row r="25" spans="1:13" ht="15" customHeight="1" x14ac:dyDescent="0.25">
      <c r="A25" s="13">
        <v>5762792</v>
      </c>
      <c r="B25" s="27">
        <v>40216</v>
      </c>
      <c r="C25" s="13" t="s">
        <v>170</v>
      </c>
      <c r="D25" s="13" t="s">
        <v>171</v>
      </c>
      <c r="E25" s="28">
        <v>32</v>
      </c>
      <c r="F25" s="25">
        <v>3.24</v>
      </c>
      <c r="G25" s="26">
        <f t="shared" si="4"/>
        <v>84.240000000000009</v>
      </c>
      <c r="H25" s="26">
        <v>115</v>
      </c>
      <c r="I25" s="26">
        <v>15.61</v>
      </c>
      <c r="J25" s="26">
        <f t="shared" si="5"/>
        <v>3.24</v>
      </c>
      <c r="K25" s="26">
        <f>H25+I25</f>
        <v>130.61000000000001</v>
      </c>
      <c r="L25" s="14">
        <f t="shared" si="2"/>
        <v>218.09000000000003</v>
      </c>
      <c r="M25" s="14">
        <f t="shared" si="3"/>
        <v>67.311728395061735</v>
      </c>
    </row>
    <row r="26" spans="1:13" ht="15" customHeight="1" x14ac:dyDescent="0.25">
      <c r="A26" s="13">
        <v>5762792</v>
      </c>
      <c r="B26" s="27">
        <v>40218</v>
      </c>
      <c r="C26" s="13" t="s">
        <v>172</v>
      </c>
      <c r="D26" s="13" t="s">
        <v>169</v>
      </c>
      <c r="E26" s="28">
        <v>40</v>
      </c>
      <c r="F26" s="25">
        <v>3.86</v>
      </c>
      <c r="G26" s="26">
        <f t="shared" si="4"/>
        <v>100.36</v>
      </c>
      <c r="H26" s="26">
        <v>115</v>
      </c>
      <c r="I26" s="26">
        <v>15.61</v>
      </c>
      <c r="J26" s="26">
        <f t="shared" si="5"/>
        <v>3.86</v>
      </c>
      <c r="K26" s="26"/>
      <c r="L26" s="14">
        <f t="shared" si="2"/>
        <v>234.83000000000004</v>
      </c>
      <c r="M26" s="14">
        <f t="shared" si="3"/>
        <v>60.836787564766851</v>
      </c>
    </row>
    <row r="27" spans="1:13" ht="15" customHeight="1" x14ac:dyDescent="0.25">
      <c r="A27" s="13">
        <v>5762792</v>
      </c>
      <c r="B27" s="27">
        <v>40219</v>
      </c>
      <c r="C27" s="13" t="s">
        <v>173</v>
      </c>
      <c r="D27" s="13" t="s">
        <v>171</v>
      </c>
      <c r="E27" s="28">
        <v>30</v>
      </c>
      <c r="F27" s="25">
        <v>3.29</v>
      </c>
      <c r="G27" s="26">
        <f t="shared" si="4"/>
        <v>85.54</v>
      </c>
      <c r="H27" s="26">
        <v>115</v>
      </c>
      <c r="I27" s="26">
        <v>15.61</v>
      </c>
      <c r="J27" s="26">
        <f t="shared" si="5"/>
        <v>3.29</v>
      </c>
      <c r="K27" s="26">
        <f>H27+I27</f>
        <v>130.61000000000001</v>
      </c>
      <c r="L27" s="14">
        <f t="shared" si="2"/>
        <v>219.44000000000003</v>
      </c>
      <c r="M27" s="14">
        <f t="shared" si="3"/>
        <v>66.699088145896667</v>
      </c>
    </row>
    <row r="28" spans="1:13" ht="15" customHeight="1" x14ac:dyDescent="0.25">
      <c r="A28" s="13">
        <v>5762792</v>
      </c>
      <c r="B28" s="27">
        <v>40221</v>
      </c>
      <c r="C28" s="13" t="s">
        <v>128</v>
      </c>
      <c r="D28" s="13" t="s">
        <v>169</v>
      </c>
      <c r="E28" s="28">
        <v>20</v>
      </c>
      <c r="F28" s="25">
        <v>1.44</v>
      </c>
      <c r="G28" s="26">
        <f t="shared" si="4"/>
        <v>37.44</v>
      </c>
      <c r="H28" s="26">
        <v>115</v>
      </c>
      <c r="I28" s="26">
        <v>15.57</v>
      </c>
      <c r="J28" s="26">
        <f t="shared" si="5"/>
        <v>1.44</v>
      </c>
      <c r="K28" s="26"/>
      <c r="L28" s="14">
        <f t="shared" si="2"/>
        <v>169.45</v>
      </c>
      <c r="M28" s="14">
        <f t="shared" si="3"/>
        <v>117.67361111111111</v>
      </c>
    </row>
    <row r="29" spans="1:13" ht="15" customHeight="1" x14ac:dyDescent="0.25">
      <c r="A29" s="13">
        <v>5762792</v>
      </c>
      <c r="B29" s="27">
        <v>40221</v>
      </c>
      <c r="C29" s="13" t="s">
        <v>128</v>
      </c>
      <c r="D29" s="13" t="s">
        <v>171</v>
      </c>
      <c r="E29" s="28">
        <v>34</v>
      </c>
      <c r="F29" s="25">
        <v>6.87</v>
      </c>
      <c r="G29" s="26">
        <f t="shared" si="4"/>
        <v>178.62</v>
      </c>
      <c r="H29" s="26">
        <v>115</v>
      </c>
      <c r="I29" s="26">
        <v>15.57</v>
      </c>
      <c r="J29" s="26">
        <f t="shared" si="5"/>
        <v>6.87</v>
      </c>
      <c r="K29" s="26"/>
      <c r="L29" s="14">
        <f t="shared" si="2"/>
        <v>316.06</v>
      </c>
      <c r="M29" s="14">
        <f t="shared" si="3"/>
        <v>46.005822416302763</v>
      </c>
    </row>
    <row r="30" spans="1:13" ht="15" customHeight="1" x14ac:dyDescent="0.25">
      <c r="A30" s="13">
        <v>5762792</v>
      </c>
      <c r="B30" s="27">
        <v>40223</v>
      </c>
      <c r="C30" s="13" t="s">
        <v>170</v>
      </c>
      <c r="D30" s="13" t="s">
        <v>171</v>
      </c>
      <c r="E30" s="28">
        <v>32</v>
      </c>
      <c r="F30" s="25">
        <v>3.08</v>
      </c>
      <c r="G30" s="26">
        <f t="shared" si="4"/>
        <v>80.08</v>
      </c>
      <c r="H30" s="26">
        <v>115</v>
      </c>
      <c r="I30" s="26">
        <v>15.57</v>
      </c>
      <c r="J30" s="26">
        <f t="shared" si="5"/>
        <v>3.08</v>
      </c>
      <c r="K30" s="26">
        <f>H30+I30</f>
        <v>130.57</v>
      </c>
      <c r="L30" s="14">
        <f t="shared" si="2"/>
        <v>213.73</v>
      </c>
      <c r="M30" s="14">
        <f t="shared" si="3"/>
        <v>69.392857142857139</v>
      </c>
    </row>
    <row r="31" spans="1:13" ht="15" customHeight="1" x14ac:dyDescent="0.25">
      <c r="A31" s="13">
        <v>5762792</v>
      </c>
      <c r="B31" s="27">
        <v>40225</v>
      </c>
      <c r="C31" s="13" t="s">
        <v>110</v>
      </c>
      <c r="D31" s="13" t="s">
        <v>169</v>
      </c>
      <c r="E31" s="28">
        <v>40</v>
      </c>
      <c r="F31" s="25">
        <v>2.5099999999999998</v>
      </c>
      <c r="G31" s="26">
        <f t="shared" si="4"/>
        <v>65.259999999999991</v>
      </c>
      <c r="H31" s="26">
        <v>115</v>
      </c>
      <c r="I31" s="26">
        <v>15.51</v>
      </c>
      <c r="J31" s="26">
        <f t="shared" si="5"/>
        <v>2.5099999999999998</v>
      </c>
      <c r="K31" s="26"/>
      <c r="L31" s="14">
        <f t="shared" si="2"/>
        <v>198.27999999999997</v>
      </c>
      <c r="M31" s="14">
        <f t="shared" si="3"/>
        <v>78.996015936254977</v>
      </c>
    </row>
    <row r="32" spans="1:13" ht="15" customHeight="1" x14ac:dyDescent="0.25">
      <c r="A32" s="13">
        <v>5762792</v>
      </c>
      <c r="B32" s="27">
        <v>40226</v>
      </c>
      <c r="C32" s="13" t="s">
        <v>173</v>
      </c>
      <c r="D32" s="13" t="s">
        <v>171</v>
      </c>
      <c r="E32" s="28">
        <v>30</v>
      </c>
      <c r="F32" s="25">
        <v>3.45</v>
      </c>
      <c r="G32" s="26">
        <f t="shared" si="4"/>
        <v>89.7</v>
      </c>
      <c r="H32" s="26">
        <v>115</v>
      </c>
      <c r="I32" s="26">
        <v>15.51</v>
      </c>
      <c r="J32" s="26">
        <f t="shared" si="5"/>
        <v>3.45</v>
      </c>
      <c r="K32" s="26">
        <f>H32+I32</f>
        <v>130.51</v>
      </c>
      <c r="L32" s="14">
        <f t="shared" si="2"/>
        <v>223.65999999999997</v>
      </c>
      <c r="M32" s="14">
        <f t="shared" si="3"/>
        <v>64.828985507246358</v>
      </c>
    </row>
    <row r="33" spans="1:13" ht="15" customHeight="1" x14ac:dyDescent="0.25">
      <c r="A33" s="13">
        <v>5762792</v>
      </c>
      <c r="B33" s="27">
        <v>40227</v>
      </c>
      <c r="C33" s="13" t="s">
        <v>180</v>
      </c>
      <c r="D33" s="13" t="s">
        <v>169</v>
      </c>
      <c r="E33" s="28">
        <v>40</v>
      </c>
      <c r="F33" s="25">
        <v>1.89</v>
      </c>
      <c r="G33" s="26">
        <f t="shared" si="4"/>
        <v>49.14</v>
      </c>
      <c r="H33" s="26">
        <v>115</v>
      </c>
      <c r="I33" s="26">
        <v>15.51</v>
      </c>
      <c r="J33" s="26">
        <f t="shared" si="5"/>
        <v>1.89</v>
      </c>
      <c r="K33" s="26"/>
      <c r="L33" s="14">
        <f t="shared" si="2"/>
        <v>181.53999999999996</v>
      </c>
      <c r="M33" s="14">
        <f t="shared" si="3"/>
        <v>96.052910052910036</v>
      </c>
    </row>
    <row r="34" spans="1:13" ht="15" customHeight="1" x14ac:dyDescent="0.25">
      <c r="A34" s="13">
        <v>5762792</v>
      </c>
      <c r="B34" s="27">
        <v>40232</v>
      </c>
      <c r="C34" s="13" t="s">
        <v>172</v>
      </c>
      <c r="D34" s="13" t="s">
        <v>169</v>
      </c>
      <c r="E34" s="28">
        <v>40</v>
      </c>
      <c r="F34" s="25">
        <v>4.3600000000000003</v>
      </c>
      <c r="G34" s="26">
        <f t="shared" si="4"/>
        <v>113.36000000000001</v>
      </c>
      <c r="H34" s="26">
        <v>115</v>
      </c>
      <c r="I34" s="26">
        <v>15.77</v>
      </c>
      <c r="J34" s="26">
        <f t="shared" si="5"/>
        <v>4.3600000000000003</v>
      </c>
      <c r="K34" s="26"/>
      <c r="L34" s="14">
        <f t="shared" si="2"/>
        <v>248.49000000000004</v>
      </c>
      <c r="M34" s="14">
        <f t="shared" si="3"/>
        <v>56.993119266055054</v>
      </c>
    </row>
    <row r="35" spans="1:13" ht="15" customHeight="1" x14ac:dyDescent="0.25">
      <c r="A35" s="13">
        <v>5762792</v>
      </c>
      <c r="B35" s="27">
        <v>40232</v>
      </c>
      <c r="C35" s="13" t="s">
        <v>41</v>
      </c>
      <c r="D35" s="13" t="s">
        <v>169</v>
      </c>
      <c r="E35" s="28">
        <v>40</v>
      </c>
      <c r="F35" s="25">
        <v>4.13</v>
      </c>
      <c r="G35" s="26">
        <f t="shared" si="4"/>
        <v>107.38</v>
      </c>
      <c r="H35" s="26">
        <v>115</v>
      </c>
      <c r="I35" s="26">
        <v>15.77</v>
      </c>
      <c r="J35" s="26">
        <f t="shared" si="5"/>
        <v>4.13</v>
      </c>
      <c r="K35" s="26"/>
      <c r="L35" s="14">
        <f t="shared" si="2"/>
        <v>242.28</v>
      </c>
      <c r="M35" s="14">
        <f t="shared" si="3"/>
        <v>58.663438256658594</v>
      </c>
    </row>
    <row r="36" spans="1:13" ht="15" customHeight="1" x14ac:dyDescent="0.25">
      <c r="A36" s="13">
        <v>5762792</v>
      </c>
      <c r="B36" s="27">
        <v>40233</v>
      </c>
      <c r="C36" s="13" t="s">
        <v>173</v>
      </c>
      <c r="D36" s="13" t="s">
        <v>171</v>
      </c>
      <c r="E36" s="28">
        <v>30</v>
      </c>
      <c r="F36" s="25">
        <v>3.15</v>
      </c>
      <c r="G36" s="26">
        <f t="shared" si="4"/>
        <v>81.899999999999991</v>
      </c>
      <c r="H36" s="26">
        <v>115</v>
      </c>
      <c r="I36" s="26">
        <v>15.77</v>
      </c>
      <c r="J36" s="26">
        <f t="shared" si="5"/>
        <v>3.15</v>
      </c>
      <c r="K36" s="26">
        <f>H36+I36</f>
        <v>130.77000000000001</v>
      </c>
      <c r="L36" s="14">
        <f t="shared" si="2"/>
        <v>215.82</v>
      </c>
      <c r="M36" s="14">
        <f t="shared" si="3"/>
        <v>68.51428571428572</v>
      </c>
    </row>
    <row r="37" spans="1:13" ht="15" customHeight="1" x14ac:dyDescent="0.25">
      <c r="A37" s="13">
        <v>5762792</v>
      </c>
      <c r="B37" s="27">
        <v>40233</v>
      </c>
      <c r="C37" s="13" t="s">
        <v>181</v>
      </c>
      <c r="D37" s="13" t="s">
        <v>171</v>
      </c>
      <c r="E37" s="28">
        <v>30</v>
      </c>
      <c r="F37" s="25">
        <v>8.9600000000000009</v>
      </c>
      <c r="G37" s="26">
        <f t="shared" si="4"/>
        <v>232.96000000000004</v>
      </c>
      <c r="H37" s="26">
        <v>115</v>
      </c>
      <c r="I37" s="26">
        <v>15.77</v>
      </c>
      <c r="J37" s="26">
        <f t="shared" si="5"/>
        <v>8.9600000000000009</v>
      </c>
      <c r="K37" s="26"/>
      <c r="L37" s="14">
        <f t="shared" si="2"/>
        <v>372.69</v>
      </c>
      <c r="M37" s="14">
        <f t="shared" si="3"/>
        <v>41.594866071428569</v>
      </c>
    </row>
    <row r="38" spans="1:13" ht="15" customHeight="1" x14ac:dyDescent="0.25">
      <c r="A38" s="13">
        <v>5762792</v>
      </c>
      <c r="B38" s="27">
        <v>40234</v>
      </c>
      <c r="C38" s="13" t="s">
        <v>170</v>
      </c>
      <c r="D38" s="13" t="s">
        <v>171</v>
      </c>
      <c r="E38" s="28">
        <v>32</v>
      </c>
      <c r="F38" s="25">
        <v>5.85</v>
      </c>
      <c r="G38" s="26">
        <f t="shared" si="4"/>
        <v>152.1</v>
      </c>
      <c r="H38" s="26">
        <v>115</v>
      </c>
      <c r="I38" s="26">
        <v>15.77</v>
      </c>
      <c r="J38" s="26">
        <f t="shared" si="5"/>
        <v>5.85</v>
      </c>
      <c r="K38" s="26">
        <f>H38+I38</f>
        <v>130.77000000000001</v>
      </c>
      <c r="L38" s="14">
        <f t="shared" si="2"/>
        <v>288.72000000000003</v>
      </c>
      <c r="M38" s="14">
        <f t="shared" si="3"/>
        <v>49.353846153846163</v>
      </c>
    </row>
    <row r="39" spans="1:13" x14ac:dyDescent="0.25">
      <c r="B39" s="27">
        <v>40237</v>
      </c>
      <c r="C39" s="13" t="s">
        <v>174</v>
      </c>
      <c r="D39" s="13" t="s">
        <v>175</v>
      </c>
      <c r="E39" s="28">
        <v>6</v>
      </c>
      <c r="F39" s="29">
        <v>2.34</v>
      </c>
      <c r="H39" s="26">
        <v>104</v>
      </c>
      <c r="J39" s="26"/>
      <c r="K39" s="26"/>
      <c r="L39" s="14">
        <f t="shared" si="2"/>
        <v>104</v>
      </c>
      <c r="M39" s="14">
        <f t="shared" si="3"/>
        <v>44.44444444444445</v>
      </c>
    </row>
    <row r="40" spans="1:13" ht="15" customHeight="1" x14ac:dyDescent="0.25">
      <c r="B40" s="27">
        <v>40237</v>
      </c>
      <c r="C40" s="13" t="s">
        <v>176</v>
      </c>
      <c r="D40" s="13" t="s">
        <v>175</v>
      </c>
      <c r="E40" s="28">
        <v>2</v>
      </c>
      <c r="F40" s="29">
        <v>0.78</v>
      </c>
      <c r="H40" s="26">
        <v>65</v>
      </c>
      <c r="J40" s="26"/>
      <c r="K40" s="26"/>
      <c r="L40" s="14">
        <f t="shared" si="2"/>
        <v>65</v>
      </c>
      <c r="M40" s="14">
        <f t="shared" si="3"/>
        <v>83.333333333333329</v>
      </c>
    </row>
    <row r="41" spans="1:13" ht="15" customHeight="1" x14ac:dyDescent="0.25">
      <c r="B41" s="27">
        <v>40237</v>
      </c>
      <c r="C41" s="13" t="s">
        <v>176</v>
      </c>
      <c r="D41" s="13" t="s">
        <v>175</v>
      </c>
      <c r="E41" s="28">
        <v>2</v>
      </c>
      <c r="F41" s="29">
        <v>0.78</v>
      </c>
      <c r="H41" s="26">
        <v>65</v>
      </c>
      <c r="J41" s="26"/>
      <c r="K41" s="26"/>
      <c r="L41" s="14">
        <f t="shared" si="2"/>
        <v>65</v>
      </c>
      <c r="M41" s="14">
        <f t="shared" si="3"/>
        <v>83.333333333333329</v>
      </c>
    </row>
    <row r="42" spans="1:13" ht="15" customHeight="1" x14ac:dyDescent="0.25">
      <c r="B42" s="27">
        <v>40237</v>
      </c>
      <c r="C42" s="13" t="s">
        <v>177</v>
      </c>
      <c r="D42" s="13" t="s">
        <v>175</v>
      </c>
      <c r="E42" s="28">
        <v>8</v>
      </c>
      <c r="F42" s="29">
        <v>4.68</v>
      </c>
      <c r="H42" s="26">
        <v>189</v>
      </c>
      <c r="J42" s="26"/>
      <c r="K42" s="26"/>
      <c r="L42" s="14">
        <f t="shared" si="2"/>
        <v>189</v>
      </c>
      <c r="M42" s="14">
        <f t="shared" si="3"/>
        <v>40.384615384615387</v>
      </c>
    </row>
    <row r="43" spans="1:13" ht="15" customHeight="1" x14ac:dyDescent="0.25">
      <c r="B43" s="27">
        <v>40237</v>
      </c>
      <c r="C43" s="13" t="s">
        <v>178</v>
      </c>
      <c r="D43" s="13" t="s">
        <v>171</v>
      </c>
      <c r="E43" s="28">
        <v>6</v>
      </c>
      <c r="F43" s="29">
        <v>3.9</v>
      </c>
      <c r="H43" s="26">
        <v>155.88</v>
      </c>
      <c r="J43" s="26"/>
      <c r="K43" s="26"/>
      <c r="L43" s="14">
        <f t="shared" si="2"/>
        <v>155.88</v>
      </c>
      <c r="M43" s="14">
        <f t="shared" si="3"/>
        <v>39.969230769230769</v>
      </c>
    </row>
    <row r="44" spans="1:13" ht="15" customHeight="1" x14ac:dyDescent="0.25">
      <c r="B44" s="27">
        <v>40237</v>
      </c>
      <c r="C44" s="13" t="s">
        <v>179</v>
      </c>
      <c r="D44" s="13" t="s">
        <v>175</v>
      </c>
      <c r="E44" s="28">
        <v>2</v>
      </c>
      <c r="F44" s="29">
        <v>0.39</v>
      </c>
      <c r="H44" s="26">
        <v>48</v>
      </c>
      <c r="J44" s="26"/>
      <c r="K44" s="26"/>
      <c r="L44" s="14">
        <f t="shared" si="2"/>
        <v>48</v>
      </c>
      <c r="M44" s="14">
        <f t="shared" si="3"/>
        <v>123.07692307692307</v>
      </c>
    </row>
    <row r="45" spans="1:13" ht="15" customHeight="1" x14ac:dyDescent="0.25">
      <c r="A45" s="13">
        <v>5780050</v>
      </c>
      <c r="B45" s="27">
        <v>40239</v>
      </c>
      <c r="C45" s="13" t="s">
        <v>172</v>
      </c>
      <c r="D45" s="13" t="s">
        <v>169</v>
      </c>
      <c r="E45" s="28">
        <v>40</v>
      </c>
      <c r="F45" s="25">
        <v>2.8</v>
      </c>
      <c r="G45" s="26">
        <f t="shared" ref="G45:G62" si="6">F45*$G$2</f>
        <v>72.8</v>
      </c>
      <c r="H45" s="26">
        <v>115</v>
      </c>
      <c r="I45" s="26">
        <v>15.86</v>
      </c>
      <c r="J45" s="26">
        <f t="shared" ref="J45:J62" si="7">F45</f>
        <v>2.8</v>
      </c>
      <c r="K45" s="26"/>
      <c r="L45" s="14">
        <f t="shared" si="2"/>
        <v>206.46000000000004</v>
      </c>
      <c r="M45" s="14">
        <f t="shared" si="3"/>
        <v>73.735714285714309</v>
      </c>
    </row>
    <row r="46" spans="1:13" ht="15" customHeight="1" x14ac:dyDescent="0.25">
      <c r="A46" s="13">
        <v>5780050</v>
      </c>
      <c r="B46" s="27">
        <v>40239</v>
      </c>
      <c r="C46" s="13" t="s">
        <v>128</v>
      </c>
      <c r="D46" s="13" t="s">
        <v>169</v>
      </c>
      <c r="E46" s="28">
        <v>20</v>
      </c>
      <c r="F46" s="25">
        <v>0.97</v>
      </c>
      <c r="G46" s="26">
        <f t="shared" si="6"/>
        <v>25.22</v>
      </c>
      <c r="H46" s="26">
        <v>115</v>
      </c>
      <c r="I46" s="26">
        <v>15.86</v>
      </c>
      <c r="J46" s="26">
        <f t="shared" si="7"/>
        <v>0.97</v>
      </c>
      <c r="K46" s="26"/>
      <c r="L46" s="14">
        <f t="shared" si="2"/>
        <v>157.04999999999998</v>
      </c>
      <c r="M46" s="14">
        <f t="shared" si="3"/>
        <v>161.90721649484536</v>
      </c>
    </row>
    <row r="47" spans="1:13" ht="15" customHeight="1" x14ac:dyDescent="0.25">
      <c r="A47" s="13">
        <v>5780050</v>
      </c>
      <c r="B47" s="27">
        <v>40240</v>
      </c>
      <c r="C47" s="13" t="s">
        <v>173</v>
      </c>
      <c r="D47" s="13" t="s">
        <v>171</v>
      </c>
      <c r="E47" s="28">
        <v>30</v>
      </c>
      <c r="F47" s="25">
        <v>3.02</v>
      </c>
      <c r="G47" s="26">
        <f t="shared" si="6"/>
        <v>78.52</v>
      </c>
      <c r="H47" s="26">
        <v>115</v>
      </c>
      <c r="I47" s="26">
        <v>16.02</v>
      </c>
      <c r="J47" s="26">
        <f t="shared" si="7"/>
        <v>3.02</v>
      </c>
      <c r="K47" s="26">
        <f>H47+I47</f>
        <v>131.02000000000001</v>
      </c>
      <c r="L47" s="14">
        <f t="shared" si="2"/>
        <v>212.56</v>
      </c>
      <c r="M47" s="14">
        <f t="shared" si="3"/>
        <v>70.384105960264904</v>
      </c>
    </row>
    <row r="48" spans="1:13" ht="15" customHeight="1" x14ac:dyDescent="0.25">
      <c r="A48" s="13">
        <v>5780050</v>
      </c>
      <c r="B48" s="27">
        <v>40242</v>
      </c>
      <c r="C48" s="13" t="s">
        <v>128</v>
      </c>
      <c r="D48" s="13" t="s">
        <v>171</v>
      </c>
      <c r="E48" s="28">
        <v>34</v>
      </c>
      <c r="F48" s="25">
        <v>6.46</v>
      </c>
      <c r="G48" s="26">
        <f t="shared" si="6"/>
        <v>167.96</v>
      </c>
      <c r="H48" s="26">
        <v>115</v>
      </c>
      <c r="I48" s="26">
        <v>16.02</v>
      </c>
      <c r="J48" s="26">
        <f t="shared" si="7"/>
        <v>6.46</v>
      </c>
      <c r="K48" s="26"/>
      <c r="L48" s="14">
        <f t="shared" si="2"/>
        <v>305.44</v>
      </c>
      <c r="M48" s="14">
        <f t="shared" si="3"/>
        <v>47.28173374613003</v>
      </c>
    </row>
    <row r="49" spans="1:13" ht="15" customHeight="1" x14ac:dyDescent="0.25">
      <c r="A49" s="13">
        <v>5780050</v>
      </c>
      <c r="B49" s="27">
        <v>40246</v>
      </c>
      <c r="C49" s="13" t="s">
        <v>170</v>
      </c>
      <c r="D49" s="13" t="s">
        <v>171</v>
      </c>
      <c r="E49" s="28">
        <v>32</v>
      </c>
      <c r="F49" s="25">
        <v>5.53</v>
      </c>
      <c r="G49" s="26">
        <f t="shared" si="6"/>
        <v>143.78</v>
      </c>
      <c r="H49" s="26">
        <v>115</v>
      </c>
      <c r="I49" s="26">
        <v>16.02</v>
      </c>
      <c r="J49" s="26">
        <f t="shared" si="7"/>
        <v>5.53</v>
      </c>
      <c r="K49" s="26">
        <f>H49+I49</f>
        <v>131.02000000000001</v>
      </c>
      <c r="L49" s="14">
        <f t="shared" si="2"/>
        <v>280.32999999999993</v>
      </c>
      <c r="M49" s="14">
        <f t="shared" si="3"/>
        <v>50.692585895117524</v>
      </c>
    </row>
    <row r="50" spans="1:13" ht="15" customHeight="1" x14ac:dyDescent="0.25">
      <c r="A50" s="13">
        <v>5780050</v>
      </c>
      <c r="B50" s="27">
        <v>40246</v>
      </c>
      <c r="C50" s="13" t="s">
        <v>128</v>
      </c>
      <c r="D50" s="13" t="s">
        <v>169</v>
      </c>
      <c r="E50" s="28">
        <v>20</v>
      </c>
      <c r="F50" s="25">
        <v>1.51</v>
      </c>
      <c r="G50" s="26">
        <f t="shared" si="6"/>
        <v>39.26</v>
      </c>
      <c r="H50" s="26">
        <v>115</v>
      </c>
      <c r="I50" s="26">
        <v>16.02</v>
      </c>
      <c r="J50" s="26">
        <f t="shared" si="7"/>
        <v>1.51</v>
      </c>
      <c r="K50" s="26"/>
      <c r="L50" s="14">
        <f t="shared" si="2"/>
        <v>171.79</v>
      </c>
      <c r="M50" s="14">
        <f t="shared" si="3"/>
        <v>113.76821192052979</v>
      </c>
    </row>
    <row r="51" spans="1:13" ht="15" customHeight="1" x14ac:dyDescent="0.25">
      <c r="A51" s="13">
        <v>5780050</v>
      </c>
      <c r="B51" s="27">
        <v>40247</v>
      </c>
      <c r="C51" s="13" t="s">
        <v>173</v>
      </c>
      <c r="D51" s="13" t="s">
        <v>171</v>
      </c>
      <c r="E51" s="28">
        <v>30</v>
      </c>
      <c r="F51" s="25">
        <v>3.28</v>
      </c>
      <c r="G51" s="26">
        <f t="shared" si="6"/>
        <v>85.28</v>
      </c>
      <c r="H51" s="26">
        <v>115</v>
      </c>
      <c r="I51" s="26">
        <v>16.02</v>
      </c>
      <c r="J51" s="26">
        <f t="shared" si="7"/>
        <v>3.28</v>
      </c>
      <c r="K51" s="26">
        <f>H51+I51</f>
        <v>131.02000000000001</v>
      </c>
      <c r="L51" s="14">
        <f t="shared" si="2"/>
        <v>219.58</v>
      </c>
      <c r="M51" s="14">
        <f t="shared" si="3"/>
        <v>66.945121951219519</v>
      </c>
    </row>
    <row r="52" spans="1:13" ht="15" customHeight="1" x14ac:dyDescent="0.25">
      <c r="A52" s="13">
        <v>5780050</v>
      </c>
      <c r="B52" s="27">
        <v>40247</v>
      </c>
      <c r="C52" s="13" t="s">
        <v>110</v>
      </c>
      <c r="D52" s="13" t="s">
        <v>169</v>
      </c>
      <c r="E52" s="28">
        <v>40</v>
      </c>
      <c r="F52" s="25">
        <v>3.16</v>
      </c>
      <c r="G52" s="26">
        <f t="shared" si="6"/>
        <v>82.16</v>
      </c>
      <c r="H52" s="26">
        <v>115</v>
      </c>
      <c r="I52" s="26">
        <v>16.02</v>
      </c>
      <c r="J52" s="26">
        <f t="shared" si="7"/>
        <v>3.16</v>
      </c>
      <c r="K52" s="26"/>
      <c r="L52" s="14">
        <f t="shared" si="2"/>
        <v>216.34</v>
      </c>
      <c r="M52" s="14">
        <f t="shared" si="3"/>
        <v>68.462025316455694</v>
      </c>
    </row>
    <row r="53" spans="1:13" ht="15" customHeight="1" x14ac:dyDescent="0.25">
      <c r="A53" s="13">
        <v>5780050</v>
      </c>
      <c r="B53" s="27">
        <v>40247</v>
      </c>
      <c r="C53" s="13" t="s">
        <v>110</v>
      </c>
      <c r="D53" s="13" t="s">
        <v>169</v>
      </c>
      <c r="E53" s="28">
        <v>40</v>
      </c>
      <c r="F53" s="25">
        <v>1.1499999999999999</v>
      </c>
      <c r="G53" s="26">
        <f t="shared" si="6"/>
        <v>29.9</v>
      </c>
      <c r="H53" s="26">
        <v>115</v>
      </c>
      <c r="I53" s="26">
        <v>16.02</v>
      </c>
      <c r="J53" s="26">
        <f t="shared" si="7"/>
        <v>1.1499999999999999</v>
      </c>
      <c r="K53" s="26"/>
      <c r="L53" s="14">
        <f t="shared" si="2"/>
        <v>162.07000000000002</v>
      </c>
      <c r="M53" s="14">
        <f t="shared" si="3"/>
        <v>140.93043478260873</v>
      </c>
    </row>
    <row r="54" spans="1:13" ht="15" customHeight="1" x14ac:dyDescent="0.25">
      <c r="A54" s="13">
        <v>5780050</v>
      </c>
      <c r="B54" s="27">
        <v>40252</v>
      </c>
      <c r="C54" s="13" t="s">
        <v>170</v>
      </c>
      <c r="D54" s="13" t="s">
        <v>171</v>
      </c>
      <c r="E54" s="28">
        <v>32</v>
      </c>
      <c r="F54" s="25">
        <v>2.6</v>
      </c>
      <c r="G54" s="26">
        <f t="shared" si="6"/>
        <v>67.600000000000009</v>
      </c>
      <c r="H54" s="26">
        <v>115</v>
      </c>
      <c r="I54" s="26">
        <v>16.12</v>
      </c>
      <c r="J54" s="26">
        <f t="shared" si="7"/>
        <v>2.6</v>
      </c>
      <c r="K54" s="26">
        <f>H54+I54</f>
        <v>131.12</v>
      </c>
      <c r="L54" s="14">
        <f t="shared" si="2"/>
        <v>201.32000000000002</v>
      </c>
      <c r="M54" s="14">
        <f t="shared" si="3"/>
        <v>77.430769230769243</v>
      </c>
    </row>
    <row r="55" spans="1:13" ht="15" customHeight="1" x14ac:dyDescent="0.25">
      <c r="A55" s="13">
        <v>5780050</v>
      </c>
      <c r="B55" s="27">
        <v>40254</v>
      </c>
      <c r="C55" s="13" t="s">
        <v>173</v>
      </c>
      <c r="D55" s="13" t="s">
        <v>171</v>
      </c>
      <c r="E55" s="28">
        <v>30</v>
      </c>
      <c r="F55" s="25">
        <v>2.39</v>
      </c>
      <c r="G55" s="26">
        <f t="shared" si="6"/>
        <v>62.14</v>
      </c>
      <c r="H55" s="26">
        <v>115</v>
      </c>
      <c r="I55" s="26">
        <v>16.12</v>
      </c>
      <c r="J55" s="26">
        <f t="shared" si="7"/>
        <v>2.39</v>
      </c>
      <c r="K55" s="26">
        <f>H55+I55</f>
        <v>131.12</v>
      </c>
      <c r="L55" s="14">
        <f t="shared" si="2"/>
        <v>195.64999999999998</v>
      </c>
      <c r="M55" s="14">
        <f t="shared" si="3"/>
        <v>81.861924686192452</v>
      </c>
    </row>
    <row r="56" spans="1:13" ht="15" customHeight="1" x14ac:dyDescent="0.25">
      <c r="A56" s="13">
        <v>5780050</v>
      </c>
      <c r="B56" s="27">
        <v>40258</v>
      </c>
      <c r="C56" s="13" t="s">
        <v>170</v>
      </c>
      <c r="D56" s="13" t="s">
        <v>171</v>
      </c>
      <c r="E56" s="28">
        <v>32</v>
      </c>
      <c r="F56" s="25">
        <v>1.68</v>
      </c>
      <c r="G56" s="26">
        <f t="shared" si="6"/>
        <v>43.68</v>
      </c>
      <c r="H56" s="26">
        <v>115</v>
      </c>
      <c r="I56" s="26">
        <v>16.190000000000001</v>
      </c>
      <c r="J56" s="26">
        <f t="shared" si="7"/>
        <v>1.68</v>
      </c>
      <c r="K56" s="26">
        <f>H56+I56</f>
        <v>131.19</v>
      </c>
      <c r="L56" s="14">
        <f t="shared" si="2"/>
        <v>176.55</v>
      </c>
      <c r="M56" s="14">
        <f t="shared" si="3"/>
        <v>105.08928571428572</v>
      </c>
    </row>
    <row r="57" spans="1:13" ht="15" customHeight="1" x14ac:dyDescent="0.25">
      <c r="A57" s="13">
        <v>5780050</v>
      </c>
      <c r="B57" s="27">
        <v>40260</v>
      </c>
      <c r="C57" s="13" t="s">
        <v>110</v>
      </c>
      <c r="D57" s="13" t="s">
        <v>169</v>
      </c>
      <c r="E57" s="28">
        <v>40</v>
      </c>
      <c r="F57" s="25">
        <v>5.62</v>
      </c>
      <c r="G57" s="26">
        <f t="shared" si="6"/>
        <v>146.12</v>
      </c>
      <c r="H57" s="26">
        <v>115</v>
      </c>
      <c r="I57" s="26">
        <v>16.190000000000001</v>
      </c>
      <c r="J57" s="26">
        <f t="shared" si="7"/>
        <v>5.62</v>
      </c>
      <c r="K57" s="26"/>
      <c r="L57" s="14">
        <f t="shared" si="2"/>
        <v>282.93</v>
      </c>
      <c r="M57" s="14">
        <f t="shared" si="3"/>
        <v>50.343416370106759</v>
      </c>
    </row>
    <row r="58" spans="1:13" ht="15" customHeight="1" x14ac:dyDescent="0.25">
      <c r="A58" s="13">
        <v>5780050</v>
      </c>
      <c r="B58" s="27">
        <v>40260</v>
      </c>
      <c r="C58" s="13" t="s">
        <v>128</v>
      </c>
      <c r="D58" s="13" t="s">
        <v>169</v>
      </c>
      <c r="E58" s="28">
        <v>20</v>
      </c>
      <c r="F58" s="25">
        <v>2.0099999999999998</v>
      </c>
      <c r="G58" s="26">
        <f t="shared" si="6"/>
        <v>52.259999999999991</v>
      </c>
      <c r="H58" s="26">
        <v>115</v>
      </c>
      <c r="I58" s="26">
        <v>16.190000000000001</v>
      </c>
      <c r="J58" s="26">
        <f t="shared" si="7"/>
        <v>2.0099999999999998</v>
      </c>
      <c r="K58" s="26"/>
      <c r="L58" s="14">
        <f t="shared" si="2"/>
        <v>185.45999999999998</v>
      </c>
      <c r="M58" s="14">
        <f t="shared" si="3"/>
        <v>92.268656716417908</v>
      </c>
    </row>
    <row r="59" spans="1:13" ht="15" customHeight="1" x14ac:dyDescent="0.25">
      <c r="A59" s="13">
        <v>5780050</v>
      </c>
      <c r="B59" s="27">
        <v>40260</v>
      </c>
      <c r="C59" s="13" t="s">
        <v>128</v>
      </c>
      <c r="D59" s="13" t="s">
        <v>169</v>
      </c>
      <c r="E59" s="28">
        <v>20</v>
      </c>
      <c r="F59" s="25">
        <v>6.69</v>
      </c>
      <c r="G59" s="26">
        <f t="shared" si="6"/>
        <v>173.94</v>
      </c>
      <c r="H59" s="26">
        <v>115</v>
      </c>
      <c r="I59" s="26">
        <v>16.190000000000001</v>
      </c>
      <c r="J59" s="26">
        <f t="shared" si="7"/>
        <v>6.69</v>
      </c>
      <c r="K59" s="26"/>
      <c r="L59" s="14">
        <f t="shared" si="2"/>
        <v>311.82</v>
      </c>
      <c r="M59" s="14">
        <f t="shared" si="3"/>
        <v>46.609865470852014</v>
      </c>
    </row>
    <row r="60" spans="1:13" ht="15" customHeight="1" x14ac:dyDescent="0.25">
      <c r="A60" s="13">
        <v>5780050</v>
      </c>
      <c r="B60" s="27">
        <v>40261</v>
      </c>
      <c r="C60" s="13" t="s">
        <v>173</v>
      </c>
      <c r="D60" s="13" t="s">
        <v>171</v>
      </c>
      <c r="E60" s="28">
        <v>30</v>
      </c>
      <c r="F60" s="25">
        <v>1.94</v>
      </c>
      <c r="G60" s="26">
        <f t="shared" si="6"/>
        <v>50.44</v>
      </c>
      <c r="H60" s="26">
        <v>115</v>
      </c>
      <c r="I60" s="26">
        <v>16.190000000000001</v>
      </c>
      <c r="J60" s="26">
        <f t="shared" si="7"/>
        <v>1.94</v>
      </c>
      <c r="K60" s="26">
        <f>H60+I60</f>
        <v>131.19</v>
      </c>
      <c r="L60" s="14">
        <f t="shared" si="2"/>
        <v>183.57</v>
      </c>
      <c r="M60" s="14">
        <f t="shared" si="3"/>
        <v>94.623711340206185</v>
      </c>
    </row>
    <row r="61" spans="1:13" ht="15" customHeight="1" x14ac:dyDescent="0.25">
      <c r="A61" s="13">
        <v>5780050</v>
      </c>
      <c r="B61" s="27">
        <v>40262</v>
      </c>
      <c r="C61" s="13" t="s">
        <v>128</v>
      </c>
      <c r="D61" s="13" t="s">
        <v>171</v>
      </c>
      <c r="E61" s="28">
        <v>34</v>
      </c>
      <c r="F61" s="25">
        <v>6.5</v>
      </c>
      <c r="G61" s="26">
        <f t="shared" si="6"/>
        <v>169</v>
      </c>
      <c r="H61" s="26">
        <v>115</v>
      </c>
      <c r="I61" s="26">
        <v>16.190000000000001</v>
      </c>
      <c r="J61" s="26">
        <f t="shared" si="7"/>
        <v>6.5</v>
      </c>
      <c r="K61" s="26"/>
      <c r="L61" s="14">
        <f t="shared" si="2"/>
        <v>306.69</v>
      </c>
      <c r="M61" s="14">
        <f t="shared" si="3"/>
        <v>47.183076923076925</v>
      </c>
    </row>
    <row r="62" spans="1:13" ht="15" customHeight="1" x14ac:dyDescent="0.25">
      <c r="A62" s="13">
        <v>5780050</v>
      </c>
      <c r="B62" s="27">
        <v>40265</v>
      </c>
      <c r="C62" s="13" t="s">
        <v>170</v>
      </c>
      <c r="D62" s="13" t="s">
        <v>171</v>
      </c>
      <c r="E62" s="28">
        <v>32</v>
      </c>
      <c r="F62" s="25">
        <v>3.3</v>
      </c>
      <c r="G62" s="26">
        <f t="shared" si="6"/>
        <v>85.8</v>
      </c>
      <c r="H62" s="26">
        <v>115</v>
      </c>
      <c r="I62" s="26">
        <v>16.16</v>
      </c>
      <c r="J62" s="26">
        <f t="shared" si="7"/>
        <v>3.3</v>
      </c>
      <c r="K62" s="26">
        <f>H62+I62</f>
        <v>131.16</v>
      </c>
      <c r="L62" s="14">
        <f t="shared" si="2"/>
        <v>220.26000000000002</v>
      </c>
      <c r="M62" s="14">
        <f t="shared" si="3"/>
        <v>66.74545454545455</v>
      </c>
    </row>
    <row r="63" spans="1:13" x14ac:dyDescent="0.25">
      <c r="A63" s="13">
        <v>5492612</v>
      </c>
      <c r="B63" s="27">
        <v>40268</v>
      </c>
      <c r="C63" s="13" t="s">
        <v>174</v>
      </c>
      <c r="D63" s="13" t="s">
        <v>175</v>
      </c>
      <c r="E63" s="28">
        <v>6</v>
      </c>
      <c r="F63" s="29">
        <v>2.34</v>
      </c>
      <c r="H63" s="26">
        <v>104</v>
      </c>
      <c r="J63" s="26"/>
      <c r="K63" s="26"/>
      <c r="L63" s="14">
        <f t="shared" si="2"/>
        <v>104</v>
      </c>
      <c r="M63" s="14">
        <f t="shared" si="3"/>
        <v>44.44444444444445</v>
      </c>
    </row>
    <row r="64" spans="1:13" ht="15" customHeight="1" x14ac:dyDescent="0.25">
      <c r="A64" s="13">
        <v>5492612</v>
      </c>
      <c r="B64" s="27">
        <v>40268</v>
      </c>
      <c r="C64" s="13" t="s">
        <v>176</v>
      </c>
      <c r="D64" s="13" t="s">
        <v>175</v>
      </c>
      <c r="E64" s="28">
        <v>2</v>
      </c>
      <c r="F64" s="29">
        <v>0.78</v>
      </c>
      <c r="H64" s="26">
        <v>65</v>
      </c>
      <c r="J64" s="26"/>
      <c r="K64" s="26"/>
      <c r="L64" s="14">
        <f t="shared" si="2"/>
        <v>65</v>
      </c>
      <c r="M64" s="14">
        <f t="shared" si="3"/>
        <v>83.333333333333329</v>
      </c>
    </row>
    <row r="65" spans="1:13" ht="15" customHeight="1" x14ac:dyDescent="0.25">
      <c r="A65" s="13">
        <v>5492612</v>
      </c>
      <c r="B65" s="27">
        <v>40268</v>
      </c>
      <c r="C65" s="13" t="s">
        <v>176</v>
      </c>
      <c r="D65" s="13" t="s">
        <v>175</v>
      </c>
      <c r="E65" s="28">
        <v>2</v>
      </c>
      <c r="F65" s="29">
        <v>0.78</v>
      </c>
      <c r="H65" s="26">
        <v>65</v>
      </c>
      <c r="J65" s="26"/>
      <c r="K65" s="26"/>
      <c r="L65" s="14">
        <f t="shared" si="2"/>
        <v>65</v>
      </c>
      <c r="M65" s="14">
        <f t="shared" si="3"/>
        <v>83.333333333333329</v>
      </c>
    </row>
    <row r="66" spans="1:13" ht="15" customHeight="1" x14ac:dyDescent="0.25">
      <c r="A66" s="13">
        <v>5493066</v>
      </c>
      <c r="B66" s="27">
        <v>40268</v>
      </c>
      <c r="C66" s="13" t="s">
        <v>177</v>
      </c>
      <c r="D66" s="13" t="s">
        <v>175</v>
      </c>
      <c r="E66" s="28">
        <v>8</v>
      </c>
      <c r="F66" s="29">
        <v>4.68</v>
      </c>
      <c r="H66" s="26">
        <v>189</v>
      </c>
      <c r="J66" s="26"/>
      <c r="K66" s="26"/>
      <c r="L66" s="14">
        <f t="shared" si="2"/>
        <v>189</v>
      </c>
      <c r="M66" s="14">
        <f t="shared" si="3"/>
        <v>40.384615384615387</v>
      </c>
    </row>
    <row r="67" spans="1:13" ht="15" customHeight="1" x14ac:dyDescent="0.25">
      <c r="A67" s="13">
        <v>5495946</v>
      </c>
      <c r="B67" s="27">
        <v>40268</v>
      </c>
      <c r="C67" s="13" t="s">
        <v>178</v>
      </c>
      <c r="D67" s="13" t="s">
        <v>171</v>
      </c>
      <c r="E67" s="28">
        <v>6</v>
      </c>
      <c r="F67" s="29">
        <v>3.9</v>
      </c>
      <c r="H67" s="26">
        <v>155.88</v>
      </c>
      <c r="J67" s="26"/>
      <c r="K67" s="26"/>
      <c r="L67" s="14">
        <f t="shared" si="2"/>
        <v>155.88</v>
      </c>
      <c r="M67" s="14">
        <f t="shared" si="3"/>
        <v>39.969230769230769</v>
      </c>
    </row>
    <row r="68" spans="1:13" ht="15" customHeight="1" x14ac:dyDescent="0.25">
      <c r="A68" s="13">
        <v>5496313</v>
      </c>
      <c r="B68" s="27">
        <v>40268</v>
      </c>
      <c r="C68" s="13" t="s">
        <v>179</v>
      </c>
      <c r="D68" s="13" t="s">
        <v>175</v>
      </c>
      <c r="E68" s="28">
        <v>2</v>
      </c>
      <c r="F68" s="29">
        <v>0.39</v>
      </c>
      <c r="H68" s="26">
        <v>48</v>
      </c>
      <c r="J68" s="26"/>
      <c r="K68" s="26"/>
      <c r="L68" s="14">
        <f t="shared" ref="L68:L131" si="8">G68+H68+I68+J68</f>
        <v>48</v>
      </c>
      <c r="M68" s="14">
        <f t="shared" ref="M68:M131" si="9">L68/F68</f>
        <v>123.07692307692307</v>
      </c>
    </row>
    <row r="69" spans="1:13" ht="15" customHeight="1" x14ac:dyDescent="0.25">
      <c r="A69" s="13">
        <v>5780050</v>
      </c>
      <c r="B69" s="27">
        <v>40268</v>
      </c>
      <c r="C69" s="13" t="s">
        <v>110</v>
      </c>
      <c r="D69" s="13" t="s">
        <v>169</v>
      </c>
      <c r="E69" s="28">
        <v>40</v>
      </c>
      <c r="F69" s="25">
        <v>4.1399999999999997</v>
      </c>
      <c r="G69" s="26">
        <f t="shared" ref="G69:G84" si="10">F69*$G$2</f>
        <v>107.63999999999999</v>
      </c>
      <c r="H69" s="26">
        <v>115</v>
      </c>
      <c r="I69" s="26">
        <v>16.16</v>
      </c>
      <c r="J69" s="26">
        <f t="shared" ref="J69:J84" si="11">F69</f>
        <v>4.1399999999999997</v>
      </c>
      <c r="K69" s="26"/>
      <c r="L69" s="14">
        <f t="shared" si="8"/>
        <v>242.93999999999997</v>
      </c>
      <c r="M69" s="14">
        <f t="shared" si="9"/>
        <v>58.681159420289852</v>
      </c>
    </row>
    <row r="70" spans="1:13" ht="15" customHeight="1" x14ac:dyDescent="0.25">
      <c r="A70" s="13">
        <v>5799540</v>
      </c>
      <c r="B70" s="27">
        <v>40269</v>
      </c>
      <c r="C70" s="13" t="s">
        <v>173</v>
      </c>
      <c r="D70" s="13" t="s">
        <v>171</v>
      </c>
      <c r="E70" s="28">
        <v>30</v>
      </c>
      <c r="F70" s="25">
        <v>3.89</v>
      </c>
      <c r="G70" s="26">
        <f t="shared" si="10"/>
        <v>101.14</v>
      </c>
      <c r="H70" s="26">
        <v>115</v>
      </c>
      <c r="I70" s="26">
        <v>16.420000000000002</v>
      </c>
      <c r="J70" s="26">
        <f t="shared" si="11"/>
        <v>3.89</v>
      </c>
      <c r="K70" s="26">
        <f>H70+I70</f>
        <v>131.42000000000002</v>
      </c>
      <c r="L70" s="14">
        <f t="shared" si="8"/>
        <v>236.45</v>
      </c>
      <c r="M70" s="14">
        <f t="shared" si="9"/>
        <v>60.784061696658092</v>
      </c>
    </row>
    <row r="71" spans="1:13" ht="15" customHeight="1" x14ac:dyDescent="0.25">
      <c r="A71" s="13">
        <v>5799540</v>
      </c>
      <c r="B71" s="27">
        <v>40272</v>
      </c>
      <c r="C71" s="13" t="s">
        <v>170</v>
      </c>
      <c r="D71" s="13" t="s">
        <v>171</v>
      </c>
      <c r="E71" s="28">
        <v>32</v>
      </c>
      <c r="F71" s="25">
        <v>2.84</v>
      </c>
      <c r="G71" s="26">
        <f t="shared" si="10"/>
        <v>73.84</v>
      </c>
      <c r="H71" s="26">
        <v>115</v>
      </c>
      <c r="I71" s="26">
        <v>16.420000000000002</v>
      </c>
      <c r="J71" s="26">
        <f t="shared" si="11"/>
        <v>2.84</v>
      </c>
      <c r="K71" s="26">
        <f>H71+I71</f>
        <v>131.42000000000002</v>
      </c>
      <c r="L71" s="14">
        <f t="shared" si="8"/>
        <v>208.1</v>
      </c>
      <c r="M71" s="14">
        <f t="shared" si="9"/>
        <v>73.274647887323951</v>
      </c>
    </row>
    <row r="72" spans="1:13" ht="15" customHeight="1" x14ac:dyDescent="0.25">
      <c r="A72" s="13">
        <v>5799540</v>
      </c>
      <c r="B72" s="27">
        <v>40274</v>
      </c>
      <c r="C72" s="13" t="s">
        <v>110</v>
      </c>
      <c r="D72" s="13" t="s">
        <v>169</v>
      </c>
      <c r="E72" s="28">
        <v>40</v>
      </c>
      <c r="F72" s="25">
        <v>3.59</v>
      </c>
      <c r="G72" s="26">
        <f t="shared" si="10"/>
        <v>93.34</v>
      </c>
      <c r="H72" s="26">
        <v>115</v>
      </c>
      <c r="I72" s="26">
        <v>16.420000000000002</v>
      </c>
      <c r="J72" s="26">
        <f t="shared" si="11"/>
        <v>3.59</v>
      </c>
      <c r="K72" s="26"/>
      <c r="L72" s="14">
        <f t="shared" si="8"/>
        <v>228.35</v>
      </c>
      <c r="M72" s="14">
        <f t="shared" si="9"/>
        <v>63.607242339832872</v>
      </c>
    </row>
    <row r="73" spans="1:13" ht="15" customHeight="1" x14ac:dyDescent="0.25">
      <c r="A73" s="13">
        <v>5799540</v>
      </c>
      <c r="B73" s="27">
        <v>40275</v>
      </c>
      <c r="C73" s="13" t="s">
        <v>173</v>
      </c>
      <c r="D73" s="13" t="s">
        <v>171</v>
      </c>
      <c r="E73" s="28">
        <v>30</v>
      </c>
      <c r="F73" s="25">
        <v>3.22</v>
      </c>
      <c r="G73" s="26">
        <f t="shared" si="10"/>
        <v>83.72</v>
      </c>
      <c r="H73" s="26">
        <v>115</v>
      </c>
      <c r="I73" s="26">
        <v>16.420000000000002</v>
      </c>
      <c r="J73" s="26">
        <f t="shared" si="11"/>
        <v>3.22</v>
      </c>
      <c r="K73" s="26">
        <f>H73+I73</f>
        <v>131.42000000000002</v>
      </c>
      <c r="L73" s="14">
        <f t="shared" si="8"/>
        <v>218.35999999999999</v>
      </c>
      <c r="M73" s="14">
        <f t="shared" si="9"/>
        <v>67.813664596273284</v>
      </c>
    </row>
    <row r="74" spans="1:13" ht="15" customHeight="1" x14ac:dyDescent="0.25">
      <c r="A74" s="13">
        <v>5799540</v>
      </c>
      <c r="B74" s="27">
        <v>40279</v>
      </c>
      <c r="C74" s="13" t="s">
        <v>170</v>
      </c>
      <c r="D74" s="13" t="s">
        <v>171</v>
      </c>
      <c r="E74" s="28">
        <v>32</v>
      </c>
      <c r="F74" s="25">
        <v>6.1</v>
      </c>
      <c r="G74" s="26">
        <f t="shared" si="10"/>
        <v>158.6</v>
      </c>
      <c r="H74" s="26">
        <v>115</v>
      </c>
      <c r="I74" s="26">
        <v>16.63</v>
      </c>
      <c r="J74" s="26">
        <f t="shared" si="11"/>
        <v>6.1</v>
      </c>
      <c r="K74" s="26">
        <f>H74+I74</f>
        <v>131.63</v>
      </c>
      <c r="L74" s="14">
        <f t="shared" si="8"/>
        <v>296.33000000000004</v>
      </c>
      <c r="M74" s="14">
        <f t="shared" si="9"/>
        <v>48.57868852459017</v>
      </c>
    </row>
    <row r="75" spans="1:13" ht="15" customHeight="1" x14ac:dyDescent="0.25">
      <c r="A75" s="13">
        <v>5799540</v>
      </c>
      <c r="B75" s="27">
        <v>40280</v>
      </c>
      <c r="C75" s="13" t="s">
        <v>110</v>
      </c>
      <c r="D75" s="13" t="s">
        <v>169</v>
      </c>
      <c r="E75" s="28">
        <v>40</v>
      </c>
      <c r="F75" s="25">
        <v>4.1900000000000004</v>
      </c>
      <c r="G75" s="26">
        <f t="shared" si="10"/>
        <v>108.94000000000001</v>
      </c>
      <c r="H75" s="26">
        <v>115</v>
      </c>
      <c r="I75" s="26">
        <v>16.63</v>
      </c>
      <c r="J75" s="26">
        <f t="shared" si="11"/>
        <v>4.1900000000000004</v>
      </c>
      <c r="K75" s="26"/>
      <c r="L75" s="14">
        <f t="shared" si="8"/>
        <v>244.76</v>
      </c>
      <c r="M75" s="14">
        <f t="shared" si="9"/>
        <v>58.415274463007151</v>
      </c>
    </row>
    <row r="76" spans="1:13" ht="15" customHeight="1" x14ac:dyDescent="0.25">
      <c r="A76" s="13">
        <v>5799540</v>
      </c>
      <c r="B76" s="27">
        <v>40281</v>
      </c>
      <c r="C76" s="13" t="s">
        <v>173</v>
      </c>
      <c r="D76" s="13" t="s">
        <v>171</v>
      </c>
      <c r="E76" s="28">
        <v>30</v>
      </c>
      <c r="F76" s="25">
        <v>2.99</v>
      </c>
      <c r="G76" s="26">
        <f t="shared" si="10"/>
        <v>77.740000000000009</v>
      </c>
      <c r="H76" s="26">
        <v>115</v>
      </c>
      <c r="I76" s="26">
        <v>16.63</v>
      </c>
      <c r="J76" s="26">
        <f t="shared" si="11"/>
        <v>2.99</v>
      </c>
      <c r="K76" s="26">
        <f>H76+I76</f>
        <v>131.63</v>
      </c>
      <c r="L76" s="14">
        <f t="shared" si="8"/>
        <v>212.36</v>
      </c>
      <c r="M76" s="14">
        <f t="shared" si="9"/>
        <v>71.023411371237458</v>
      </c>
    </row>
    <row r="77" spans="1:13" ht="15" customHeight="1" x14ac:dyDescent="0.25">
      <c r="A77" s="13">
        <v>5799540</v>
      </c>
      <c r="B77" s="27">
        <v>40281</v>
      </c>
      <c r="C77" s="13" t="s">
        <v>128</v>
      </c>
      <c r="D77" s="13" t="s">
        <v>171</v>
      </c>
      <c r="E77" s="28">
        <v>34</v>
      </c>
      <c r="F77" s="25">
        <v>5.72</v>
      </c>
      <c r="G77" s="26">
        <f t="shared" si="10"/>
        <v>148.72</v>
      </c>
      <c r="H77" s="26">
        <v>115</v>
      </c>
      <c r="I77" s="26">
        <v>16.63</v>
      </c>
      <c r="J77" s="26">
        <f t="shared" si="11"/>
        <v>5.72</v>
      </c>
      <c r="K77" s="26"/>
      <c r="L77" s="14">
        <f t="shared" si="8"/>
        <v>286.07000000000005</v>
      </c>
      <c r="M77" s="14">
        <f t="shared" si="9"/>
        <v>50.012237762237774</v>
      </c>
    </row>
    <row r="78" spans="1:13" ht="15" customHeight="1" x14ac:dyDescent="0.25">
      <c r="A78" s="13">
        <v>5799540</v>
      </c>
      <c r="B78" s="27">
        <v>40286</v>
      </c>
      <c r="C78" s="13" t="s">
        <v>110</v>
      </c>
      <c r="D78" s="13" t="s">
        <v>169</v>
      </c>
      <c r="E78" s="28">
        <v>40</v>
      </c>
      <c r="F78" s="25">
        <v>0.91</v>
      </c>
      <c r="G78" s="26">
        <f t="shared" si="10"/>
        <v>23.66</v>
      </c>
      <c r="H78" s="26">
        <v>115</v>
      </c>
      <c r="I78" s="26">
        <v>16.63</v>
      </c>
      <c r="J78" s="26">
        <f t="shared" si="11"/>
        <v>0.91</v>
      </c>
      <c r="K78" s="26"/>
      <c r="L78" s="14">
        <f t="shared" si="8"/>
        <v>156.19999999999999</v>
      </c>
      <c r="M78" s="14">
        <f t="shared" si="9"/>
        <v>171.64835164835162</v>
      </c>
    </row>
    <row r="79" spans="1:13" ht="15" customHeight="1" x14ac:dyDescent="0.25">
      <c r="A79" s="13">
        <v>5799540</v>
      </c>
      <c r="B79" s="27">
        <v>40287</v>
      </c>
      <c r="C79" s="13" t="s">
        <v>170</v>
      </c>
      <c r="D79" s="13" t="s">
        <v>171</v>
      </c>
      <c r="E79" s="28">
        <v>32</v>
      </c>
      <c r="F79" s="25">
        <v>7.04</v>
      </c>
      <c r="G79" s="26">
        <f t="shared" si="10"/>
        <v>183.04</v>
      </c>
      <c r="H79" s="26">
        <v>115</v>
      </c>
      <c r="I79" s="26">
        <v>16.63</v>
      </c>
      <c r="J79" s="26">
        <f t="shared" si="11"/>
        <v>7.04</v>
      </c>
      <c r="K79" s="26">
        <f>H79+I79</f>
        <v>131.63</v>
      </c>
      <c r="L79" s="14">
        <f t="shared" si="8"/>
        <v>321.70999999999998</v>
      </c>
      <c r="M79" s="14">
        <f t="shared" si="9"/>
        <v>45.69744318181818</v>
      </c>
    </row>
    <row r="80" spans="1:13" ht="15" customHeight="1" x14ac:dyDescent="0.25">
      <c r="A80" s="13">
        <v>5799540</v>
      </c>
      <c r="B80" s="27">
        <v>40289</v>
      </c>
      <c r="C80" s="13" t="s">
        <v>173</v>
      </c>
      <c r="D80" s="13" t="s">
        <v>171</v>
      </c>
      <c r="E80" s="28">
        <v>30</v>
      </c>
      <c r="F80" s="25">
        <v>3.89</v>
      </c>
      <c r="G80" s="26">
        <f t="shared" si="10"/>
        <v>101.14</v>
      </c>
      <c r="H80" s="26">
        <v>115</v>
      </c>
      <c r="I80" s="26">
        <v>16.66</v>
      </c>
      <c r="J80" s="26">
        <f t="shared" si="11"/>
        <v>3.89</v>
      </c>
      <c r="K80" s="26">
        <f>H80+I80</f>
        <v>131.66</v>
      </c>
      <c r="L80" s="14">
        <f t="shared" si="8"/>
        <v>236.68999999999997</v>
      </c>
      <c r="M80" s="14">
        <f t="shared" si="9"/>
        <v>60.845758354755773</v>
      </c>
    </row>
    <row r="81" spans="1:13" ht="15" customHeight="1" x14ac:dyDescent="0.25">
      <c r="A81" s="13">
        <v>5799540</v>
      </c>
      <c r="B81" s="27">
        <v>40293</v>
      </c>
      <c r="C81" s="13" t="s">
        <v>170</v>
      </c>
      <c r="D81" s="13" t="s">
        <v>171</v>
      </c>
      <c r="E81" s="28">
        <v>32</v>
      </c>
      <c r="F81" s="25">
        <v>3.09</v>
      </c>
      <c r="G81" s="26">
        <f t="shared" si="10"/>
        <v>80.34</v>
      </c>
      <c r="H81" s="26">
        <v>115</v>
      </c>
      <c r="I81" s="26">
        <v>16.66</v>
      </c>
      <c r="J81" s="26">
        <f t="shared" si="11"/>
        <v>3.09</v>
      </c>
      <c r="K81" s="26">
        <f>H81+I81</f>
        <v>131.66</v>
      </c>
      <c r="L81" s="14">
        <f t="shared" si="8"/>
        <v>215.09</v>
      </c>
      <c r="M81" s="14">
        <f t="shared" si="9"/>
        <v>69.608414239482201</v>
      </c>
    </row>
    <row r="82" spans="1:13" ht="15" customHeight="1" x14ac:dyDescent="0.25">
      <c r="A82" s="13">
        <v>5799540</v>
      </c>
      <c r="B82" s="27">
        <v>40296</v>
      </c>
      <c r="C82" s="13" t="s">
        <v>173</v>
      </c>
      <c r="D82" s="13" t="s">
        <v>171</v>
      </c>
      <c r="E82" s="28">
        <v>30</v>
      </c>
      <c r="F82" s="25">
        <v>3.34</v>
      </c>
      <c r="G82" s="26">
        <f t="shared" si="10"/>
        <v>86.84</v>
      </c>
      <c r="H82" s="26">
        <v>115</v>
      </c>
      <c r="I82" s="26">
        <v>16.66</v>
      </c>
      <c r="J82" s="26">
        <f t="shared" si="11"/>
        <v>3.34</v>
      </c>
      <c r="K82" s="26">
        <f>H82+I82</f>
        <v>131.66</v>
      </c>
      <c r="L82" s="14">
        <f t="shared" si="8"/>
        <v>221.84</v>
      </c>
      <c r="M82" s="14">
        <f t="shared" si="9"/>
        <v>66.419161676646709</v>
      </c>
    </row>
    <row r="83" spans="1:13" ht="15" customHeight="1" x14ac:dyDescent="0.25">
      <c r="A83" s="13">
        <v>5799540</v>
      </c>
      <c r="B83" s="27">
        <v>40297</v>
      </c>
      <c r="C83" s="13" t="s">
        <v>128</v>
      </c>
      <c r="D83" s="13" t="s">
        <v>171</v>
      </c>
      <c r="E83" s="28">
        <v>34</v>
      </c>
      <c r="F83" s="25">
        <v>5.91</v>
      </c>
      <c r="G83" s="26">
        <f t="shared" si="10"/>
        <v>153.66</v>
      </c>
      <c r="H83" s="26">
        <v>115</v>
      </c>
      <c r="I83" s="26">
        <v>16.66</v>
      </c>
      <c r="J83" s="26">
        <f t="shared" si="11"/>
        <v>5.91</v>
      </c>
      <c r="K83" s="26"/>
      <c r="L83" s="14">
        <f t="shared" si="8"/>
        <v>291.23</v>
      </c>
      <c r="M83" s="14">
        <f t="shared" si="9"/>
        <v>49.277495769881561</v>
      </c>
    </row>
    <row r="84" spans="1:13" ht="15" customHeight="1" x14ac:dyDescent="0.25">
      <c r="A84" s="13">
        <v>5799540</v>
      </c>
      <c r="B84" s="27">
        <v>40297</v>
      </c>
      <c r="C84" s="13" t="s">
        <v>110</v>
      </c>
      <c r="D84" s="13" t="s">
        <v>169</v>
      </c>
      <c r="E84" s="28">
        <v>40</v>
      </c>
      <c r="F84" s="25">
        <v>3.72</v>
      </c>
      <c r="G84" s="26">
        <f t="shared" si="10"/>
        <v>96.72</v>
      </c>
      <c r="H84" s="26">
        <v>115</v>
      </c>
      <c r="I84" s="26">
        <v>16.66</v>
      </c>
      <c r="J84" s="26">
        <f t="shared" si="11"/>
        <v>3.72</v>
      </c>
      <c r="K84" s="26"/>
      <c r="L84" s="14">
        <f t="shared" si="8"/>
        <v>232.1</v>
      </c>
      <c r="M84" s="14">
        <f t="shared" si="9"/>
        <v>62.392473118279568</v>
      </c>
    </row>
    <row r="85" spans="1:13" x14ac:dyDescent="0.25">
      <c r="A85" s="13">
        <v>5503939</v>
      </c>
      <c r="B85" s="27">
        <v>40298</v>
      </c>
      <c r="C85" s="13" t="s">
        <v>174</v>
      </c>
      <c r="D85" s="13" t="s">
        <v>175</v>
      </c>
      <c r="E85" s="28">
        <v>6</v>
      </c>
      <c r="F85" s="29">
        <v>2.34</v>
      </c>
      <c r="H85" s="26">
        <v>104</v>
      </c>
      <c r="J85" s="26"/>
      <c r="K85" s="26"/>
      <c r="L85" s="14">
        <f t="shared" si="8"/>
        <v>104</v>
      </c>
      <c r="M85" s="14">
        <f t="shared" si="9"/>
        <v>44.44444444444445</v>
      </c>
    </row>
    <row r="86" spans="1:13" ht="15" customHeight="1" x14ac:dyDescent="0.25">
      <c r="A86" s="13">
        <v>5503939</v>
      </c>
      <c r="B86" s="27">
        <v>40298</v>
      </c>
      <c r="C86" s="13" t="s">
        <v>176</v>
      </c>
      <c r="D86" s="13" t="s">
        <v>175</v>
      </c>
      <c r="E86" s="28">
        <v>2</v>
      </c>
      <c r="F86" s="29">
        <v>0.78</v>
      </c>
      <c r="H86" s="26">
        <v>65</v>
      </c>
      <c r="J86" s="26"/>
      <c r="K86" s="26"/>
      <c r="L86" s="14">
        <f t="shared" si="8"/>
        <v>65</v>
      </c>
      <c r="M86" s="14">
        <f t="shared" si="9"/>
        <v>83.333333333333329</v>
      </c>
    </row>
    <row r="87" spans="1:13" ht="15" customHeight="1" x14ac:dyDescent="0.25">
      <c r="A87" s="13">
        <v>5503939</v>
      </c>
      <c r="B87" s="27">
        <v>40298</v>
      </c>
      <c r="C87" s="13" t="s">
        <v>176</v>
      </c>
      <c r="D87" s="13" t="s">
        <v>175</v>
      </c>
      <c r="E87" s="28">
        <v>2</v>
      </c>
      <c r="F87" s="29">
        <v>0.78</v>
      </c>
      <c r="H87" s="26">
        <v>65</v>
      </c>
      <c r="J87" s="26"/>
      <c r="K87" s="26"/>
      <c r="L87" s="14">
        <f t="shared" si="8"/>
        <v>65</v>
      </c>
      <c r="M87" s="14">
        <f t="shared" si="9"/>
        <v>83.333333333333329</v>
      </c>
    </row>
    <row r="88" spans="1:13" ht="15" customHeight="1" x14ac:dyDescent="0.25">
      <c r="A88" s="13">
        <v>5504389</v>
      </c>
      <c r="B88" s="27">
        <v>40298</v>
      </c>
      <c r="C88" s="13" t="s">
        <v>177</v>
      </c>
      <c r="D88" s="13" t="s">
        <v>175</v>
      </c>
      <c r="E88" s="28">
        <v>8</v>
      </c>
      <c r="F88" s="29">
        <v>4.68</v>
      </c>
      <c r="H88" s="26">
        <v>189</v>
      </c>
      <c r="J88" s="26"/>
      <c r="K88" s="26"/>
      <c r="L88" s="14">
        <f t="shared" si="8"/>
        <v>189</v>
      </c>
      <c r="M88" s="14">
        <f t="shared" si="9"/>
        <v>40.384615384615387</v>
      </c>
    </row>
    <row r="89" spans="1:13" ht="15" customHeight="1" x14ac:dyDescent="0.25">
      <c r="A89" s="13">
        <v>5507263</v>
      </c>
      <c r="B89" s="27">
        <v>40298</v>
      </c>
      <c r="C89" s="13" t="s">
        <v>178</v>
      </c>
      <c r="D89" s="13" t="s">
        <v>171</v>
      </c>
      <c r="E89" s="28">
        <v>6</v>
      </c>
      <c r="F89" s="29">
        <v>3.9</v>
      </c>
      <c r="H89" s="26">
        <v>155.88</v>
      </c>
      <c r="J89" s="26"/>
      <c r="K89" s="26"/>
      <c r="L89" s="14">
        <f t="shared" si="8"/>
        <v>155.88</v>
      </c>
      <c r="M89" s="14">
        <f t="shared" si="9"/>
        <v>39.969230769230769</v>
      </c>
    </row>
    <row r="90" spans="1:13" ht="15" customHeight="1" x14ac:dyDescent="0.25">
      <c r="A90" s="13">
        <v>5507606</v>
      </c>
      <c r="B90" s="27">
        <v>40298</v>
      </c>
      <c r="C90" s="13" t="s">
        <v>179</v>
      </c>
      <c r="D90" s="13" t="s">
        <v>175</v>
      </c>
      <c r="E90" s="28">
        <v>2</v>
      </c>
      <c r="F90" s="29">
        <v>0.39</v>
      </c>
      <c r="H90" s="26">
        <v>48</v>
      </c>
      <c r="J90" s="26"/>
      <c r="K90" s="26"/>
      <c r="L90" s="14">
        <f t="shared" si="8"/>
        <v>48</v>
      </c>
      <c r="M90" s="14">
        <f t="shared" si="9"/>
        <v>123.07692307692307</v>
      </c>
    </row>
    <row r="91" spans="1:13" ht="15" customHeight="1" x14ac:dyDescent="0.25">
      <c r="A91" s="13">
        <v>5817034</v>
      </c>
      <c r="B91" s="27">
        <v>40301</v>
      </c>
      <c r="C91" s="13" t="s">
        <v>170</v>
      </c>
      <c r="D91" s="13" t="s">
        <v>171</v>
      </c>
      <c r="E91" s="28">
        <v>32</v>
      </c>
      <c r="F91" s="25">
        <v>4.4800000000000004</v>
      </c>
      <c r="G91" s="26">
        <f t="shared" ref="G91:G108" si="12">F91*$G$2</f>
        <v>116.48000000000002</v>
      </c>
      <c r="H91" s="26">
        <v>115</v>
      </c>
      <c r="I91" s="26">
        <v>16.8</v>
      </c>
      <c r="J91" s="26">
        <f t="shared" ref="J91:J108" si="13">F91</f>
        <v>4.4800000000000004</v>
      </c>
      <c r="K91" s="26">
        <f>H91+I91</f>
        <v>131.80000000000001</v>
      </c>
      <c r="L91" s="14">
        <f t="shared" si="8"/>
        <v>252.76000000000002</v>
      </c>
      <c r="M91" s="14">
        <f t="shared" si="9"/>
        <v>56.419642857142854</v>
      </c>
    </row>
    <row r="92" spans="1:13" ht="15" customHeight="1" x14ac:dyDescent="0.25">
      <c r="A92" s="13">
        <v>5817034</v>
      </c>
      <c r="B92" s="27">
        <v>40302</v>
      </c>
      <c r="C92" s="13" t="s">
        <v>173</v>
      </c>
      <c r="D92" s="13" t="s">
        <v>171</v>
      </c>
      <c r="E92" s="28">
        <v>30</v>
      </c>
      <c r="F92" s="25">
        <v>2.84</v>
      </c>
      <c r="G92" s="26">
        <f t="shared" si="12"/>
        <v>73.84</v>
      </c>
      <c r="H92" s="26">
        <v>115</v>
      </c>
      <c r="I92" s="26">
        <v>16.8</v>
      </c>
      <c r="J92" s="26">
        <f t="shared" si="13"/>
        <v>2.84</v>
      </c>
      <c r="K92" s="26">
        <f>H92+I92</f>
        <v>131.80000000000001</v>
      </c>
      <c r="L92" s="14">
        <f t="shared" si="8"/>
        <v>208.48000000000002</v>
      </c>
      <c r="M92" s="14">
        <f t="shared" si="9"/>
        <v>73.408450704225359</v>
      </c>
    </row>
    <row r="93" spans="1:13" ht="15" customHeight="1" x14ac:dyDescent="0.25">
      <c r="A93" s="13">
        <v>5817034</v>
      </c>
      <c r="B93" s="27">
        <v>40302</v>
      </c>
      <c r="C93" s="13" t="s">
        <v>128</v>
      </c>
      <c r="D93" s="13" t="s">
        <v>169</v>
      </c>
      <c r="E93" s="28">
        <v>20</v>
      </c>
      <c r="F93" s="25">
        <v>6.36</v>
      </c>
      <c r="G93" s="26">
        <f t="shared" si="12"/>
        <v>165.36</v>
      </c>
      <c r="H93" s="26">
        <v>115</v>
      </c>
      <c r="I93" s="26">
        <v>16.8</v>
      </c>
      <c r="J93" s="26">
        <f t="shared" si="13"/>
        <v>6.36</v>
      </c>
      <c r="K93" s="26"/>
      <c r="L93" s="14">
        <f t="shared" si="8"/>
        <v>303.52000000000004</v>
      </c>
      <c r="M93" s="14">
        <f t="shared" si="9"/>
        <v>47.723270440251575</v>
      </c>
    </row>
    <row r="94" spans="1:13" ht="15" customHeight="1" x14ac:dyDescent="0.25">
      <c r="A94" s="13">
        <v>5817034</v>
      </c>
      <c r="B94" s="27">
        <v>40304</v>
      </c>
      <c r="C94" s="13" t="s">
        <v>110</v>
      </c>
      <c r="D94" s="13" t="s">
        <v>169</v>
      </c>
      <c r="E94" s="28">
        <v>40</v>
      </c>
      <c r="F94" s="25">
        <v>3.7</v>
      </c>
      <c r="G94" s="26">
        <f t="shared" si="12"/>
        <v>96.2</v>
      </c>
      <c r="H94" s="26">
        <v>115</v>
      </c>
      <c r="I94" s="26">
        <v>16.850000000000001</v>
      </c>
      <c r="J94" s="26">
        <f t="shared" si="13"/>
        <v>3.7</v>
      </c>
      <c r="K94" s="26"/>
      <c r="L94" s="14">
        <f t="shared" si="8"/>
        <v>231.74999999999997</v>
      </c>
      <c r="M94" s="14">
        <f t="shared" si="9"/>
        <v>62.635135135135123</v>
      </c>
    </row>
    <row r="95" spans="1:13" ht="15" customHeight="1" x14ac:dyDescent="0.25">
      <c r="A95" s="13">
        <v>5817034</v>
      </c>
      <c r="B95" s="27">
        <v>40307</v>
      </c>
      <c r="C95" s="13" t="s">
        <v>170</v>
      </c>
      <c r="D95" s="13" t="s">
        <v>171</v>
      </c>
      <c r="E95" s="28">
        <v>32</v>
      </c>
      <c r="F95" s="25">
        <v>3.24</v>
      </c>
      <c r="G95" s="26">
        <f t="shared" si="12"/>
        <v>84.240000000000009</v>
      </c>
      <c r="H95" s="26">
        <v>115</v>
      </c>
      <c r="I95" s="26">
        <v>16.850000000000001</v>
      </c>
      <c r="J95" s="26">
        <f t="shared" si="13"/>
        <v>3.24</v>
      </c>
      <c r="K95" s="26">
        <f>H95+I95</f>
        <v>131.85</v>
      </c>
      <c r="L95" s="14">
        <f t="shared" si="8"/>
        <v>219.33</v>
      </c>
      <c r="M95" s="14">
        <f t="shared" si="9"/>
        <v>67.694444444444443</v>
      </c>
    </row>
    <row r="96" spans="1:13" ht="15" customHeight="1" x14ac:dyDescent="0.25">
      <c r="A96" s="13">
        <v>5817034</v>
      </c>
      <c r="B96" s="27">
        <v>40310</v>
      </c>
      <c r="C96" s="13" t="s">
        <v>110</v>
      </c>
      <c r="D96" s="13" t="s">
        <v>171</v>
      </c>
      <c r="E96" s="28" t="s">
        <v>110</v>
      </c>
      <c r="F96" s="25">
        <v>4.05</v>
      </c>
      <c r="G96" s="26">
        <f t="shared" si="12"/>
        <v>105.3</v>
      </c>
      <c r="H96" s="26">
        <v>115</v>
      </c>
      <c r="I96" s="26">
        <v>16.850000000000001</v>
      </c>
      <c r="J96" s="26">
        <f t="shared" si="13"/>
        <v>4.05</v>
      </c>
      <c r="K96" s="26"/>
      <c r="L96" s="14">
        <f t="shared" si="8"/>
        <v>241.20000000000002</v>
      </c>
      <c r="M96" s="14">
        <f t="shared" si="9"/>
        <v>59.555555555555564</v>
      </c>
    </row>
    <row r="97" spans="1:13" ht="15" customHeight="1" x14ac:dyDescent="0.25">
      <c r="A97" s="13">
        <v>5817034</v>
      </c>
      <c r="B97" s="27">
        <v>40310</v>
      </c>
      <c r="C97" s="13" t="s">
        <v>128</v>
      </c>
      <c r="D97" s="13" t="s">
        <v>171</v>
      </c>
      <c r="E97" s="28">
        <v>34</v>
      </c>
      <c r="F97" s="25">
        <v>4.43</v>
      </c>
      <c r="G97" s="26">
        <f t="shared" si="12"/>
        <v>115.17999999999999</v>
      </c>
      <c r="H97" s="26">
        <v>115</v>
      </c>
      <c r="I97" s="26">
        <v>16.850000000000001</v>
      </c>
      <c r="J97" s="26">
        <f t="shared" si="13"/>
        <v>4.43</v>
      </c>
      <c r="K97" s="26"/>
      <c r="L97" s="14">
        <f t="shared" si="8"/>
        <v>251.46</v>
      </c>
      <c r="M97" s="14">
        <f t="shared" si="9"/>
        <v>56.762979683972915</v>
      </c>
    </row>
    <row r="98" spans="1:13" ht="15" customHeight="1" x14ac:dyDescent="0.25">
      <c r="A98" s="13">
        <v>5817034</v>
      </c>
      <c r="B98" s="27">
        <v>40311</v>
      </c>
      <c r="C98" s="13" t="s">
        <v>128</v>
      </c>
      <c r="D98" s="13" t="s">
        <v>169</v>
      </c>
      <c r="E98" s="28">
        <v>20</v>
      </c>
      <c r="F98" s="25">
        <v>4.9000000000000004</v>
      </c>
      <c r="G98" s="26">
        <f t="shared" si="12"/>
        <v>127.4</v>
      </c>
      <c r="H98" s="26">
        <v>115</v>
      </c>
      <c r="I98" s="26">
        <v>16.850000000000001</v>
      </c>
      <c r="J98" s="26">
        <f t="shared" si="13"/>
        <v>4.9000000000000004</v>
      </c>
      <c r="K98" s="26"/>
      <c r="L98" s="14">
        <f t="shared" si="8"/>
        <v>264.14999999999998</v>
      </c>
      <c r="M98" s="14">
        <f t="shared" si="9"/>
        <v>53.908163265306115</v>
      </c>
    </row>
    <row r="99" spans="1:13" ht="15" customHeight="1" x14ac:dyDescent="0.25">
      <c r="A99" s="13">
        <v>5817034</v>
      </c>
      <c r="B99" s="27">
        <v>40312</v>
      </c>
      <c r="C99" s="13" t="s">
        <v>110</v>
      </c>
      <c r="D99" s="13" t="s">
        <v>169</v>
      </c>
      <c r="E99" s="28">
        <v>40</v>
      </c>
      <c r="F99" s="25">
        <v>3.46</v>
      </c>
      <c r="G99" s="26">
        <f t="shared" si="12"/>
        <v>89.96</v>
      </c>
      <c r="H99" s="26">
        <v>115</v>
      </c>
      <c r="I99" s="26">
        <v>16.850000000000001</v>
      </c>
      <c r="J99" s="26">
        <f t="shared" si="13"/>
        <v>3.46</v>
      </c>
      <c r="K99" s="26"/>
      <c r="L99" s="14">
        <f t="shared" si="8"/>
        <v>225.26999999999998</v>
      </c>
      <c r="M99" s="14">
        <f t="shared" si="9"/>
        <v>65.106936416184965</v>
      </c>
    </row>
    <row r="100" spans="1:13" ht="15" customHeight="1" x14ac:dyDescent="0.25">
      <c r="A100" s="13">
        <v>5817034</v>
      </c>
      <c r="B100" s="27">
        <v>40314</v>
      </c>
      <c r="C100" s="13" t="s">
        <v>170</v>
      </c>
      <c r="D100" s="13" t="s">
        <v>171</v>
      </c>
      <c r="E100" s="28">
        <v>32</v>
      </c>
      <c r="F100" s="25">
        <v>4.7</v>
      </c>
      <c r="G100" s="26">
        <f t="shared" si="12"/>
        <v>122.2</v>
      </c>
      <c r="H100" s="26">
        <v>115</v>
      </c>
      <c r="I100" s="26">
        <v>16.7</v>
      </c>
      <c r="J100" s="26">
        <f t="shared" si="13"/>
        <v>4.7</v>
      </c>
      <c r="K100" s="26">
        <f>H100+I100</f>
        <v>131.69999999999999</v>
      </c>
      <c r="L100" s="14">
        <f t="shared" si="8"/>
        <v>258.59999999999997</v>
      </c>
      <c r="M100" s="14">
        <f t="shared" si="9"/>
        <v>55.021276595744673</v>
      </c>
    </row>
    <row r="101" spans="1:13" ht="15" customHeight="1" x14ac:dyDescent="0.25">
      <c r="A101" s="13">
        <v>5817034</v>
      </c>
      <c r="B101" s="27">
        <v>40316</v>
      </c>
      <c r="C101" s="13" t="s">
        <v>110</v>
      </c>
      <c r="D101" s="13" t="s">
        <v>169</v>
      </c>
      <c r="E101" s="28">
        <v>40</v>
      </c>
      <c r="F101" s="25">
        <v>2.39</v>
      </c>
      <c r="G101" s="26">
        <f t="shared" si="12"/>
        <v>62.14</v>
      </c>
      <c r="H101" s="26">
        <v>115</v>
      </c>
      <c r="I101" s="26">
        <v>16.7</v>
      </c>
      <c r="J101" s="26">
        <f t="shared" si="13"/>
        <v>2.39</v>
      </c>
      <c r="K101" s="26"/>
      <c r="L101" s="14">
        <f t="shared" si="8"/>
        <v>196.22999999999996</v>
      </c>
      <c r="M101" s="14">
        <f t="shared" si="9"/>
        <v>82.104602510460225</v>
      </c>
    </row>
    <row r="102" spans="1:13" ht="15" customHeight="1" x14ac:dyDescent="0.25">
      <c r="A102" s="13">
        <v>5817034</v>
      </c>
      <c r="B102" s="27">
        <v>40316</v>
      </c>
      <c r="C102" s="13" t="s">
        <v>128</v>
      </c>
      <c r="D102" s="13" t="s">
        <v>169</v>
      </c>
      <c r="E102" s="28">
        <v>20</v>
      </c>
      <c r="F102" s="25">
        <v>2.4</v>
      </c>
      <c r="G102" s="26">
        <f t="shared" si="12"/>
        <v>62.4</v>
      </c>
      <c r="H102" s="26">
        <v>115</v>
      </c>
      <c r="I102" s="26">
        <v>16.7</v>
      </c>
      <c r="J102" s="26">
        <f t="shared" si="13"/>
        <v>2.4</v>
      </c>
      <c r="K102" s="26"/>
      <c r="L102" s="14">
        <f t="shared" si="8"/>
        <v>196.5</v>
      </c>
      <c r="M102" s="14">
        <f t="shared" si="9"/>
        <v>81.875</v>
      </c>
    </row>
    <row r="103" spans="1:13" ht="15" customHeight="1" x14ac:dyDescent="0.25">
      <c r="A103" s="13">
        <v>5817034</v>
      </c>
      <c r="B103" s="27">
        <v>40316</v>
      </c>
      <c r="C103" s="13" t="s">
        <v>128</v>
      </c>
      <c r="D103" s="13" t="s">
        <v>169</v>
      </c>
      <c r="E103" s="28">
        <v>20</v>
      </c>
      <c r="F103" s="25">
        <v>2.67</v>
      </c>
      <c r="G103" s="26">
        <f t="shared" si="12"/>
        <v>69.42</v>
      </c>
      <c r="H103" s="26">
        <v>115</v>
      </c>
      <c r="I103" s="26">
        <v>16.7</v>
      </c>
      <c r="J103" s="26">
        <f t="shared" si="13"/>
        <v>2.67</v>
      </c>
      <c r="K103" s="26"/>
      <c r="L103" s="14">
        <f t="shared" si="8"/>
        <v>203.79</v>
      </c>
      <c r="M103" s="14">
        <f t="shared" si="9"/>
        <v>76.325842696629209</v>
      </c>
    </row>
    <row r="104" spans="1:13" ht="15" customHeight="1" x14ac:dyDescent="0.25">
      <c r="A104" s="13">
        <v>5817034</v>
      </c>
      <c r="B104" s="27">
        <v>40317</v>
      </c>
      <c r="C104" s="13" t="s">
        <v>173</v>
      </c>
      <c r="D104" s="13" t="s">
        <v>171</v>
      </c>
      <c r="E104" s="28">
        <v>30</v>
      </c>
      <c r="F104" s="25">
        <v>3.36</v>
      </c>
      <c r="G104" s="26">
        <f t="shared" si="12"/>
        <v>87.36</v>
      </c>
      <c r="H104" s="26">
        <v>115</v>
      </c>
      <c r="I104" s="26">
        <v>16.420000000000002</v>
      </c>
      <c r="J104" s="26">
        <f t="shared" si="13"/>
        <v>3.36</v>
      </c>
      <c r="K104" s="26">
        <f>H104+I104</f>
        <v>131.42000000000002</v>
      </c>
      <c r="L104" s="14">
        <f t="shared" si="8"/>
        <v>222.14000000000004</v>
      </c>
      <c r="M104" s="14">
        <f t="shared" si="9"/>
        <v>66.113095238095255</v>
      </c>
    </row>
    <row r="105" spans="1:13" ht="15" customHeight="1" x14ac:dyDescent="0.25">
      <c r="A105" s="13">
        <v>5817034</v>
      </c>
      <c r="B105" s="27">
        <v>40321</v>
      </c>
      <c r="C105" s="13" t="s">
        <v>170</v>
      </c>
      <c r="D105" s="13" t="s">
        <v>171</v>
      </c>
      <c r="E105" s="28">
        <v>32</v>
      </c>
      <c r="F105" s="25">
        <v>3.33</v>
      </c>
      <c r="G105" s="26">
        <f t="shared" si="12"/>
        <v>86.58</v>
      </c>
      <c r="H105" s="26">
        <v>115</v>
      </c>
      <c r="I105" s="26">
        <v>16.420000000000002</v>
      </c>
      <c r="J105" s="26">
        <f t="shared" si="13"/>
        <v>3.33</v>
      </c>
      <c r="K105" s="26">
        <f>H105+I105</f>
        <v>131.42000000000002</v>
      </c>
      <c r="L105" s="14">
        <f t="shared" si="8"/>
        <v>221.33</v>
      </c>
      <c r="M105" s="14">
        <f t="shared" si="9"/>
        <v>66.465465465465471</v>
      </c>
    </row>
    <row r="106" spans="1:13" ht="15" customHeight="1" x14ac:dyDescent="0.25">
      <c r="A106" s="13">
        <v>5817034</v>
      </c>
      <c r="B106" s="27">
        <v>40324</v>
      </c>
      <c r="C106" s="13" t="s">
        <v>110</v>
      </c>
      <c r="D106" s="13" t="s">
        <v>171</v>
      </c>
      <c r="E106" s="28" t="s">
        <v>110</v>
      </c>
      <c r="F106" s="25">
        <v>2.41</v>
      </c>
      <c r="G106" s="26">
        <f t="shared" si="12"/>
        <v>62.660000000000004</v>
      </c>
      <c r="H106" s="26">
        <v>115</v>
      </c>
      <c r="I106" s="26">
        <v>16.420000000000002</v>
      </c>
      <c r="J106" s="26">
        <f t="shared" si="13"/>
        <v>2.41</v>
      </c>
      <c r="K106" s="26"/>
      <c r="L106" s="14">
        <f t="shared" si="8"/>
        <v>196.48999999999998</v>
      </c>
      <c r="M106" s="14">
        <f t="shared" si="9"/>
        <v>81.531120331950191</v>
      </c>
    </row>
    <row r="107" spans="1:13" ht="15" customHeight="1" x14ac:dyDescent="0.25">
      <c r="A107" s="13">
        <v>5817034</v>
      </c>
      <c r="B107" s="27">
        <v>40324</v>
      </c>
      <c r="C107" s="13" t="s">
        <v>110</v>
      </c>
      <c r="D107" s="13" t="s">
        <v>169</v>
      </c>
      <c r="E107" s="28">
        <v>40</v>
      </c>
      <c r="F107" s="25">
        <v>3.58</v>
      </c>
      <c r="G107" s="26">
        <f t="shared" si="12"/>
        <v>93.08</v>
      </c>
      <c r="H107" s="26">
        <v>115</v>
      </c>
      <c r="I107" s="26">
        <v>16.420000000000002</v>
      </c>
      <c r="J107" s="26">
        <f t="shared" si="13"/>
        <v>3.58</v>
      </c>
      <c r="K107" s="26"/>
      <c r="L107" s="14">
        <f t="shared" si="8"/>
        <v>228.08</v>
      </c>
      <c r="M107" s="14">
        <f t="shared" si="9"/>
        <v>63.709497206703915</v>
      </c>
    </row>
    <row r="108" spans="1:13" ht="15" customHeight="1" x14ac:dyDescent="0.25">
      <c r="A108" s="13">
        <v>5817034</v>
      </c>
      <c r="B108" s="27">
        <v>40327</v>
      </c>
      <c r="C108" s="13" t="s">
        <v>170</v>
      </c>
      <c r="D108" s="13" t="s">
        <v>171</v>
      </c>
      <c r="E108" s="28">
        <v>32</v>
      </c>
      <c r="F108" s="25">
        <v>4.99</v>
      </c>
      <c r="G108" s="26">
        <f t="shared" si="12"/>
        <v>129.74</v>
      </c>
      <c r="H108" s="26">
        <v>115</v>
      </c>
      <c r="I108" s="26">
        <v>16.420000000000002</v>
      </c>
      <c r="J108" s="26">
        <f t="shared" si="13"/>
        <v>4.99</v>
      </c>
      <c r="K108" s="26">
        <f>H108+I108</f>
        <v>131.42000000000002</v>
      </c>
      <c r="L108" s="14">
        <f t="shared" si="8"/>
        <v>266.15000000000003</v>
      </c>
      <c r="M108" s="14">
        <f t="shared" si="9"/>
        <v>53.336673346693388</v>
      </c>
    </row>
    <row r="109" spans="1:13" x14ac:dyDescent="0.25">
      <c r="A109" s="13">
        <v>5514135</v>
      </c>
      <c r="B109" s="27">
        <v>40329</v>
      </c>
      <c r="C109" s="13" t="s">
        <v>174</v>
      </c>
      <c r="D109" s="13" t="s">
        <v>175</v>
      </c>
      <c r="E109" s="28">
        <v>6</v>
      </c>
      <c r="F109" s="29">
        <v>2.34</v>
      </c>
      <c r="H109" s="26">
        <v>104</v>
      </c>
      <c r="J109" s="26"/>
      <c r="K109" s="26"/>
      <c r="L109" s="14">
        <f t="shared" si="8"/>
        <v>104</v>
      </c>
      <c r="M109" s="14">
        <f t="shared" si="9"/>
        <v>44.44444444444445</v>
      </c>
    </row>
    <row r="110" spans="1:13" ht="15" customHeight="1" x14ac:dyDescent="0.25">
      <c r="A110" s="13">
        <v>5514135</v>
      </c>
      <c r="B110" s="27">
        <v>40329</v>
      </c>
      <c r="C110" s="13" t="s">
        <v>176</v>
      </c>
      <c r="D110" s="13" t="s">
        <v>175</v>
      </c>
      <c r="E110" s="28">
        <v>2</v>
      </c>
      <c r="F110" s="29">
        <v>0.78</v>
      </c>
      <c r="H110" s="26">
        <v>65</v>
      </c>
      <c r="J110" s="26"/>
      <c r="K110" s="26"/>
      <c r="L110" s="14">
        <f t="shared" si="8"/>
        <v>65</v>
      </c>
      <c r="M110" s="14">
        <f t="shared" si="9"/>
        <v>83.333333333333329</v>
      </c>
    </row>
    <row r="111" spans="1:13" ht="15" customHeight="1" x14ac:dyDescent="0.25">
      <c r="A111" s="13">
        <v>5514135</v>
      </c>
      <c r="B111" s="27">
        <v>40329</v>
      </c>
      <c r="C111" s="13" t="s">
        <v>176</v>
      </c>
      <c r="D111" s="13" t="s">
        <v>175</v>
      </c>
      <c r="E111" s="28">
        <v>2</v>
      </c>
      <c r="F111" s="29">
        <v>0.78</v>
      </c>
      <c r="H111" s="26">
        <v>65</v>
      </c>
      <c r="J111" s="26"/>
      <c r="K111" s="26"/>
      <c r="L111" s="14">
        <f t="shared" si="8"/>
        <v>65</v>
      </c>
      <c r="M111" s="14">
        <f t="shared" si="9"/>
        <v>83.333333333333329</v>
      </c>
    </row>
    <row r="112" spans="1:13" ht="15" customHeight="1" x14ac:dyDescent="0.25">
      <c r="A112" s="13">
        <v>5514588</v>
      </c>
      <c r="B112" s="27">
        <v>40329</v>
      </c>
      <c r="C112" s="13" t="s">
        <v>177</v>
      </c>
      <c r="D112" s="13" t="s">
        <v>175</v>
      </c>
      <c r="E112" s="28">
        <v>8</v>
      </c>
      <c r="F112" s="29">
        <v>4.68</v>
      </c>
      <c r="H112" s="26">
        <v>189</v>
      </c>
      <c r="J112" s="26"/>
      <c r="K112" s="26"/>
      <c r="L112" s="14">
        <f t="shared" si="8"/>
        <v>189</v>
      </c>
      <c r="M112" s="14">
        <f t="shared" si="9"/>
        <v>40.384615384615387</v>
      </c>
    </row>
    <row r="113" spans="1:13" ht="15" customHeight="1" x14ac:dyDescent="0.25">
      <c r="A113" s="13">
        <v>5517445</v>
      </c>
      <c r="B113" s="27">
        <v>40329</v>
      </c>
      <c r="C113" s="13" t="s">
        <v>178</v>
      </c>
      <c r="D113" s="13" t="s">
        <v>171</v>
      </c>
      <c r="E113" s="28">
        <v>6</v>
      </c>
      <c r="F113" s="29">
        <v>3.9</v>
      </c>
      <c r="H113" s="26">
        <v>155.88</v>
      </c>
      <c r="J113" s="26"/>
      <c r="K113" s="26"/>
      <c r="L113" s="14">
        <f t="shared" si="8"/>
        <v>155.88</v>
      </c>
      <c r="M113" s="14">
        <f t="shared" si="9"/>
        <v>39.969230769230769</v>
      </c>
    </row>
    <row r="114" spans="1:13" ht="15" customHeight="1" x14ac:dyDescent="0.25">
      <c r="A114" s="13">
        <v>5517787</v>
      </c>
      <c r="B114" s="27">
        <v>40329</v>
      </c>
      <c r="C114" s="13" t="s">
        <v>179</v>
      </c>
      <c r="D114" s="13" t="s">
        <v>175</v>
      </c>
      <c r="E114" s="28">
        <v>2</v>
      </c>
      <c r="F114" s="29">
        <v>0.39</v>
      </c>
      <c r="H114" s="26">
        <v>48</v>
      </c>
      <c r="J114" s="26"/>
      <c r="K114" s="26"/>
      <c r="L114" s="14">
        <f t="shared" si="8"/>
        <v>48</v>
      </c>
      <c r="M114" s="14">
        <f t="shared" si="9"/>
        <v>123.07692307692307</v>
      </c>
    </row>
    <row r="115" spans="1:13" ht="15" customHeight="1" x14ac:dyDescent="0.25">
      <c r="A115" s="13">
        <v>5838247</v>
      </c>
      <c r="B115" s="27">
        <v>40331</v>
      </c>
      <c r="C115" s="13" t="s">
        <v>173</v>
      </c>
      <c r="D115" s="13" t="s">
        <v>171</v>
      </c>
      <c r="E115" s="28">
        <v>30</v>
      </c>
      <c r="F115" s="25">
        <v>1.5</v>
      </c>
      <c r="G115" s="26">
        <f t="shared" ref="G115:G126" si="14">F115*$G$2</f>
        <v>39</v>
      </c>
      <c r="H115" s="26">
        <v>115</v>
      </c>
      <c r="I115" s="26">
        <v>16.16</v>
      </c>
      <c r="J115" s="26">
        <f t="shared" ref="J115:J126" si="15">F115</f>
        <v>1.5</v>
      </c>
      <c r="K115" s="26">
        <f>H115+I115</f>
        <v>131.16</v>
      </c>
      <c r="L115" s="14">
        <f t="shared" si="8"/>
        <v>171.66</v>
      </c>
      <c r="M115" s="14">
        <f t="shared" si="9"/>
        <v>114.44</v>
      </c>
    </row>
    <row r="116" spans="1:13" ht="15" customHeight="1" x14ac:dyDescent="0.25">
      <c r="A116" s="13">
        <v>5838247</v>
      </c>
      <c r="B116" s="27">
        <v>40335</v>
      </c>
      <c r="C116" s="13" t="s">
        <v>110</v>
      </c>
      <c r="D116" s="13" t="s">
        <v>171</v>
      </c>
      <c r="E116" s="28">
        <v>32</v>
      </c>
      <c r="F116" s="25">
        <v>2</v>
      </c>
      <c r="G116" s="26">
        <f t="shared" si="14"/>
        <v>52</v>
      </c>
      <c r="H116" s="26">
        <v>115</v>
      </c>
      <c r="I116" s="26">
        <v>16.16</v>
      </c>
      <c r="J116" s="26">
        <f t="shared" si="15"/>
        <v>2</v>
      </c>
      <c r="K116" s="26"/>
      <c r="L116" s="14">
        <f t="shared" si="8"/>
        <v>185.16</v>
      </c>
      <c r="M116" s="14">
        <f t="shared" si="9"/>
        <v>92.58</v>
      </c>
    </row>
    <row r="117" spans="1:13" ht="15" customHeight="1" x14ac:dyDescent="0.25">
      <c r="A117" s="13">
        <v>5838247</v>
      </c>
      <c r="B117" s="27">
        <v>40337</v>
      </c>
      <c r="C117" s="13" t="s">
        <v>128</v>
      </c>
      <c r="D117" s="13" t="s">
        <v>169</v>
      </c>
      <c r="E117" s="28">
        <v>20</v>
      </c>
      <c r="F117" s="25">
        <v>2.85</v>
      </c>
      <c r="G117" s="26">
        <f t="shared" si="14"/>
        <v>74.100000000000009</v>
      </c>
      <c r="H117" s="26">
        <v>115</v>
      </c>
      <c r="I117" s="26">
        <v>16.16</v>
      </c>
      <c r="J117" s="26">
        <f t="shared" si="15"/>
        <v>2.85</v>
      </c>
      <c r="K117" s="26"/>
      <c r="L117" s="14">
        <f t="shared" si="8"/>
        <v>208.11</v>
      </c>
      <c r="M117" s="14">
        <f t="shared" si="9"/>
        <v>73.021052631578954</v>
      </c>
    </row>
    <row r="118" spans="1:13" ht="15" customHeight="1" x14ac:dyDescent="0.25">
      <c r="A118" s="13">
        <v>5838247</v>
      </c>
      <c r="B118" s="27">
        <v>40337</v>
      </c>
      <c r="C118" s="13" t="s">
        <v>128</v>
      </c>
      <c r="D118" s="13" t="s">
        <v>169</v>
      </c>
      <c r="E118" s="28">
        <v>20</v>
      </c>
      <c r="F118" s="25">
        <v>3.8</v>
      </c>
      <c r="G118" s="26">
        <f t="shared" si="14"/>
        <v>98.8</v>
      </c>
      <c r="H118" s="26">
        <v>115</v>
      </c>
      <c r="I118" s="26">
        <v>16.16</v>
      </c>
      <c r="J118" s="26">
        <f t="shared" si="15"/>
        <v>3.8</v>
      </c>
      <c r="K118" s="26"/>
      <c r="L118" s="14">
        <f t="shared" si="8"/>
        <v>233.76000000000002</v>
      </c>
      <c r="M118" s="14">
        <f t="shared" si="9"/>
        <v>61.515789473684215</v>
      </c>
    </row>
    <row r="119" spans="1:13" ht="15" customHeight="1" x14ac:dyDescent="0.25">
      <c r="A119" s="13">
        <v>5838247</v>
      </c>
      <c r="B119" s="27">
        <v>40337</v>
      </c>
      <c r="C119" s="13" t="s">
        <v>110</v>
      </c>
      <c r="D119" s="13" t="s">
        <v>169</v>
      </c>
      <c r="E119" s="28">
        <v>40</v>
      </c>
      <c r="F119" s="25">
        <v>5.98</v>
      </c>
      <c r="G119" s="26">
        <f t="shared" si="14"/>
        <v>155.48000000000002</v>
      </c>
      <c r="H119" s="26">
        <v>115</v>
      </c>
      <c r="I119" s="26">
        <v>16.16</v>
      </c>
      <c r="J119" s="26">
        <f t="shared" si="15"/>
        <v>5.98</v>
      </c>
      <c r="K119" s="26"/>
      <c r="L119" s="14">
        <f t="shared" si="8"/>
        <v>292.62000000000006</v>
      </c>
      <c r="M119" s="14">
        <f t="shared" si="9"/>
        <v>48.933110367892986</v>
      </c>
    </row>
    <row r="120" spans="1:13" ht="15" customHeight="1" x14ac:dyDescent="0.25">
      <c r="A120" s="13">
        <v>5838247</v>
      </c>
      <c r="B120" s="27">
        <v>40339</v>
      </c>
      <c r="C120" s="13" t="s">
        <v>173</v>
      </c>
      <c r="D120" s="13" t="s">
        <v>171</v>
      </c>
      <c r="E120" s="28">
        <v>30</v>
      </c>
      <c r="F120" s="25">
        <v>3.27</v>
      </c>
      <c r="G120" s="26">
        <f t="shared" si="14"/>
        <v>85.02</v>
      </c>
      <c r="H120" s="26">
        <v>115</v>
      </c>
      <c r="I120" s="26">
        <v>16.16</v>
      </c>
      <c r="J120" s="26">
        <f t="shared" si="15"/>
        <v>3.27</v>
      </c>
      <c r="K120" s="26">
        <f>H120+I120</f>
        <v>131.16</v>
      </c>
      <c r="L120" s="14">
        <f t="shared" si="8"/>
        <v>219.45</v>
      </c>
      <c r="M120" s="14">
        <f t="shared" si="9"/>
        <v>67.110091743119256</v>
      </c>
    </row>
    <row r="121" spans="1:13" ht="15" customHeight="1" x14ac:dyDescent="0.25">
      <c r="A121" s="13">
        <v>5838247</v>
      </c>
      <c r="B121" s="27">
        <v>40345</v>
      </c>
      <c r="C121" s="13" t="s">
        <v>173</v>
      </c>
      <c r="D121" s="13" t="s">
        <v>171</v>
      </c>
      <c r="E121" s="28">
        <v>30</v>
      </c>
      <c r="F121" s="25">
        <v>9.69</v>
      </c>
      <c r="G121" s="26">
        <f t="shared" si="14"/>
        <v>251.94</v>
      </c>
      <c r="H121" s="26">
        <v>115</v>
      </c>
      <c r="I121" s="26">
        <v>16.260000000000002</v>
      </c>
      <c r="J121" s="26">
        <f t="shared" si="15"/>
        <v>9.69</v>
      </c>
      <c r="K121" s="26">
        <f>H121+I121</f>
        <v>131.26</v>
      </c>
      <c r="L121" s="14">
        <f t="shared" si="8"/>
        <v>392.89</v>
      </c>
      <c r="M121" s="14">
        <f t="shared" si="9"/>
        <v>40.545923632610936</v>
      </c>
    </row>
    <row r="122" spans="1:13" ht="15" customHeight="1" x14ac:dyDescent="0.25">
      <c r="A122" s="13">
        <v>5838247</v>
      </c>
      <c r="B122" s="27">
        <v>40349</v>
      </c>
      <c r="C122" s="13" t="s">
        <v>170</v>
      </c>
      <c r="D122" s="13" t="s">
        <v>171</v>
      </c>
      <c r="E122" s="28">
        <v>32</v>
      </c>
      <c r="F122" s="25">
        <v>5.87</v>
      </c>
      <c r="G122" s="26">
        <f t="shared" si="14"/>
        <v>152.62</v>
      </c>
      <c r="H122" s="26">
        <v>115</v>
      </c>
      <c r="I122" s="26">
        <v>16.260000000000002</v>
      </c>
      <c r="J122" s="26">
        <f t="shared" si="15"/>
        <v>5.87</v>
      </c>
      <c r="K122" s="26">
        <f>H122+I122</f>
        <v>131.26</v>
      </c>
      <c r="L122" s="14">
        <f t="shared" si="8"/>
        <v>289.75</v>
      </c>
      <c r="M122" s="14">
        <f t="shared" si="9"/>
        <v>49.361158432708685</v>
      </c>
    </row>
    <row r="123" spans="1:13" ht="15" customHeight="1" x14ac:dyDescent="0.25">
      <c r="A123" s="13">
        <v>5838247</v>
      </c>
      <c r="B123" s="27">
        <v>40350</v>
      </c>
      <c r="C123" s="13" t="s">
        <v>110</v>
      </c>
      <c r="D123" s="13" t="s">
        <v>169</v>
      </c>
      <c r="E123" s="28">
        <v>40</v>
      </c>
      <c r="F123" s="25">
        <v>6.29</v>
      </c>
      <c r="G123" s="26">
        <f t="shared" si="14"/>
        <v>163.54</v>
      </c>
      <c r="H123" s="26">
        <v>115</v>
      </c>
      <c r="I123" s="26">
        <v>16.260000000000002</v>
      </c>
      <c r="J123" s="26">
        <f t="shared" si="15"/>
        <v>6.29</v>
      </c>
      <c r="K123" s="26"/>
      <c r="L123" s="14">
        <f t="shared" si="8"/>
        <v>301.08999999999997</v>
      </c>
      <c r="M123" s="14">
        <f t="shared" si="9"/>
        <v>47.868044515103335</v>
      </c>
    </row>
    <row r="124" spans="1:13" ht="16.5" customHeight="1" x14ac:dyDescent="0.25">
      <c r="A124" s="13">
        <v>5838247</v>
      </c>
      <c r="B124" s="27">
        <v>40352</v>
      </c>
      <c r="C124" s="13" t="s">
        <v>173</v>
      </c>
      <c r="D124" s="13" t="s">
        <v>171</v>
      </c>
      <c r="E124" s="28">
        <v>30</v>
      </c>
      <c r="F124" s="25">
        <v>4.45</v>
      </c>
      <c r="G124" s="26">
        <f t="shared" si="14"/>
        <v>115.7</v>
      </c>
      <c r="H124" s="26">
        <v>115</v>
      </c>
      <c r="I124" s="26">
        <v>16.260000000000002</v>
      </c>
      <c r="J124" s="26">
        <f t="shared" si="15"/>
        <v>4.45</v>
      </c>
      <c r="K124" s="26">
        <f>H124+I124</f>
        <v>131.26</v>
      </c>
      <c r="L124" s="14">
        <f t="shared" si="8"/>
        <v>251.40999999999997</v>
      </c>
      <c r="M124" s="14">
        <f t="shared" si="9"/>
        <v>56.496629213483139</v>
      </c>
    </row>
    <row r="125" spans="1:13" ht="15" customHeight="1" x14ac:dyDescent="0.25">
      <c r="A125" s="13">
        <v>5838247</v>
      </c>
      <c r="B125" s="27">
        <v>40356</v>
      </c>
      <c r="C125" s="13" t="s">
        <v>170</v>
      </c>
      <c r="D125" s="13" t="s">
        <v>171</v>
      </c>
      <c r="E125" s="28">
        <v>32</v>
      </c>
      <c r="F125" s="25">
        <v>2.2799999999999998</v>
      </c>
      <c r="G125" s="26">
        <f t="shared" si="14"/>
        <v>59.279999999999994</v>
      </c>
      <c r="H125" s="26">
        <v>115</v>
      </c>
      <c r="I125" s="26">
        <v>16.260000000000002</v>
      </c>
      <c r="J125" s="26">
        <f t="shared" si="15"/>
        <v>2.2799999999999998</v>
      </c>
      <c r="K125" s="26">
        <f>H125+I125</f>
        <v>131.26</v>
      </c>
      <c r="L125" s="14">
        <f t="shared" si="8"/>
        <v>192.82</v>
      </c>
      <c r="M125" s="14">
        <f t="shared" si="9"/>
        <v>84.570175438596493</v>
      </c>
    </row>
    <row r="126" spans="1:13" ht="15" customHeight="1" x14ac:dyDescent="0.25">
      <c r="A126" s="13">
        <v>5838247</v>
      </c>
      <c r="B126" s="27">
        <v>40358</v>
      </c>
      <c r="C126" s="13" t="s">
        <v>110</v>
      </c>
      <c r="D126" s="13" t="s">
        <v>169</v>
      </c>
      <c r="E126" s="28">
        <v>40</v>
      </c>
      <c r="F126" s="25">
        <v>1.48</v>
      </c>
      <c r="G126" s="26">
        <f t="shared" si="14"/>
        <v>38.479999999999997</v>
      </c>
      <c r="H126" s="26">
        <v>115</v>
      </c>
      <c r="I126" s="26">
        <v>16.23</v>
      </c>
      <c r="J126" s="26">
        <f t="shared" si="15"/>
        <v>1.48</v>
      </c>
      <c r="K126" s="26"/>
      <c r="L126" s="14">
        <f t="shared" si="8"/>
        <v>171.18999999999997</v>
      </c>
      <c r="M126" s="14">
        <f t="shared" si="9"/>
        <v>115.66891891891891</v>
      </c>
    </row>
    <row r="127" spans="1:13" x14ac:dyDescent="0.25">
      <c r="A127" s="13">
        <v>5522661</v>
      </c>
      <c r="B127" s="27">
        <v>40359</v>
      </c>
      <c r="C127" s="13" t="s">
        <v>174</v>
      </c>
      <c r="D127" s="13" t="s">
        <v>175</v>
      </c>
      <c r="E127" s="28">
        <v>6</v>
      </c>
      <c r="F127" s="29">
        <v>2.34</v>
      </c>
      <c r="H127" s="26">
        <v>104</v>
      </c>
      <c r="J127" s="26"/>
      <c r="K127" s="26"/>
      <c r="L127" s="14">
        <f t="shared" si="8"/>
        <v>104</v>
      </c>
      <c r="M127" s="14">
        <f t="shared" si="9"/>
        <v>44.44444444444445</v>
      </c>
    </row>
    <row r="128" spans="1:13" ht="15" customHeight="1" x14ac:dyDescent="0.25">
      <c r="A128" s="13">
        <v>5522661</v>
      </c>
      <c r="B128" s="27">
        <v>40359</v>
      </c>
      <c r="C128" s="13" t="s">
        <v>176</v>
      </c>
      <c r="D128" s="13" t="s">
        <v>175</v>
      </c>
      <c r="E128" s="28">
        <v>2</v>
      </c>
      <c r="F128" s="29">
        <v>0.78</v>
      </c>
      <c r="H128" s="26">
        <v>65</v>
      </c>
      <c r="J128" s="26"/>
      <c r="K128" s="26"/>
      <c r="L128" s="14">
        <f t="shared" si="8"/>
        <v>65</v>
      </c>
      <c r="M128" s="14">
        <f t="shared" si="9"/>
        <v>83.333333333333329</v>
      </c>
    </row>
    <row r="129" spans="1:13" ht="15" customHeight="1" x14ac:dyDescent="0.25">
      <c r="A129" s="13">
        <v>5522661</v>
      </c>
      <c r="B129" s="27">
        <v>40359</v>
      </c>
      <c r="C129" s="13" t="s">
        <v>176</v>
      </c>
      <c r="D129" s="13" t="s">
        <v>175</v>
      </c>
      <c r="E129" s="28">
        <v>2</v>
      </c>
      <c r="F129" s="29">
        <v>0.78</v>
      </c>
      <c r="H129" s="26">
        <v>65</v>
      </c>
      <c r="J129" s="26"/>
      <c r="K129" s="26"/>
      <c r="L129" s="14">
        <f t="shared" si="8"/>
        <v>65</v>
      </c>
      <c r="M129" s="14">
        <f t="shared" si="9"/>
        <v>83.333333333333329</v>
      </c>
    </row>
    <row r="130" spans="1:13" ht="15" customHeight="1" x14ac:dyDescent="0.25">
      <c r="A130" s="13">
        <v>5523113</v>
      </c>
      <c r="B130" s="27">
        <v>40359</v>
      </c>
      <c r="C130" s="13" t="s">
        <v>177</v>
      </c>
      <c r="D130" s="13" t="s">
        <v>175</v>
      </c>
      <c r="E130" s="28">
        <v>8</v>
      </c>
      <c r="F130" s="29">
        <v>4.68</v>
      </c>
      <c r="H130" s="26">
        <v>189</v>
      </c>
      <c r="J130" s="26"/>
      <c r="K130" s="26"/>
      <c r="L130" s="14">
        <f t="shared" si="8"/>
        <v>189</v>
      </c>
      <c r="M130" s="14">
        <f t="shared" si="9"/>
        <v>40.384615384615387</v>
      </c>
    </row>
    <row r="131" spans="1:13" ht="15" customHeight="1" x14ac:dyDescent="0.25">
      <c r="A131" s="13">
        <v>5525958</v>
      </c>
      <c r="B131" s="27">
        <v>40359</v>
      </c>
      <c r="C131" s="13" t="s">
        <v>178</v>
      </c>
      <c r="D131" s="13" t="s">
        <v>171</v>
      </c>
      <c r="E131" s="28">
        <v>6</v>
      </c>
      <c r="F131" s="29">
        <v>3.9</v>
      </c>
      <c r="H131" s="26">
        <v>155.88</v>
      </c>
      <c r="J131" s="26"/>
      <c r="K131" s="26"/>
      <c r="L131" s="14">
        <f t="shared" si="8"/>
        <v>155.88</v>
      </c>
      <c r="M131" s="14">
        <f t="shared" si="9"/>
        <v>39.969230769230769</v>
      </c>
    </row>
    <row r="132" spans="1:13" ht="15" customHeight="1" x14ac:dyDescent="0.25">
      <c r="A132" s="13">
        <v>5526298</v>
      </c>
      <c r="B132" s="27">
        <v>40359</v>
      </c>
      <c r="C132" s="13" t="s">
        <v>179</v>
      </c>
      <c r="D132" s="13" t="s">
        <v>175</v>
      </c>
      <c r="E132" s="28">
        <v>2</v>
      </c>
      <c r="F132" s="29">
        <v>0.39</v>
      </c>
      <c r="H132" s="26">
        <v>48</v>
      </c>
      <c r="J132" s="26"/>
      <c r="K132" s="26"/>
      <c r="L132" s="14">
        <f t="shared" ref="L132:L195" si="16">G132+H132+I132+J132</f>
        <v>48</v>
      </c>
      <c r="M132" s="14">
        <f t="shared" ref="M132:M195" si="17">L132/F132</f>
        <v>123.07692307692307</v>
      </c>
    </row>
    <row r="133" spans="1:13" ht="15" customHeight="1" x14ac:dyDescent="0.25">
      <c r="A133" s="13">
        <v>5838247</v>
      </c>
      <c r="B133" s="27">
        <v>40359</v>
      </c>
      <c r="C133" s="13" t="s">
        <v>173</v>
      </c>
      <c r="D133" s="13" t="s">
        <v>171</v>
      </c>
      <c r="E133" s="28">
        <v>30</v>
      </c>
      <c r="F133" s="25">
        <v>1.7</v>
      </c>
      <c r="G133" s="26">
        <f t="shared" ref="G133:G152" si="18">F133*$G$2</f>
        <v>44.199999999999996</v>
      </c>
      <c r="H133" s="26">
        <v>115</v>
      </c>
      <c r="I133" s="26">
        <v>16.23</v>
      </c>
      <c r="J133" s="26">
        <f t="shared" ref="J133:J152" si="19">F133</f>
        <v>1.7</v>
      </c>
      <c r="K133" s="26">
        <f>H133+I133</f>
        <v>131.22999999999999</v>
      </c>
      <c r="L133" s="14">
        <f t="shared" si="16"/>
        <v>177.12999999999997</v>
      </c>
      <c r="M133" s="14">
        <f t="shared" si="17"/>
        <v>104.1941176470588</v>
      </c>
    </row>
    <row r="134" spans="1:13" ht="15" customHeight="1" x14ac:dyDescent="0.25">
      <c r="A134" s="13">
        <v>5838247</v>
      </c>
      <c r="B134" s="27">
        <v>40359</v>
      </c>
      <c r="C134" s="13" t="s">
        <v>128</v>
      </c>
      <c r="D134" s="13" t="s">
        <v>169</v>
      </c>
      <c r="E134" s="28">
        <v>20</v>
      </c>
      <c r="F134" s="25">
        <v>0.95</v>
      </c>
      <c r="G134" s="26">
        <f t="shared" si="18"/>
        <v>24.7</v>
      </c>
      <c r="H134" s="26">
        <v>115</v>
      </c>
      <c r="I134" s="26">
        <v>16.23</v>
      </c>
      <c r="J134" s="26">
        <f t="shared" si="19"/>
        <v>0.95</v>
      </c>
      <c r="K134" s="26"/>
      <c r="L134" s="14">
        <f t="shared" si="16"/>
        <v>156.87999999999997</v>
      </c>
      <c r="M134" s="14">
        <f t="shared" si="17"/>
        <v>165.13684210526313</v>
      </c>
    </row>
    <row r="135" spans="1:13" ht="15" customHeight="1" x14ac:dyDescent="0.25">
      <c r="A135" s="13">
        <v>5858085</v>
      </c>
      <c r="B135" s="27">
        <v>40360</v>
      </c>
      <c r="C135" s="13" t="s">
        <v>128</v>
      </c>
      <c r="D135" s="13" t="s">
        <v>169</v>
      </c>
      <c r="E135" s="28">
        <v>20</v>
      </c>
      <c r="F135" s="25">
        <v>0.81</v>
      </c>
      <c r="G135" s="26">
        <f t="shared" si="18"/>
        <v>21.060000000000002</v>
      </c>
      <c r="H135" s="26">
        <v>115</v>
      </c>
      <c r="I135" s="26">
        <v>16.02</v>
      </c>
      <c r="J135" s="26">
        <f t="shared" si="19"/>
        <v>0.81</v>
      </c>
      <c r="K135" s="26"/>
      <c r="L135" s="14">
        <f t="shared" si="16"/>
        <v>152.89000000000001</v>
      </c>
      <c r="M135" s="14">
        <f t="shared" si="17"/>
        <v>188.75308641975309</v>
      </c>
    </row>
    <row r="136" spans="1:13" ht="15" customHeight="1" x14ac:dyDescent="0.25">
      <c r="A136" s="13">
        <v>5858085</v>
      </c>
      <c r="B136" s="27">
        <v>40363</v>
      </c>
      <c r="C136" s="13" t="s">
        <v>170</v>
      </c>
      <c r="D136" s="13" t="s">
        <v>171</v>
      </c>
      <c r="E136" s="28">
        <v>32</v>
      </c>
      <c r="F136" s="25">
        <v>4.24</v>
      </c>
      <c r="G136" s="26">
        <f t="shared" si="18"/>
        <v>110.24000000000001</v>
      </c>
      <c r="H136" s="26">
        <v>115</v>
      </c>
      <c r="I136" s="26">
        <v>16.02</v>
      </c>
      <c r="J136" s="26">
        <f t="shared" si="19"/>
        <v>4.24</v>
      </c>
      <c r="K136" s="26">
        <f>H136+I136</f>
        <v>131.02000000000001</v>
      </c>
      <c r="L136" s="14">
        <f t="shared" si="16"/>
        <v>245.50000000000003</v>
      </c>
      <c r="M136" s="14">
        <f t="shared" si="17"/>
        <v>57.900943396226417</v>
      </c>
    </row>
    <row r="137" spans="1:13" ht="15" customHeight="1" x14ac:dyDescent="0.25">
      <c r="A137" s="13">
        <v>5858085</v>
      </c>
      <c r="B137" s="27">
        <v>40365</v>
      </c>
      <c r="C137" s="13" t="s">
        <v>173</v>
      </c>
      <c r="D137" s="13" t="s">
        <v>171</v>
      </c>
      <c r="E137" s="28">
        <v>30</v>
      </c>
      <c r="F137" s="25">
        <v>0.4</v>
      </c>
      <c r="G137" s="26">
        <f t="shared" si="18"/>
        <v>10.4</v>
      </c>
      <c r="H137" s="26">
        <v>115</v>
      </c>
      <c r="I137" s="26">
        <v>16.02</v>
      </c>
      <c r="J137" s="26">
        <f t="shared" si="19"/>
        <v>0.4</v>
      </c>
      <c r="K137" s="26">
        <f>H137+I137</f>
        <v>131.02000000000001</v>
      </c>
      <c r="L137" s="14">
        <f t="shared" si="16"/>
        <v>141.82000000000002</v>
      </c>
      <c r="M137" s="14">
        <f t="shared" si="17"/>
        <v>354.55</v>
      </c>
    </row>
    <row r="138" spans="1:13" ht="15" customHeight="1" x14ac:dyDescent="0.25">
      <c r="A138" s="13">
        <v>5858085</v>
      </c>
      <c r="B138" s="27">
        <v>40365</v>
      </c>
      <c r="C138" s="13" t="s">
        <v>170</v>
      </c>
      <c r="D138" s="13" t="s">
        <v>171</v>
      </c>
      <c r="E138" s="28">
        <v>32</v>
      </c>
      <c r="F138" s="25">
        <v>2.87</v>
      </c>
      <c r="G138" s="26">
        <f t="shared" si="18"/>
        <v>74.62</v>
      </c>
      <c r="H138" s="26">
        <v>115</v>
      </c>
      <c r="I138" s="26">
        <v>16.02</v>
      </c>
      <c r="J138" s="26">
        <f t="shared" si="19"/>
        <v>2.87</v>
      </c>
      <c r="K138" s="26">
        <f>H138+I138</f>
        <v>131.02000000000001</v>
      </c>
      <c r="L138" s="14">
        <f t="shared" si="16"/>
        <v>208.51000000000002</v>
      </c>
      <c r="M138" s="14">
        <f t="shared" si="17"/>
        <v>72.651567944250871</v>
      </c>
    </row>
    <row r="139" spans="1:13" ht="15" customHeight="1" x14ac:dyDescent="0.25">
      <c r="A139" s="13">
        <v>5858085</v>
      </c>
      <c r="B139" s="27">
        <v>40368</v>
      </c>
      <c r="C139" s="13" t="s">
        <v>170</v>
      </c>
      <c r="D139" s="13" t="s">
        <v>171</v>
      </c>
      <c r="E139" s="28">
        <v>32</v>
      </c>
      <c r="F139" s="25">
        <v>1.1599999999999999</v>
      </c>
      <c r="G139" s="26">
        <f t="shared" si="18"/>
        <v>30.159999999999997</v>
      </c>
      <c r="H139" s="26">
        <v>115</v>
      </c>
      <c r="I139" s="26">
        <v>16.02</v>
      </c>
      <c r="J139" s="26">
        <f t="shared" si="19"/>
        <v>1.1599999999999999</v>
      </c>
      <c r="K139" s="26">
        <f>H139+I139</f>
        <v>131.02000000000001</v>
      </c>
      <c r="L139" s="14">
        <f t="shared" si="16"/>
        <v>162.34</v>
      </c>
      <c r="M139" s="14">
        <f t="shared" si="17"/>
        <v>139.94827586206898</v>
      </c>
    </row>
    <row r="140" spans="1:13" ht="15" customHeight="1" x14ac:dyDescent="0.25">
      <c r="A140" s="13">
        <v>5858085</v>
      </c>
      <c r="B140" s="27">
        <v>40372</v>
      </c>
      <c r="C140" s="13" t="s">
        <v>110</v>
      </c>
      <c r="D140" s="13" t="s">
        <v>169</v>
      </c>
      <c r="E140" s="28">
        <v>40</v>
      </c>
      <c r="F140" s="25">
        <v>6.26</v>
      </c>
      <c r="G140" s="26">
        <f t="shared" si="18"/>
        <v>162.76</v>
      </c>
      <c r="H140" s="26">
        <v>115</v>
      </c>
      <c r="I140" s="26">
        <v>16.02</v>
      </c>
      <c r="J140" s="26">
        <f t="shared" si="19"/>
        <v>6.26</v>
      </c>
      <c r="K140" s="26"/>
      <c r="L140" s="14">
        <f t="shared" si="16"/>
        <v>300.03999999999996</v>
      </c>
      <c r="M140" s="14">
        <f t="shared" si="17"/>
        <v>47.929712460063897</v>
      </c>
    </row>
    <row r="141" spans="1:13" ht="15" customHeight="1" x14ac:dyDescent="0.25">
      <c r="A141" s="13">
        <v>5858085</v>
      </c>
      <c r="B141" s="27">
        <v>40372</v>
      </c>
      <c r="C141" s="13" t="s">
        <v>128</v>
      </c>
      <c r="D141" s="13" t="s">
        <v>169</v>
      </c>
      <c r="E141" s="28">
        <v>20</v>
      </c>
      <c r="F141" s="25">
        <v>2.5</v>
      </c>
      <c r="G141" s="26">
        <f t="shared" si="18"/>
        <v>65</v>
      </c>
      <c r="H141" s="26">
        <v>115</v>
      </c>
      <c r="I141" s="26">
        <v>16.02</v>
      </c>
      <c r="J141" s="26">
        <f t="shared" si="19"/>
        <v>2.5</v>
      </c>
      <c r="K141" s="26"/>
      <c r="L141" s="14">
        <f t="shared" si="16"/>
        <v>198.52</v>
      </c>
      <c r="M141" s="14">
        <f t="shared" si="17"/>
        <v>79.408000000000001</v>
      </c>
    </row>
    <row r="142" spans="1:13" ht="15" customHeight="1" x14ac:dyDescent="0.25">
      <c r="A142" s="13">
        <v>5858085</v>
      </c>
      <c r="B142" s="27">
        <v>40372</v>
      </c>
      <c r="C142" s="13" t="s">
        <v>128</v>
      </c>
      <c r="D142" s="13" t="s">
        <v>169</v>
      </c>
      <c r="E142" s="28">
        <v>20</v>
      </c>
      <c r="F142" s="25">
        <v>0.73</v>
      </c>
      <c r="G142" s="26">
        <f t="shared" si="18"/>
        <v>18.98</v>
      </c>
      <c r="H142" s="26">
        <v>115</v>
      </c>
      <c r="I142" s="26">
        <v>16.02</v>
      </c>
      <c r="J142" s="26">
        <f t="shared" si="19"/>
        <v>0.73</v>
      </c>
      <c r="K142" s="26"/>
      <c r="L142" s="14">
        <f t="shared" si="16"/>
        <v>150.72999999999999</v>
      </c>
      <c r="M142" s="14">
        <f t="shared" si="17"/>
        <v>206.47945205479451</v>
      </c>
    </row>
    <row r="143" spans="1:13" ht="15" customHeight="1" x14ac:dyDescent="0.25">
      <c r="A143" s="13">
        <v>5858085</v>
      </c>
      <c r="B143" s="27">
        <v>40372</v>
      </c>
      <c r="C143" s="13" t="s">
        <v>128</v>
      </c>
      <c r="D143" s="13" t="s">
        <v>171</v>
      </c>
      <c r="E143" s="28">
        <v>34</v>
      </c>
      <c r="F143" s="25">
        <v>8.85</v>
      </c>
      <c r="G143" s="26">
        <f t="shared" si="18"/>
        <v>230.1</v>
      </c>
      <c r="H143" s="26">
        <v>115</v>
      </c>
      <c r="I143" s="26">
        <v>16.02</v>
      </c>
      <c r="J143" s="26">
        <f t="shared" si="19"/>
        <v>8.85</v>
      </c>
      <c r="K143" s="26"/>
      <c r="L143" s="14">
        <f t="shared" si="16"/>
        <v>369.97</v>
      </c>
      <c r="M143" s="14">
        <f t="shared" si="17"/>
        <v>41.804519774011304</v>
      </c>
    </row>
    <row r="144" spans="1:13" ht="15" customHeight="1" x14ac:dyDescent="0.25">
      <c r="A144" s="13">
        <v>5858085</v>
      </c>
      <c r="B144" s="27">
        <v>40373</v>
      </c>
      <c r="C144" s="13" t="s">
        <v>173</v>
      </c>
      <c r="D144" s="13" t="s">
        <v>171</v>
      </c>
      <c r="E144" s="28">
        <v>30</v>
      </c>
      <c r="F144" s="25">
        <v>1.99</v>
      </c>
      <c r="G144" s="26">
        <f t="shared" si="18"/>
        <v>51.74</v>
      </c>
      <c r="H144" s="26">
        <v>115</v>
      </c>
      <c r="I144" s="26">
        <v>16.02</v>
      </c>
      <c r="J144" s="26">
        <f t="shared" si="19"/>
        <v>1.99</v>
      </c>
      <c r="K144" s="26">
        <f>H144+I144</f>
        <v>131.02000000000001</v>
      </c>
      <c r="L144" s="14">
        <f t="shared" si="16"/>
        <v>184.75000000000003</v>
      </c>
      <c r="M144" s="14">
        <f t="shared" si="17"/>
        <v>92.839195979899515</v>
      </c>
    </row>
    <row r="145" spans="1:13" ht="15" customHeight="1" x14ac:dyDescent="0.25">
      <c r="A145" s="13">
        <v>5858085</v>
      </c>
      <c r="B145" s="27">
        <v>40377</v>
      </c>
      <c r="C145" s="13" t="s">
        <v>170</v>
      </c>
      <c r="D145" s="13" t="s">
        <v>171</v>
      </c>
      <c r="E145" s="28">
        <v>32</v>
      </c>
      <c r="F145" s="25">
        <v>2.7</v>
      </c>
      <c r="G145" s="26">
        <f t="shared" si="18"/>
        <v>70.2</v>
      </c>
      <c r="H145" s="26">
        <v>115</v>
      </c>
      <c r="I145" s="26">
        <v>16.02</v>
      </c>
      <c r="J145" s="26">
        <f t="shared" si="19"/>
        <v>2.7</v>
      </c>
      <c r="K145" s="26">
        <f>H145+I145</f>
        <v>131.02000000000001</v>
      </c>
      <c r="L145" s="14">
        <f t="shared" si="16"/>
        <v>203.92</v>
      </c>
      <c r="M145" s="14">
        <f t="shared" si="17"/>
        <v>75.525925925925918</v>
      </c>
    </row>
    <row r="146" spans="1:13" ht="15" customHeight="1" x14ac:dyDescent="0.25">
      <c r="A146" s="13">
        <v>5858085</v>
      </c>
      <c r="B146" s="27">
        <v>40380</v>
      </c>
      <c r="C146" s="13" t="s">
        <v>173</v>
      </c>
      <c r="D146" s="13" t="s">
        <v>171</v>
      </c>
      <c r="E146" s="28">
        <v>30</v>
      </c>
      <c r="F146" s="25">
        <v>1.5</v>
      </c>
      <c r="G146" s="26">
        <f t="shared" si="18"/>
        <v>39</v>
      </c>
      <c r="H146" s="26">
        <v>115</v>
      </c>
      <c r="I146" s="26">
        <v>16.02</v>
      </c>
      <c r="J146" s="26">
        <f t="shared" si="19"/>
        <v>1.5</v>
      </c>
      <c r="K146" s="26">
        <f>H146+I146</f>
        <v>131.02000000000001</v>
      </c>
      <c r="L146" s="14">
        <f t="shared" si="16"/>
        <v>171.52</v>
      </c>
      <c r="M146" s="14">
        <f t="shared" si="17"/>
        <v>114.34666666666668</v>
      </c>
    </row>
    <row r="147" spans="1:13" ht="15.75" customHeight="1" x14ac:dyDescent="0.25">
      <c r="A147" s="13">
        <v>5858085</v>
      </c>
      <c r="B147" s="27">
        <v>40382</v>
      </c>
      <c r="C147" s="13" t="s">
        <v>110</v>
      </c>
      <c r="D147" s="13" t="s">
        <v>171</v>
      </c>
      <c r="E147" s="28">
        <v>35</v>
      </c>
      <c r="F147" s="25">
        <v>5.27</v>
      </c>
      <c r="G147" s="26">
        <f t="shared" si="18"/>
        <v>137.01999999999998</v>
      </c>
      <c r="H147" s="26">
        <v>115</v>
      </c>
      <c r="I147" s="26">
        <v>16.02</v>
      </c>
      <c r="J147" s="26">
        <f t="shared" si="19"/>
        <v>5.27</v>
      </c>
      <c r="K147" s="26"/>
      <c r="L147" s="14">
        <f t="shared" si="16"/>
        <v>273.30999999999995</v>
      </c>
      <c r="M147" s="14">
        <f t="shared" si="17"/>
        <v>51.861480075901319</v>
      </c>
    </row>
    <row r="148" spans="1:13" ht="15" customHeight="1" x14ac:dyDescent="0.25">
      <c r="A148" s="13">
        <v>5858085</v>
      </c>
      <c r="B148" s="27">
        <v>40382</v>
      </c>
      <c r="C148" s="13" t="s">
        <v>128</v>
      </c>
      <c r="D148" s="13" t="s">
        <v>169</v>
      </c>
      <c r="E148" s="28">
        <v>20</v>
      </c>
      <c r="F148" s="25">
        <v>1.21</v>
      </c>
      <c r="G148" s="26">
        <f t="shared" si="18"/>
        <v>31.46</v>
      </c>
      <c r="H148" s="26">
        <v>115</v>
      </c>
      <c r="I148" s="26">
        <v>16.02</v>
      </c>
      <c r="J148" s="26">
        <f t="shared" si="19"/>
        <v>1.21</v>
      </c>
      <c r="K148" s="26"/>
      <c r="L148" s="14">
        <f t="shared" si="16"/>
        <v>163.69000000000003</v>
      </c>
      <c r="M148" s="14">
        <f t="shared" si="17"/>
        <v>135.28099173553721</v>
      </c>
    </row>
    <row r="149" spans="1:13" ht="15" customHeight="1" x14ac:dyDescent="0.25">
      <c r="A149" s="13">
        <v>5858085</v>
      </c>
      <c r="B149" s="27">
        <v>40382</v>
      </c>
      <c r="C149" s="13" t="s">
        <v>110</v>
      </c>
      <c r="D149" s="13" t="s">
        <v>169</v>
      </c>
      <c r="E149" s="28">
        <v>40</v>
      </c>
      <c r="F149" s="25">
        <v>5.48</v>
      </c>
      <c r="G149" s="26">
        <f t="shared" si="18"/>
        <v>142.48000000000002</v>
      </c>
      <c r="H149" s="26">
        <v>115</v>
      </c>
      <c r="I149" s="26">
        <v>16.02</v>
      </c>
      <c r="J149" s="26">
        <f t="shared" si="19"/>
        <v>5.48</v>
      </c>
      <c r="K149" s="26"/>
      <c r="L149" s="14">
        <f t="shared" si="16"/>
        <v>278.98</v>
      </c>
      <c r="M149" s="14">
        <f t="shared" si="17"/>
        <v>50.908759124087588</v>
      </c>
    </row>
    <row r="150" spans="1:13" ht="15" customHeight="1" x14ac:dyDescent="0.25">
      <c r="A150" s="13">
        <v>5858085</v>
      </c>
      <c r="B150" s="27">
        <v>40382</v>
      </c>
      <c r="C150" s="13" t="s">
        <v>110</v>
      </c>
      <c r="D150" s="13" t="s">
        <v>169</v>
      </c>
      <c r="E150" s="28">
        <v>40</v>
      </c>
      <c r="F150" s="25">
        <v>3.66</v>
      </c>
      <c r="G150" s="26">
        <f t="shared" si="18"/>
        <v>95.16</v>
      </c>
      <c r="H150" s="26">
        <v>115</v>
      </c>
      <c r="I150" s="26">
        <v>16.02</v>
      </c>
      <c r="J150" s="26">
        <f t="shared" si="19"/>
        <v>3.66</v>
      </c>
      <c r="K150" s="26"/>
      <c r="L150" s="14">
        <f t="shared" si="16"/>
        <v>229.84</v>
      </c>
      <c r="M150" s="14">
        <f t="shared" si="17"/>
        <v>62.797814207650269</v>
      </c>
    </row>
    <row r="151" spans="1:13" ht="15" customHeight="1" x14ac:dyDescent="0.25">
      <c r="A151" s="13">
        <v>5858085</v>
      </c>
      <c r="B151" s="27">
        <v>40384</v>
      </c>
      <c r="C151" s="13" t="s">
        <v>170</v>
      </c>
      <c r="D151" s="13" t="s">
        <v>171</v>
      </c>
      <c r="E151" s="28">
        <v>32</v>
      </c>
      <c r="F151" s="25">
        <v>2</v>
      </c>
      <c r="G151" s="26">
        <f t="shared" si="18"/>
        <v>52</v>
      </c>
      <c r="H151" s="26">
        <v>115</v>
      </c>
      <c r="I151" s="26">
        <v>16.02</v>
      </c>
      <c r="J151" s="26">
        <f t="shared" si="19"/>
        <v>2</v>
      </c>
      <c r="K151" s="26">
        <f>H151+I151</f>
        <v>131.02000000000001</v>
      </c>
      <c r="L151" s="14">
        <f t="shared" si="16"/>
        <v>185.02</v>
      </c>
      <c r="M151" s="14">
        <f t="shared" si="17"/>
        <v>92.51</v>
      </c>
    </row>
    <row r="152" spans="1:13" ht="15" customHeight="1" x14ac:dyDescent="0.25">
      <c r="A152" s="13">
        <v>5858085</v>
      </c>
      <c r="B152" s="27">
        <v>40387</v>
      </c>
      <c r="C152" s="13" t="s">
        <v>173</v>
      </c>
      <c r="D152" s="13" t="s">
        <v>171</v>
      </c>
      <c r="E152" s="28">
        <v>30</v>
      </c>
      <c r="F152" s="25">
        <v>1.9</v>
      </c>
      <c r="G152" s="26">
        <f t="shared" si="18"/>
        <v>49.4</v>
      </c>
      <c r="H152" s="26">
        <v>115</v>
      </c>
      <c r="I152" s="26">
        <v>16.02</v>
      </c>
      <c r="J152" s="26">
        <f t="shared" si="19"/>
        <v>1.9</v>
      </c>
      <c r="K152" s="26">
        <f>H152+I152</f>
        <v>131.02000000000001</v>
      </c>
      <c r="L152" s="14">
        <f t="shared" si="16"/>
        <v>182.32000000000002</v>
      </c>
      <c r="M152" s="14">
        <f t="shared" si="17"/>
        <v>95.957894736842121</v>
      </c>
    </row>
    <row r="153" spans="1:13" x14ac:dyDescent="0.25">
      <c r="A153" s="13">
        <v>5531159</v>
      </c>
      <c r="B153" s="27">
        <v>40390</v>
      </c>
      <c r="C153" s="13" t="s">
        <v>174</v>
      </c>
      <c r="D153" s="13" t="s">
        <v>175</v>
      </c>
      <c r="E153" s="28">
        <v>6</v>
      </c>
      <c r="F153" s="29">
        <v>2.34</v>
      </c>
      <c r="H153" s="26">
        <v>104</v>
      </c>
      <c r="J153" s="26"/>
      <c r="K153" s="26"/>
      <c r="L153" s="14">
        <f t="shared" si="16"/>
        <v>104</v>
      </c>
      <c r="M153" s="14">
        <f t="shared" si="17"/>
        <v>44.44444444444445</v>
      </c>
    </row>
    <row r="154" spans="1:13" ht="15" customHeight="1" x14ac:dyDescent="0.25">
      <c r="A154" s="13">
        <v>5531159</v>
      </c>
      <c r="B154" s="27">
        <v>40390</v>
      </c>
      <c r="C154" s="13" t="s">
        <v>176</v>
      </c>
      <c r="D154" s="13" t="s">
        <v>175</v>
      </c>
      <c r="E154" s="28">
        <v>2</v>
      </c>
      <c r="F154" s="29">
        <v>0.78</v>
      </c>
      <c r="H154" s="26">
        <v>65</v>
      </c>
      <c r="J154" s="26"/>
      <c r="K154" s="26"/>
      <c r="L154" s="14">
        <f t="shared" si="16"/>
        <v>65</v>
      </c>
      <c r="M154" s="14">
        <f t="shared" si="17"/>
        <v>83.333333333333329</v>
      </c>
    </row>
    <row r="155" spans="1:13" ht="15" customHeight="1" x14ac:dyDescent="0.25">
      <c r="A155" s="13">
        <v>5531159</v>
      </c>
      <c r="B155" s="27">
        <v>40390</v>
      </c>
      <c r="C155" s="13" t="s">
        <v>176</v>
      </c>
      <c r="D155" s="13" t="s">
        <v>175</v>
      </c>
      <c r="E155" s="28">
        <v>2</v>
      </c>
      <c r="F155" s="29">
        <v>0.78</v>
      </c>
      <c r="H155" s="26">
        <v>65</v>
      </c>
      <c r="J155" s="26"/>
      <c r="K155" s="26"/>
      <c r="L155" s="14">
        <f t="shared" si="16"/>
        <v>65</v>
      </c>
      <c r="M155" s="14">
        <f t="shared" si="17"/>
        <v>83.333333333333329</v>
      </c>
    </row>
    <row r="156" spans="1:13" ht="15" customHeight="1" x14ac:dyDescent="0.25">
      <c r="A156" s="13">
        <v>5531606</v>
      </c>
      <c r="B156" s="27">
        <v>40390</v>
      </c>
      <c r="C156" s="13" t="s">
        <v>177</v>
      </c>
      <c r="D156" s="13" t="s">
        <v>175</v>
      </c>
      <c r="E156" s="28">
        <v>8</v>
      </c>
      <c r="F156" s="29">
        <v>4.68</v>
      </c>
      <c r="H156" s="26">
        <v>189</v>
      </c>
      <c r="J156" s="26"/>
      <c r="K156" s="26"/>
      <c r="L156" s="14">
        <f t="shared" si="16"/>
        <v>189</v>
      </c>
      <c r="M156" s="14">
        <f t="shared" si="17"/>
        <v>40.384615384615387</v>
      </c>
    </row>
    <row r="157" spans="1:13" ht="15" customHeight="1" x14ac:dyDescent="0.25">
      <c r="A157" s="13">
        <v>5534453</v>
      </c>
      <c r="B157" s="27">
        <v>40390</v>
      </c>
      <c r="C157" s="13" t="s">
        <v>178</v>
      </c>
      <c r="D157" s="13" t="s">
        <v>171</v>
      </c>
      <c r="E157" s="28">
        <v>6</v>
      </c>
      <c r="F157" s="29">
        <v>3.9</v>
      </c>
      <c r="H157" s="26">
        <v>155.88</v>
      </c>
      <c r="J157" s="26"/>
      <c r="K157" s="26"/>
      <c r="L157" s="14">
        <f t="shared" si="16"/>
        <v>155.88</v>
      </c>
      <c r="M157" s="14">
        <f t="shared" si="17"/>
        <v>39.969230769230769</v>
      </c>
    </row>
    <row r="158" spans="1:13" ht="15" customHeight="1" x14ac:dyDescent="0.25">
      <c r="A158" s="13">
        <v>5534793</v>
      </c>
      <c r="B158" s="27">
        <v>40390</v>
      </c>
      <c r="C158" s="13" t="s">
        <v>179</v>
      </c>
      <c r="D158" s="13" t="s">
        <v>175</v>
      </c>
      <c r="E158" s="28">
        <v>2</v>
      </c>
      <c r="F158" s="29">
        <v>0.39</v>
      </c>
      <c r="H158" s="26">
        <v>48</v>
      </c>
      <c r="J158" s="26"/>
      <c r="K158" s="26"/>
      <c r="L158" s="14">
        <f t="shared" si="16"/>
        <v>48</v>
      </c>
      <c r="M158" s="14">
        <f t="shared" si="17"/>
        <v>123.07692307692307</v>
      </c>
    </row>
    <row r="159" spans="1:13" ht="15" customHeight="1" x14ac:dyDescent="0.25">
      <c r="A159" s="13">
        <v>5858085</v>
      </c>
      <c r="B159" s="27">
        <v>40390</v>
      </c>
      <c r="C159" s="13" t="s">
        <v>170</v>
      </c>
      <c r="D159" s="13" t="s">
        <v>171</v>
      </c>
      <c r="E159" s="28">
        <v>32</v>
      </c>
      <c r="F159" s="25">
        <v>2.16</v>
      </c>
      <c r="G159" s="26">
        <f t="shared" ref="G159:G177" si="20">F159*$G$2</f>
        <v>56.160000000000004</v>
      </c>
      <c r="H159" s="26">
        <v>115</v>
      </c>
      <c r="I159" s="26">
        <v>16.02</v>
      </c>
      <c r="J159" s="26">
        <f t="shared" ref="J159:J177" si="21">F159</f>
        <v>2.16</v>
      </c>
      <c r="K159" s="26">
        <f>H159+I159</f>
        <v>131.02000000000001</v>
      </c>
      <c r="L159" s="14">
        <f t="shared" si="16"/>
        <v>189.34</v>
      </c>
      <c r="M159" s="14">
        <f t="shared" si="17"/>
        <v>87.657407407407405</v>
      </c>
    </row>
    <row r="160" spans="1:13" ht="15" customHeight="1" x14ac:dyDescent="0.25">
      <c r="A160" s="13">
        <v>5877672</v>
      </c>
      <c r="B160" s="27">
        <v>40392</v>
      </c>
      <c r="C160" s="13" t="s">
        <v>172</v>
      </c>
      <c r="D160" s="13" t="s">
        <v>169</v>
      </c>
      <c r="E160" s="28">
        <v>40</v>
      </c>
      <c r="F160" s="25">
        <v>2.4700000000000002</v>
      </c>
      <c r="G160" s="26">
        <f t="shared" si="20"/>
        <v>64.22</v>
      </c>
      <c r="H160" s="26">
        <v>115</v>
      </c>
      <c r="I160" s="26">
        <v>16.02</v>
      </c>
      <c r="J160" s="26">
        <f t="shared" si="21"/>
        <v>2.4700000000000002</v>
      </c>
      <c r="K160" s="26"/>
      <c r="L160" s="14">
        <f t="shared" si="16"/>
        <v>197.71</v>
      </c>
      <c r="M160" s="14">
        <f t="shared" si="17"/>
        <v>80.044534412955457</v>
      </c>
    </row>
    <row r="161" spans="1:13" ht="15" customHeight="1" x14ac:dyDescent="0.25">
      <c r="A161" s="13">
        <v>5877672</v>
      </c>
      <c r="B161" s="27">
        <v>40395</v>
      </c>
      <c r="C161" s="13" t="s">
        <v>110</v>
      </c>
      <c r="D161" s="13" t="s">
        <v>169</v>
      </c>
      <c r="E161" s="28">
        <v>40</v>
      </c>
      <c r="F161" s="29">
        <v>2.97</v>
      </c>
      <c r="G161" s="26">
        <f t="shared" si="20"/>
        <v>77.22</v>
      </c>
      <c r="H161" s="26">
        <v>115</v>
      </c>
      <c r="I161" s="26">
        <v>16.02</v>
      </c>
      <c r="J161" s="26">
        <f t="shared" si="21"/>
        <v>2.97</v>
      </c>
      <c r="K161" s="26"/>
      <c r="L161" s="14">
        <f t="shared" si="16"/>
        <v>211.21</v>
      </c>
      <c r="M161" s="14">
        <f t="shared" si="17"/>
        <v>71.114478114478118</v>
      </c>
    </row>
    <row r="162" spans="1:13" ht="15" customHeight="1" x14ac:dyDescent="0.25">
      <c r="A162" s="13">
        <v>5877672</v>
      </c>
      <c r="B162" s="27">
        <v>40395</v>
      </c>
      <c r="C162" s="13" t="s">
        <v>173</v>
      </c>
      <c r="D162" s="13" t="s">
        <v>171</v>
      </c>
      <c r="E162" s="28">
        <v>30</v>
      </c>
      <c r="F162" s="29">
        <v>2.0099999999999998</v>
      </c>
      <c r="G162" s="26">
        <f t="shared" si="20"/>
        <v>52.259999999999991</v>
      </c>
      <c r="H162" s="26">
        <v>115</v>
      </c>
      <c r="I162" s="26">
        <v>16.02</v>
      </c>
      <c r="J162" s="26">
        <f t="shared" si="21"/>
        <v>2.0099999999999998</v>
      </c>
      <c r="K162" s="26">
        <f>H162+I162</f>
        <v>131.02000000000001</v>
      </c>
      <c r="L162" s="14">
        <f t="shared" si="16"/>
        <v>185.29</v>
      </c>
      <c r="M162" s="14">
        <f t="shared" si="17"/>
        <v>92.184079601990049</v>
      </c>
    </row>
    <row r="163" spans="1:13" ht="15" customHeight="1" x14ac:dyDescent="0.25">
      <c r="A163" s="13">
        <v>5877672</v>
      </c>
      <c r="B163" s="27">
        <v>40398</v>
      </c>
      <c r="C163" s="13" t="s">
        <v>170</v>
      </c>
      <c r="D163" s="13" t="s">
        <v>171</v>
      </c>
      <c r="E163" s="28">
        <v>32</v>
      </c>
      <c r="F163" s="29">
        <v>2.0099999999999998</v>
      </c>
      <c r="G163" s="26">
        <f t="shared" si="20"/>
        <v>52.259999999999991</v>
      </c>
      <c r="H163" s="26">
        <v>115</v>
      </c>
      <c r="I163" s="26">
        <v>16.16</v>
      </c>
      <c r="J163" s="26">
        <f t="shared" si="21"/>
        <v>2.0099999999999998</v>
      </c>
      <c r="K163" s="26">
        <f>H163+I163</f>
        <v>131.16</v>
      </c>
      <c r="L163" s="14">
        <f t="shared" si="16"/>
        <v>185.42999999999998</v>
      </c>
      <c r="M163" s="14">
        <f t="shared" si="17"/>
        <v>92.253731343283576</v>
      </c>
    </row>
    <row r="164" spans="1:13" ht="15" customHeight="1" x14ac:dyDescent="0.25">
      <c r="A164" s="13">
        <v>5877672</v>
      </c>
      <c r="B164" s="27">
        <v>40400</v>
      </c>
      <c r="C164" s="13" t="s">
        <v>173</v>
      </c>
      <c r="D164" s="13" t="s">
        <v>171</v>
      </c>
      <c r="E164" s="28">
        <v>30</v>
      </c>
      <c r="F164" s="29">
        <v>0.22</v>
      </c>
      <c r="G164" s="26">
        <f t="shared" si="20"/>
        <v>5.72</v>
      </c>
      <c r="H164" s="26">
        <v>115</v>
      </c>
      <c r="I164" s="26">
        <v>16.02</v>
      </c>
      <c r="J164" s="26">
        <f t="shared" si="21"/>
        <v>0.22</v>
      </c>
      <c r="K164" s="26">
        <f>H164+I164</f>
        <v>131.02000000000001</v>
      </c>
      <c r="L164" s="14">
        <f t="shared" si="16"/>
        <v>136.96</v>
      </c>
      <c r="M164" s="14">
        <f t="shared" si="17"/>
        <v>622.54545454545462</v>
      </c>
    </row>
    <row r="165" spans="1:13" ht="15" customHeight="1" x14ac:dyDescent="0.25">
      <c r="A165" s="13">
        <v>5877672</v>
      </c>
      <c r="B165" s="27">
        <v>40400</v>
      </c>
      <c r="C165" s="13" t="s">
        <v>128</v>
      </c>
      <c r="D165" s="13" t="s">
        <v>169</v>
      </c>
      <c r="E165" s="28">
        <v>20</v>
      </c>
      <c r="F165" s="29">
        <v>1.32</v>
      </c>
      <c r="G165" s="26">
        <f t="shared" si="20"/>
        <v>34.32</v>
      </c>
      <c r="H165" s="26">
        <v>115</v>
      </c>
      <c r="I165" s="26">
        <v>16.02</v>
      </c>
      <c r="J165" s="26">
        <f t="shared" si="21"/>
        <v>1.32</v>
      </c>
      <c r="K165" s="26"/>
      <c r="L165" s="14">
        <f t="shared" si="16"/>
        <v>166.66</v>
      </c>
      <c r="M165" s="14">
        <f t="shared" si="17"/>
        <v>126.25757575757575</v>
      </c>
    </row>
    <row r="166" spans="1:13" ht="15" customHeight="1" x14ac:dyDescent="0.25">
      <c r="A166" s="13">
        <v>5877672</v>
      </c>
      <c r="B166" s="27">
        <v>40400</v>
      </c>
      <c r="C166" s="13" t="s">
        <v>172</v>
      </c>
      <c r="D166" s="13" t="s">
        <v>169</v>
      </c>
      <c r="E166" s="28">
        <v>40</v>
      </c>
      <c r="F166" s="29">
        <v>3.49</v>
      </c>
      <c r="G166" s="26">
        <f t="shared" si="20"/>
        <v>90.740000000000009</v>
      </c>
      <c r="H166" s="26">
        <v>115</v>
      </c>
      <c r="I166" s="26">
        <v>16.02</v>
      </c>
      <c r="J166" s="26">
        <f t="shared" si="21"/>
        <v>3.49</v>
      </c>
      <c r="K166" s="26"/>
      <c r="L166" s="14">
        <f t="shared" si="16"/>
        <v>225.25000000000003</v>
      </c>
      <c r="M166" s="14">
        <f t="shared" si="17"/>
        <v>64.541547277936971</v>
      </c>
    </row>
    <row r="167" spans="1:13" ht="15" customHeight="1" x14ac:dyDescent="0.25">
      <c r="A167" s="13">
        <v>5877672</v>
      </c>
      <c r="B167" s="27">
        <v>40405</v>
      </c>
      <c r="C167" s="13" t="s">
        <v>170</v>
      </c>
      <c r="D167" s="13" t="s">
        <v>171</v>
      </c>
      <c r="E167" s="28">
        <v>32</v>
      </c>
      <c r="F167" s="29">
        <v>2.14</v>
      </c>
      <c r="G167" s="26">
        <f t="shared" si="20"/>
        <v>55.64</v>
      </c>
      <c r="H167" s="26">
        <v>115</v>
      </c>
      <c r="I167" s="26">
        <v>16.02</v>
      </c>
      <c r="J167" s="26">
        <f t="shared" si="21"/>
        <v>2.14</v>
      </c>
      <c r="K167" s="26">
        <f>H167+I167</f>
        <v>131.02000000000001</v>
      </c>
      <c r="L167" s="14">
        <f t="shared" si="16"/>
        <v>188.79999999999998</v>
      </c>
      <c r="M167" s="14">
        <f t="shared" si="17"/>
        <v>88.224299065420553</v>
      </c>
    </row>
    <row r="168" spans="1:13" ht="15" customHeight="1" x14ac:dyDescent="0.25">
      <c r="A168" s="13">
        <v>5877672</v>
      </c>
      <c r="B168" s="27">
        <v>40406</v>
      </c>
      <c r="C168" s="13" t="s">
        <v>128</v>
      </c>
      <c r="D168" s="13" t="s">
        <v>169</v>
      </c>
      <c r="E168" s="28">
        <v>20</v>
      </c>
      <c r="F168" s="29">
        <v>0.61</v>
      </c>
      <c r="G168" s="26">
        <f t="shared" si="20"/>
        <v>15.86</v>
      </c>
      <c r="H168" s="26">
        <v>115</v>
      </c>
      <c r="I168" s="26">
        <v>16.02</v>
      </c>
      <c r="J168" s="26">
        <f t="shared" si="21"/>
        <v>0.61</v>
      </c>
      <c r="K168" s="26"/>
      <c r="L168" s="14">
        <f t="shared" si="16"/>
        <v>147.49000000000004</v>
      </c>
      <c r="M168" s="14">
        <f t="shared" si="17"/>
        <v>241.78688524590171</v>
      </c>
    </row>
    <row r="169" spans="1:13" ht="15" customHeight="1" x14ac:dyDescent="0.25">
      <c r="A169" s="13">
        <v>5877672</v>
      </c>
      <c r="B169" s="27">
        <v>40408</v>
      </c>
      <c r="C169" s="13" t="s">
        <v>173</v>
      </c>
      <c r="D169" s="13" t="s">
        <v>171</v>
      </c>
      <c r="E169" s="28">
        <v>30</v>
      </c>
      <c r="F169" s="29">
        <v>2.13</v>
      </c>
      <c r="G169" s="26">
        <f t="shared" si="20"/>
        <v>55.379999999999995</v>
      </c>
      <c r="H169" s="26">
        <v>115</v>
      </c>
      <c r="I169" s="26">
        <v>16.02</v>
      </c>
      <c r="J169" s="26">
        <f t="shared" si="21"/>
        <v>2.13</v>
      </c>
      <c r="K169" s="26">
        <f>H169+I169</f>
        <v>131.02000000000001</v>
      </c>
      <c r="L169" s="14">
        <f t="shared" si="16"/>
        <v>188.53</v>
      </c>
      <c r="M169" s="14">
        <f t="shared" si="17"/>
        <v>88.511737089201887</v>
      </c>
    </row>
    <row r="170" spans="1:13" ht="15" customHeight="1" x14ac:dyDescent="0.25">
      <c r="A170" s="13">
        <v>5877672</v>
      </c>
      <c r="B170" s="27">
        <v>40409</v>
      </c>
      <c r="C170" s="13" t="s">
        <v>172</v>
      </c>
      <c r="D170" s="13" t="s">
        <v>169</v>
      </c>
      <c r="E170" s="28">
        <v>40</v>
      </c>
      <c r="F170" s="29">
        <v>1.64</v>
      </c>
      <c r="G170" s="26">
        <f t="shared" si="20"/>
        <v>42.64</v>
      </c>
      <c r="H170" s="26">
        <v>115</v>
      </c>
      <c r="I170" s="26">
        <v>16.02</v>
      </c>
      <c r="J170" s="26">
        <f t="shared" si="21"/>
        <v>1.64</v>
      </c>
      <c r="K170" s="26"/>
      <c r="L170" s="14">
        <f t="shared" si="16"/>
        <v>175.29999999999998</v>
      </c>
      <c r="M170" s="14">
        <f t="shared" si="17"/>
        <v>106.89024390243902</v>
      </c>
    </row>
    <row r="171" spans="1:13" ht="15" customHeight="1" x14ac:dyDescent="0.25">
      <c r="A171" s="13">
        <v>5877672</v>
      </c>
      <c r="B171" s="27">
        <v>40409</v>
      </c>
      <c r="C171" s="13" t="s">
        <v>41</v>
      </c>
      <c r="D171" s="13" t="s">
        <v>169</v>
      </c>
      <c r="E171" s="28">
        <v>40</v>
      </c>
      <c r="F171" s="29">
        <v>1.06</v>
      </c>
      <c r="G171" s="26">
        <f t="shared" si="20"/>
        <v>27.560000000000002</v>
      </c>
      <c r="H171" s="26">
        <v>115</v>
      </c>
      <c r="I171" s="26">
        <v>16.02</v>
      </c>
      <c r="J171" s="26">
        <f t="shared" si="21"/>
        <v>1.06</v>
      </c>
      <c r="K171" s="26"/>
      <c r="L171" s="14">
        <f t="shared" si="16"/>
        <v>159.64000000000001</v>
      </c>
      <c r="M171" s="14">
        <f t="shared" si="17"/>
        <v>150.60377358490567</v>
      </c>
    </row>
    <row r="172" spans="1:13" ht="15" customHeight="1" x14ac:dyDescent="0.25">
      <c r="A172" s="13">
        <v>5877672</v>
      </c>
      <c r="B172" s="27">
        <v>40410</v>
      </c>
      <c r="C172" s="13" t="s">
        <v>170</v>
      </c>
      <c r="D172" s="13" t="s">
        <v>171</v>
      </c>
      <c r="E172" s="28">
        <v>32</v>
      </c>
      <c r="F172" s="29">
        <v>2.31</v>
      </c>
      <c r="G172" s="26">
        <f t="shared" si="20"/>
        <v>60.06</v>
      </c>
      <c r="H172" s="26">
        <v>115</v>
      </c>
      <c r="I172" s="26">
        <v>16.02</v>
      </c>
      <c r="J172" s="26">
        <f t="shared" si="21"/>
        <v>2.31</v>
      </c>
      <c r="K172" s="26">
        <f>H172+I172</f>
        <v>131.02000000000001</v>
      </c>
      <c r="L172" s="14">
        <f t="shared" si="16"/>
        <v>193.39000000000001</v>
      </c>
      <c r="M172" s="14">
        <f t="shared" si="17"/>
        <v>83.718614718614717</v>
      </c>
    </row>
    <row r="173" spans="1:13" ht="15" customHeight="1" x14ac:dyDescent="0.25">
      <c r="A173" s="13">
        <v>5877672</v>
      </c>
      <c r="B173" s="27">
        <v>40413</v>
      </c>
      <c r="C173" s="13" t="s">
        <v>128</v>
      </c>
      <c r="D173" s="13" t="s">
        <v>171</v>
      </c>
      <c r="E173" s="28">
        <v>35</v>
      </c>
      <c r="F173" s="29">
        <v>6.4</v>
      </c>
      <c r="G173" s="26">
        <f t="shared" si="20"/>
        <v>166.4</v>
      </c>
      <c r="H173" s="26">
        <v>115</v>
      </c>
      <c r="I173" s="26">
        <v>16.16</v>
      </c>
      <c r="J173" s="26">
        <f t="shared" si="21"/>
        <v>6.4</v>
      </c>
      <c r="K173" s="26"/>
      <c r="L173" s="14">
        <f t="shared" si="16"/>
        <v>303.95999999999998</v>
      </c>
      <c r="M173" s="14">
        <f t="shared" si="17"/>
        <v>47.493749999999991</v>
      </c>
    </row>
    <row r="174" spans="1:13" ht="15" customHeight="1" x14ac:dyDescent="0.25">
      <c r="A174" s="13">
        <v>5877672</v>
      </c>
      <c r="B174" s="27">
        <v>40414</v>
      </c>
      <c r="C174" s="13" t="s">
        <v>173</v>
      </c>
      <c r="D174" s="13" t="s">
        <v>171</v>
      </c>
      <c r="E174" s="28">
        <v>30</v>
      </c>
      <c r="F174" s="29">
        <v>2.4700000000000002</v>
      </c>
      <c r="G174" s="26">
        <f t="shared" si="20"/>
        <v>64.22</v>
      </c>
      <c r="H174" s="26">
        <v>115</v>
      </c>
      <c r="I174" s="26">
        <v>16.16</v>
      </c>
      <c r="J174" s="26">
        <f t="shared" si="21"/>
        <v>2.4700000000000002</v>
      </c>
      <c r="K174" s="26">
        <f>H174+I174</f>
        <v>131.16</v>
      </c>
      <c r="L174" s="14">
        <f t="shared" si="16"/>
        <v>197.85</v>
      </c>
      <c r="M174" s="14">
        <f t="shared" si="17"/>
        <v>80.101214574898776</v>
      </c>
    </row>
    <row r="175" spans="1:13" ht="15" customHeight="1" x14ac:dyDescent="0.25">
      <c r="A175" s="13">
        <v>5877672</v>
      </c>
      <c r="B175" s="27">
        <v>40416</v>
      </c>
      <c r="C175" s="13" t="s">
        <v>128</v>
      </c>
      <c r="D175" s="13" t="s">
        <v>169</v>
      </c>
      <c r="E175" s="28">
        <v>20</v>
      </c>
      <c r="F175" s="29">
        <v>1.77</v>
      </c>
      <c r="G175" s="26">
        <f t="shared" si="20"/>
        <v>46.02</v>
      </c>
      <c r="H175" s="26">
        <v>115</v>
      </c>
      <c r="I175" s="26">
        <v>16.16</v>
      </c>
      <c r="J175" s="26">
        <f t="shared" si="21"/>
        <v>1.77</v>
      </c>
      <c r="K175" s="26"/>
      <c r="L175" s="14">
        <f t="shared" si="16"/>
        <v>178.95000000000002</v>
      </c>
      <c r="M175" s="14">
        <f t="shared" si="17"/>
        <v>101.10169491525424</v>
      </c>
    </row>
    <row r="176" spans="1:13" ht="15" customHeight="1" x14ac:dyDescent="0.25">
      <c r="A176" s="13">
        <v>5877672</v>
      </c>
      <c r="B176" s="27">
        <v>40418</v>
      </c>
      <c r="C176" s="13" t="s">
        <v>170</v>
      </c>
      <c r="D176" s="13" t="s">
        <v>171</v>
      </c>
      <c r="E176" s="28">
        <v>32</v>
      </c>
      <c r="F176" s="29">
        <v>2.0299999999999998</v>
      </c>
      <c r="G176" s="26">
        <f t="shared" si="20"/>
        <v>52.779999999999994</v>
      </c>
      <c r="H176" s="26">
        <v>115</v>
      </c>
      <c r="I176" s="26">
        <v>16.16</v>
      </c>
      <c r="J176" s="26">
        <f t="shared" si="21"/>
        <v>2.0299999999999998</v>
      </c>
      <c r="K176" s="26">
        <f>H176+I176</f>
        <v>131.16</v>
      </c>
      <c r="L176" s="14">
        <f t="shared" si="16"/>
        <v>185.97</v>
      </c>
      <c r="M176" s="14">
        <f t="shared" si="17"/>
        <v>91.610837438423658</v>
      </c>
    </row>
    <row r="177" spans="1:13" ht="15" customHeight="1" x14ac:dyDescent="0.25">
      <c r="A177" s="13">
        <v>5877672</v>
      </c>
      <c r="B177" s="27">
        <v>40420</v>
      </c>
      <c r="C177" s="13" t="s">
        <v>170</v>
      </c>
      <c r="D177" s="13" t="s">
        <v>171</v>
      </c>
      <c r="E177" s="28">
        <v>32</v>
      </c>
      <c r="F177" s="29">
        <v>4.6100000000000003</v>
      </c>
      <c r="G177" s="26">
        <f t="shared" si="20"/>
        <v>119.86000000000001</v>
      </c>
      <c r="H177" s="26">
        <v>115</v>
      </c>
      <c r="I177" s="26">
        <v>16.16</v>
      </c>
      <c r="J177" s="26">
        <f t="shared" si="21"/>
        <v>4.6100000000000003</v>
      </c>
      <c r="K177" s="26">
        <f>H177+I177</f>
        <v>131.16</v>
      </c>
      <c r="L177" s="14">
        <f t="shared" si="16"/>
        <v>255.63000000000002</v>
      </c>
      <c r="M177" s="14">
        <f t="shared" si="17"/>
        <v>55.451193058568329</v>
      </c>
    </row>
    <row r="178" spans="1:13" x14ac:dyDescent="0.25">
      <c r="A178" s="13">
        <v>5539622</v>
      </c>
      <c r="B178" s="27">
        <v>40421</v>
      </c>
      <c r="C178" s="13" t="s">
        <v>174</v>
      </c>
      <c r="D178" s="13" t="s">
        <v>175</v>
      </c>
      <c r="E178" s="28">
        <v>6</v>
      </c>
      <c r="F178" s="29">
        <v>2.34</v>
      </c>
      <c r="H178" s="26">
        <v>104</v>
      </c>
      <c r="I178" s="26">
        <v>0</v>
      </c>
      <c r="J178" s="26"/>
      <c r="K178" s="26"/>
      <c r="L178" s="14">
        <f t="shared" si="16"/>
        <v>104</v>
      </c>
      <c r="M178" s="14">
        <f t="shared" si="17"/>
        <v>44.44444444444445</v>
      </c>
    </row>
    <row r="179" spans="1:13" ht="15" customHeight="1" x14ac:dyDescent="0.25">
      <c r="A179" s="13">
        <v>5539622</v>
      </c>
      <c r="B179" s="27">
        <v>40421</v>
      </c>
      <c r="C179" s="13" t="s">
        <v>176</v>
      </c>
      <c r="D179" s="13" t="s">
        <v>175</v>
      </c>
      <c r="E179" s="28">
        <v>2</v>
      </c>
      <c r="F179" s="29">
        <v>0.78</v>
      </c>
      <c r="H179" s="26">
        <v>65</v>
      </c>
      <c r="I179" s="26">
        <v>0</v>
      </c>
      <c r="J179" s="26"/>
      <c r="K179" s="26"/>
      <c r="L179" s="14">
        <f t="shared" si="16"/>
        <v>65</v>
      </c>
      <c r="M179" s="14">
        <f t="shared" si="17"/>
        <v>83.333333333333329</v>
      </c>
    </row>
    <row r="180" spans="1:13" ht="15" customHeight="1" x14ac:dyDescent="0.25">
      <c r="A180" s="13">
        <v>5539622</v>
      </c>
      <c r="B180" s="27">
        <v>40421</v>
      </c>
      <c r="C180" s="13" t="s">
        <v>176</v>
      </c>
      <c r="D180" s="13" t="s">
        <v>175</v>
      </c>
      <c r="E180" s="28">
        <v>2</v>
      </c>
      <c r="F180" s="29">
        <v>0.78</v>
      </c>
      <c r="H180" s="26">
        <v>65</v>
      </c>
      <c r="I180" s="26">
        <v>0</v>
      </c>
      <c r="J180" s="26"/>
      <c r="K180" s="26"/>
      <c r="L180" s="14">
        <f t="shared" si="16"/>
        <v>65</v>
      </c>
      <c r="M180" s="14">
        <f t="shared" si="17"/>
        <v>83.333333333333329</v>
      </c>
    </row>
    <row r="181" spans="1:13" ht="15" customHeight="1" x14ac:dyDescent="0.25">
      <c r="A181" s="13">
        <v>5540071</v>
      </c>
      <c r="B181" s="27">
        <v>40421</v>
      </c>
      <c r="C181" s="13" t="s">
        <v>177</v>
      </c>
      <c r="D181" s="13" t="s">
        <v>175</v>
      </c>
      <c r="E181" s="28">
        <v>8</v>
      </c>
      <c r="F181" s="29">
        <v>4.68</v>
      </c>
      <c r="H181" s="26">
        <v>189</v>
      </c>
      <c r="J181" s="26"/>
      <c r="K181" s="26"/>
      <c r="L181" s="14">
        <f t="shared" si="16"/>
        <v>189</v>
      </c>
      <c r="M181" s="14">
        <f t="shared" si="17"/>
        <v>40.384615384615387</v>
      </c>
    </row>
    <row r="182" spans="1:13" ht="15" customHeight="1" x14ac:dyDescent="0.25">
      <c r="A182" s="13">
        <v>5542884</v>
      </c>
      <c r="B182" s="27">
        <v>40421</v>
      </c>
      <c r="C182" s="13" t="s">
        <v>178</v>
      </c>
      <c r="D182" s="13" t="s">
        <v>171</v>
      </c>
      <c r="E182" s="28">
        <v>6</v>
      </c>
      <c r="F182" s="29">
        <v>3.9</v>
      </c>
      <c r="H182" s="26">
        <v>155.88</v>
      </c>
      <c r="I182" s="26">
        <v>0</v>
      </c>
      <c r="J182" s="26"/>
      <c r="K182" s="26"/>
      <c r="L182" s="14">
        <f t="shared" si="16"/>
        <v>155.88</v>
      </c>
      <c r="M182" s="14">
        <f t="shared" si="17"/>
        <v>39.969230769230769</v>
      </c>
    </row>
    <row r="183" spans="1:13" ht="15" customHeight="1" x14ac:dyDescent="0.25">
      <c r="A183" s="13">
        <v>5543216</v>
      </c>
      <c r="B183" s="27">
        <v>40421</v>
      </c>
      <c r="C183" s="13" t="s">
        <v>176</v>
      </c>
      <c r="D183" s="13" t="s">
        <v>175</v>
      </c>
      <c r="E183" s="28">
        <v>2</v>
      </c>
      <c r="F183" s="29">
        <v>0.78</v>
      </c>
      <c r="H183" s="26">
        <v>65</v>
      </c>
      <c r="I183" s="26">
        <v>0</v>
      </c>
      <c r="J183" s="26"/>
      <c r="K183" s="26"/>
      <c r="L183" s="14">
        <f t="shared" si="16"/>
        <v>65</v>
      </c>
      <c r="M183" s="14">
        <f t="shared" si="17"/>
        <v>83.333333333333329</v>
      </c>
    </row>
    <row r="184" spans="1:13" ht="15" customHeight="1" x14ac:dyDescent="0.25">
      <c r="A184" s="13">
        <v>5877672</v>
      </c>
      <c r="B184" s="27">
        <v>40421</v>
      </c>
      <c r="C184" s="13" t="s">
        <v>110</v>
      </c>
      <c r="D184" s="13" t="s">
        <v>169</v>
      </c>
      <c r="E184" s="28">
        <v>40</v>
      </c>
      <c r="F184" s="29">
        <v>4.7300000000000004</v>
      </c>
      <c r="G184" s="26">
        <f t="shared" ref="G184:G204" si="22">F184*$G$2</f>
        <v>122.98000000000002</v>
      </c>
      <c r="H184" s="26">
        <v>115</v>
      </c>
      <c r="I184" s="26">
        <v>16.16</v>
      </c>
      <c r="J184" s="26">
        <f t="shared" ref="J184:J204" si="23">F184</f>
        <v>4.7300000000000004</v>
      </c>
      <c r="K184" s="26"/>
      <c r="L184" s="14">
        <f t="shared" si="16"/>
        <v>258.87</v>
      </c>
      <c r="M184" s="14">
        <f t="shared" si="17"/>
        <v>54.729386892177587</v>
      </c>
    </row>
    <row r="185" spans="1:13" ht="15" customHeight="1" x14ac:dyDescent="0.25">
      <c r="A185" s="13">
        <v>5896053</v>
      </c>
      <c r="B185" s="27">
        <v>40422</v>
      </c>
      <c r="C185" s="13" t="s">
        <v>173</v>
      </c>
      <c r="D185" s="13" t="s">
        <v>171</v>
      </c>
      <c r="E185" s="28">
        <v>30</v>
      </c>
      <c r="F185" s="25">
        <v>1.21</v>
      </c>
      <c r="G185" s="26">
        <f t="shared" si="22"/>
        <v>31.46</v>
      </c>
      <c r="H185" s="26">
        <v>115</v>
      </c>
      <c r="I185" s="26">
        <v>16.190000000000001</v>
      </c>
      <c r="J185" s="26">
        <f t="shared" si="23"/>
        <v>1.21</v>
      </c>
      <c r="K185" s="26">
        <f>H185+I185</f>
        <v>131.19</v>
      </c>
      <c r="L185" s="14">
        <f t="shared" si="16"/>
        <v>163.86</v>
      </c>
      <c r="M185" s="14">
        <f t="shared" si="17"/>
        <v>135.42148760330579</v>
      </c>
    </row>
    <row r="186" spans="1:13" ht="15" customHeight="1" x14ac:dyDescent="0.25">
      <c r="A186" s="13">
        <v>5896053</v>
      </c>
      <c r="B186" s="27">
        <v>40422</v>
      </c>
      <c r="C186" s="13" t="s">
        <v>128</v>
      </c>
      <c r="D186" s="13" t="s">
        <v>169</v>
      </c>
      <c r="E186" s="28">
        <v>20</v>
      </c>
      <c r="F186" s="25">
        <v>2.5</v>
      </c>
      <c r="G186" s="26">
        <f t="shared" si="22"/>
        <v>65</v>
      </c>
      <c r="H186" s="26">
        <v>115</v>
      </c>
      <c r="I186" s="26">
        <v>16.190000000000001</v>
      </c>
      <c r="J186" s="26">
        <f t="shared" si="23"/>
        <v>2.5</v>
      </c>
      <c r="K186" s="26"/>
      <c r="L186" s="14">
        <f t="shared" si="16"/>
        <v>198.69</v>
      </c>
      <c r="M186" s="14">
        <f t="shared" si="17"/>
        <v>79.475999999999999</v>
      </c>
    </row>
    <row r="187" spans="1:13" ht="15" customHeight="1" x14ac:dyDescent="0.25">
      <c r="A187" s="13">
        <v>5896053</v>
      </c>
      <c r="B187" s="27">
        <v>40425</v>
      </c>
      <c r="C187" s="13" t="s">
        <v>170</v>
      </c>
      <c r="D187" s="13" t="s">
        <v>171</v>
      </c>
      <c r="E187" s="28">
        <v>32</v>
      </c>
      <c r="F187" s="25">
        <v>1.47</v>
      </c>
      <c r="G187" s="26">
        <f t="shared" si="22"/>
        <v>38.22</v>
      </c>
      <c r="H187" s="26">
        <v>115</v>
      </c>
      <c r="I187" s="26">
        <v>16.190000000000001</v>
      </c>
      <c r="J187" s="26">
        <f t="shared" si="23"/>
        <v>1.47</v>
      </c>
      <c r="K187" s="26">
        <f>H187+I187</f>
        <v>131.19</v>
      </c>
      <c r="L187" s="14">
        <f t="shared" si="16"/>
        <v>170.88</v>
      </c>
      <c r="M187" s="14">
        <f t="shared" si="17"/>
        <v>116.24489795918367</v>
      </c>
    </row>
    <row r="188" spans="1:13" ht="15" customHeight="1" x14ac:dyDescent="0.25">
      <c r="A188" s="13">
        <v>5896053</v>
      </c>
      <c r="B188" s="27">
        <v>40428</v>
      </c>
      <c r="C188" s="13" t="s">
        <v>172</v>
      </c>
      <c r="D188" s="13" t="s">
        <v>169</v>
      </c>
      <c r="E188" s="28">
        <v>40</v>
      </c>
      <c r="F188" s="25">
        <v>4.16</v>
      </c>
      <c r="G188" s="26">
        <f t="shared" si="22"/>
        <v>108.16</v>
      </c>
      <c r="H188" s="26">
        <v>115</v>
      </c>
      <c r="I188" s="26">
        <v>16.190000000000001</v>
      </c>
      <c r="J188" s="26">
        <f t="shared" si="23"/>
        <v>4.16</v>
      </c>
      <c r="K188" s="26"/>
      <c r="L188" s="14">
        <f t="shared" si="16"/>
        <v>243.51</v>
      </c>
      <c r="M188" s="14">
        <f t="shared" si="17"/>
        <v>58.536057692307686</v>
      </c>
    </row>
    <row r="189" spans="1:13" ht="15" customHeight="1" x14ac:dyDescent="0.25">
      <c r="A189" s="13">
        <v>5896053</v>
      </c>
      <c r="B189" s="27">
        <v>40429</v>
      </c>
      <c r="C189" s="13" t="s">
        <v>173</v>
      </c>
      <c r="D189" s="13" t="s">
        <v>171</v>
      </c>
      <c r="E189" s="28">
        <v>30</v>
      </c>
      <c r="F189" s="25">
        <v>5.62</v>
      </c>
      <c r="G189" s="26">
        <f t="shared" si="22"/>
        <v>146.12</v>
      </c>
      <c r="H189" s="26">
        <v>115</v>
      </c>
      <c r="I189" s="26">
        <v>16.190000000000001</v>
      </c>
      <c r="J189" s="26">
        <f t="shared" si="23"/>
        <v>5.62</v>
      </c>
      <c r="K189" s="26">
        <f>H189+I189</f>
        <v>131.19</v>
      </c>
      <c r="L189" s="14">
        <f t="shared" si="16"/>
        <v>282.93</v>
      </c>
      <c r="M189" s="14">
        <f t="shared" si="17"/>
        <v>50.343416370106759</v>
      </c>
    </row>
    <row r="190" spans="1:13" ht="15" customHeight="1" x14ac:dyDescent="0.25">
      <c r="A190" s="13">
        <v>5896053</v>
      </c>
      <c r="B190" s="27">
        <v>40429</v>
      </c>
      <c r="C190" s="13" t="s">
        <v>128</v>
      </c>
      <c r="D190" s="13" t="s">
        <v>169</v>
      </c>
      <c r="E190" s="28">
        <v>20</v>
      </c>
      <c r="F190" s="25">
        <v>1.54</v>
      </c>
      <c r="G190" s="26">
        <f t="shared" si="22"/>
        <v>40.04</v>
      </c>
      <c r="H190" s="26">
        <v>115</v>
      </c>
      <c r="I190" s="26">
        <v>16.190000000000001</v>
      </c>
      <c r="J190" s="26">
        <f t="shared" si="23"/>
        <v>1.54</v>
      </c>
      <c r="K190" s="26"/>
      <c r="L190" s="14">
        <f t="shared" si="16"/>
        <v>172.76999999999998</v>
      </c>
      <c r="M190" s="14">
        <f t="shared" si="17"/>
        <v>112.18831168831167</v>
      </c>
    </row>
    <row r="191" spans="1:13" ht="15" customHeight="1" x14ac:dyDescent="0.25">
      <c r="A191" s="13">
        <v>5896053</v>
      </c>
      <c r="B191" s="27">
        <v>40433</v>
      </c>
      <c r="C191" s="13" t="s">
        <v>170</v>
      </c>
      <c r="D191" s="13" t="s">
        <v>171</v>
      </c>
      <c r="E191" s="28">
        <v>32</v>
      </c>
      <c r="F191" s="25">
        <v>2.37</v>
      </c>
      <c r="G191" s="26">
        <f t="shared" si="22"/>
        <v>61.620000000000005</v>
      </c>
      <c r="H191" s="26">
        <v>115</v>
      </c>
      <c r="I191" s="26">
        <v>16.190000000000001</v>
      </c>
      <c r="J191" s="26">
        <f t="shared" si="23"/>
        <v>2.37</v>
      </c>
      <c r="K191" s="26">
        <f>H191+I191</f>
        <v>131.19</v>
      </c>
      <c r="L191" s="14">
        <f t="shared" si="16"/>
        <v>195.18</v>
      </c>
      <c r="M191" s="14">
        <f t="shared" si="17"/>
        <v>82.35443037974683</v>
      </c>
    </row>
    <row r="192" spans="1:13" ht="15" customHeight="1" x14ac:dyDescent="0.25">
      <c r="A192" s="13">
        <v>5896053</v>
      </c>
      <c r="B192" s="27">
        <v>40434</v>
      </c>
      <c r="C192" s="13" t="s">
        <v>170</v>
      </c>
      <c r="D192" s="13" t="s">
        <v>171</v>
      </c>
      <c r="E192" s="28">
        <v>32</v>
      </c>
      <c r="F192" s="25">
        <v>6.44</v>
      </c>
      <c r="G192" s="26">
        <f t="shared" si="22"/>
        <v>167.44</v>
      </c>
      <c r="H192" s="26">
        <v>115</v>
      </c>
      <c r="I192" s="26">
        <v>16.190000000000001</v>
      </c>
      <c r="J192" s="26">
        <f t="shared" si="23"/>
        <v>6.44</v>
      </c>
      <c r="K192" s="26">
        <f>H192+I192</f>
        <v>131.19</v>
      </c>
      <c r="L192" s="14">
        <f t="shared" si="16"/>
        <v>305.07</v>
      </c>
      <c r="M192" s="14">
        <f t="shared" si="17"/>
        <v>47.371118012422357</v>
      </c>
    </row>
    <row r="193" spans="1:13" ht="15" customHeight="1" x14ac:dyDescent="0.25">
      <c r="A193" s="13">
        <v>5896053</v>
      </c>
      <c r="B193" s="27">
        <v>40435</v>
      </c>
      <c r="C193" s="13" t="s">
        <v>173</v>
      </c>
      <c r="D193" s="13" t="s">
        <v>171</v>
      </c>
      <c r="E193" s="28">
        <v>30</v>
      </c>
      <c r="F193" s="30">
        <v>2.2000000000000002</v>
      </c>
      <c r="G193" s="26">
        <f t="shared" si="22"/>
        <v>57.2</v>
      </c>
      <c r="H193" s="26">
        <v>115</v>
      </c>
      <c r="I193" s="26">
        <v>16.190000000000001</v>
      </c>
      <c r="J193" s="26">
        <f t="shared" si="23"/>
        <v>2.2000000000000002</v>
      </c>
      <c r="K193" s="26">
        <f>H193+I193</f>
        <v>131.19</v>
      </c>
      <c r="L193" s="14">
        <f t="shared" si="16"/>
        <v>190.58999999999997</v>
      </c>
      <c r="M193" s="14">
        <f t="shared" si="17"/>
        <v>86.631818181818161</v>
      </c>
    </row>
    <row r="194" spans="1:13" ht="15" customHeight="1" x14ac:dyDescent="0.25">
      <c r="A194" s="13">
        <v>5896053</v>
      </c>
      <c r="B194" s="27">
        <v>40435</v>
      </c>
      <c r="C194" s="13" t="s">
        <v>172</v>
      </c>
      <c r="D194" s="13" t="s">
        <v>169</v>
      </c>
      <c r="E194" s="28">
        <v>40</v>
      </c>
      <c r="F194" s="25">
        <v>3.47</v>
      </c>
      <c r="G194" s="26">
        <f t="shared" si="22"/>
        <v>90.22</v>
      </c>
      <c r="H194" s="26">
        <v>115</v>
      </c>
      <c r="I194" s="26">
        <v>16.190000000000001</v>
      </c>
      <c r="J194" s="26">
        <f t="shared" si="23"/>
        <v>3.47</v>
      </c>
      <c r="K194" s="26"/>
      <c r="L194" s="14">
        <f t="shared" si="16"/>
        <v>224.88</v>
      </c>
      <c r="M194" s="14">
        <f t="shared" si="17"/>
        <v>64.80691642651297</v>
      </c>
    </row>
    <row r="195" spans="1:13" ht="15" customHeight="1" x14ac:dyDescent="0.25">
      <c r="A195" s="13">
        <v>5896053</v>
      </c>
      <c r="B195" s="27">
        <v>40439</v>
      </c>
      <c r="C195" s="13" t="s">
        <v>170</v>
      </c>
      <c r="D195" s="13" t="s">
        <v>171</v>
      </c>
      <c r="E195" s="28">
        <v>32</v>
      </c>
      <c r="F195" s="25">
        <v>6.61</v>
      </c>
      <c r="G195" s="26">
        <f t="shared" si="22"/>
        <v>171.86</v>
      </c>
      <c r="H195" s="26">
        <v>115</v>
      </c>
      <c r="I195" s="26">
        <v>16.23</v>
      </c>
      <c r="J195" s="26">
        <f t="shared" si="23"/>
        <v>6.61</v>
      </c>
      <c r="K195" s="26">
        <f>H195+I195</f>
        <v>131.22999999999999</v>
      </c>
      <c r="L195" s="14">
        <f t="shared" si="16"/>
        <v>309.70000000000005</v>
      </c>
      <c r="M195" s="14">
        <f t="shared" si="17"/>
        <v>46.853252647503787</v>
      </c>
    </row>
    <row r="196" spans="1:13" ht="15" customHeight="1" x14ac:dyDescent="0.25">
      <c r="A196" s="13">
        <v>5896053</v>
      </c>
      <c r="B196" s="27">
        <v>40441</v>
      </c>
      <c r="C196" s="13" t="s">
        <v>110</v>
      </c>
      <c r="D196" s="13" t="s">
        <v>169</v>
      </c>
      <c r="E196" s="28">
        <v>40</v>
      </c>
      <c r="F196" s="25">
        <v>3.27</v>
      </c>
      <c r="G196" s="26">
        <f t="shared" si="22"/>
        <v>85.02</v>
      </c>
      <c r="H196" s="26">
        <v>115</v>
      </c>
      <c r="I196" s="26">
        <v>16.23</v>
      </c>
      <c r="J196" s="26">
        <f t="shared" si="23"/>
        <v>3.27</v>
      </c>
      <c r="K196" s="26"/>
      <c r="L196" s="14">
        <f t="shared" ref="L196:L259" si="24">G196+H196+I196+J196</f>
        <v>219.51999999999998</v>
      </c>
      <c r="M196" s="14">
        <f t="shared" ref="M196:M259" si="25">L196/F196</f>
        <v>67.131498470948003</v>
      </c>
    </row>
    <row r="197" spans="1:13" ht="15" customHeight="1" x14ac:dyDescent="0.25">
      <c r="A197" s="13">
        <v>5896053</v>
      </c>
      <c r="B197" s="27">
        <v>40442</v>
      </c>
      <c r="C197" s="13" t="s">
        <v>172</v>
      </c>
      <c r="D197" s="13" t="s">
        <v>169</v>
      </c>
      <c r="E197" s="28">
        <v>40</v>
      </c>
      <c r="F197" s="25">
        <v>2.93</v>
      </c>
      <c r="G197" s="26">
        <f t="shared" si="22"/>
        <v>76.180000000000007</v>
      </c>
      <c r="H197" s="26">
        <v>115</v>
      </c>
      <c r="I197" s="26">
        <v>16.23</v>
      </c>
      <c r="J197" s="26">
        <f t="shared" si="23"/>
        <v>2.93</v>
      </c>
      <c r="K197" s="26"/>
      <c r="L197" s="14">
        <f t="shared" si="24"/>
        <v>210.34</v>
      </c>
      <c r="M197" s="14">
        <f t="shared" si="25"/>
        <v>71.788395904436854</v>
      </c>
    </row>
    <row r="198" spans="1:13" ht="15" customHeight="1" x14ac:dyDescent="0.25">
      <c r="A198" s="13">
        <v>5896053</v>
      </c>
      <c r="B198" s="27">
        <v>40443</v>
      </c>
      <c r="C198" s="13" t="s">
        <v>173</v>
      </c>
      <c r="D198" s="13" t="s">
        <v>171</v>
      </c>
      <c r="E198" s="28">
        <v>30</v>
      </c>
      <c r="F198" s="25">
        <v>4.05</v>
      </c>
      <c r="G198" s="26">
        <f t="shared" si="22"/>
        <v>105.3</v>
      </c>
      <c r="H198" s="26">
        <v>115</v>
      </c>
      <c r="I198" s="26">
        <v>16.23</v>
      </c>
      <c r="J198" s="26">
        <f t="shared" si="23"/>
        <v>4.05</v>
      </c>
      <c r="K198" s="26">
        <f>H198+I198</f>
        <v>131.22999999999999</v>
      </c>
      <c r="L198" s="14">
        <f t="shared" si="24"/>
        <v>240.58</v>
      </c>
      <c r="M198" s="14">
        <f t="shared" si="25"/>
        <v>59.402469135802477</v>
      </c>
    </row>
    <row r="199" spans="1:13" ht="15" customHeight="1" x14ac:dyDescent="0.25">
      <c r="A199" s="13">
        <v>5896053</v>
      </c>
      <c r="B199" s="27">
        <v>40445</v>
      </c>
      <c r="C199" s="13" t="s">
        <v>170</v>
      </c>
      <c r="D199" s="13" t="s">
        <v>171</v>
      </c>
      <c r="E199" s="28">
        <v>32</v>
      </c>
      <c r="F199" s="25">
        <v>5.77</v>
      </c>
      <c r="G199" s="26">
        <f t="shared" si="22"/>
        <v>150.01999999999998</v>
      </c>
      <c r="H199" s="26">
        <v>115</v>
      </c>
      <c r="I199" s="26">
        <v>16.23</v>
      </c>
      <c r="J199" s="26">
        <f t="shared" si="23"/>
        <v>5.77</v>
      </c>
      <c r="K199" s="26">
        <f>H199+I199</f>
        <v>131.22999999999999</v>
      </c>
      <c r="L199" s="14">
        <f t="shared" si="24"/>
        <v>287.02</v>
      </c>
      <c r="M199" s="14">
        <f t="shared" si="25"/>
        <v>49.74350086655113</v>
      </c>
    </row>
    <row r="200" spans="1:13" ht="15.75" customHeight="1" x14ac:dyDescent="0.25">
      <c r="A200" s="13">
        <v>5896053</v>
      </c>
      <c r="B200" s="27">
        <v>40447</v>
      </c>
      <c r="C200" s="13" t="s">
        <v>170</v>
      </c>
      <c r="D200" s="13" t="s">
        <v>171</v>
      </c>
      <c r="E200" s="28">
        <v>32</v>
      </c>
      <c r="F200" s="25">
        <v>1.57</v>
      </c>
      <c r="G200" s="26">
        <f t="shared" si="22"/>
        <v>40.82</v>
      </c>
      <c r="H200" s="26">
        <v>115</v>
      </c>
      <c r="I200" s="26">
        <v>16.23</v>
      </c>
      <c r="J200" s="26">
        <f t="shared" si="23"/>
        <v>1.57</v>
      </c>
      <c r="K200" s="26">
        <f>H200+I200</f>
        <v>131.22999999999999</v>
      </c>
      <c r="L200" s="14">
        <f t="shared" si="24"/>
        <v>173.61999999999998</v>
      </c>
      <c r="M200" s="14">
        <f t="shared" si="25"/>
        <v>110.58598726114647</v>
      </c>
    </row>
    <row r="201" spans="1:13" ht="15.75" customHeight="1" x14ac:dyDescent="0.25">
      <c r="A201" s="13">
        <v>5896053</v>
      </c>
      <c r="B201" s="27">
        <v>40449</v>
      </c>
      <c r="C201" s="13" t="s">
        <v>173</v>
      </c>
      <c r="D201" s="13" t="s">
        <v>171</v>
      </c>
      <c r="E201" s="28">
        <v>30</v>
      </c>
      <c r="F201" s="25">
        <v>1.39</v>
      </c>
      <c r="G201" s="26">
        <f t="shared" si="22"/>
        <v>36.14</v>
      </c>
      <c r="H201" s="26">
        <v>115</v>
      </c>
      <c r="I201" s="26">
        <v>16.23</v>
      </c>
      <c r="J201" s="26">
        <f t="shared" si="23"/>
        <v>1.39</v>
      </c>
      <c r="K201" s="26">
        <f>H201+I201</f>
        <v>131.22999999999999</v>
      </c>
      <c r="L201" s="14">
        <f t="shared" si="24"/>
        <v>168.75999999999996</v>
      </c>
      <c r="M201" s="14">
        <f t="shared" si="25"/>
        <v>121.41007194244602</v>
      </c>
    </row>
    <row r="202" spans="1:13" ht="15.75" customHeight="1" x14ac:dyDescent="0.25">
      <c r="A202" s="13">
        <v>5896053</v>
      </c>
      <c r="B202" s="27">
        <v>40449</v>
      </c>
      <c r="C202" s="13" t="s">
        <v>110</v>
      </c>
      <c r="D202" s="13" t="s">
        <v>169</v>
      </c>
      <c r="E202" s="28">
        <v>40</v>
      </c>
      <c r="F202" s="25">
        <v>2.11</v>
      </c>
      <c r="G202" s="26">
        <f t="shared" si="22"/>
        <v>54.86</v>
      </c>
      <c r="H202" s="26">
        <v>115</v>
      </c>
      <c r="I202" s="26">
        <v>16.23</v>
      </c>
      <c r="J202" s="26">
        <f t="shared" si="23"/>
        <v>2.11</v>
      </c>
      <c r="K202" s="26"/>
      <c r="L202" s="14">
        <f t="shared" si="24"/>
        <v>188.20000000000002</v>
      </c>
      <c r="M202" s="14">
        <f t="shared" si="25"/>
        <v>89.19431279620855</v>
      </c>
    </row>
    <row r="203" spans="1:13" ht="15.75" customHeight="1" x14ac:dyDescent="0.25">
      <c r="A203" s="13">
        <v>5896053</v>
      </c>
      <c r="B203" s="27">
        <v>40449</v>
      </c>
      <c r="C203" s="13" t="s">
        <v>110</v>
      </c>
      <c r="D203" s="13" t="s">
        <v>169</v>
      </c>
      <c r="E203" s="28">
        <v>20</v>
      </c>
      <c r="F203" s="25">
        <v>0.97</v>
      </c>
      <c r="G203" s="26">
        <f t="shared" si="22"/>
        <v>25.22</v>
      </c>
      <c r="H203" s="26">
        <v>115</v>
      </c>
      <c r="I203" s="26">
        <v>16.23</v>
      </c>
      <c r="J203" s="26">
        <f t="shared" si="23"/>
        <v>0.97</v>
      </c>
      <c r="K203" s="26"/>
      <c r="L203" s="14">
        <f t="shared" si="24"/>
        <v>157.41999999999999</v>
      </c>
      <c r="M203" s="14">
        <f t="shared" si="25"/>
        <v>162.28865979381442</v>
      </c>
    </row>
    <row r="204" spans="1:13" ht="15" customHeight="1" x14ac:dyDescent="0.25">
      <c r="A204" s="13">
        <v>5896053</v>
      </c>
      <c r="B204" s="27">
        <v>40449</v>
      </c>
      <c r="C204" s="13" t="s">
        <v>110</v>
      </c>
      <c r="D204" s="13" t="s">
        <v>169</v>
      </c>
      <c r="E204" s="28">
        <v>20</v>
      </c>
      <c r="F204" s="25">
        <v>0.91</v>
      </c>
      <c r="G204" s="26">
        <f t="shared" si="22"/>
        <v>23.66</v>
      </c>
      <c r="H204" s="26">
        <v>115</v>
      </c>
      <c r="I204" s="26">
        <v>16.23</v>
      </c>
      <c r="J204" s="26">
        <f t="shared" si="23"/>
        <v>0.91</v>
      </c>
      <c r="K204" s="26"/>
      <c r="L204" s="14">
        <f t="shared" si="24"/>
        <v>155.79999999999998</v>
      </c>
      <c r="M204" s="14">
        <f t="shared" si="25"/>
        <v>171.20879120879118</v>
      </c>
    </row>
    <row r="205" spans="1:13" ht="15.75" customHeight="1" x14ac:dyDescent="0.25">
      <c r="A205" s="13">
        <v>5547742</v>
      </c>
      <c r="B205" s="27">
        <v>40451</v>
      </c>
      <c r="C205" s="13" t="s">
        <v>174</v>
      </c>
      <c r="D205" s="13" t="s">
        <v>175</v>
      </c>
      <c r="E205" s="28">
        <v>6</v>
      </c>
      <c r="F205" s="29">
        <v>2.34</v>
      </c>
      <c r="H205" s="26">
        <v>104</v>
      </c>
      <c r="I205" s="26">
        <v>0</v>
      </c>
      <c r="J205" s="26"/>
      <c r="K205" s="26"/>
      <c r="L205" s="14">
        <f t="shared" si="24"/>
        <v>104</v>
      </c>
      <c r="M205" s="14">
        <f t="shared" si="25"/>
        <v>44.44444444444445</v>
      </c>
    </row>
    <row r="206" spans="1:13" ht="15" customHeight="1" x14ac:dyDescent="0.25">
      <c r="A206" s="13">
        <v>5547742</v>
      </c>
      <c r="B206" s="27">
        <v>40451</v>
      </c>
      <c r="C206" s="13" t="s">
        <v>176</v>
      </c>
      <c r="D206" s="13" t="s">
        <v>175</v>
      </c>
      <c r="E206" s="28">
        <v>2</v>
      </c>
      <c r="F206" s="29">
        <v>0.78</v>
      </c>
      <c r="H206" s="26">
        <v>65</v>
      </c>
      <c r="I206" s="26">
        <v>0</v>
      </c>
      <c r="J206" s="26"/>
      <c r="K206" s="26"/>
      <c r="L206" s="14">
        <f t="shared" si="24"/>
        <v>65</v>
      </c>
      <c r="M206" s="14">
        <f t="shared" si="25"/>
        <v>83.333333333333329</v>
      </c>
    </row>
    <row r="207" spans="1:13" ht="15.75" customHeight="1" x14ac:dyDescent="0.25">
      <c r="A207" s="13">
        <v>5547742</v>
      </c>
      <c r="B207" s="27">
        <v>40451</v>
      </c>
      <c r="C207" s="13" t="s">
        <v>176</v>
      </c>
      <c r="D207" s="13" t="s">
        <v>175</v>
      </c>
      <c r="E207" s="28">
        <v>2</v>
      </c>
      <c r="F207" s="29">
        <v>0.78</v>
      </c>
      <c r="H207" s="26">
        <v>65</v>
      </c>
      <c r="I207" s="26">
        <v>0</v>
      </c>
      <c r="J207" s="26"/>
      <c r="K207" s="26"/>
      <c r="L207" s="14">
        <f t="shared" si="24"/>
        <v>65</v>
      </c>
      <c r="M207" s="14">
        <f t="shared" si="25"/>
        <v>83.333333333333329</v>
      </c>
    </row>
    <row r="208" spans="1:13" ht="15.75" customHeight="1" x14ac:dyDescent="0.25">
      <c r="A208" s="13">
        <v>5548187</v>
      </c>
      <c r="B208" s="27">
        <v>40451</v>
      </c>
      <c r="C208" s="13" t="s">
        <v>177</v>
      </c>
      <c r="D208" s="13" t="s">
        <v>175</v>
      </c>
      <c r="E208" s="28">
        <v>8</v>
      </c>
      <c r="F208" s="29">
        <v>4.68</v>
      </c>
      <c r="H208" s="26">
        <v>189</v>
      </c>
      <c r="I208" s="26">
        <v>0</v>
      </c>
      <c r="J208" s="26"/>
      <c r="K208" s="26"/>
      <c r="L208" s="14">
        <f t="shared" si="24"/>
        <v>189</v>
      </c>
      <c r="M208" s="14">
        <f t="shared" si="25"/>
        <v>40.384615384615387</v>
      </c>
    </row>
    <row r="209" spans="1:13" ht="15" customHeight="1" x14ac:dyDescent="0.25">
      <c r="A209" s="13">
        <v>5551005</v>
      </c>
      <c r="B209" s="27">
        <v>40451</v>
      </c>
      <c r="C209" s="13" t="s">
        <v>178</v>
      </c>
      <c r="D209" s="13" t="s">
        <v>171</v>
      </c>
      <c r="E209" s="28">
        <v>6</v>
      </c>
      <c r="F209" s="29">
        <v>3.9</v>
      </c>
      <c r="H209" s="26">
        <v>155.88</v>
      </c>
      <c r="I209" s="26">
        <v>0</v>
      </c>
      <c r="J209" s="26"/>
      <c r="K209" s="26"/>
      <c r="L209" s="14">
        <f t="shared" si="24"/>
        <v>155.88</v>
      </c>
      <c r="M209" s="14">
        <f t="shared" si="25"/>
        <v>39.969230769230769</v>
      </c>
    </row>
    <row r="210" spans="1:13" ht="15" customHeight="1" x14ac:dyDescent="0.25">
      <c r="A210" s="13">
        <v>5551334</v>
      </c>
      <c r="B210" s="27">
        <v>40451</v>
      </c>
      <c r="C210" s="13" t="s">
        <v>179</v>
      </c>
      <c r="D210" s="13" t="s">
        <v>175</v>
      </c>
      <c r="E210" s="28">
        <v>2</v>
      </c>
      <c r="F210" s="29">
        <v>0.39</v>
      </c>
      <c r="H210" s="26">
        <v>48</v>
      </c>
      <c r="I210" s="26">
        <v>0</v>
      </c>
      <c r="J210" s="26"/>
      <c r="K210" s="26"/>
      <c r="L210" s="14">
        <f t="shared" si="24"/>
        <v>48</v>
      </c>
      <c r="M210" s="14">
        <f t="shared" si="25"/>
        <v>123.07692307692307</v>
      </c>
    </row>
    <row r="211" spans="1:13" ht="15" customHeight="1" x14ac:dyDescent="0.25">
      <c r="A211" s="13">
        <v>5896053</v>
      </c>
      <c r="B211" s="27">
        <v>40451</v>
      </c>
      <c r="C211" s="13" t="s">
        <v>172</v>
      </c>
      <c r="D211" s="13" t="s">
        <v>169</v>
      </c>
      <c r="E211" s="28">
        <v>40</v>
      </c>
      <c r="F211" s="25">
        <v>4.68</v>
      </c>
      <c r="G211" s="26">
        <f t="shared" ref="G211:G227" si="26">F211*$G$2</f>
        <v>121.67999999999999</v>
      </c>
      <c r="H211" s="26">
        <v>115</v>
      </c>
      <c r="I211" s="26">
        <v>16.23</v>
      </c>
      <c r="J211" s="26">
        <f t="shared" ref="J211:J227" si="27">F211</f>
        <v>4.68</v>
      </c>
      <c r="K211" s="26"/>
      <c r="L211" s="14">
        <f t="shared" si="24"/>
        <v>257.58999999999997</v>
      </c>
      <c r="M211" s="14">
        <f t="shared" si="25"/>
        <v>55.04059829059829</v>
      </c>
    </row>
    <row r="212" spans="1:13" ht="15" customHeight="1" x14ac:dyDescent="0.25">
      <c r="A212" s="13">
        <v>5914230</v>
      </c>
      <c r="B212" s="27">
        <v>40454</v>
      </c>
      <c r="C212" s="13" t="s">
        <v>170</v>
      </c>
      <c r="D212" s="13" t="s">
        <v>171</v>
      </c>
      <c r="E212" s="28">
        <v>32</v>
      </c>
      <c r="F212" s="25">
        <v>2.7</v>
      </c>
      <c r="G212" s="26">
        <f t="shared" si="26"/>
        <v>70.2</v>
      </c>
      <c r="H212" s="26">
        <v>115</v>
      </c>
      <c r="I212" s="26">
        <v>16.66</v>
      </c>
      <c r="J212" s="26">
        <f t="shared" si="27"/>
        <v>2.7</v>
      </c>
      <c r="K212" s="26">
        <f>H212+I212</f>
        <v>131.66</v>
      </c>
      <c r="L212" s="14">
        <f t="shared" si="24"/>
        <v>204.55999999999997</v>
      </c>
      <c r="M212" s="14">
        <f t="shared" si="25"/>
        <v>75.762962962962945</v>
      </c>
    </row>
    <row r="213" spans="1:13" ht="15" customHeight="1" x14ac:dyDescent="0.25">
      <c r="A213" s="13">
        <v>5914230</v>
      </c>
      <c r="B213" s="27">
        <v>40455</v>
      </c>
      <c r="C213" s="13" t="s">
        <v>170</v>
      </c>
      <c r="D213" s="13" t="s">
        <v>171</v>
      </c>
      <c r="E213" s="28">
        <v>32</v>
      </c>
      <c r="F213" s="25">
        <v>4.32</v>
      </c>
      <c r="G213" s="26">
        <f t="shared" si="26"/>
        <v>112.32000000000001</v>
      </c>
      <c r="H213" s="26">
        <v>115</v>
      </c>
      <c r="I213" s="26">
        <v>16.66</v>
      </c>
      <c r="J213" s="26">
        <f t="shared" si="27"/>
        <v>4.32</v>
      </c>
      <c r="K213" s="26">
        <f>H213+I213</f>
        <v>131.66</v>
      </c>
      <c r="L213" s="14">
        <f t="shared" si="24"/>
        <v>248.29999999999998</v>
      </c>
      <c r="M213" s="14">
        <f t="shared" si="25"/>
        <v>57.476851851851848</v>
      </c>
    </row>
    <row r="214" spans="1:13" ht="15" customHeight="1" x14ac:dyDescent="0.25">
      <c r="A214" s="13">
        <v>5914230</v>
      </c>
      <c r="B214" s="27">
        <v>40456</v>
      </c>
      <c r="C214" s="13" t="s">
        <v>41</v>
      </c>
      <c r="D214" s="13" t="s">
        <v>169</v>
      </c>
      <c r="E214" s="28">
        <v>40</v>
      </c>
      <c r="F214" s="25">
        <v>3.38</v>
      </c>
      <c r="G214" s="26">
        <f t="shared" si="26"/>
        <v>87.88</v>
      </c>
      <c r="H214" s="26">
        <v>115</v>
      </c>
      <c r="I214" s="26">
        <v>16.66</v>
      </c>
      <c r="J214" s="26">
        <f t="shared" si="27"/>
        <v>3.38</v>
      </c>
      <c r="K214" s="26"/>
      <c r="L214" s="14">
        <f t="shared" si="24"/>
        <v>222.92</v>
      </c>
      <c r="M214" s="14">
        <f t="shared" si="25"/>
        <v>65.952662721893489</v>
      </c>
    </row>
    <row r="215" spans="1:13" ht="15" customHeight="1" x14ac:dyDescent="0.25">
      <c r="A215" s="13">
        <v>5914230</v>
      </c>
      <c r="B215" s="27">
        <v>40457</v>
      </c>
      <c r="C215" s="13" t="s">
        <v>173</v>
      </c>
      <c r="D215" s="13" t="s">
        <v>171</v>
      </c>
      <c r="E215" s="28">
        <v>30</v>
      </c>
      <c r="F215" s="25">
        <v>6.43</v>
      </c>
      <c r="G215" s="26">
        <f t="shared" si="26"/>
        <v>167.18</v>
      </c>
      <c r="H215" s="26">
        <v>115</v>
      </c>
      <c r="I215" s="26">
        <v>16.66</v>
      </c>
      <c r="J215" s="26">
        <f t="shared" si="27"/>
        <v>6.43</v>
      </c>
      <c r="K215" s="26">
        <f>H215+I215</f>
        <v>131.66</v>
      </c>
      <c r="L215" s="14">
        <f t="shared" si="24"/>
        <v>305.27000000000004</v>
      </c>
      <c r="M215" s="14">
        <f t="shared" si="25"/>
        <v>47.475894245723183</v>
      </c>
    </row>
    <row r="216" spans="1:13" ht="15" customHeight="1" x14ac:dyDescent="0.25">
      <c r="A216" s="13">
        <v>5914230</v>
      </c>
      <c r="B216" s="27">
        <v>40458</v>
      </c>
      <c r="C216" s="13" t="s">
        <v>172</v>
      </c>
      <c r="D216" s="13" t="s">
        <v>169</v>
      </c>
      <c r="E216" s="28">
        <v>40</v>
      </c>
      <c r="F216" s="25">
        <v>5.07</v>
      </c>
      <c r="G216" s="26">
        <f t="shared" si="26"/>
        <v>131.82</v>
      </c>
      <c r="H216" s="26">
        <v>115</v>
      </c>
      <c r="I216" s="26">
        <v>16.66</v>
      </c>
      <c r="J216" s="26">
        <f t="shared" si="27"/>
        <v>5.07</v>
      </c>
      <c r="K216" s="26"/>
      <c r="L216" s="14">
        <f t="shared" si="24"/>
        <v>268.55</v>
      </c>
      <c r="M216" s="14">
        <f t="shared" si="25"/>
        <v>52.968441814595657</v>
      </c>
    </row>
    <row r="217" spans="1:13" ht="15" customHeight="1" x14ac:dyDescent="0.25">
      <c r="A217" s="13">
        <v>5914230</v>
      </c>
      <c r="B217" s="27">
        <v>40462</v>
      </c>
      <c r="C217" s="13" t="s">
        <v>170</v>
      </c>
      <c r="D217" s="13" t="s">
        <v>171</v>
      </c>
      <c r="E217" s="28">
        <v>32</v>
      </c>
      <c r="F217" s="25">
        <v>3.34</v>
      </c>
      <c r="G217" s="26">
        <f t="shared" si="26"/>
        <v>86.84</v>
      </c>
      <c r="H217" s="26">
        <v>115</v>
      </c>
      <c r="I217" s="26">
        <v>16.66</v>
      </c>
      <c r="J217" s="26">
        <f t="shared" si="27"/>
        <v>3.34</v>
      </c>
      <c r="K217" s="26">
        <f>H217+I217</f>
        <v>131.66</v>
      </c>
      <c r="L217" s="14">
        <f t="shared" si="24"/>
        <v>221.84</v>
      </c>
      <c r="M217" s="14">
        <f t="shared" si="25"/>
        <v>66.419161676646709</v>
      </c>
    </row>
    <row r="218" spans="1:13" ht="15" customHeight="1" x14ac:dyDescent="0.25">
      <c r="A218" s="13">
        <v>5914230</v>
      </c>
      <c r="B218" s="27">
        <v>40464</v>
      </c>
      <c r="C218" s="13" t="s">
        <v>173</v>
      </c>
      <c r="D218" s="13" t="s">
        <v>171</v>
      </c>
      <c r="E218" s="28">
        <v>30</v>
      </c>
      <c r="F218" s="25">
        <v>3.11</v>
      </c>
      <c r="G218" s="26">
        <f t="shared" si="26"/>
        <v>80.86</v>
      </c>
      <c r="H218" s="26">
        <v>115</v>
      </c>
      <c r="I218" s="26">
        <v>16.66</v>
      </c>
      <c r="J218" s="26">
        <f t="shared" si="27"/>
        <v>3.11</v>
      </c>
      <c r="K218" s="26">
        <f>H218+I218</f>
        <v>131.66</v>
      </c>
      <c r="L218" s="14">
        <f t="shared" si="24"/>
        <v>215.63000000000002</v>
      </c>
      <c r="M218" s="14">
        <f t="shared" si="25"/>
        <v>69.334405144694543</v>
      </c>
    </row>
    <row r="219" spans="1:13" ht="15" customHeight="1" x14ac:dyDescent="0.25">
      <c r="A219" s="13">
        <v>5914230</v>
      </c>
      <c r="B219" s="27">
        <v>40465</v>
      </c>
      <c r="C219" s="13" t="s">
        <v>172</v>
      </c>
      <c r="D219" s="13" t="s">
        <v>169</v>
      </c>
      <c r="E219" s="28">
        <v>40</v>
      </c>
      <c r="F219" s="25">
        <v>2.67</v>
      </c>
      <c r="G219" s="26">
        <f t="shared" si="26"/>
        <v>69.42</v>
      </c>
      <c r="H219" s="26">
        <v>115</v>
      </c>
      <c r="I219" s="26">
        <v>16.66</v>
      </c>
      <c r="J219" s="26">
        <f t="shared" si="27"/>
        <v>2.67</v>
      </c>
      <c r="K219" s="26"/>
      <c r="L219" s="14">
        <f t="shared" si="24"/>
        <v>203.75</v>
      </c>
      <c r="M219" s="14">
        <f t="shared" si="25"/>
        <v>76.31086142322097</v>
      </c>
    </row>
    <row r="220" spans="1:13" ht="15" customHeight="1" x14ac:dyDescent="0.25">
      <c r="A220" s="13">
        <v>5914230</v>
      </c>
      <c r="B220" s="27">
        <v>40468</v>
      </c>
      <c r="C220" s="13" t="s">
        <v>170</v>
      </c>
      <c r="D220" s="13" t="s">
        <v>171</v>
      </c>
      <c r="E220" s="28">
        <v>32</v>
      </c>
      <c r="F220" s="25">
        <v>4.18</v>
      </c>
      <c r="G220" s="26">
        <f t="shared" si="26"/>
        <v>108.67999999999999</v>
      </c>
      <c r="H220" s="26">
        <v>115</v>
      </c>
      <c r="I220" s="26">
        <v>16.63</v>
      </c>
      <c r="J220" s="26">
        <f t="shared" si="27"/>
        <v>4.18</v>
      </c>
      <c r="K220" s="26">
        <f>H220+I220</f>
        <v>131.63</v>
      </c>
      <c r="L220" s="14">
        <f t="shared" si="24"/>
        <v>244.49</v>
      </c>
      <c r="M220" s="14">
        <f t="shared" si="25"/>
        <v>58.490430622009576</v>
      </c>
    </row>
    <row r="221" spans="1:13" ht="15" customHeight="1" x14ac:dyDescent="0.25">
      <c r="A221" s="13">
        <v>5914230</v>
      </c>
      <c r="B221" s="27">
        <v>40471</v>
      </c>
      <c r="C221" s="13" t="s">
        <v>173</v>
      </c>
      <c r="D221" s="13" t="s">
        <v>171</v>
      </c>
      <c r="E221" s="28">
        <v>30</v>
      </c>
      <c r="F221" s="25">
        <v>2.1800000000000002</v>
      </c>
      <c r="G221" s="26">
        <f t="shared" si="26"/>
        <v>56.680000000000007</v>
      </c>
      <c r="H221" s="26">
        <v>115</v>
      </c>
      <c r="I221" s="26">
        <v>16.63</v>
      </c>
      <c r="J221" s="26">
        <f t="shared" si="27"/>
        <v>2.1800000000000002</v>
      </c>
      <c r="K221" s="26">
        <f>H221+I221</f>
        <v>131.63</v>
      </c>
      <c r="L221" s="14">
        <f t="shared" si="24"/>
        <v>190.49</v>
      </c>
      <c r="M221" s="14">
        <f t="shared" si="25"/>
        <v>87.38073394495413</v>
      </c>
    </row>
    <row r="222" spans="1:13" ht="15" customHeight="1" x14ac:dyDescent="0.25">
      <c r="A222" s="13">
        <v>5914230</v>
      </c>
      <c r="B222" s="27">
        <v>40471</v>
      </c>
      <c r="C222" s="13" t="s">
        <v>172</v>
      </c>
      <c r="D222" s="13" t="s">
        <v>169</v>
      </c>
      <c r="E222" s="28">
        <v>40</v>
      </c>
      <c r="F222" s="25">
        <v>2.29</v>
      </c>
      <c r="G222" s="26">
        <f t="shared" si="26"/>
        <v>59.54</v>
      </c>
      <c r="H222" s="26">
        <v>115</v>
      </c>
      <c r="I222" s="26">
        <v>16.66</v>
      </c>
      <c r="J222" s="26">
        <f t="shared" si="27"/>
        <v>2.29</v>
      </c>
      <c r="K222" s="26"/>
      <c r="L222" s="14">
        <f t="shared" si="24"/>
        <v>193.48999999999998</v>
      </c>
      <c r="M222" s="14">
        <f t="shared" si="25"/>
        <v>84.493449781659379</v>
      </c>
    </row>
    <row r="223" spans="1:13" ht="15" customHeight="1" x14ac:dyDescent="0.25">
      <c r="A223" s="13">
        <v>5914230</v>
      </c>
      <c r="B223" s="27">
        <v>40475</v>
      </c>
      <c r="C223" s="13" t="s">
        <v>170</v>
      </c>
      <c r="D223" s="13" t="s">
        <v>171</v>
      </c>
      <c r="E223" s="28">
        <v>32</v>
      </c>
      <c r="F223" s="25">
        <v>2.2000000000000002</v>
      </c>
      <c r="G223" s="26">
        <f t="shared" si="26"/>
        <v>57.2</v>
      </c>
      <c r="H223" s="26">
        <v>115</v>
      </c>
      <c r="I223" s="26">
        <v>16.63</v>
      </c>
      <c r="J223" s="26">
        <f t="shared" si="27"/>
        <v>2.2000000000000002</v>
      </c>
      <c r="K223" s="26">
        <f>H223+I223</f>
        <v>131.63</v>
      </c>
      <c r="L223" s="14">
        <f t="shared" si="24"/>
        <v>191.02999999999997</v>
      </c>
      <c r="M223" s="14">
        <f t="shared" si="25"/>
        <v>86.831818181818164</v>
      </c>
    </row>
    <row r="224" spans="1:13" ht="15" customHeight="1" x14ac:dyDescent="0.25">
      <c r="A224" s="13">
        <v>5914230</v>
      </c>
      <c r="B224" s="27">
        <v>40477</v>
      </c>
      <c r="C224" s="13" t="s">
        <v>170</v>
      </c>
      <c r="D224" s="13" t="s">
        <v>171</v>
      </c>
      <c r="E224" s="28">
        <v>32</v>
      </c>
      <c r="F224" s="25">
        <v>7.41</v>
      </c>
      <c r="G224" s="26">
        <f t="shared" si="26"/>
        <v>192.66</v>
      </c>
      <c r="H224" s="26">
        <v>115</v>
      </c>
      <c r="I224" s="26">
        <v>16.63</v>
      </c>
      <c r="J224" s="26">
        <f t="shared" si="27"/>
        <v>7.41</v>
      </c>
      <c r="K224" s="26">
        <f>H224+I224</f>
        <v>131.63</v>
      </c>
      <c r="L224" s="14">
        <f t="shared" si="24"/>
        <v>331.7</v>
      </c>
      <c r="M224" s="14">
        <f t="shared" si="25"/>
        <v>44.763832658569498</v>
      </c>
    </row>
    <row r="225" spans="1:13" ht="15" customHeight="1" x14ac:dyDescent="0.25">
      <c r="A225" s="13">
        <v>5914230</v>
      </c>
      <c r="B225" s="27">
        <v>40478</v>
      </c>
      <c r="C225" s="13" t="s">
        <v>173</v>
      </c>
      <c r="D225" s="13" t="s">
        <v>171</v>
      </c>
      <c r="E225" s="28">
        <v>30</v>
      </c>
      <c r="F225" s="25">
        <v>3.07</v>
      </c>
      <c r="G225" s="26">
        <f t="shared" si="26"/>
        <v>79.819999999999993</v>
      </c>
      <c r="H225" s="26">
        <v>115</v>
      </c>
      <c r="I225" s="26">
        <v>16.63</v>
      </c>
      <c r="J225" s="26">
        <f t="shared" si="27"/>
        <v>3.07</v>
      </c>
      <c r="K225" s="26">
        <f>H225+I225</f>
        <v>131.63</v>
      </c>
      <c r="L225" s="14">
        <f t="shared" si="24"/>
        <v>214.51999999999998</v>
      </c>
      <c r="M225" s="14">
        <f t="shared" si="25"/>
        <v>69.876221498371336</v>
      </c>
    </row>
    <row r="226" spans="1:13" ht="15" customHeight="1" x14ac:dyDescent="0.25">
      <c r="A226" s="13">
        <v>5914230</v>
      </c>
      <c r="B226" s="27">
        <v>40478</v>
      </c>
      <c r="C226" s="13" t="s">
        <v>128</v>
      </c>
      <c r="D226" s="13" t="s">
        <v>169</v>
      </c>
      <c r="E226" s="28">
        <v>20</v>
      </c>
      <c r="F226" s="25">
        <v>3.54</v>
      </c>
      <c r="G226" s="26">
        <f t="shared" si="26"/>
        <v>92.04</v>
      </c>
      <c r="H226" s="26">
        <v>115</v>
      </c>
      <c r="I226" s="26">
        <v>16.63</v>
      </c>
      <c r="J226" s="26">
        <f t="shared" si="27"/>
        <v>3.54</v>
      </c>
      <c r="K226" s="26"/>
      <c r="L226" s="14">
        <f t="shared" si="24"/>
        <v>227.21</v>
      </c>
      <c r="M226" s="14">
        <f t="shared" si="25"/>
        <v>64.183615819209038</v>
      </c>
    </row>
    <row r="227" spans="1:13" ht="15" customHeight="1" x14ac:dyDescent="0.25">
      <c r="A227" s="13">
        <v>5914230</v>
      </c>
      <c r="B227" s="27">
        <v>40478</v>
      </c>
      <c r="C227" s="13" t="s">
        <v>172</v>
      </c>
      <c r="D227" s="13" t="s">
        <v>182</v>
      </c>
      <c r="E227" s="28">
        <v>40</v>
      </c>
      <c r="F227" s="25">
        <v>3.54</v>
      </c>
      <c r="G227" s="26">
        <f t="shared" si="26"/>
        <v>92.04</v>
      </c>
      <c r="H227" s="26">
        <v>115</v>
      </c>
      <c r="I227" s="26">
        <v>16.63</v>
      </c>
      <c r="J227" s="26">
        <f t="shared" si="27"/>
        <v>3.54</v>
      </c>
      <c r="K227" s="26"/>
      <c r="L227" s="14">
        <f t="shared" si="24"/>
        <v>227.21</v>
      </c>
      <c r="M227" s="14">
        <f t="shared" si="25"/>
        <v>64.183615819209038</v>
      </c>
    </row>
    <row r="228" spans="1:13" x14ac:dyDescent="0.25">
      <c r="A228" s="13">
        <v>5556781</v>
      </c>
      <c r="B228" s="27">
        <v>40482</v>
      </c>
      <c r="C228" s="13" t="s">
        <v>174</v>
      </c>
      <c r="D228" s="13" t="s">
        <v>175</v>
      </c>
      <c r="E228" s="28">
        <v>6</v>
      </c>
      <c r="F228" s="29">
        <v>2.34</v>
      </c>
      <c r="H228" s="26">
        <v>104</v>
      </c>
      <c r="I228" s="26">
        <v>0</v>
      </c>
      <c r="J228" s="26"/>
      <c r="K228" s="26"/>
      <c r="L228" s="14">
        <f t="shared" si="24"/>
        <v>104</v>
      </c>
      <c r="M228" s="14">
        <f t="shared" si="25"/>
        <v>44.44444444444445</v>
      </c>
    </row>
    <row r="229" spans="1:13" ht="15" customHeight="1" x14ac:dyDescent="0.25">
      <c r="A229" s="13">
        <v>5556781</v>
      </c>
      <c r="B229" s="27">
        <v>40482</v>
      </c>
      <c r="C229" s="13" t="s">
        <v>176</v>
      </c>
      <c r="D229" s="13" t="s">
        <v>175</v>
      </c>
      <c r="E229" s="28">
        <v>6</v>
      </c>
      <c r="F229" s="29">
        <v>0.78</v>
      </c>
      <c r="H229" s="26">
        <v>65</v>
      </c>
      <c r="I229" s="26">
        <v>0</v>
      </c>
      <c r="J229" s="26"/>
      <c r="K229" s="26"/>
      <c r="L229" s="14">
        <f t="shared" si="24"/>
        <v>65</v>
      </c>
      <c r="M229" s="14">
        <f t="shared" si="25"/>
        <v>83.333333333333329</v>
      </c>
    </row>
    <row r="230" spans="1:13" ht="15" customHeight="1" x14ac:dyDescent="0.25">
      <c r="A230" s="13">
        <v>5556781</v>
      </c>
      <c r="B230" s="27">
        <v>40482</v>
      </c>
      <c r="C230" s="13" t="s">
        <v>176</v>
      </c>
      <c r="D230" s="13" t="s">
        <v>175</v>
      </c>
      <c r="E230" s="28">
        <v>6</v>
      </c>
      <c r="F230" s="29">
        <v>0.78</v>
      </c>
      <c r="H230" s="26">
        <v>65</v>
      </c>
      <c r="I230" s="26">
        <v>0</v>
      </c>
      <c r="J230" s="26"/>
      <c r="K230" s="26"/>
      <c r="L230" s="14">
        <f t="shared" si="24"/>
        <v>65</v>
      </c>
      <c r="M230" s="14">
        <f t="shared" si="25"/>
        <v>83.333333333333329</v>
      </c>
    </row>
    <row r="231" spans="1:13" ht="15" customHeight="1" x14ac:dyDescent="0.25">
      <c r="A231" s="13">
        <v>5557215</v>
      </c>
      <c r="B231" s="27">
        <v>40482</v>
      </c>
      <c r="C231" s="13" t="s">
        <v>177</v>
      </c>
      <c r="D231" s="13" t="s">
        <v>175</v>
      </c>
      <c r="E231" s="28">
        <v>8</v>
      </c>
      <c r="F231" s="29">
        <v>4.68</v>
      </c>
      <c r="H231" s="26">
        <v>189</v>
      </c>
      <c r="I231" s="26">
        <v>0</v>
      </c>
      <c r="J231" s="26"/>
      <c r="K231" s="26"/>
      <c r="L231" s="14">
        <f t="shared" si="24"/>
        <v>189</v>
      </c>
      <c r="M231" s="14">
        <f t="shared" si="25"/>
        <v>40.384615384615387</v>
      </c>
    </row>
    <row r="232" spans="1:13" ht="15" customHeight="1" x14ac:dyDescent="0.25">
      <c r="A232" s="13">
        <v>5559970</v>
      </c>
      <c r="B232" s="27">
        <v>40482</v>
      </c>
      <c r="C232" s="13" t="s">
        <v>178</v>
      </c>
      <c r="D232" s="13" t="s">
        <v>171</v>
      </c>
      <c r="E232" s="28">
        <v>6</v>
      </c>
      <c r="F232" s="29">
        <v>3.9</v>
      </c>
      <c r="H232" s="26">
        <v>155.88</v>
      </c>
      <c r="I232" s="26">
        <v>0</v>
      </c>
      <c r="J232" s="26"/>
      <c r="K232" s="26"/>
      <c r="L232" s="14">
        <f t="shared" si="24"/>
        <v>155.88</v>
      </c>
      <c r="M232" s="14">
        <f t="shared" si="25"/>
        <v>39.969230769230769</v>
      </c>
    </row>
    <row r="233" spans="1:13" ht="15" customHeight="1" x14ac:dyDescent="0.25">
      <c r="A233" s="13">
        <v>5560295</v>
      </c>
      <c r="B233" s="27">
        <v>40482</v>
      </c>
      <c r="C233" s="13" t="s">
        <v>179</v>
      </c>
      <c r="D233" s="13" t="s">
        <v>175</v>
      </c>
      <c r="E233" s="28">
        <v>2</v>
      </c>
      <c r="F233" s="29">
        <v>0.39</v>
      </c>
      <c r="H233" s="26">
        <v>48</v>
      </c>
      <c r="I233" s="26">
        <v>0</v>
      </c>
      <c r="J233" s="26"/>
      <c r="K233" s="26"/>
      <c r="L233" s="14">
        <f t="shared" si="24"/>
        <v>48</v>
      </c>
      <c r="M233" s="14">
        <f t="shared" si="25"/>
        <v>123.07692307692307</v>
      </c>
    </row>
    <row r="234" spans="1:13" ht="15" customHeight="1" x14ac:dyDescent="0.25">
      <c r="A234" s="13">
        <v>5914230</v>
      </c>
      <c r="B234" s="27">
        <v>40482</v>
      </c>
      <c r="C234" s="13" t="s">
        <v>170</v>
      </c>
      <c r="D234" s="13" t="s">
        <v>171</v>
      </c>
      <c r="E234" s="28">
        <v>32</v>
      </c>
      <c r="F234" s="25">
        <v>2.5099999999999998</v>
      </c>
      <c r="G234" s="26">
        <f t="shared" ref="G234:G254" si="28">F234*$G$2</f>
        <v>65.259999999999991</v>
      </c>
      <c r="H234" s="26">
        <v>115</v>
      </c>
      <c r="I234" s="26">
        <v>16.63</v>
      </c>
      <c r="J234" s="26">
        <f t="shared" ref="J234:J254" si="29">F234</f>
        <v>2.5099999999999998</v>
      </c>
      <c r="K234" s="26">
        <f>H234+I234</f>
        <v>131.63</v>
      </c>
      <c r="L234" s="14">
        <f t="shared" si="24"/>
        <v>199.39999999999998</v>
      </c>
      <c r="M234" s="14">
        <f t="shared" si="25"/>
        <v>79.442231075697208</v>
      </c>
    </row>
    <row r="235" spans="1:13" ht="15" customHeight="1" x14ac:dyDescent="0.25">
      <c r="A235" s="13">
        <v>5932541</v>
      </c>
      <c r="B235" s="27">
        <v>40484</v>
      </c>
      <c r="C235" s="13" t="s">
        <v>41</v>
      </c>
      <c r="D235" s="13" t="s">
        <v>169</v>
      </c>
      <c r="E235" s="28">
        <v>40</v>
      </c>
      <c r="F235" s="25">
        <v>1.29</v>
      </c>
      <c r="G235" s="26">
        <f t="shared" si="28"/>
        <v>33.54</v>
      </c>
      <c r="H235" s="26">
        <v>115</v>
      </c>
      <c r="I235" s="26">
        <v>16.63</v>
      </c>
      <c r="J235" s="26">
        <f t="shared" si="29"/>
        <v>1.29</v>
      </c>
      <c r="K235" s="26"/>
      <c r="L235" s="14">
        <f t="shared" si="24"/>
        <v>166.45999999999998</v>
      </c>
      <c r="M235" s="14">
        <f t="shared" si="25"/>
        <v>129.03875968992247</v>
      </c>
    </row>
    <row r="236" spans="1:13" ht="15" customHeight="1" x14ac:dyDescent="0.25">
      <c r="A236" s="13">
        <v>5932541</v>
      </c>
      <c r="B236" s="27">
        <v>40484</v>
      </c>
      <c r="C236" s="13" t="s">
        <v>172</v>
      </c>
      <c r="D236" s="13" t="s">
        <v>169</v>
      </c>
      <c r="E236" s="28">
        <v>40</v>
      </c>
      <c r="F236" s="25">
        <v>1.78</v>
      </c>
      <c r="G236" s="26">
        <f t="shared" si="28"/>
        <v>46.28</v>
      </c>
      <c r="H236" s="26">
        <v>115</v>
      </c>
      <c r="I236" s="26">
        <v>16.63</v>
      </c>
      <c r="J236" s="26">
        <f t="shared" si="29"/>
        <v>1.78</v>
      </c>
      <c r="K236" s="26"/>
      <c r="L236" s="14">
        <f t="shared" si="24"/>
        <v>179.69</v>
      </c>
      <c r="M236" s="14">
        <f t="shared" si="25"/>
        <v>100.94943820224719</v>
      </c>
    </row>
    <row r="237" spans="1:13" ht="15" customHeight="1" x14ac:dyDescent="0.25">
      <c r="A237" s="13">
        <v>5932541</v>
      </c>
      <c r="B237" s="27">
        <v>40484</v>
      </c>
      <c r="C237" s="13" t="s">
        <v>128</v>
      </c>
      <c r="D237" s="13" t="s">
        <v>169</v>
      </c>
      <c r="E237" s="28">
        <v>20</v>
      </c>
      <c r="F237" s="25">
        <v>1.04</v>
      </c>
      <c r="G237" s="26">
        <f t="shared" si="28"/>
        <v>27.04</v>
      </c>
      <c r="H237" s="26">
        <v>115</v>
      </c>
      <c r="I237" s="26">
        <v>16.63</v>
      </c>
      <c r="J237" s="26">
        <f t="shared" si="29"/>
        <v>1.04</v>
      </c>
      <c r="K237" s="26"/>
      <c r="L237" s="14">
        <f t="shared" si="24"/>
        <v>159.70999999999998</v>
      </c>
      <c r="M237" s="14">
        <f t="shared" si="25"/>
        <v>153.56730769230768</v>
      </c>
    </row>
    <row r="238" spans="1:13" ht="15" customHeight="1" x14ac:dyDescent="0.25">
      <c r="A238" s="13">
        <v>5932541</v>
      </c>
      <c r="B238" s="27">
        <v>40485</v>
      </c>
      <c r="C238" s="13" t="s">
        <v>173</v>
      </c>
      <c r="D238" s="13" t="s">
        <v>171</v>
      </c>
      <c r="E238" s="28">
        <v>30</v>
      </c>
      <c r="F238" s="25">
        <v>2.41</v>
      </c>
      <c r="G238" s="26">
        <f t="shared" si="28"/>
        <v>62.660000000000004</v>
      </c>
      <c r="H238" s="26">
        <v>115</v>
      </c>
      <c r="I238" s="26">
        <v>16.63</v>
      </c>
      <c r="J238" s="26">
        <f t="shared" si="29"/>
        <v>2.41</v>
      </c>
      <c r="K238" s="26">
        <f>H238+I238</f>
        <v>131.63</v>
      </c>
      <c r="L238" s="14">
        <f t="shared" si="24"/>
        <v>196.7</v>
      </c>
      <c r="M238" s="14">
        <f t="shared" si="25"/>
        <v>81.618257261410776</v>
      </c>
    </row>
    <row r="239" spans="1:13" ht="15" customHeight="1" x14ac:dyDescent="0.25">
      <c r="A239" s="13">
        <v>5932541</v>
      </c>
      <c r="B239" s="27">
        <v>40490</v>
      </c>
      <c r="C239" s="13" t="s">
        <v>170</v>
      </c>
      <c r="D239" s="13" t="s">
        <v>171</v>
      </c>
      <c r="E239" s="28">
        <v>32</v>
      </c>
      <c r="F239" s="25">
        <v>3.11</v>
      </c>
      <c r="G239" s="26">
        <f t="shared" si="28"/>
        <v>80.86</v>
      </c>
      <c r="H239" s="26">
        <v>115</v>
      </c>
      <c r="I239" s="26">
        <v>16.63</v>
      </c>
      <c r="J239" s="26">
        <f t="shared" si="29"/>
        <v>3.11</v>
      </c>
      <c r="K239" s="26">
        <f>H239+I239</f>
        <v>131.63</v>
      </c>
      <c r="L239" s="14">
        <f t="shared" si="24"/>
        <v>215.60000000000002</v>
      </c>
      <c r="M239" s="14">
        <f t="shared" si="25"/>
        <v>69.324758842443742</v>
      </c>
    </row>
    <row r="240" spans="1:13" ht="15" customHeight="1" x14ac:dyDescent="0.25">
      <c r="A240" s="13">
        <v>5932541</v>
      </c>
      <c r="B240" s="27">
        <v>40492</v>
      </c>
      <c r="C240" s="13" t="s">
        <v>173</v>
      </c>
      <c r="D240" s="13" t="s">
        <v>171</v>
      </c>
      <c r="E240" s="28">
        <v>30</v>
      </c>
      <c r="F240" s="25">
        <v>2.71</v>
      </c>
      <c r="G240" s="26">
        <f t="shared" si="28"/>
        <v>70.459999999999994</v>
      </c>
      <c r="H240" s="26">
        <v>115</v>
      </c>
      <c r="I240" s="26">
        <v>17.05</v>
      </c>
      <c r="J240" s="26">
        <f t="shared" si="29"/>
        <v>2.71</v>
      </c>
      <c r="K240" s="26">
        <f>H240+I240</f>
        <v>132.05000000000001</v>
      </c>
      <c r="L240" s="14">
        <f t="shared" si="24"/>
        <v>205.22</v>
      </c>
      <c r="M240" s="14">
        <f t="shared" si="25"/>
        <v>75.726937269372698</v>
      </c>
    </row>
    <row r="241" spans="1:13" ht="15" customHeight="1" x14ac:dyDescent="0.25">
      <c r="A241" s="13">
        <v>5932541</v>
      </c>
      <c r="B241" s="27">
        <v>40492</v>
      </c>
      <c r="C241" s="13" t="s">
        <v>172</v>
      </c>
      <c r="D241" s="13" t="s">
        <v>169</v>
      </c>
      <c r="E241" s="28">
        <v>40</v>
      </c>
      <c r="F241" s="25">
        <v>4.9400000000000004</v>
      </c>
      <c r="G241" s="26">
        <f t="shared" si="28"/>
        <v>128.44</v>
      </c>
      <c r="H241" s="26">
        <v>115</v>
      </c>
      <c r="I241" s="26">
        <v>17.05</v>
      </c>
      <c r="J241" s="26">
        <f t="shared" si="29"/>
        <v>4.9400000000000004</v>
      </c>
      <c r="K241" s="26"/>
      <c r="L241" s="14">
        <f t="shared" si="24"/>
        <v>265.43</v>
      </c>
      <c r="M241" s="14">
        <f t="shared" si="25"/>
        <v>53.730769230769226</v>
      </c>
    </row>
    <row r="242" spans="1:13" ht="15" customHeight="1" x14ac:dyDescent="0.25">
      <c r="A242" s="13">
        <v>5932541</v>
      </c>
      <c r="B242" s="27">
        <v>40492</v>
      </c>
      <c r="C242" s="13" t="s">
        <v>128</v>
      </c>
      <c r="D242" s="13" t="s">
        <v>169</v>
      </c>
      <c r="E242" s="28">
        <v>40</v>
      </c>
      <c r="F242" s="25">
        <v>2.38</v>
      </c>
      <c r="G242" s="26">
        <f t="shared" si="28"/>
        <v>61.879999999999995</v>
      </c>
      <c r="H242" s="26">
        <v>115</v>
      </c>
      <c r="I242" s="26">
        <v>17.05</v>
      </c>
      <c r="J242" s="26">
        <f t="shared" si="29"/>
        <v>2.38</v>
      </c>
      <c r="K242" s="26"/>
      <c r="L242" s="14">
        <f t="shared" si="24"/>
        <v>196.31</v>
      </c>
      <c r="M242" s="14">
        <f t="shared" si="25"/>
        <v>82.483193277310932</v>
      </c>
    </row>
    <row r="243" spans="1:13" ht="15" customHeight="1" x14ac:dyDescent="0.25">
      <c r="A243" s="13">
        <v>5932541</v>
      </c>
      <c r="B243" s="27">
        <v>40494</v>
      </c>
      <c r="C243" s="13" t="s">
        <v>110</v>
      </c>
      <c r="D243" s="13" t="s">
        <v>169</v>
      </c>
      <c r="E243" s="28">
        <v>40</v>
      </c>
      <c r="F243" s="25">
        <v>0.56000000000000005</v>
      </c>
      <c r="G243" s="26">
        <f t="shared" si="28"/>
        <v>14.560000000000002</v>
      </c>
      <c r="H243" s="26">
        <v>115</v>
      </c>
      <c r="I243" s="26">
        <v>17.05</v>
      </c>
      <c r="J243" s="26">
        <f t="shared" si="29"/>
        <v>0.56000000000000005</v>
      </c>
      <c r="K243" s="26"/>
      <c r="L243" s="14">
        <f t="shared" si="24"/>
        <v>147.17000000000002</v>
      </c>
      <c r="M243" s="14">
        <f t="shared" si="25"/>
        <v>262.80357142857144</v>
      </c>
    </row>
    <row r="244" spans="1:13" ht="15" customHeight="1" x14ac:dyDescent="0.25">
      <c r="A244" s="13">
        <v>5932541</v>
      </c>
      <c r="B244" s="27">
        <v>40494</v>
      </c>
      <c r="C244" s="13" t="s">
        <v>110</v>
      </c>
      <c r="D244" s="13" t="s">
        <v>169</v>
      </c>
      <c r="E244" s="28">
        <v>40</v>
      </c>
      <c r="F244" s="25">
        <v>2.2599999999999998</v>
      </c>
      <c r="G244" s="26">
        <f t="shared" si="28"/>
        <v>58.759999999999991</v>
      </c>
      <c r="H244" s="26">
        <v>115</v>
      </c>
      <c r="I244" s="26">
        <v>17.05</v>
      </c>
      <c r="J244" s="26">
        <f t="shared" si="29"/>
        <v>2.2599999999999998</v>
      </c>
      <c r="K244" s="26"/>
      <c r="L244" s="14">
        <f t="shared" si="24"/>
        <v>193.07</v>
      </c>
      <c r="M244" s="14">
        <f t="shared" si="25"/>
        <v>85.429203539823007</v>
      </c>
    </row>
    <row r="245" spans="1:13" ht="15" customHeight="1" x14ac:dyDescent="0.25">
      <c r="A245" s="13">
        <v>5932541</v>
      </c>
      <c r="B245" s="27">
        <v>40495</v>
      </c>
      <c r="C245" s="13" t="s">
        <v>170</v>
      </c>
      <c r="D245" s="13" t="s">
        <v>171</v>
      </c>
      <c r="E245" s="28">
        <v>32</v>
      </c>
      <c r="F245" s="25">
        <v>3.8</v>
      </c>
      <c r="G245" s="26">
        <f t="shared" si="28"/>
        <v>98.8</v>
      </c>
      <c r="H245" s="26">
        <v>115</v>
      </c>
      <c r="I245" s="26">
        <v>17.05</v>
      </c>
      <c r="J245" s="26">
        <f t="shared" si="29"/>
        <v>3.8</v>
      </c>
      <c r="K245" s="26">
        <f>H245+I245</f>
        <v>132.05000000000001</v>
      </c>
      <c r="L245" s="14">
        <f t="shared" si="24"/>
        <v>234.65000000000003</v>
      </c>
      <c r="M245" s="14">
        <f t="shared" si="25"/>
        <v>61.750000000000014</v>
      </c>
    </row>
    <row r="246" spans="1:13" ht="15" customHeight="1" x14ac:dyDescent="0.25">
      <c r="A246" s="13">
        <v>5932541</v>
      </c>
      <c r="B246" s="27">
        <v>40497</v>
      </c>
      <c r="C246" s="13" t="s">
        <v>128</v>
      </c>
      <c r="D246" s="13" t="s">
        <v>169</v>
      </c>
      <c r="E246" s="28">
        <v>20</v>
      </c>
      <c r="F246" s="25">
        <v>2.17</v>
      </c>
      <c r="G246" s="26">
        <f t="shared" si="28"/>
        <v>56.42</v>
      </c>
      <c r="H246" s="26">
        <v>115</v>
      </c>
      <c r="I246" s="26">
        <v>17.05</v>
      </c>
      <c r="J246" s="26">
        <f t="shared" si="29"/>
        <v>2.17</v>
      </c>
      <c r="K246" s="26"/>
      <c r="L246" s="14">
        <f t="shared" si="24"/>
        <v>190.64000000000001</v>
      </c>
      <c r="M246" s="14">
        <f t="shared" si="25"/>
        <v>87.852534562211986</v>
      </c>
    </row>
    <row r="247" spans="1:13" ht="15" customHeight="1" x14ac:dyDescent="0.25">
      <c r="A247" s="13">
        <v>5932541</v>
      </c>
      <c r="B247" s="27">
        <v>40497</v>
      </c>
      <c r="C247" s="13" t="s">
        <v>128</v>
      </c>
      <c r="D247" s="13" t="s">
        <v>171</v>
      </c>
      <c r="E247" s="28">
        <v>35</v>
      </c>
      <c r="F247" s="25">
        <v>7.09</v>
      </c>
      <c r="G247" s="26">
        <f t="shared" si="28"/>
        <v>184.34</v>
      </c>
      <c r="H247" s="26">
        <v>115</v>
      </c>
      <c r="I247" s="26">
        <v>17.05</v>
      </c>
      <c r="J247" s="26">
        <f t="shared" si="29"/>
        <v>7.09</v>
      </c>
      <c r="K247" s="26"/>
      <c r="L247" s="14">
        <f t="shared" si="24"/>
        <v>323.48</v>
      </c>
      <c r="M247" s="14">
        <f t="shared" si="25"/>
        <v>45.624823695345562</v>
      </c>
    </row>
    <row r="248" spans="1:13" ht="15" customHeight="1" x14ac:dyDescent="0.25">
      <c r="A248" s="13">
        <v>5932541</v>
      </c>
      <c r="B248" s="27">
        <v>40499</v>
      </c>
      <c r="C248" s="13" t="s">
        <v>183</v>
      </c>
      <c r="D248" s="13" t="s">
        <v>171</v>
      </c>
      <c r="E248" s="28">
        <v>30</v>
      </c>
      <c r="F248" s="25">
        <v>2.84</v>
      </c>
      <c r="G248" s="26">
        <f t="shared" si="28"/>
        <v>73.84</v>
      </c>
      <c r="H248" s="26">
        <v>115</v>
      </c>
      <c r="I248" s="26">
        <v>17.05</v>
      </c>
      <c r="J248" s="26">
        <f t="shared" si="29"/>
        <v>2.84</v>
      </c>
      <c r="K248" s="26">
        <f>H248+I248</f>
        <v>132.05000000000001</v>
      </c>
      <c r="L248" s="14">
        <f t="shared" si="24"/>
        <v>208.73000000000002</v>
      </c>
      <c r="M248" s="14">
        <f t="shared" si="25"/>
        <v>73.49647887323944</v>
      </c>
    </row>
    <row r="249" spans="1:13" ht="15" customHeight="1" x14ac:dyDescent="0.25">
      <c r="A249" s="13">
        <v>5932541</v>
      </c>
      <c r="B249" s="27">
        <v>40500</v>
      </c>
      <c r="C249" s="13" t="s">
        <v>110</v>
      </c>
      <c r="D249" s="13" t="s">
        <v>169</v>
      </c>
      <c r="E249" s="28">
        <v>40</v>
      </c>
      <c r="F249" s="25">
        <v>4.05</v>
      </c>
      <c r="G249" s="26">
        <f t="shared" si="28"/>
        <v>105.3</v>
      </c>
      <c r="H249" s="26">
        <v>115</v>
      </c>
      <c r="I249" s="26">
        <v>17.05</v>
      </c>
      <c r="J249" s="26">
        <f t="shared" si="29"/>
        <v>4.05</v>
      </c>
      <c r="K249" s="26"/>
      <c r="L249" s="14">
        <f t="shared" si="24"/>
        <v>241.40000000000003</v>
      </c>
      <c r="M249" s="14">
        <f t="shared" si="25"/>
        <v>59.604938271604951</v>
      </c>
    </row>
    <row r="250" spans="1:13" ht="15" customHeight="1" x14ac:dyDescent="0.25">
      <c r="A250" s="13">
        <v>5932541</v>
      </c>
      <c r="B250" s="27">
        <v>40500</v>
      </c>
      <c r="C250" s="13" t="s">
        <v>110</v>
      </c>
      <c r="D250" s="13" t="s">
        <v>169</v>
      </c>
      <c r="E250" s="28">
        <v>40</v>
      </c>
      <c r="F250" s="25">
        <v>4.8099999999999996</v>
      </c>
      <c r="G250" s="26">
        <f t="shared" si="28"/>
        <v>125.05999999999999</v>
      </c>
      <c r="H250" s="26">
        <v>115</v>
      </c>
      <c r="I250" s="26">
        <v>17.05</v>
      </c>
      <c r="J250" s="26">
        <f t="shared" si="29"/>
        <v>4.8099999999999996</v>
      </c>
      <c r="K250" s="26"/>
      <c r="L250" s="14">
        <f t="shared" si="24"/>
        <v>261.92</v>
      </c>
      <c r="M250" s="14">
        <f t="shared" si="25"/>
        <v>54.453222453222459</v>
      </c>
    </row>
    <row r="251" spans="1:13" ht="15" customHeight="1" x14ac:dyDescent="0.25">
      <c r="A251" s="13">
        <v>5932541</v>
      </c>
      <c r="B251" s="27">
        <v>40500</v>
      </c>
      <c r="C251" s="13" t="s">
        <v>110</v>
      </c>
      <c r="D251" s="13" t="s">
        <v>169</v>
      </c>
      <c r="E251" s="28">
        <v>20</v>
      </c>
      <c r="F251" s="25">
        <v>2.25</v>
      </c>
      <c r="G251" s="26">
        <f t="shared" si="28"/>
        <v>58.5</v>
      </c>
      <c r="H251" s="26">
        <v>115</v>
      </c>
      <c r="I251" s="26">
        <v>17.05</v>
      </c>
      <c r="J251" s="26">
        <f t="shared" si="29"/>
        <v>2.25</v>
      </c>
      <c r="K251" s="26"/>
      <c r="L251" s="14">
        <f t="shared" si="24"/>
        <v>192.8</v>
      </c>
      <c r="M251" s="14">
        <f t="shared" si="25"/>
        <v>85.688888888888897</v>
      </c>
    </row>
    <row r="252" spans="1:13" ht="15" customHeight="1" x14ac:dyDescent="0.25">
      <c r="A252" s="13">
        <v>5932541</v>
      </c>
      <c r="B252" s="27">
        <v>40503</v>
      </c>
      <c r="C252" s="13" t="s">
        <v>170</v>
      </c>
      <c r="D252" s="13" t="s">
        <v>171</v>
      </c>
      <c r="E252" s="28">
        <v>32</v>
      </c>
      <c r="F252" s="25">
        <v>2.4</v>
      </c>
      <c r="G252" s="26">
        <f t="shared" si="28"/>
        <v>62.4</v>
      </c>
      <c r="H252" s="26">
        <v>115</v>
      </c>
      <c r="I252" s="26">
        <v>17.05</v>
      </c>
      <c r="J252" s="26">
        <f t="shared" si="29"/>
        <v>2.4</v>
      </c>
      <c r="K252" s="26">
        <f>H252+I252</f>
        <v>132.05000000000001</v>
      </c>
      <c r="L252" s="14">
        <f t="shared" si="24"/>
        <v>196.85000000000002</v>
      </c>
      <c r="M252" s="14">
        <f t="shared" si="25"/>
        <v>82.020833333333343</v>
      </c>
    </row>
    <row r="253" spans="1:13" ht="15" customHeight="1" x14ac:dyDescent="0.25">
      <c r="A253" s="13">
        <v>5932541</v>
      </c>
      <c r="B253" s="27">
        <v>40505</v>
      </c>
      <c r="C253" s="13" t="s">
        <v>173</v>
      </c>
      <c r="D253" s="13" t="s">
        <v>171</v>
      </c>
      <c r="E253" s="28">
        <v>30</v>
      </c>
      <c r="F253" s="25">
        <v>2.31</v>
      </c>
      <c r="G253" s="26">
        <f t="shared" si="28"/>
        <v>60.06</v>
      </c>
      <c r="H253" s="26">
        <v>115</v>
      </c>
      <c r="I253" s="26">
        <v>16.95</v>
      </c>
      <c r="J253" s="26">
        <f t="shared" si="29"/>
        <v>2.31</v>
      </c>
      <c r="K253" s="26">
        <f>H253+I253</f>
        <v>131.94999999999999</v>
      </c>
      <c r="L253" s="14">
        <f t="shared" si="24"/>
        <v>194.32</v>
      </c>
      <c r="M253" s="14">
        <f t="shared" si="25"/>
        <v>84.12121212121211</v>
      </c>
    </row>
    <row r="254" spans="1:13" ht="15" customHeight="1" x14ac:dyDescent="0.25">
      <c r="A254" s="13">
        <v>5932541</v>
      </c>
      <c r="B254" s="27">
        <v>40510</v>
      </c>
      <c r="C254" s="13" t="s">
        <v>170</v>
      </c>
      <c r="D254" s="13" t="s">
        <v>171</v>
      </c>
      <c r="E254" s="28">
        <v>32</v>
      </c>
      <c r="F254" s="25">
        <v>7.97</v>
      </c>
      <c r="G254" s="26">
        <f t="shared" si="28"/>
        <v>207.22</v>
      </c>
      <c r="H254" s="26">
        <v>115</v>
      </c>
      <c r="I254" s="26">
        <v>16.95</v>
      </c>
      <c r="J254" s="26">
        <f t="shared" si="29"/>
        <v>7.97</v>
      </c>
      <c r="K254" s="26">
        <f>H254+I254</f>
        <v>131.94999999999999</v>
      </c>
      <c r="L254" s="14">
        <f t="shared" si="24"/>
        <v>347.14000000000004</v>
      </c>
      <c r="M254" s="14">
        <f t="shared" si="25"/>
        <v>43.555834378920963</v>
      </c>
    </row>
    <row r="255" spans="1:13" x14ac:dyDescent="0.25">
      <c r="A255" s="13">
        <v>5565009</v>
      </c>
      <c r="B255" s="27">
        <v>40512</v>
      </c>
      <c r="C255" s="13" t="s">
        <v>174</v>
      </c>
      <c r="D255" s="13" t="s">
        <v>175</v>
      </c>
      <c r="E255" s="28">
        <v>6</v>
      </c>
      <c r="F255" s="29">
        <v>2.34</v>
      </c>
      <c r="H255" s="26">
        <v>104</v>
      </c>
      <c r="I255" s="26">
        <v>0</v>
      </c>
      <c r="J255" s="26"/>
      <c r="K255" s="26"/>
      <c r="L255" s="14">
        <f t="shared" si="24"/>
        <v>104</v>
      </c>
      <c r="M255" s="14">
        <f t="shared" si="25"/>
        <v>44.44444444444445</v>
      </c>
    </row>
    <row r="256" spans="1:13" ht="15" customHeight="1" x14ac:dyDescent="0.25">
      <c r="A256" s="13">
        <v>5565009</v>
      </c>
      <c r="B256" s="27">
        <v>40512</v>
      </c>
      <c r="C256" s="13" t="s">
        <v>176</v>
      </c>
      <c r="D256" s="13" t="s">
        <v>175</v>
      </c>
      <c r="E256" s="28">
        <v>6</v>
      </c>
      <c r="F256" s="29">
        <v>0.78</v>
      </c>
      <c r="H256" s="26">
        <v>65</v>
      </c>
      <c r="I256" s="26">
        <v>0</v>
      </c>
      <c r="J256" s="26"/>
      <c r="K256" s="26"/>
      <c r="L256" s="14">
        <f t="shared" si="24"/>
        <v>65</v>
      </c>
      <c r="M256" s="14">
        <f t="shared" si="25"/>
        <v>83.333333333333329</v>
      </c>
    </row>
    <row r="257" spans="1:13" ht="15" customHeight="1" x14ac:dyDescent="0.25">
      <c r="A257" s="13">
        <v>5565009</v>
      </c>
      <c r="B257" s="27">
        <v>40512</v>
      </c>
      <c r="C257" s="13" t="s">
        <v>176</v>
      </c>
      <c r="D257" s="13" t="s">
        <v>175</v>
      </c>
      <c r="E257" s="28">
        <v>6</v>
      </c>
      <c r="F257" s="29">
        <v>0.78</v>
      </c>
      <c r="H257" s="26">
        <v>65</v>
      </c>
      <c r="I257" s="26">
        <v>0</v>
      </c>
      <c r="J257" s="26"/>
      <c r="K257" s="26"/>
      <c r="L257" s="14">
        <f t="shared" si="24"/>
        <v>65</v>
      </c>
      <c r="M257" s="14">
        <f t="shared" si="25"/>
        <v>83.333333333333329</v>
      </c>
    </row>
    <row r="258" spans="1:13" ht="15" customHeight="1" x14ac:dyDescent="0.25">
      <c r="A258" s="13">
        <v>5565442</v>
      </c>
      <c r="B258" s="27">
        <v>40512</v>
      </c>
      <c r="C258" s="13" t="s">
        <v>177</v>
      </c>
      <c r="D258" s="13" t="s">
        <v>175</v>
      </c>
      <c r="E258" s="28">
        <v>8</v>
      </c>
      <c r="F258" s="29">
        <v>4.68</v>
      </c>
      <c r="H258" s="26">
        <v>189</v>
      </c>
      <c r="I258" s="26">
        <v>0</v>
      </c>
      <c r="J258" s="26"/>
      <c r="K258" s="26"/>
      <c r="L258" s="14">
        <f t="shared" si="24"/>
        <v>189</v>
      </c>
      <c r="M258" s="14">
        <f t="shared" si="25"/>
        <v>40.384615384615387</v>
      </c>
    </row>
    <row r="259" spans="1:13" ht="15" customHeight="1" x14ac:dyDescent="0.25">
      <c r="A259" s="13">
        <v>5568192</v>
      </c>
      <c r="B259" s="27">
        <v>40512</v>
      </c>
      <c r="C259" s="13" t="s">
        <v>178</v>
      </c>
      <c r="D259" s="13" t="s">
        <v>171</v>
      </c>
      <c r="E259" s="28">
        <v>6</v>
      </c>
      <c r="F259" s="29">
        <v>3.9</v>
      </c>
      <c r="H259" s="26">
        <v>155.88</v>
      </c>
      <c r="I259" s="26">
        <v>0</v>
      </c>
      <c r="J259" s="26"/>
      <c r="K259" s="26"/>
      <c r="L259" s="14">
        <f t="shared" si="24"/>
        <v>155.88</v>
      </c>
      <c r="M259" s="14">
        <f t="shared" si="25"/>
        <v>39.969230769230769</v>
      </c>
    </row>
    <row r="260" spans="1:13" ht="15" customHeight="1" x14ac:dyDescent="0.25">
      <c r="A260" s="13">
        <v>5568516</v>
      </c>
      <c r="B260" s="27">
        <v>40512</v>
      </c>
      <c r="C260" s="13" t="s">
        <v>179</v>
      </c>
      <c r="D260" s="13" t="s">
        <v>175</v>
      </c>
      <c r="E260" s="28">
        <v>2</v>
      </c>
      <c r="F260" s="29">
        <v>0.39</v>
      </c>
      <c r="H260" s="26">
        <v>48</v>
      </c>
      <c r="I260" s="26">
        <v>0</v>
      </c>
      <c r="J260" s="26"/>
      <c r="K260" s="26"/>
      <c r="L260" s="14">
        <f t="shared" ref="L260:L323" si="30">G260+H260+I260+J260</f>
        <v>48</v>
      </c>
      <c r="M260" s="14">
        <f t="shared" ref="M260:M323" si="31">L260/F260</f>
        <v>123.07692307692307</v>
      </c>
    </row>
    <row r="261" spans="1:13" ht="15" customHeight="1" x14ac:dyDescent="0.25">
      <c r="A261" s="13">
        <v>5932541</v>
      </c>
      <c r="B261" s="27">
        <v>40512</v>
      </c>
      <c r="C261" s="13" t="s">
        <v>170</v>
      </c>
      <c r="D261" s="13" t="s">
        <v>171</v>
      </c>
      <c r="E261" s="28">
        <v>32</v>
      </c>
      <c r="F261" s="25">
        <v>6.04</v>
      </c>
      <c r="G261" s="26">
        <f t="shared" ref="G261:G275" si="32">F261*$G$2</f>
        <v>157.04</v>
      </c>
      <c r="H261" s="26">
        <v>115</v>
      </c>
      <c r="I261" s="26">
        <v>16.95</v>
      </c>
      <c r="J261" s="26">
        <f t="shared" ref="J261:J275" si="33">F261</f>
        <v>6.04</v>
      </c>
      <c r="K261" s="26">
        <f>H261+I261</f>
        <v>131.94999999999999</v>
      </c>
      <c r="L261" s="14">
        <f t="shared" si="30"/>
        <v>295.02999999999997</v>
      </c>
      <c r="M261" s="14">
        <f t="shared" si="31"/>
        <v>48.846026490066222</v>
      </c>
    </row>
    <row r="262" spans="1:13" ht="15" customHeight="1" x14ac:dyDescent="0.25">
      <c r="A262" s="13">
        <v>5948827</v>
      </c>
      <c r="B262" s="27">
        <v>40513</v>
      </c>
      <c r="C262" s="13" t="s">
        <v>173</v>
      </c>
      <c r="D262" s="13" t="s">
        <v>171</v>
      </c>
      <c r="E262" s="28">
        <v>30</v>
      </c>
      <c r="F262" s="25">
        <v>3.1</v>
      </c>
      <c r="G262" s="26">
        <f t="shared" si="32"/>
        <v>80.600000000000009</v>
      </c>
      <c r="H262" s="26">
        <v>115</v>
      </c>
      <c r="I262" s="26">
        <v>17.09</v>
      </c>
      <c r="J262" s="26">
        <f t="shared" si="33"/>
        <v>3.1</v>
      </c>
      <c r="K262" s="26">
        <f>H262+I262</f>
        <v>132.09</v>
      </c>
      <c r="L262" s="14">
        <f t="shared" si="30"/>
        <v>215.79000000000002</v>
      </c>
      <c r="M262" s="14">
        <f t="shared" si="31"/>
        <v>69.609677419354838</v>
      </c>
    </row>
    <row r="263" spans="1:13" ht="15" customHeight="1" x14ac:dyDescent="0.25">
      <c r="A263" s="13">
        <v>5948827</v>
      </c>
      <c r="B263" s="27">
        <v>40513</v>
      </c>
      <c r="C263" s="13" t="s">
        <v>128</v>
      </c>
      <c r="D263" s="13" t="s">
        <v>169</v>
      </c>
      <c r="E263" s="28">
        <v>20</v>
      </c>
      <c r="F263" s="25">
        <v>1.2</v>
      </c>
      <c r="G263" s="26">
        <f t="shared" si="32"/>
        <v>31.2</v>
      </c>
      <c r="H263" s="26">
        <v>115</v>
      </c>
      <c r="I263" s="26">
        <v>17.09</v>
      </c>
      <c r="J263" s="26">
        <f t="shared" si="33"/>
        <v>1.2</v>
      </c>
      <c r="K263" s="26"/>
      <c r="L263" s="14">
        <f t="shared" si="30"/>
        <v>164.48999999999998</v>
      </c>
      <c r="M263" s="14">
        <f t="shared" si="31"/>
        <v>137.07499999999999</v>
      </c>
    </row>
    <row r="264" spans="1:13" ht="15" customHeight="1" x14ac:dyDescent="0.25">
      <c r="A264" s="13">
        <v>5948827</v>
      </c>
      <c r="B264" s="27">
        <v>40518</v>
      </c>
      <c r="C264" s="13" t="s">
        <v>170</v>
      </c>
      <c r="D264" s="13" t="s">
        <v>171</v>
      </c>
      <c r="E264" s="28">
        <v>32</v>
      </c>
      <c r="F264" s="25">
        <v>2.02</v>
      </c>
      <c r="G264" s="26">
        <f t="shared" si="32"/>
        <v>52.52</v>
      </c>
      <c r="H264" s="26">
        <v>115</v>
      </c>
      <c r="I264" s="26">
        <v>17.09</v>
      </c>
      <c r="J264" s="26">
        <f t="shared" si="33"/>
        <v>2.02</v>
      </c>
      <c r="K264" s="26">
        <f>H264+I264</f>
        <v>132.09</v>
      </c>
      <c r="L264" s="14">
        <f t="shared" si="30"/>
        <v>186.63000000000002</v>
      </c>
      <c r="M264" s="14">
        <f t="shared" si="31"/>
        <v>92.391089108910904</v>
      </c>
    </row>
    <row r="265" spans="1:13" ht="15" customHeight="1" x14ac:dyDescent="0.25">
      <c r="A265" s="13">
        <v>5948827</v>
      </c>
      <c r="B265" s="27">
        <v>40520</v>
      </c>
      <c r="C265" s="13" t="s">
        <v>173</v>
      </c>
      <c r="D265" s="13" t="s">
        <v>171</v>
      </c>
      <c r="E265" s="28">
        <v>30</v>
      </c>
      <c r="F265" s="25">
        <v>4.7</v>
      </c>
      <c r="G265" s="26">
        <f t="shared" si="32"/>
        <v>122.2</v>
      </c>
      <c r="H265" s="26">
        <v>115</v>
      </c>
      <c r="I265" s="26">
        <v>17.2</v>
      </c>
      <c r="J265" s="26">
        <f t="shared" si="33"/>
        <v>4.7</v>
      </c>
      <c r="K265" s="26">
        <f>H265+I265</f>
        <v>132.19999999999999</v>
      </c>
      <c r="L265" s="14">
        <f t="shared" si="30"/>
        <v>259.09999999999997</v>
      </c>
      <c r="M265" s="14">
        <f t="shared" si="31"/>
        <v>55.127659574468076</v>
      </c>
    </row>
    <row r="266" spans="1:13" ht="15" customHeight="1" x14ac:dyDescent="0.25">
      <c r="A266" s="13">
        <v>5948827</v>
      </c>
      <c r="B266" s="27">
        <v>40521</v>
      </c>
      <c r="C266" s="13" t="s">
        <v>128</v>
      </c>
      <c r="D266" s="13" t="s">
        <v>169</v>
      </c>
      <c r="E266" s="28">
        <v>20</v>
      </c>
      <c r="F266" s="25">
        <v>4.05</v>
      </c>
      <c r="G266" s="26">
        <f t="shared" si="32"/>
        <v>105.3</v>
      </c>
      <c r="H266" s="26">
        <v>115</v>
      </c>
      <c r="I266" s="26">
        <v>17.2</v>
      </c>
      <c r="J266" s="26">
        <f t="shared" si="33"/>
        <v>4.05</v>
      </c>
      <c r="K266" s="26"/>
      <c r="L266" s="14">
        <f t="shared" si="30"/>
        <v>241.55</v>
      </c>
      <c r="M266" s="14">
        <f t="shared" si="31"/>
        <v>59.641975308641982</v>
      </c>
    </row>
    <row r="267" spans="1:13" ht="15" customHeight="1" x14ac:dyDescent="0.25">
      <c r="A267" s="13">
        <v>5948827</v>
      </c>
      <c r="B267" s="27">
        <v>40523</v>
      </c>
      <c r="C267" s="13" t="s">
        <v>128</v>
      </c>
      <c r="D267" s="13" t="s">
        <v>171</v>
      </c>
      <c r="E267" s="28">
        <v>35</v>
      </c>
      <c r="F267" s="25">
        <v>4.9400000000000004</v>
      </c>
      <c r="G267" s="26">
        <f t="shared" si="32"/>
        <v>128.44</v>
      </c>
      <c r="H267" s="26">
        <v>115</v>
      </c>
      <c r="I267" s="26">
        <v>17.2</v>
      </c>
      <c r="J267" s="26">
        <f t="shared" si="33"/>
        <v>4.9400000000000004</v>
      </c>
      <c r="K267" s="26"/>
      <c r="L267" s="14">
        <f t="shared" si="30"/>
        <v>265.58</v>
      </c>
      <c r="M267" s="14">
        <f t="shared" si="31"/>
        <v>53.761133603238861</v>
      </c>
    </row>
    <row r="268" spans="1:13" ht="15" customHeight="1" x14ac:dyDescent="0.25">
      <c r="A268" s="13">
        <v>5948827</v>
      </c>
      <c r="B268" s="27">
        <v>40525</v>
      </c>
      <c r="C268" s="13" t="s">
        <v>170</v>
      </c>
      <c r="D268" s="13" t="s">
        <v>171</v>
      </c>
      <c r="E268" s="28">
        <v>32</v>
      </c>
      <c r="F268" s="25">
        <v>0.87</v>
      </c>
      <c r="G268" s="26">
        <f t="shared" si="32"/>
        <v>22.62</v>
      </c>
      <c r="H268" s="26">
        <v>115</v>
      </c>
      <c r="I268" s="26">
        <v>17.2</v>
      </c>
      <c r="J268" s="26">
        <f t="shared" si="33"/>
        <v>0.87</v>
      </c>
      <c r="K268" s="26">
        <f>H268+I268</f>
        <v>132.19999999999999</v>
      </c>
      <c r="L268" s="14">
        <f t="shared" si="30"/>
        <v>155.69</v>
      </c>
      <c r="M268" s="14">
        <f t="shared" si="31"/>
        <v>178.95402298850576</v>
      </c>
    </row>
    <row r="269" spans="1:13" ht="15" customHeight="1" x14ac:dyDescent="0.25">
      <c r="A269" s="13">
        <v>5948827</v>
      </c>
      <c r="B269" s="27">
        <v>40526</v>
      </c>
      <c r="C269" s="13" t="s">
        <v>173</v>
      </c>
      <c r="D269" s="13" t="s">
        <v>171</v>
      </c>
      <c r="E269" s="28">
        <v>30</v>
      </c>
      <c r="F269" s="25">
        <v>2.33</v>
      </c>
      <c r="G269" s="26">
        <f t="shared" si="32"/>
        <v>60.58</v>
      </c>
      <c r="H269" s="26">
        <v>115</v>
      </c>
      <c r="I269" s="26">
        <v>17.2</v>
      </c>
      <c r="J269" s="26">
        <f t="shared" si="33"/>
        <v>2.33</v>
      </c>
      <c r="K269" s="26">
        <f>H269+I269</f>
        <v>132.19999999999999</v>
      </c>
      <c r="L269" s="14">
        <f t="shared" si="30"/>
        <v>195.10999999999999</v>
      </c>
      <c r="M269" s="14">
        <f t="shared" si="31"/>
        <v>83.738197424892689</v>
      </c>
    </row>
    <row r="270" spans="1:13" ht="15" customHeight="1" x14ac:dyDescent="0.25">
      <c r="A270" s="13">
        <v>5948827</v>
      </c>
      <c r="B270" s="27">
        <v>40526</v>
      </c>
      <c r="C270" s="13" t="s">
        <v>110</v>
      </c>
      <c r="D270" s="13" t="s">
        <v>169</v>
      </c>
      <c r="E270" s="28">
        <v>40</v>
      </c>
      <c r="F270" s="25">
        <v>4.4400000000000004</v>
      </c>
      <c r="G270" s="26">
        <f t="shared" si="32"/>
        <v>115.44000000000001</v>
      </c>
      <c r="H270" s="26">
        <v>115</v>
      </c>
      <c r="I270" s="26">
        <v>17.2</v>
      </c>
      <c r="J270" s="26">
        <f t="shared" si="33"/>
        <v>4.4400000000000004</v>
      </c>
      <c r="K270" s="26"/>
      <c r="L270" s="14">
        <f t="shared" si="30"/>
        <v>252.07999999999998</v>
      </c>
      <c r="M270" s="14">
        <f t="shared" si="31"/>
        <v>56.77477477477477</v>
      </c>
    </row>
    <row r="271" spans="1:13" ht="15" customHeight="1" x14ac:dyDescent="0.25">
      <c r="A271" s="13">
        <v>5948827</v>
      </c>
      <c r="B271" s="27">
        <v>40531</v>
      </c>
      <c r="C271" s="13" t="s">
        <v>170</v>
      </c>
      <c r="D271" s="13" t="s">
        <v>171</v>
      </c>
      <c r="E271" s="28">
        <v>32</v>
      </c>
      <c r="F271" s="25">
        <v>1.97</v>
      </c>
      <c r="G271" s="26">
        <f t="shared" si="32"/>
        <v>51.22</v>
      </c>
      <c r="H271" s="26">
        <v>115</v>
      </c>
      <c r="I271" s="26">
        <v>17.27</v>
      </c>
      <c r="J271" s="26">
        <f t="shared" si="33"/>
        <v>1.97</v>
      </c>
      <c r="K271" s="26">
        <f>H271+I271</f>
        <v>132.27000000000001</v>
      </c>
      <c r="L271" s="14">
        <f t="shared" si="30"/>
        <v>185.46</v>
      </c>
      <c r="M271" s="14">
        <f t="shared" si="31"/>
        <v>94.142131979695435</v>
      </c>
    </row>
    <row r="272" spans="1:13" ht="15" customHeight="1" x14ac:dyDescent="0.25">
      <c r="A272" s="13">
        <v>5948827</v>
      </c>
      <c r="B272" s="27">
        <v>40532</v>
      </c>
      <c r="C272" s="13" t="s">
        <v>170</v>
      </c>
      <c r="D272" s="13" t="s">
        <v>171</v>
      </c>
      <c r="E272" s="28">
        <v>32</v>
      </c>
      <c r="F272" s="25">
        <v>5.91</v>
      </c>
      <c r="G272" s="26">
        <f t="shared" si="32"/>
        <v>153.66</v>
      </c>
      <c r="H272" s="26">
        <v>115</v>
      </c>
      <c r="I272" s="26">
        <v>17.27</v>
      </c>
      <c r="J272" s="26">
        <f t="shared" si="33"/>
        <v>5.91</v>
      </c>
      <c r="K272" s="26">
        <f>H272+I272</f>
        <v>132.27000000000001</v>
      </c>
      <c r="L272" s="14">
        <f t="shared" si="30"/>
        <v>291.83999999999997</v>
      </c>
      <c r="M272" s="14">
        <f t="shared" si="31"/>
        <v>49.380710659898469</v>
      </c>
    </row>
    <row r="273" spans="1:13" ht="15" customHeight="1" x14ac:dyDescent="0.25">
      <c r="A273" s="13">
        <v>5948827</v>
      </c>
      <c r="B273" s="27">
        <v>40533</v>
      </c>
      <c r="C273" s="13" t="s">
        <v>173</v>
      </c>
      <c r="D273" s="13" t="s">
        <v>171</v>
      </c>
      <c r="E273" s="28">
        <v>30</v>
      </c>
      <c r="F273" s="25">
        <v>2.12</v>
      </c>
      <c r="G273" s="26">
        <f t="shared" si="32"/>
        <v>55.120000000000005</v>
      </c>
      <c r="H273" s="26">
        <v>115</v>
      </c>
      <c r="I273" s="26">
        <v>17.27</v>
      </c>
      <c r="J273" s="26">
        <f t="shared" si="33"/>
        <v>2.12</v>
      </c>
      <c r="K273" s="26">
        <f>H273+I273</f>
        <v>132.27000000000001</v>
      </c>
      <c r="L273" s="14">
        <f t="shared" si="30"/>
        <v>189.51000000000002</v>
      </c>
      <c r="M273" s="14">
        <f t="shared" si="31"/>
        <v>89.39150943396227</v>
      </c>
    </row>
    <row r="274" spans="1:13" ht="15" customHeight="1" x14ac:dyDescent="0.25">
      <c r="A274" s="13">
        <v>5948827</v>
      </c>
      <c r="B274" s="27">
        <v>40533</v>
      </c>
      <c r="C274" s="13" t="s">
        <v>172</v>
      </c>
      <c r="D274" s="13" t="s">
        <v>169</v>
      </c>
      <c r="E274" s="28">
        <v>40</v>
      </c>
      <c r="F274" s="25">
        <v>4.2</v>
      </c>
      <c r="G274" s="26">
        <f t="shared" si="32"/>
        <v>109.2</v>
      </c>
      <c r="H274" s="26">
        <v>115</v>
      </c>
      <c r="I274" s="26">
        <v>17.27</v>
      </c>
      <c r="J274" s="26">
        <f t="shared" si="33"/>
        <v>4.2</v>
      </c>
      <c r="K274" s="26"/>
      <c r="L274" s="14">
        <f t="shared" si="30"/>
        <v>245.67</v>
      </c>
      <c r="M274" s="14">
        <f t="shared" si="31"/>
        <v>58.49285714285714</v>
      </c>
    </row>
    <row r="275" spans="1:13" ht="15" customHeight="1" x14ac:dyDescent="0.25">
      <c r="A275" s="13">
        <v>5948827</v>
      </c>
      <c r="B275" s="27">
        <v>40540</v>
      </c>
      <c r="C275" s="13" t="s">
        <v>170</v>
      </c>
      <c r="D275" s="13" t="s">
        <v>171</v>
      </c>
      <c r="E275" s="28">
        <v>32</v>
      </c>
      <c r="F275" s="25">
        <v>1.46</v>
      </c>
      <c r="G275" s="26">
        <f t="shared" si="32"/>
        <v>37.96</v>
      </c>
      <c r="H275" s="26">
        <v>115</v>
      </c>
      <c r="I275" s="26">
        <v>17.46</v>
      </c>
      <c r="J275" s="26">
        <f t="shared" si="33"/>
        <v>1.46</v>
      </c>
      <c r="K275" s="26">
        <f>H275+I275</f>
        <v>132.46</v>
      </c>
      <c r="L275" s="14">
        <f t="shared" si="30"/>
        <v>171.88000000000002</v>
      </c>
      <c r="M275" s="14">
        <f t="shared" si="31"/>
        <v>117.7260273972603</v>
      </c>
    </row>
    <row r="276" spans="1:13" x14ac:dyDescent="0.25">
      <c r="A276" s="13">
        <v>5572962</v>
      </c>
      <c r="B276" s="27">
        <v>40543</v>
      </c>
      <c r="C276" s="13" t="s">
        <v>174</v>
      </c>
      <c r="D276" s="13" t="s">
        <v>175</v>
      </c>
      <c r="E276" s="28">
        <v>6</v>
      </c>
      <c r="F276" s="29">
        <v>2.34</v>
      </c>
      <c r="H276" s="26">
        <v>104</v>
      </c>
      <c r="I276" s="26">
        <v>0</v>
      </c>
      <c r="J276" s="26"/>
      <c r="K276" s="26"/>
      <c r="L276" s="14">
        <f t="shared" si="30"/>
        <v>104</v>
      </c>
      <c r="M276" s="14">
        <f t="shared" si="31"/>
        <v>44.44444444444445</v>
      </c>
    </row>
    <row r="277" spans="1:13" ht="15" customHeight="1" x14ac:dyDescent="0.25">
      <c r="A277" s="13">
        <v>5572962</v>
      </c>
      <c r="B277" s="27">
        <v>40543</v>
      </c>
      <c r="C277" s="13" t="s">
        <v>176</v>
      </c>
      <c r="D277" s="13" t="s">
        <v>175</v>
      </c>
      <c r="E277" s="28">
        <v>6</v>
      </c>
      <c r="F277" s="29">
        <v>0.78</v>
      </c>
      <c r="H277" s="26">
        <v>65</v>
      </c>
      <c r="I277" s="26">
        <v>0</v>
      </c>
      <c r="J277" s="26"/>
      <c r="K277" s="26"/>
      <c r="L277" s="14">
        <f t="shared" si="30"/>
        <v>65</v>
      </c>
      <c r="M277" s="14">
        <f t="shared" si="31"/>
        <v>83.333333333333329</v>
      </c>
    </row>
    <row r="278" spans="1:13" ht="15" customHeight="1" x14ac:dyDescent="0.25">
      <c r="A278" s="13">
        <v>5572962</v>
      </c>
      <c r="B278" s="27">
        <v>40543</v>
      </c>
      <c r="C278" s="13" t="s">
        <v>176</v>
      </c>
      <c r="D278" s="13" t="s">
        <v>175</v>
      </c>
      <c r="E278" s="28">
        <v>6</v>
      </c>
      <c r="F278" s="29">
        <v>0.78</v>
      </c>
      <c r="H278" s="26">
        <v>65</v>
      </c>
      <c r="I278" s="26">
        <v>0</v>
      </c>
      <c r="J278" s="26"/>
      <c r="K278" s="26"/>
      <c r="L278" s="14">
        <f t="shared" si="30"/>
        <v>65</v>
      </c>
      <c r="M278" s="14">
        <f t="shared" si="31"/>
        <v>83.333333333333329</v>
      </c>
    </row>
    <row r="279" spans="1:13" ht="15" customHeight="1" x14ac:dyDescent="0.25">
      <c r="A279" s="13">
        <v>5573387</v>
      </c>
      <c r="B279" s="27">
        <v>40543</v>
      </c>
      <c r="C279" s="13" t="s">
        <v>177</v>
      </c>
      <c r="D279" s="13" t="s">
        <v>175</v>
      </c>
      <c r="E279" s="28">
        <v>8</v>
      </c>
      <c r="F279" s="29">
        <v>4.68</v>
      </c>
      <c r="H279" s="26">
        <v>189</v>
      </c>
      <c r="I279" s="26">
        <v>0</v>
      </c>
      <c r="J279" s="26"/>
      <c r="K279" s="26"/>
      <c r="L279" s="14">
        <f t="shared" si="30"/>
        <v>189</v>
      </c>
      <c r="M279" s="14">
        <f t="shared" si="31"/>
        <v>40.384615384615387</v>
      </c>
    </row>
    <row r="280" spans="1:13" ht="15" customHeight="1" x14ac:dyDescent="0.25">
      <c r="A280" s="13">
        <v>5576102</v>
      </c>
      <c r="B280" s="27">
        <v>40543</v>
      </c>
      <c r="C280" s="13" t="s">
        <v>178</v>
      </c>
      <c r="D280" s="13" t="s">
        <v>171</v>
      </c>
      <c r="E280" s="28">
        <v>6</v>
      </c>
      <c r="F280" s="29">
        <v>3.9</v>
      </c>
      <c r="H280" s="26">
        <v>155.88</v>
      </c>
      <c r="I280" s="26">
        <v>0</v>
      </c>
      <c r="J280" s="26"/>
      <c r="K280" s="26"/>
      <c r="L280" s="14">
        <f t="shared" si="30"/>
        <v>155.88</v>
      </c>
      <c r="M280" s="14">
        <f t="shared" si="31"/>
        <v>39.969230769230769</v>
      </c>
    </row>
    <row r="281" spans="1:13" ht="15" customHeight="1" x14ac:dyDescent="0.25">
      <c r="A281" s="13">
        <v>5964460</v>
      </c>
      <c r="B281" s="27">
        <v>40548</v>
      </c>
      <c r="C281" s="13" t="s">
        <v>173</v>
      </c>
      <c r="D281" s="13" t="s">
        <v>171</v>
      </c>
      <c r="E281" s="28">
        <v>30</v>
      </c>
      <c r="F281" s="25">
        <v>1.1399999999999999</v>
      </c>
      <c r="G281" s="26">
        <f t="shared" ref="G281:G291" si="34">F281*$G$2</f>
        <v>29.639999999999997</v>
      </c>
      <c r="H281" s="26">
        <v>115</v>
      </c>
      <c r="I281" s="26">
        <v>17.559999999999999</v>
      </c>
      <c r="J281" s="26">
        <f t="shared" ref="J281:J291" si="35">F281</f>
        <v>1.1399999999999999</v>
      </c>
      <c r="K281" s="26">
        <f>H281+I281</f>
        <v>132.56</v>
      </c>
      <c r="L281" s="14">
        <f t="shared" si="30"/>
        <v>163.33999999999997</v>
      </c>
      <c r="M281" s="14">
        <f t="shared" si="31"/>
        <v>143.28070175438594</v>
      </c>
    </row>
    <row r="282" spans="1:13" ht="15" customHeight="1" x14ac:dyDescent="0.25">
      <c r="A282" s="13">
        <v>5964460</v>
      </c>
      <c r="B282" s="27">
        <v>40550</v>
      </c>
      <c r="C282" s="13" t="s">
        <v>172</v>
      </c>
      <c r="D282" s="13" t="s">
        <v>169</v>
      </c>
      <c r="E282" s="28">
        <v>40</v>
      </c>
      <c r="F282" s="25">
        <v>3.15</v>
      </c>
      <c r="G282" s="26">
        <f t="shared" si="34"/>
        <v>81.899999999999991</v>
      </c>
      <c r="H282" s="26">
        <v>115</v>
      </c>
      <c r="I282" s="26">
        <v>17.559999999999999</v>
      </c>
      <c r="J282" s="26">
        <f t="shared" si="35"/>
        <v>3.15</v>
      </c>
      <c r="K282" s="26"/>
      <c r="L282" s="14">
        <f t="shared" si="30"/>
        <v>217.60999999999999</v>
      </c>
      <c r="M282" s="14">
        <f t="shared" si="31"/>
        <v>69.082539682539675</v>
      </c>
    </row>
    <row r="283" spans="1:13" ht="15" customHeight="1" x14ac:dyDescent="0.25">
      <c r="A283" s="13">
        <v>5964460</v>
      </c>
      <c r="B283" s="27">
        <v>40553</v>
      </c>
      <c r="C283" s="13" t="s">
        <v>170</v>
      </c>
      <c r="D283" s="13" t="s">
        <v>171</v>
      </c>
      <c r="E283" s="28">
        <v>32</v>
      </c>
      <c r="F283" s="25">
        <v>1.88</v>
      </c>
      <c r="G283" s="26">
        <f t="shared" si="34"/>
        <v>48.879999999999995</v>
      </c>
      <c r="H283" s="26">
        <v>115</v>
      </c>
      <c r="I283" s="26">
        <v>17.54</v>
      </c>
      <c r="J283" s="26">
        <f t="shared" si="35"/>
        <v>1.88</v>
      </c>
      <c r="K283" s="26">
        <f>H283+I283</f>
        <v>132.54</v>
      </c>
      <c r="L283" s="14">
        <f t="shared" si="30"/>
        <v>183.29999999999998</v>
      </c>
      <c r="M283" s="14">
        <f t="shared" si="31"/>
        <v>97.5</v>
      </c>
    </row>
    <row r="284" spans="1:13" ht="15" customHeight="1" x14ac:dyDescent="0.25">
      <c r="A284" s="13">
        <v>5964460</v>
      </c>
      <c r="B284" s="27">
        <v>40556</v>
      </c>
      <c r="C284" s="13" t="s">
        <v>128</v>
      </c>
      <c r="D284" s="13" t="s">
        <v>171</v>
      </c>
      <c r="E284" s="28">
        <v>35</v>
      </c>
      <c r="F284" s="25">
        <v>3.22</v>
      </c>
      <c r="G284" s="26">
        <f t="shared" si="34"/>
        <v>83.72</v>
      </c>
      <c r="H284" s="26">
        <v>115</v>
      </c>
      <c r="I284" s="26">
        <v>17.54</v>
      </c>
      <c r="J284" s="26">
        <f t="shared" si="35"/>
        <v>3.22</v>
      </c>
      <c r="K284" s="26"/>
      <c r="L284" s="14">
        <f t="shared" si="30"/>
        <v>219.48</v>
      </c>
      <c r="M284" s="14">
        <f t="shared" si="31"/>
        <v>68.1614906832298</v>
      </c>
    </row>
    <row r="285" spans="1:13" ht="15" customHeight="1" x14ac:dyDescent="0.25">
      <c r="A285" s="13">
        <v>5964460</v>
      </c>
      <c r="B285" s="27">
        <v>40557</v>
      </c>
      <c r="C285" s="13" t="s">
        <v>110</v>
      </c>
      <c r="D285" s="13" t="s">
        <v>169</v>
      </c>
      <c r="E285" s="28">
        <v>40</v>
      </c>
      <c r="F285" s="25">
        <v>4.78</v>
      </c>
      <c r="G285" s="26">
        <f t="shared" si="34"/>
        <v>124.28</v>
      </c>
      <c r="H285" s="26">
        <v>115</v>
      </c>
      <c r="I285" s="26">
        <v>17.54</v>
      </c>
      <c r="J285" s="26">
        <f t="shared" si="35"/>
        <v>4.78</v>
      </c>
      <c r="K285" s="26"/>
      <c r="L285" s="14">
        <f t="shared" si="30"/>
        <v>261.59999999999997</v>
      </c>
      <c r="M285" s="14">
        <f t="shared" si="31"/>
        <v>54.72803347280334</v>
      </c>
    </row>
    <row r="286" spans="1:13" ht="15" customHeight="1" x14ac:dyDescent="0.25">
      <c r="A286" s="13">
        <v>5964460</v>
      </c>
      <c r="B286" s="27">
        <v>40560</v>
      </c>
      <c r="C286" s="13" t="s">
        <v>170</v>
      </c>
      <c r="D286" s="13" t="s">
        <v>184</v>
      </c>
      <c r="E286" s="28">
        <v>32</v>
      </c>
      <c r="F286" s="25">
        <v>1.92</v>
      </c>
      <c r="G286" s="26">
        <f t="shared" si="34"/>
        <v>49.92</v>
      </c>
      <c r="H286" s="26">
        <v>115</v>
      </c>
      <c r="I286" s="26">
        <v>17.87</v>
      </c>
      <c r="J286" s="26">
        <f t="shared" si="35"/>
        <v>1.92</v>
      </c>
      <c r="K286" s="26">
        <f>H286+I286</f>
        <v>132.87</v>
      </c>
      <c r="L286" s="14">
        <f t="shared" si="30"/>
        <v>184.71</v>
      </c>
      <c r="M286" s="14">
        <f t="shared" si="31"/>
        <v>96.203125000000014</v>
      </c>
    </row>
    <row r="287" spans="1:13" ht="15" customHeight="1" x14ac:dyDescent="0.25">
      <c r="A287" s="13">
        <v>5964460</v>
      </c>
      <c r="B287" s="27">
        <v>40563</v>
      </c>
      <c r="C287" s="13" t="s">
        <v>173</v>
      </c>
      <c r="D287" s="13" t="s">
        <v>171</v>
      </c>
      <c r="E287" s="28">
        <v>30</v>
      </c>
      <c r="F287" s="25">
        <v>2.27</v>
      </c>
      <c r="G287" s="26">
        <f t="shared" si="34"/>
        <v>59.02</v>
      </c>
      <c r="H287" s="26">
        <v>115</v>
      </c>
      <c r="I287" s="26">
        <v>17.87</v>
      </c>
      <c r="J287" s="26">
        <f t="shared" si="35"/>
        <v>2.27</v>
      </c>
      <c r="K287" s="26">
        <f>H287+I287</f>
        <v>132.87</v>
      </c>
      <c r="L287" s="14">
        <f t="shared" si="30"/>
        <v>194.16000000000003</v>
      </c>
      <c r="M287" s="14">
        <f t="shared" si="31"/>
        <v>85.533039647577098</v>
      </c>
    </row>
    <row r="288" spans="1:13" ht="15" customHeight="1" x14ac:dyDescent="0.25">
      <c r="A288" s="13">
        <v>5964460</v>
      </c>
      <c r="B288" s="27">
        <v>40567</v>
      </c>
      <c r="C288" s="13" t="s">
        <v>170</v>
      </c>
      <c r="D288" s="13" t="s">
        <v>171</v>
      </c>
      <c r="E288" s="28">
        <v>32</v>
      </c>
      <c r="F288" s="25">
        <v>2.29</v>
      </c>
      <c r="G288" s="26">
        <f t="shared" si="34"/>
        <v>59.54</v>
      </c>
      <c r="H288" s="26">
        <v>115</v>
      </c>
      <c r="I288" s="26">
        <v>17.84</v>
      </c>
      <c r="J288" s="26">
        <f t="shared" si="35"/>
        <v>2.29</v>
      </c>
      <c r="K288" s="26">
        <f>H288+I288</f>
        <v>132.84</v>
      </c>
      <c r="L288" s="14">
        <f t="shared" si="30"/>
        <v>194.67</v>
      </c>
      <c r="M288" s="14">
        <f t="shared" si="31"/>
        <v>85.008733624454138</v>
      </c>
    </row>
    <row r="289" spans="1:13" ht="15" customHeight="1" x14ac:dyDescent="0.25">
      <c r="A289" s="13">
        <v>5964460</v>
      </c>
      <c r="B289" s="27">
        <v>40567</v>
      </c>
      <c r="C289" s="13" t="s">
        <v>172</v>
      </c>
      <c r="D289" s="13" t="s">
        <v>169</v>
      </c>
      <c r="E289" s="28">
        <v>40</v>
      </c>
      <c r="F289" s="25">
        <v>5.37</v>
      </c>
      <c r="G289" s="26">
        <f t="shared" si="34"/>
        <v>139.62</v>
      </c>
      <c r="H289" s="26">
        <v>115</v>
      </c>
      <c r="I289" s="26">
        <v>17.84</v>
      </c>
      <c r="J289" s="26">
        <f t="shared" si="35"/>
        <v>5.37</v>
      </c>
      <c r="K289" s="26"/>
      <c r="L289" s="14">
        <f t="shared" si="30"/>
        <v>277.83</v>
      </c>
      <c r="M289" s="14">
        <f t="shared" si="31"/>
        <v>51.737430167597765</v>
      </c>
    </row>
    <row r="290" spans="1:13" ht="15" customHeight="1" x14ac:dyDescent="0.25">
      <c r="A290" s="13">
        <v>5964460</v>
      </c>
      <c r="B290" s="27">
        <v>40569</v>
      </c>
      <c r="C290" s="13" t="s">
        <v>110</v>
      </c>
      <c r="D290" s="13" t="s">
        <v>169</v>
      </c>
      <c r="E290" s="28">
        <v>30</v>
      </c>
      <c r="F290" s="25">
        <v>2.39</v>
      </c>
      <c r="G290" s="26">
        <f t="shared" si="34"/>
        <v>62.14</v>
      </c>
      <c r="H290" s="26">
        <v>115</v>
      </c>
      <c r="I290" s="26">
        <v>17.84</v>
      </c>
      <c r="J290" s="26">
        <f t="shared" si="35"/>
        <v>2.39</v>
      </c>
      <c r="K290" s="26"/>
      <c r="L290" s="14">
        <f t="shared" si="30"/>
        <v>197.36999999999998</v>
      </c>
      <c r="M290" s="14">
        <f t="shared" si="31"/>
        <v>82.581589958158986</v>
      </c>
    </row>
    <row r="291" spans="1:13" ht="15" customHeight="1" x14ac:dyDescent="0.25">
      <c r="A291" s="13">
        <v>5964460</v>
      </c>
      <c r="B291" s="27">
        <v>40570</v>
      </c>
      <c r="C291" s="13" t="s">
        <v>173</v>
      </c>
      <c r="D291" s="13" t="s">
        <v>171</v>
      </c>
      <c r="E291" s="28">
        <v>30</v>
      </c>
      <c r="F291" s="25">
        <v>2.27</v>
      </c>
      <c r="G291" s="26">
        <f t="shared" si="34"/>
        <v>59.02</v>
      </c>
      <c r="H291" s="26">
        <v>115</v>
      </c>
      <c r="I291" s="26">
        <v>17.84</v>
      </c>
      <c r="J291" s="26">
        <f t="shared" si="35"/>
        <v>2.27</v>
      </c>
      <c r="K291" s="26">
        <f>H291+I291</f>
        <v>132.84</v>
      </c>
      <c r="L291" s="14">
        <f t="shared" si="30"/>
        <v>194.13000000000002</v>
      </c>
      <c r="M291" s="14">
        <f t="shared" si="31"/>
        <v>85.519823788546262</v>
      </c>
    </row>
    <row r="292" spans="1:13" x14ac:dyDescent="0.25">
      <c r="A292" s="13">
        <v>5580937</v>
      </c>
      <c r="B292" s="27">
        <v>40574</v>
      </c>
      <c r="C292" s="13" t="s">
        <v>174</v>
      </c>
      <c r="D292" s="13" t="s">
        <v>175</v>
      </c>
      <c r="E292" s="28">
        <v>6</v>
      </c>
      <c r="F292" s="29">
        <v>2.34</v>
      </c>
      <c r="H292" s="26">
        <v>155.88</v>
      </c>
      <c r="I292" s="26">
        <v>0</v>
      </c>
      <c r="J292" s="26"/>
      <c r="K292" s="26"/>
      <c r="L292" s="14">
        <f t="shared" si="30"/>
        <v>155.88</v>
      </c>
      <c r="M292" s="14">
        <f t="shared" si="31"/>
        <v>66.615384615384613</v>
      </c>
    </row>
    <row r="293" spans="1:13" ht="15" customHeight="1" x14ac:dyDescent="0.25">
      <c r="A293" s="13">
        <v>5580937</v>
      </c>
      <c r="B293" s="27">
        <v>40574</v>
      </c>
      <c r="C293" s="13" t="s">
        <v>176</v>
      </c>
      <c r="D293" s="13" t="s">
        <v>175</v>
      </c>
      <c r="E293" s="28">
        <v>2</v>
      </c>
      <c r="F293" s="29">
        <v>0.78</v>
      </c>
      <c r="H293" s="26">
        <v>65</v>
      </c>
      <c r="I293" s="26">
        <v>0</v>
      </c>
      <c r="J293" s="26"/>
      <c r="K293" s="26"/>
      <c r="L293" s="14">
        <f t="shared" si="30"/>
        <v>65</v>
      </c>
      <c r="M293" s="14">
        <f t="shared" si="31"/>
        <v>83.333333333333329</v>
      </c>
    </row>
    <row r="294" spans="1:13" ht="15" customHeight="1" x14ac:dyDescent="0.25">
      <c r="A294" s="13">
        <v>5581361</v>
      </c>
      <c r="B294" s="27">
        <v>40574</v>
      </c>
      <c r="C294" s="13" t="s">
        <v>177</v>
      </c>
      <c r="D294" s="13" t="s">
        <v>175</v>
      </c>
      <c r="E294" s="28">
        <v>8</v>
      </c>
      <c r="F294" s="29">
        <v>3.12</v>
      </c>
      <c r="H294" s="26">
        <v>189</v>
      </c>
      <c r="I294" s="26">
        <v>0</v>
      </c>
      <c r="J294" s="26"/>
      <c r="K294" s="26"/>
      <c r="L294" s="14">
        <f t="shared" si="30"/>
        <v>189</v>
      </c>
      <c r="M294" s="14">
        <f t="shared" si="31"/>
        <v>60.576923076923073</v>
      </c>
    </row>
    <row r="295" spans="1:13" ht="15" customHeight="1" x14ac:dyDescent="0.25">
      <c r="A295" s="13">
        <v>5584026</v>
      </c>
      <c r="B295" s="27">
        <v>40574</v>
      </c>
      <c r="C295" s="13" t="s">
        <v>178</v>
      </c>
      <c r="D295" s="13" t="s">
        <v>171</v>
      </c>
      <c r="E295" s="28">
        <v>8</v>
      </c>
      <c r="F295" s="29">
        <v>3.9</v>
      </c>
      <c r="H295" s="26">
        <v>155.88</v>
      </c>
      <c r="I295" s="26">
        <v>0</v>
      </c>
      <c r="J295" s="26"/>
      <c r="K295" s="26"/>
      <c r="L295" s="14">
        <f t="shared" si="30"/>
        <v>155.88</v>
      </c>
      <c r="M295" s="14">
        <f t="shared" si="31"/>
        <v>39.969230769230769</v>
      </c>
    </row>
    <row r="296" spans="1:13" ht="15" customHeight="1" x14ac:dyDescent="0.25">
      <c r="A296" s="13">
        <v>5589055</v>
      </c>
      <c r="B296" s="27">
        <v>40574</v>
      </c>
      <c r="C296" s="13" t="s">
        <v>176</v>
      </c>
      <c r="D296" s="13" t="s">
        <v>175</v>
      </c>
      <c r="E296" s="28">
        <v>2</v>
      </c>
      <c r="F296" s="29">
        <v>0.78</v>
      </c>
      <c r="H296" s="26">
        <v>65</v>
      </c>
      <c r="I296" s="26">
        <v>0</v>
      </c>
      <c r="J296" s="26"/>
      <c r="K296" s="26"/>
      <c r="L296" s="14">
        <f t="shared" si="30"/>
        <v>65</v>
      </c>
      <c r="M296" s="14">
        <f t="shared" si="31"/>
        <v>83.333333333333329</v>
      </c>
    </row>
    <row r="297" spans="1:13" ht="15" customHeight="1" x14ac:dyDescent="0.25">
      <c r="A297" s="13">
        <v>5964460</v>
      </c>
      <c r="B297" s="27">
        <v>40574</v>
      </c>
      <c r="C297" s="13" t="s">
        <v>170</v>
      </c>
      <c r="D297" s="13" t="s">
        <v>171</v>
      </c>
      <c r="E297" s="28">
        <v>32</v>
      </c>
      <c r="F297" s="25">
        <v>3.56</v>
      </c>
      <c r="G297" s="26">
        <f t="shared" ref="G297:G310" si="36">F297*$G$2</f>
        <v>92.56</v>
      </c>
      <c r="H297" s="26">
        <v>115</v>
      </c>
      <c r="I297" s="26">
        <v>17.920000000000002</v>
      </c>
      <c r="J297" s="26">
        <f t="shared" ref="J297:J310" si="37">F297</f>
        <v>3.56</v>
      </c>
      <c r="K297" s="26">
        <f>H297+I297</f>
        <v>132.92000000000002</v>
      </c>
      <c r="L297" s="14">
        <f t="shared" si="30"/>
        <v>229.04000000000002</v>
      </c>
      <c r="M297" s="14">
        <f t="shared" si="31"/>
        <v>64.337078651685403</v>
      </c>
    </row>
    <row r="298" spans="1:13" ht="15" customHeight="1" x14ac:dyDescent="0.25">
      <c r="A298" s="13">
        <v>5979068</v>
      </c>
      <c r="B298" s="27">
        <v>40578</v>
      </c>
      <c r="C298" s="13" t="s">
        <v>173</v>
      </c>
      <c r="D298" s="13" t="s">
        <v>171</v>
      </c>
      <c r="E298" s="28">
        <v>30</v>
      </c>
      <c r="F298" s="25">
        <v>2.5</v>
      </c>
      <c r="G298" s="26">
        <f t="shared" si="36"/>
        <v>65</v>
      </c>
      <c r="H298" s="26">
        <v>115</v>
      </c>
      <c r="I298" s="26">
        <v>18.23</v>
      </c>
      <c r="J298" s="26">
        <f t="shared" si="37"/>
        <v>2.5</v>
      </c>
      <c r="K298" s="26">
        <f>H298+I298</f>
        <v>133.22999999999999</v>
      </c>
      <c r="L298" s="14">
        <f t="shared" si="30"/>
        <v>200.73</v>
      </c>
      <c r="M298" s="14">
        <f t="shared" si="31"/>
        <v>80.292000000000002</v>
      </c>
    </row>
    <row r="299" spans="1:13" ht="15" customHeight="1" x14ac:dyDescent="0.25">
      <c r="A299" s="13">
        <v>5979068</v>
      </c>
      <c r="B299" s="27">
        <v>40578</v>
      </c>
      <c r="C299" s="13" t="s">
        <v>172</v>
      </c>
      <c r="D299" s="13" t="s">
        <v>169</v>
      </c>
      <c r="E299" s="28">
        <v>40</v>
      </c>
      <c r="F299" s="25">
        <v>3.15</v>
      </c>
      <c r="G299" s="26">
        <f t="shared" si="36"/>
        <v>81.899999999999991</v>
      </c>
      <c r="H299" s="26">
        <v>115</v>
      </c>
      <c r="I299" s="26">
        <v>18.23</v>
      </c>
      <c r="J299" s="26">
        <f t="shared" si="37"/>
        <v>3.15</v>
      </c>
      <c r="K299" s="26"/>
      <c r="L299" s="14">
        <f t="shared" si="30"/>
        <v>218.27999999999997</v>
      </c>
      <c r="M299" s="14">
        <f t="shared" si="31"/>
        <v>69.295238095238091</v>
      </c>
    </row>
    <row r="300" spans="1:13" ht="15" customHeight="1" x14ac:dyDescent="0.25">
      <c r="A300" s="13">
        <v>5979068</v>
      </c>
      <c r="B300" s="27">
        <v>40581</v>
      </c>
      <c r="C300" s="13" t="s">
        <v>170</v>
      </c>
      <c r="D300" s="13" t="s">
        <v>171</v>
      </c>
      <c r="E300" s="28">
        <v>32</v>
      </c>
      <c r="F300" s="25">
        <v>2.2599999999999998</v>
      </c>
      <c r="G300" s="26">
        <f t="shared" si="36"/>
        <v>58.759999999999991</v>
      </c>
      <c r="H300" s="26">
        <v>115</v>
      </c>
      <c r="I300" s="26">
        <v>18.23</v>
      </c>
      <c r="J300" s="26">
        <f t="shared" si="37"/>
        <v>2.2599999999999998</v>
      </c>
      <c r="K300" s="26">
        <f>H300+I300</f>
        <v>133.22999999999999</v>
      </c>
      <c r="L300" s="14">
        <f t="shared" si="30"/>
        <v>194.24999999999997</v>
      </c>
      <c r="M300" s="14">
        <f t="shared" si="31"/>
        <v>85.951327433628308</v>
      </c>
    </row>
    <row r="301" spans="1:13" ht="15" customHeight="1" x14ac:dyDescent="0.25">
      <c r="A301" s="13">
        <v>5979068</v>
      </c>
      <c r="B301" s="27">
        <v>40582</v>
      </c>
      <c r="C301" s="13" t="s">
        <v>128</v>
      </c>
      <c r="D301" s="13" t="s">
        <v>171</v>
      </c>
      <c r="E301" s="28">
        <v>35</v>
      </c>
      <c r="F301" s="25">
        <v>6.15</v>
      </c>
      <c r="G301" s="26">
        <f t="shared" si="36"/>
        <v>159.9</v>
      </c>
      <c r="H301" s="26">
        <v>115</v>
      </c>
      <c r="I301" s="26">
        <v>18.23</v>
      </c>
      <c r="J301" s="26">
        <f t="shared" si="37"/>
        <v>6.15</v>
      </c>
      <c r="K301" s="26"/>
      <c r="L301" s="14">
        <f t="shared" si="30"/>
        <v>299.27999999999997</v>
      </c>
      <c r="M301" s="14">
        <f t="shared" si="31"/>
        <v>48.663414634146335</v>
      </c>
    </row>
    <row r="302" spans="1:13" ht="15" customHeight="1" x14ac:dyDescent="0.25">
      <c r="A302" s="13">
        <v>5979068</v>
      </c>
      <c r="B302" s="27">
        <v>40582</v>
      </c>
      <c r="C302" s="13" t="s">
        <v>110</v>
      </c>
      <c r="D302" s="13" t="s">
        <v>169</v>
      </c>
      <c r="E302" s="28">
        <v>40</v>
      </c>
      <c r="F302" s="25">
        <v>3.13</v>
      </c>
      <c r="G302" s="26">
        <f t="shared" si="36"/>
        <v>81.38</v>
      </c>
      <c r="H302" s="26">
        <v>115</v>
      </c>
      <c r="I302" s="26">
        <v>18.23</v>
      </c>
      <c r="J302" s="26">
        <f t="shared" si="37"/>
        <v>3.13</v>
      </c>
      <c r="K302" s="26"/>
      <c r="L302" s="14">
        <f t="shared" si="30"/>
        <v>217.73999999999998</v>
      </c>
      <c r="M302" s="14">
        <f t="shared" si="31"/>
        <v>69.565495207667723</v>
      </c>
    </row>
    <row r="303" spans="1:13" ht="15" customHeight="1" x14ac:dyDescent="0.25">
      <c r="A303" s="13">
        <v>5979068</v>
      </c>
      <c r="B303" s="27">
        <v>40583</v>
      </c>
      <c r="C303" s="13" t="s">
        <v>173</v>
      </c>
      <c r="D303" s="13" t="s">
        <v>171</v>
      </c>
      <c r="E303" s="28">
        <v>30</v>
      </c>
      <c r="F303" s="25">
        <v>2.4500000000000002</v>
      </c>
      <c r="G303" s="26">
        <f t="shared" si="36"/>
        <v>63.7</v>
      </c>
      <c r="H303" s="26">
        <v>115</v>
      </c>
      <c r="I303" s="26">
        <v>18.23</v>
      </c>
      <c r="J303" s="26">
        <f t="shared" si="37"/>
        <v>2.4500000000000002</v>
      </c>
      <c r="K303" s="26">
        <f>H303+I303</f>
        <v>133.22999999999999</v>
      </c>
      <c r="L303" s="14">
        <f t="shared" si="30"/>
        <v>199.37999999999997</v>
      </c>
      <c r="M303" s="14">
        <f t="shared" si="31"/>
        <v>81.379591836734676</v>
      </c>
    </row>
    <row r="304" spans="1:13" ht="15" customHeight="1" x14ac:dyDescent="0.25">
      <c r="A304" s="13">
        <v>5979068</v>
      </c>
      <c r="B304" s="27">
        <v>40585</v>
      </c>
      <c r="C304" s="13" t="s">
        <v>172</v>
      </c>
      <c r="D304" s="13" t="s">
        <v>169</v>
      </c>
      <c r="E304" s="28">
        <v>40</v>
      </c>
      <c r="F304" s="25">
        <v>2.67</v>
      </c>
      <c r="G304" s="26">
        <f t="shared" si="36"/>
        <v>69.42</v>
      </c>
      <c r="H304" s="26">
        <v>115</v>
      </c>
      <c r="I304" s="26">
        <v>18.23</v>
      </c>
      <c r="J304" s="26">
        <f t="shared" si="37"/>
        <v>2.67</v>
      </c>
      <c r="K304" s="26"/>
      <c r="L304" s="14">
        <f t="shared" si="30"/>
        <v>205.32</v>
      </c>
      <c r="M304" s="14">
        <f t="shared" si="31"/>
        <v>76.898876404494388</v>
      </c>
    </row>
    <row r="305" spans="1:13" ht="15" customHeight="1" x14ac:dyDescent="0.25">
      <c r="A305" s="13">
        <v>5979068</v>
      </c>
      <c r="B305" s="27">
        <v>40585</v>
      </c>
      <c r="C305" s="13" t="s">
        <v>181</v>
      </c>
      <c r="D305" s="13" t="s">
        <v>171</v>
      </c>
      <c r="E305" s="28">
        <v>30</v>
      </c>
      <c r="F305" s="25">
        <v>5.71</v>
      </c>
      <c r="G305" s="26">
        <f t="shared" si="36"/>
        <v>148.46</v>
      </c>
      <c r="H305" s="26">
        <v>115</v>
      </c>
      <c r="I305" s="26">
        <v>18.23</v>
      </c>
      <c r="J305" s="26">
        <f t="shared" si="37"/>
        <v>5.71</v>
      </c>
      <c r="K305" s="26"/>
      <c r="L305" s="14">
        <f t="shared" si="30"/>
        <v>287.40000000000003</v>
      </c>
      <c r="M305" s="14">
        <f t="shared" si="31"/>
        <v>50.332749562171635</v>
      </c>
    </row>
    <row r="306" spans="1:13" ht="15" customHeight="1" x14ac:dyDescent="0.25">
      <c r="A306" s="13">
        <v>5979068</v>
      </c>
      <c r="B306" s="27">
        <v>40588</v>
      </c>
      <c r="C306" s="13" t="s">
        <v>170</v>
      </c>
      <c r="D306" s="13" t="s">
        <v>171</v>
      </c>
      <c r="E306" s="28">
        <v>32</v>
      </c>
      <c r="F306" s="25">
        <v>3.51</v>
      </c>
      <c r="G306" s="26">
        <f t="shared" si="36"/>
        <v>91.259999999999991</v>
      </c>
      <c r="H306" s="26">
        <v>115</v>
      </c>
      <c r="I306" s="26">
        <v>18.23</v>
      </c>
      <c r="J306" s="26">
        <f t="shared" si="37"/>
        <v>3.51</v>
      </c>
      <c r="K306" s="26">
        <f>H306+I306</f>
        <v>133.22999999999999</v>
      </c>
      <c r="L306" s="14">
        <f t="shared" si="30"/>
        <v>227.99999999999997</v>
      </c>
      <c r="M306" s="14">
        <f t="shared" si="31"/>
        <v>64.957264957264954</v>
      </c>
    </row>
    <row r="307" spans="1:13" ht="15" customHeight="1" x14ac:dyDescent="0.25">
      <c r="A307" s="13">
        <v>5979068</v>
      </c>
      <c r="B307" s="27">
        <v>40590</v>
      </c>
      <c r="C307" s="13" t="s">
        <v>173</v>
      </c>
      <c r="D307" s="13" t="s">
        <v>171</v>
      </c>
      <c r="E307" s="28">
        <v>30</v>
      </c>
      <c r="F307" s="25">
        <v>3.61</v>
      </c>
      <c r="G307" s="26">
        <f t="shared" si="36"/>
        <v>93.86</v>
      </c>
      <c r="H307" s="26">
        <v>115</v>
      </c>
      <c r="I307" s="26">
        <v>18.23</v>
      </c>
      <c r="J307" s="26">
        <f t="shared" si="37"/>
        <v>3.61</v>
      </c>
      <c r="K307" s="26">
        <f>H307+I307</f>
        <v>133.22999999999999</v>
      </c>
      <c r="L307" s="14">
        <f t="shared" si="30"/>
        <v>230.70000000000002</v>
      </c>
      <c r="M307" s="14">
        <f t="shared" si="31"/>
        <v>63.905817174515242</v>
      </c>
    </row>
    <row r="308" spans="1:13" ht="15" customHeight="1" x14ac:dyDescent="0.25">
      <c r="A308" s="13">
        <v>5979068</v>
      </c>
      <c r="B308" s="27">
        <v>40591</v>
      </c>
      <c r="C308" s="13" t="s">
        <v>172</v>
      </c>
      <c r="D308" s="13" t="s">
        <v>169</v>
      </c>
      <c r="E308" s="28">
        <v>40</v>
      </c>
      <c r="F308" s="25">
        <v>2.82</v>
      </c>
      <c r="G308" s="26">
        <f t="shared" si="36"/>
        <v>73.319999999999993</v>
      </c>
      <c r="H308" s="26">
        <v>115</v>
      </c>
      <c r="I308" s="26">
        <v>18.23</v>
      </c>
      <c r="J308" s="26">
        <f t="shared" si="37"/>
        <v>2.82</v>
      </c>
      <c r="K308" s="26"/>
      <c r="L308" s="14">
        <f t="shared" si="30"/>
        <v>209.36999999999998</v>
      </c>
      <c r="M308" s="14">
        <f t="shared" si="31"/>
        <v>74.244680851063819</v>
      </c>
    </row>
    <row r="309" spans="1:13" ht="15" customHeight="1" x14ac:dyDescent="0.25">
      <c r="A309" s="13">
        <v>5979068</v>
      </c>
      <c r="B309" s="27">
        <v>40595</v>
      </c>
      <c r="C309" s="13" t="s">
        <v>170</v>
      </c>
      <c r="D309" s="13" t="s">
        <v>171</v>
      </c>
      <c r="E309" s="28">
        <v>32</v>
      </c>
      <c r="F309" s="25">
        <v>3.33</v>
      </c>
      <c r="G309" s="26">
        <f t="shared" si="36"/>
        <v>86.58</v>
      </c>
      <c r="H309" s="26">
        <v>115</v>
      </c>
      <c r="I309" s="26">
        <v>18.23</v>
      </c>
      <c r="J309" s="26">
        <f t="shared" si="37"/>
        <v>3.33</v>
      </c>
      <c r="K309" s="26">
        <f>H309+I309</f>
        <v>133.22999999999999</v>
      </c>
      <c r="L309" s="14">
        <f t="shared" si="30"/>
        <v>223.14</v>
      </c>
      <c r="M309" s="14">
        <f t="shared" si="31"/>
        <v>67.009009009009006</v>
      </c>
    </row>
    <row r="310" spans="1:13" ht="15" customHeight="1" x14ac:dyDescent="0.25">
      <c r="A310" s="13">
        <v>5979068</v>
      </c>
      <c r="B310" s="27">
        <v>40597</v>
      </c>
      <c r="C310" s="13" t="s">
        <v>173</v>
      </c>
      <c r="D310" s="13" t="s">
        <v>171</v>
      </c>
      <c r="E310" s="28">
        <v>30</v>
      </c>
      <c r="F310" s="25">
        <v>2.95</v>
      </c>
      <c r="G310" s="26">
        <f t="shared" si="36"/>
        <v>76.7</v>
      </c>
      <c r="H310" s="26">
        <v>115</v>
      </c>
      <c r="I310" s="26">
        <v>24.55</v>
      </c>
      <c r="J310" s="26">
        <f t="shared" si="37"/>
        <v>2.95</v>
      </c>
      <c r="K310" s="26">
        <f>H310+I310</f>
        <v>139.55000000000001</v>
      </c>
      <c r="L310" s="14">
        <f t="shared" si="30"/>
        <v>219.2</v>
      </c>
      <c r="M310" s="14">
        <f t="shared" si="31"/>
        <v>74.305084745762699</v>
      </c>
    </row>
    <row r="311" spans="1:13" ht="15" customHeight="1" x14ac:dyDescent="0.25">
      <c r="A311" s="13">
        <v>5589055</v>
      </c>
      <c r="B311" s="27">
        <v>40602</v>
      </c>
      <c r="C311" s="13" t="s">
        <v>176</v>
      </c>
      <c r="D311" s="13" t="s">
        <v>175</v>
      </c>
      <c r="E311" s="28">
        <v>2</v>
      </c>
      <c r="F311" s="29">
        <v>0.78</v>
      </c>
      <c r="H311" s="26">
        <v>65</v>
      </c>
      <c r="I311" s="26">
        <v>0</v>
      </c>
      <c r="J311" s="26"/>
      <c r="K311" s="26"/>
      <c r="L311" s="14">
        <f t="shared" si="30"/>
        <v>65</v>
      </c>
      <c r="M311" s="14">
        <f t="shared" si="31"/>
        <v>83.333333333333329</v>
      </c>
    </row>
    <row r="312" spans="1:13" ht="15" customHeight="1" x14ac:dyDescent="0.25">
      <c r="A312" s="13">
        <v>5589055</v>
      </c>
      <c r="B312" s="27">
        <v>40602</v>
      </c>
      <c r="C312" s="13" t="s">
        <v>176</v>
      </c>
      <c r="D312" s="13" t="s">
        <v>175</v>
      </c>
      <c r="E312" s="28">
        <v>2</v>
      </c>
      <c r="F312" s="29">
        <v>0.78</v>
      </c>
      <c r="H312" s="26">
        <v>65</v>
      </c>
      <c r="I312" s="26">
        <v>0</v>
      </c>
      <c r="J312" s="26"/>
      <c r="K312" s="26"/>
      <c r="L312" s="14">
        <f t="shared" si="30"/>
        <v>65</v>
      </c>
      <c r="M312" s="14">
        <f t="shared" si="31"/>
        <v>83.333333333333329</v>
      </c>
    </row>
    <row r="313" spans="1:13" x14ac:dyDescent="0.25">
      <c r="A313" s="13">
        <v>5589055</v>
      </c>
      <c r="B313" s="27">
        <v>40602</v>
      </c>
      <c r="C313" s="13" t="s">
        <v>174</v>
      </c>
      <c r="D313" s="13" t="s">
        <v>175</v>
      </c>
      <c r="E313" s="28">
        <v>6</v>
      </c>
      <c r="F313" s="29">
        <v>2.34</v>
      </c>
      <c r="H313" s="26">
        <v>104</v>
      </c>
      <c r="I313" s="26">
        <v>0</v>
      </c>
      <c r="J313" s="26"/>
      <c r="K313" s="26"/>
      <c r="L313" s="14">
        <f t="shared" si="30"/>
        <v>104</v>
      </c>
      <c r="M313" s="14">
        <f t="shared" si="31"/>
        <v>44.44444444444445</v>
      </c>
    </row>
    <row r="314" spans="1:13" ht="15" customHeight="1" x14ac:dyDescent="0.25">
      <c r="A314" s="13">
        <v>5589476</v>
      </c>
      <c r="B314" s="27">
        <v>40602</v>
      </c>
      <c r="C314" s="13" t="s">
        <v>177</v>
      </c>
      <c r="D314" s="13" t="s">
        <v>175</v>
      </c>
      <c r="E314" s="28">
        <v>8</v>
      </c>
      <c r="F314" s="29">
        <v>3.12</v>
      </c>
      <c r="H314" s="26">
        <v>189</v>
      </c>
      <c r="I314" s="26">
        <v>0</v>
      </c>
      <c r="J314" s="26"/>
      <c r="K314" s="26"/>
      <c r="L314" s="14">
        <f t="shared" si="30"/>
        <v>189</v>
      </c>
      <c r="M314" s="14">
        <f t="shared" si="31"/>
        <v>60.576923076923073</v>
      </c>
    </row>
    <row r="315" spans="1:13" ht="15" customHeight="1" x14ac:dyDescent="0.25">
      <c r="A315" s="13">
        <v>5592158</v>
      </c>
      <c r="B315" s="27">
        <v>40602</v>
      </c>
      <c r="C315" s="13" t="s">
        <v>178</v>
      </c>
      <c r="D315" s="13" t="s">
        <v>171</v>
      </c>
      <c r="E315" s="28">
        <v>6</v>
      </c>
      <c r="F315" s="29">
        <v>3.9</v>
      </c>
      <c r="H315" s="26">
        <v>155.88</v>
      </c>
      <c r="I315" s="26">
        <v>0</v>
      </c>
      <c r="J315" s="26"/>
      <c r="K315" s="26"/>
      <c r="L315" s="14">
        <f t="shared" si="30"/>
        <v>155.88</v>
      </c>
      <c r="M315" s="14">
        <f t="shared" si="31"/>
        <v>39.969230769230769</v>
      </c>
    </row>
    <row r="316" spans="1:13" ht="15" customHeight="1" x14ac:dyDescent="0.25">
      <c r="A316" s="13">
        <v>5979068</v>
      </c>
      <c r="B316" s="27">
        <v>40602</v>
      </c>
      <c r="C316" s="13" t="s">
        <v>170</v>
      </c>
      <c r="D316" s="13" t="s">
        <v>171</v>
      </c>
      <c r="E316" s="28">
        <v>32</v>
      </c>
      <c r="F316" s="25">
        <v>3.42</v>
      </c>
      <c r="G316" s="26">
        <f t="shared" ref="G316:G333" si="38">F316*$G$2</f>
        <v>88.92</v>
      </c>
      <c r="H316" s="26">
        <v>115</v>
      </c>
      <c r="I316" s="26">
        <v>24.55</v>
      </c>
      <c r="J316" s="26">
        <f t="shared" ref="J316:J333" si="39">F316</f>
        <v>3.42</v>
      </c>
      <c r="K316" s="26">
        <f>H316+I316</f>
        <v>139.55000000000001</v>
      </c>
      <c r="L316" s="14">
        <f t="shared" si="30"/>
        <v>231.89000000000001</v>
      </c>
      <c r="M316" s="14">
        <f t="shared" si="31"/>
        <v>67.804093567251471</v>
      </c>
    </row>
    <row r="317" spans="1:13" ht="15" customHeight="1" x14ac:dyDescent="0.25">
      <c r="A317" s="13">
        <v>5997852</v>
      </c>
      <c r="B317" s="27">
        <v>40603</v>
      </c>
      <c r="C317" s="13" t="s">
        <v>172</v>
      </c>
      <c r="D317" s="13" t="s">
        <v>169</v>
      </c>
      <c r="E317" s="28">
        <v>40</v>
      </c>
      <c r="F317" s="25">
        <v>5.24</v>
      </c>
      <c r="G317" s="26">
        <f t="shared" si="38"/>
        <v>136.24</v>
      </c>
      <c r="H317" s="26">
        <v>115</v>
      </c>
      <c r="I317" s="26">
        <v>24.55</v>
      </c>
      <c r="J317" s="26">
        <f t="shared" si="39"/>
        <v>5.24</v>
      </c>
      <c r="K317" s="26"/>
      <c r="L317" s="14">
        <f t="shared" si="30"/>
        <v>281.03000000000003</v>
      </c>
      <c r="M317" s="14">
        <f t="shared" si="31"/>
        <v>53.631679389312978</v>
      </c>
    </row>
    <row r="318" spans="1:13" ht="15" customHeight="1" x14ac:dyDescent="0.25">
      <c r="A318" s="13">
        <v>5997852</v>
      </c>
      <c r="B318" s="27">
        <v>40604</v>
      </c>
      <c r="C318" s="13" t="s">
        <v>173</v>
      </c>
      <c r="D318" s="13" t="s">
        <v>171</v>
      </c>
      <c r="E318" s="28">
        <v>30</v>
      </c>
      <c r="F318" s="25">
        <v>3.07</v>
      </c>
      <c r="G318" s="26">
        <f t="shared" si="38"/>
        <v>79.819999999999993</v>
      </c>
      <c r="H318" s="26">
        <v>115</v>
      </c>
      <c r="I318" s="26">
        <v>24.55</v>
      </c>
      <c r="J318" s="26">
        <f t="shared" si="39"/>
        <v>3.07</v>
      </c>
      <c r="K318" s="26">
        <f>H318+I318</f>
        <v>139.55000000000001</v>
      </c>
      <c r="L318" s="14">
        <f t="shared" si="30"/>
        <v>222.44</v>
      </c>
      <c r="M318" s="14">
        <f t="shared" si="31"/>
        <v>72.45602605863192</v>
      </c>
    </row>
    <row r="319" spans="1:13" ht="15" customHeight="1" x14ac:dyDescent="0.25">
      <c r="A319" s="13">
        <v>5997852</v>
      </c>
      <c r="B319" s="27">
        <v>40604</v>
      </c>
      <c r="C319" s="13" t="s">
        <v>128</v>
      </c>
      <c r="D319" s="13" t="s">
        <v>171</v>
      </c>
      <c r="E319" s="28">
        <v>35</v>
      </c>
      <c r="F319" s="25">
        <v>5.82</v>
      </c>
      <c r="G319" s="26">
        <f t="shared" si="38"/>
        <v>151.32</v>
      </c>
      <c r="H319" s="26">
        <v>115</v>
      </c>
      <c r="I319" s="26">
        <v>24.55</v>
      </c>
      <c r="J319" s="26">
        <f t="shared" si="39"/>
        <v>5.82</v>
      </c>
      <c r="K319" s="26"/>
      <c r="L319" s="14">
        <f t="shared" si="30"/>
        <v>296.69</v>
      </c>
      <c r="M319" s="14">
        <f t="shared" si="31"/>
        <v>50.977663230240545</v>
      </c>
    </row>
    <row r="320" spans="1:13" ht="15" customHeight="1" x14ac:dyDescent="0.25">
      <c r="A320" s="13">
        <v>5997852</v>
      </c>
      <c r="B320" s="27">
        <v>40609</v>
      </c>
      <c r="C320" s="13" t="s">
        <v>170</v>
      </c>
      <c r="D320" s="13" t="s">
        <v>171</v>
      </c>
      <c r="E320" s="28">
        <v>32</v>
      </c>
      <c r="F320" s="25">
        <v>3.2</v>
      </c>
      <c r="G320" s="26">
        <f t="shared" si="38"/>
        <v>83.2</v>
      </c>
      <c r="H320" s="26">
        <v>115</v>
      </c>
      <c r="I320" s="26">
        <v>25.47</v>
      </c>
      <c r="J320" s="26">
        <f t="shared" si="39"/>
        <v>3.2</v>
      </c>
      <c r="K320" s="26">
        <f>H320+I320</f>
        <v>140.47</v>
      </c>
      <c r="L320" s="14">
        <f t="shared" si="30"/>
        <v>226.86999999999998</v>
      </c>
      <c r="M320" s="14">
        <f t="shared" si="31"/>
        <v>70.896874999999994</v>
      </c>
    </row>
    <row r="321" spans="1:13" ht="15" customHeight="1" x14ac:dyDescent="0.25">
      <c r="A321" s="13">
        <v>5997852</v>
      </c>
      <c r="B321" s="27">
        <v>40611</v>
      </c>
      <c r="C321" s="13" t="s">
        <v>173</v>
      </c>
      <c r="D321" s="13" t="s">
        <v>171</v>
      </c>
      <c r="E321" s="28">
        <v>30</v>
      </c>
      <c r="F321" s="25">
        <v>2.2200000000000002</v>
      </c>
      <c r="G321" s="26">
        <f t="shared" si="38"/>
        <v>57.720000000000006</v>
      </c>
      <c r="H321" s="26">
        <v>115</v>
      </c>
      <c r="I321" s="26">
        <v>25.7</v>
      </c>
      <c r="J321" s="26">
        <f t="shared" si="39"/>
        <v>2.2200000000000002</v>
      </c>
      <c r="K321" s="26">
        <f>H321+I321</f>
        <v>140.69999999999999</v>
      </c>
      <c r="L321" s="14">
        <f t="shared" si="30"/>
        <v>200.64</v>
      </c>
      <c r="M321" s="14">
        <f t="shared" si="31"/>
        <v>90.378378378378358</v>
      </c>
    </row>
    <row r="322" spans="1:13" ht="15" customHeight="1" x14ac:dyDescent="0.25">
      <c r="A322" s="13">
        <v>5997852</v>
      </c>
      <c r="B322" s="27">
        <v>40611</v>
      </c>
      <c r="C322" s="13" t="s">
        <v>172</v>
      </c>
      <c r="D322" s="13" t="s">
        <v>169</v>
      </c>
      <c r="E322" s="28">
        <v>40</v>
      </c>
      <c r="F322" s="25">
        <v>2.1</v>
      </c>
      <c r="G322" s="26">
        <f t="shared" si="38"/>
        <v>54.6</v>
      </c>
      <c r="H322" s="26">
        <v>115</v>
      </c>
      <c r="I322" s="26">
        <v>25.7</v>
      </c>
      <c r="J322" s="26">
        <f t="shared" si="39"/>
        <v>2.1</v>
      </c>
      <c r="K322" s="26"/>
      <c r="L322" s="14">
        <f t="shared" si="30"/>
        <v>197.39999999999998</v>
      </c>
      <c r="M322" s="14">
        <f t="shared" si="31"/>
        <v>93.999999999999986</v>
      </c>
    </row>
    <row r="323" spans="1:13" ht="15" customHeight="1" x14ac:dyDescent="0.25">
      <c r="A323" s="13">
        <v>5997852</v>
      </c>
      <c r="B323" s="27">
        <v>40611</v>
      </c>
      <c r="C323" s="13" t="s">
        <v>128</v>
      </c>
      <c r="D323" s="13" t="s">
        <v>169</v>
      </c>
      <c r="E323" s="28">
        <v>20</v>
      </c>
      <c r="F323" s="25">
        <v>3.23</v>
      </c>
      <c r="G323" s="26">
        <f t="shared" si="38"/>
        <v>83.98</v>
      </c>
      <c r="H323" s="26">
        <v>115</v>
      </c>
      <c r="I323" s="26">
        <v>25.7</v>
      </c>
      <c r="J323" s="26">
        <f t="shared" si="39"/>
        <v>3.23</v>
      </c>
      <c r="K323" s="26"/>
      <c r="L323" s="14">
        <f t="shared" si="30"/>
        <v>227.91</v>
      </c>
      <c r="M323" s="14">
        <f t="shared" si="31"/>
        <v>70.56037151702786</v>
      </c>
    </row>
    <row r="324" spans="1:13" ht="15" customHeight="1" x14ac:dyDescent="0.25">
      <c r="A324" s="13">
        <v>5997852</v>
      </c>
      <c r="B324" s="27">
        <v>40611</v>
      </c>
      <c r="C324" s="13" t="s">
        <v>128</v>
      </c>
      <c r="D324" s="13" t="s">
        <v>169</v>
      </c>
      <c r="E324" s="28">
        <v>20</v>
      </c>
      <c r="F324" s="25">
        <v>2.0099999999999998</v>
      </c>
      <c r="G324" s="26">
        <f t="shared" si="38"/>
        <v>52.259999999999991</v>
      </c>
      <c r="H324" s="26">
        <v>115</v>
      </c>
      <c r="I324" s="26">
        <v>25.7</v>
      </c>
      <c r="J324" s="26">
        <f t="shared" si="39"/>
        <v>2.0099999999999998</v>
      </c>
      <c r="K324" s="26"/>
      <c r="L324" s="14">
        <f t="shared" ref="L324:L387" si="40">G324+H324+I324+J324</f>
        <v>194.96999999999997</v>
      </c>
      <c r="M324" s="14">
        <f t="shared" ref="M324:M387" si="41">L324/F324</f>
        <v>97</v>
      </c>
    </row>
    <row r="325" spans="1:13" ht="15" customHeight="1" x14ac:dyDescent="0.25">
      <c r="A325" s="13">
        <v>5997852</v>
      </c>
      <c r="B325" s="27">
        <v>40616</v>
      </c>
      <c r="C325" s="13" t="s">
        <v>170</v>
      </c>
      <c r="D325" s="13" t="s">
        <v>171</v>
      </c>
      <c r="E325" s="28">
        <v>32</v>
      </c>
      <c r="F325" s="25">
        <v>3.56</v>
      </c>
      <c r="G325" s="26">
        <f t="shared" si="38"/>
        <v>92.56</v>
      </c>
      <c r="H325" s="26">
        <v>115</v>
      </c>
      <c r="I325" s="26">
        <v>25.7</v>
      </c>
      <c r="J325" s="26">
        <f t="shared" si="39"/>
        <v>3.56</v>
      </c>
      <c r="K325" s="26">
        <f>H325+I325</f>
        <v>140.69999999999999</v>
      </c>
      <c r="L325" s="14">
        <f t="shared" si="40"/>
        <v>236.82</v>
      </c>
      <c r="M325" s="14">
        <f t="shared" si="41"/>
        <v>66.522471910112358</v>
      </c>
    </row>
    <row r="326" spans="1:13" ht="15" customHeight="1" x14ac:dyDescent="0.25">
      <c r="A326" s="13">
        <v>5997852</v>
      </c>
      <c r="B326" s="27">
        <v>40618</v>
      </c>
      <c r="C326" s="13" t="s">
        <v>173</v>
      </c>
      <c r="D326" s="13" t="s">
        <v>171</v>
      </c>
      <c r="E326" s="28">
        <v>30</v>
      </c>
      <c r="F326" s="25">
        <v>2.2200000000000002</v>
      </c>
      <c r="G326" s="26">
        <f t="shared" si="38"/>
        <v>57.720000000000006</v>
      </c>
      <c r="H326" s="26">
        <v>115</v>
      </c>
      <c r="I326" s="26">
        <v>25.7</v>
      </c>
      <c r="J326" s="26">
        <f t="shared" si="39"/>
        <v>2.2200000000000002</v>
      </c>
      <c r="K326" s="26">
        <f>H326+I326</f>
        <v>140.69999999999999</v>
      </c>
      <c r="L326" s="14">
        <f t="shared" si="40"/>
        <v>200.64</v>
      </c>
      <c r="M326" s="14">
        <f t="shared" si="41"/>
        <v>90.378378378378358</v>
      </c>
    </row>
    <row r="327" spans="1:13" ht="15" customHeight="1" x14ac:dyDescent="0.25">
      <c r="A327" s="13">
        <v>5997852</v>
      </c>
      <c r="B327" s="27">
        <v>40620</v>
      </c>
      <c r="C327" s="13" t="s">
        <v>172</v>
      </c>
      <c r="D327" s="13" t="s">
        <v>169</v>
      </c>
      <c r="E327" s="28">
        <v>40</v>
      </c>
      <c r="F327" s="25">
        <v>5.27</v>
      </c>
      <c r="G327" s="26">
        <f t="shared" si="38"/>
        <v>137.01999999999998</v>
      </c>
      <c r="H327" s="26">
        <v>115</v>
      </c>
      <c r="I327" s="26">
        <v>25.7</v>
      </c>
      <c r="J327" s="26">
        <f t="shared" si="39"/>
        <v>5.27</v>
      </c>
      <c r="K327" s="26"/>
      <c r="L327" s="14">
        <f t="shared" si="40"/>
        <v>282.98999999999995</v>
      </c>
      <c r="M327" s="14">
        <f t="shared" si="41"/>
        <v>53.698292220113849</v>
      </c>
    </row>
    <row r="328" spans="1:13" ht="15" customHeight="1" x14ac:dyDescent="0.25">
      <c r="A328" s="13">
        <v>5997852</v>
      </c>
      <c r="B328" s="27">
        <v>40623</v>
      </c>
      <c r="C328" s="13" t="s">
        <v>170</v>
      </c>
      <c r="D328" s="13" t="s">
        <v>171</v>
      </c>
      <c r="E328" s="28">
        <v>32</v>
      </c>
      <c r="F328" s="25">
        <v>1.98</v>
      </c>
      <c r="G328" s="26">
        <f t="shared" si="38"/>
        <v>51.48</v>
      </c>
      <c r="H328" s="26">
        <v>115</v>
      </c>
      <c r="I328" s="26">
        <v>25.7</v>
      </c>
      <c r="J328" s="26">
        <f t="shared" si="39"/>
        <v>1.98</v>
      </c>
      <c r="K328" s="26">
        <f>H328+I328</f>
        <v>140.69999999999999</v>
      </c>
      <c r="L328" s="14">
        <f t="shared" si="40"/>
        <v>194.15999999999997</v>
      </c>
      <c r="M328" s="14">
        <f t="shared" si="41"/>
        <v>98.060606060606048</v>
      </c>
    </row>
    <row r="329" spans="1:13" ht="15" customHeight="1" x14ac:dyDescent="0.25">
      <c r="A329" s="13">
        <v>5997852</v>
      </c>
      <c r="B329" s="27">
        <v>40624</v>
      </c>
      <c r="C329" s="13" t="s">
        <v>173</v>
      </c>
      <c r="D329" s="13" t="s">
        <v>171</v>
      </c>
      <c r="E329" s="28">
        <v>30</v>
      </c>
      <c r="F329" s="25">
        <v>0.93</v>
      </c>
      <c r="G329" s="26">
        <f t="shared" si="38"/>
        <v>24.18</v>
      </c>
      <c r="H329" s="26">
        <v>115</v>
      </c>
      <c r="I329" s="26">
        <v>25.82</v>
      </c>
      <c r="J329" s="26">
        <f t="shared" si="39"/>
        <v>0.93</v>
      </c>
      <c r="K329" s="26">
        <f>H329+I329</f>
        <v>140.82</v>
      </c>
      <c r="L329" s="14">
        <f t="shared" si="40"/>
        <v>165.93</v>
      </c>
      <c r="M329" s="14">
        <f t="shared" si="41"/>
        <v>178.41935483870967</v>
      </c>
    </row>
    <row r="330" spans="1:13" ht="15" customHeight="1" x14ac:dyDescent="0.25">
      <c r="A330" s="13">
        <v>5997852</v>
      </c>
      <c r="B330" s="27">
        <v>40627</v>
      </c>
      <c r="C330" s="13" t="s">
        <v>172</v>
      </c>
      <c r="D330" s="13" t="s">
        <v>169</v>
      </c>
      <c r="E330" s="28">
        <v>40</v>
      </c>
      <c r="F330" s="25">
        <v>2.7</v>
      </c>
      <c r="G330" s="26">
        <f t="shared" si="38"/>
        <v>70.2</v>
      </c>
      <c r="H330" s="26">
        <v>115</v>
      </c>
      <c r="I330" s="26">
        <v>25.7</v>
      </c>
      <c r="J330" s="26">
        <f t="shared" si="39"/>
        <v>2.7</v>
      </c>
      <c r="K330" s="26"/>
      <c r="L330" s="14">
        <f t="shared" si="40"/>
        <v>213.59999999999997</v>
      </c>
      <c r="M330" s="14">
        <f t="shared" si="41"/>
        <v>79.1111111111111</v>
      </c>
    </row>
    <row r="331" spans="1:13" ht="15" customHeight="1" x14ac:dyDescent="0.25">
      <c r="A331" s="13">
        <v>5997852</v>
      </c>
      <c r="B331" s="27">
        <v>40627</v>
      </c>
      <c r="C331" s="13" t="s">
        <v>41</v>
      </c>
      <c r="D331" s="13" t="s">
        <v>169</v>
      </c>
      <c r="E331" s="28">
        <v>40</v>
      </c>
      <c r="F331" s="25">
        <v>3.4</v>
      </c>
      <c r="G331" s="26">
        <f t="shared" si="38"/>
        <v>88.399999999999991</v>
      </c>
      <c r="H331" s="26">
        <v>115</v>
      </c>
      <c r="I331" s="26">
        <v>25.82</v>
      </c>
      <c r="J331" s="26">
        <f t="shared" si="39"/>
        <v>3.4</v>
      </c>
      <c r="K331" s="26"/>
      <c r="L331" s="14">
        <f t="shared" si="40"/>
        <v>232.61999999999998</v>
      </c>
      <c r="M331" s="14">
        <f t="shared" si="41"/>
        <v>68.417647058823519</v>
      </c>
    </row>
    <row r="332" spans="1:13" ht="15" customHeight="1" x14ac:dyDescent="0.25">
      <c r="A332" s="13">
        <v>5997852</v>
      </c>
      <c r="B332" s="27">
        <v>40630</v>
      </c>
      <c r="C332" s="13" t="s">
        <v>170</v>
      </c>
      <c r="D332" s="13" t="s">
        <v>171</v>
      </c>
      <c r="E332" s="28">
        <v>32</v>
      </c>
      <c r="F332" s="25">
        <v>3.38</v>
      </c>
      <c r="G332" s="26">
        <f t="shared" si="38"/>
        <v>87.88</v>
      </c>
      <c r="H332" s="26">
        <v>115</v>
      </c>
      <c r="I332" s="26">
        <v>25.82</v>
      </c>
      <c r="J332" s="26">
        <f t="shared" si="39"/>
        <v>3.38</v>
      </c>
      <c r="K332" s="26">
        <f>H332+I332</f>
        <v>140.82</v>
      </c>
      <c r="L332" s="14">
        <f t="shared" si="40"/>
        <v>232.07999999999998</v>
      </c>
      <c r="M332" s="14">
        <f t="shared" si="41"/>
        <v>68.662721893491124</v>
      </c>
    </row>
    <row r="333" spans="1:13" ht="15" customHeight="1" x14ac:dyDescent="0.25">
      <c r="A333" s="13">
        <v>5997852</v>
      </c>
      <c r="B333" s="27">
        <v>40632</v>
      </c>
      <c r="C333" s="13" t="s">
        <v>173</v>
      </c>
      <c r="D333" s="13" t="s">
        <v>171</v>
      </c>
      <c r="E333" s="28">
        <v>30</v>
      </c>
      <c r="F333" s="25">
        <v>3.19</v>
      </c>
      <c r="G333" s="26">
        <f t="shared" si="38"/>
        <v>82.94</v>
      </c>
      <c r="H333" s="26">
        <v>115</v>
      </c>
      <c r="I333" s="26">
        <v>25.82</v>
      </c>
      <c r="J333" s="26">
        <f t="shared" si="39"/>
        <v>3.19</v>
      </c>
      <c r="K333" s="26">
        <f>H333+I333</f>
        <v>140.82</v>
      </c>
      <c r="L333" s="14">
        <f t="shared" si="40"/>
        <v>226.95</v>
      </c>
      <c r="M333" s="14">
        <f t="shared" si="41"/>
        <v>71.144200626959247</v>
      </c>
    </row>
    <row r="334" spans="1:13" x14ac:dyDescent="0.25">
      <c r="A334" s="13">
        <v>5597154</v>
      </c>
      <c r="B334" s="27">
        <v>40633</v>
      </c>
      <c r="C334" s="13" t="s">
        <v>174</v>
      </c>
      <c r="D334" s="13" t="s">
        <v>175</v>
      </c>
      <c r="E334" s="28">
        <v>6</v>
      </c>
      <c r="F334" s="29">
        <v>2.34</v>
      </c>
      <c r="H334" s="26">
        <v>104</v>
      </c>
      <c r="I334" s="26">
        <v>0</v>
      </c>
      <c r="J334" s="26"/>
      <c r="K334" s="26"/>
      <c r="L334" s="14">
        <f t="shared" si="40"/>
        <v>104</v>
      </c>
      <c r="M334" s="14">
        <f t="shared" si="41"/>
        <v>44.44444444444445</v>
      </c>
    </row>
    <row r="335" spans="1:13" ht="15" customHeight="1" x14ac:dyDescent="0.25">
      <c r="A335" s="13">
        <v>5597154</v>
      </c>
      <c r="B335" s="27">
        <v>40633</v>
      </c>
      <c r="C335" s="13" t="s">
        <v>176</v>
      </c>
      <c r="D335" s="13" t="s">
        <v>175</v>
      </c>
      <c r="E335" s="28">
        <v>2</v>
      </c>
      <c r="F335" s="29">
        <v>0.78</v>
      </c>
      <c r="H335" s="26">
        <v>65</v>
      </c>
      <c r="I335" s="26">
        <v>0</v>
      </c>
      <c r="J335" s="26"/>
      <c r="K335" s="26"/>
      <c r="L335" s="14">
        <f t="shared" si="40"/>
        <v>65</v>
      </c>
      <c r="M335" s="14">
        <f t="shared" si="41"/>
        <v>83.333333333333329</v>
      </c>
    </row>
    <row r="336" spans="1:13" ht="15" customHeight="1" x14ac:dyDescent="0.25">
      <c r="A336" s="13">
        <v>5597154</v>
      </c>
      <c r="B336" s="27">
        <v>40633</v>
      </c>
      <c r="C336" s="13" t="s">
        <v>176</v>
      </c>
      <c r="D336" s="13" t="s">
        <v>175</v>
      </c>
      <c r="E336" s="28">
        <v>2</v>
      </c>
      <c r="F336" s="29">
        <v>0.78</v>
      </c>
      <c r="H336" s="26">
        <v>65</v>
      </c>
      <c r="I336" s="26">
        <v>0</v>
      </c>
      <c r="J336" s="26"/>
      <c r="K336" s="26"/>
      <c r="L336" s="14">
        <f t="shared" si="40"/>
        <v>65</v>
      </c>
      <c r="M336" s="14">
        <f t="shared" si="41"/>
        <v>83.333333333333329</v>
      </c>
    </row>
    <row r="337" spans="1:13" ht="15" customHeight="1" x14ac:dyDescent="0.25">
      <c r="A337" s="13">
        <v>5597573</v>
      </c>
      <c r="B337" s="27">
        <v>40633</v>
      </c>
      <c r="C337" s="13" t="s">
        <v>177</v>
      </c>
      <c r="D337" s="13" t="s">
        <v>175</v>
      </c>
      <c r="E337" s="28">
        <v>8</v>
      </c>
      <c r="F337" s="29">
        <v>3.12</v>
      </c>
      <c r="H337" s="26">
        <v>189</v>
      </c>
      <c r="I337" s="26">
        <v>0</v>
      </c>
      <c r="J337" s="26"/>
      <c r="K337" s="26"/>
      <c r="L337" s="14">
        <f t="shared" si="40"/>
        <v>189</v>
      </c>
      <c r="M337" s="14">
        <f t="shared" si="41"/>
        <v>60.576923076923073</v>
      </c>
    </row>
    <row r="338" spans="1:13" ht="15" customHeight="1" x14ac:dyDescent="0.25">
      <c r="A338" s="13">
        <v>5600231</v>
      </c>
      <c r="B338" s="27">
        <v>40633</v>
      </c>
      <c r="C338" s="13" t="s">
        <v>178</v>
      </c>
      <c r="D338" s="13" t="s">
        <v>171</v>
      </c>
      <c r="E338" s="28">
        <v>6</v>
      </c>
      <c r="F338" s="29">
        <v>3.9</v>
      </c>
      <c r="H338" s="26">
        <v>155.88</v>
      </c>
      <c r="I338" s="26">
        <v>0</v>
      </c>
      <c r="J338" s="26"/>
      <c r="K338" s="26"/>
      <c r="L338" s="14">
        <f t="shared" si="40"/>
        <v>155.88</v>
      </c>
      <c r="M338" s="14">
        <f t="shared" si="41"/>
        <v>39.969230769230769</v>
      </c>
    </row>
    <row r="339" spans="1:13" ht="15" customHeight="1" x14ac:dyDescent="0.25">
      <c r="A339" s="13">
        <v>5600537</v>
      </c>
      <c r="B339" s="27">
        <v>40633</v>
      </c>
      <c r="C339" s="13" t="s">
        <v>179</v>
      </c>
      <c r="D339" s="13" t="s">
        <v>175</v>
      </c>
      <c r="E339" s="28">
        <v>2</v>
      </c>
      <c r="F339" s="29">
        <v>0.39</v>
      </c>
      <c r="H339" s="26">
        <v>48</v>
      </c>
      <c r="I339" s="26">
        <v>0</v>
      </c>
      <c r="J339" s="26"/>
      <c r="K339" s="26"/>
      <c r="L339" s="14">
        <f t="shared" si="40"/>
        <v>48</v>
      </c>
      <c r="M339" s="14">
        <f t="shared" si="41"/>
        <v>123.07692307692307</v>
      </c>
    </row>
    <row r="340" spans="1:13" ht="15" customHeight="1" x14ac:dyDescent="0.25">
      <c r="A340" s="13">
        <v>5997852</v>
      </c>
      <c r="B340" s="27">
        <v>40633</v>
      </c>
      <c r="C340" s="13" t="s">
        <v>128</v>
      </c>
      <c r="D340" s="13" t="s">
        <v>171</v>
      </c>
      <c r="E340" s="28">
        <v>35</v>
      </c>
      <c r="F340" s="25">
        <v>7.73</v>
      </c>
      <c r="G340" s="26">
        <f t="shared" ref="G340:G357" si="42">F340*$G$2</f>
        <v>200.98000000000002</v>
      </c>
      <c r="H340" s="26">
        <v>115</v>
      </c>
      <c r="I340" s="26">
        <v>25.82</v>
      </c>
      <c r="J340" s="26">
        <f t="shared" ref="J340:J357" si="43">F340</f>
        <v>7.73</v>
      </c>
      <c r="K340" s="26"/>
      <c r="L340" s="14">
        <f t="shared" si="40"/>
        <v>349.53000000000003</v>
      </c>
      <c r="M340" s="14">
        <f t="shared" si="41"/>
        <v>45.217335058214751</v>
      </c>
    </row>
    <row r="341" spans="1:13" ht="15" customHeight="1" x14ac:dyDescent="0.25">
      <c r="A341" s="13">
        <v>6016026</v>
      </c>
      <c r="B341" s="27">
        <v>40637</v>
      </c>
      <c r="C341" s="13" t="s">
        <v>170</v>
      </c>
      <c r="D341" s="13" t="s">
        <v>171</v>
      </c>
      <c r="E341" s="28">
        <v>32</v>
      </c>
      <c r="F341" s="25">
        <v>3.29</v>
      </c>
      <c r="G341" s="26">
        <f t="shared" si="42"/>
        <v>85.54</v>
      </c>
      <c r="H341" s="26">
        <v>115</v>
      </c>
      <c r="I341" s="26">
        <v>26.05</v>
      </c>
      <c r="J341" s="26">
        <f t="shared" si="43"/>
        <v>3.29</v>
      </c>
      <c r="K341" s="26">
        <f>H341+I341</f>
        <v>141.05000000000001</v>
      </c>
      <c r="L341" s="14">
        <f t="shared" si="40"/>
        <v>229.88000000000002</v>
      </c>
      <c r="M341" s="14">
        <f t="shared" si="41"/>
        <v>69.872340425531917</v>
      </c>
    </row>
    <row r="342" spans="1:13" ht="15" customHeight="1" x14ac:dyDescent="0.25">
      <c r="A342" s="13">
        <v>6016026</v>
      </c>
      <c r="B342" s="27">
        <v>40637</v>
      </c>
      <c r="C342" s="13" t="s">
        <v>110</v>
      </c>
      <c r="D342" s="13" t="s">
        <v>169</v>
      </c>
      <c r="E342" s="28">
        <v>40</v>
      </c>
      <c r="F342" s="25">
        <v>2.52</v>
      </c>
      <c r="G342" s="26">
        <f t="shared" si="42"/>
        <v>65.52</v>
      </c>
      <c r="H342" s="26">
        <v>115</v>
      </c>
      <c r="I342" s="26">
        <v>26.05</v>
      </c>
      <c r="J342" s="26">
        <f t="shared" si="43"/>
        <v>2.52</v>
      </c>
      <c r="K342" s="26"/>
      <c r="L342" s="14">
        <f t="shared" si="40"/>
        <v>209.09</v>
      </c>
      <c r="M342" s="14">
        <f t="shared" si="41"/>
        <v>82.972222222222229</v>
      </c>
    </row>
    <row r="343" spans="1:13" ht="15" customHeight="1" x14ac:dyDescent="0.25">
      <c r="A343" s="13">
        <v>6016026</v>
      </c>
      <c r="B343" s="27">
        <v>40638</v>
      </c>
      <c r="C343" s="13" t="s">
        <v>173</v>
      </c>
      <c r="D343" s="13" t="s">
        <v>171</v>
      </c>
      <c r="E343" s="28">
        <v>30</v>
      </c>
      <c r="F343" s="25">
        <v>1.69</v>
      </c>
      <c r="G343" s="26">
        <f t="shared" si="42"/>
        <v>43.94</v>
      </c>
      <c r="H343" s="26">
        <v>115</v>
      </c>
      <c r="I343" s="26">
        <v>26.05</v>
      </c>
      <c r="J343" s="26">
        <f t="shared" si="43"/>
        <v>1.69</v>
      </c>
      <c r="K343" s="26">
        <f>H343+I343</f>
        <v>141.05000000000001</v>
      </c>
      <c r="L343" s="14">
        <f t="shared" si="40"/>
        <v>186.68</v>
      </c>
      <c r="M343" s="14">
        <f t="shared" si="41"/>
        <v>110.46153846153847</v>
      </c>
    </row>
    <row r="344" spans="1:13" ht="15" customHeight="1" x14ac:dyDescent="0.25">
      <c r="A344" s="13">
        <v>6016026</v>
      </c>
      <c r="B344" s="27">
        <v>40638</v>
      </c>
      <c r="C344" s="13" t="s">
        <v>110</v>
      </c>
      <c r="D344" s="13" t="s">
        <v>169</v>
      </c>
      <c r="E344" s="28">
        <v>40</v>
      </c>
      <c r="F344" s="25">
        <v>1.33</v>
      </c>
      <c r="G344" s="26">
        <f t="shared" si="42"/>
        <v>34.58</v>
      </c>
      <c r="H344" s="26">
        <v>115</v>
      </c>
      <c r="I344" s="26">
        <v>26.05</v>
      </c>
      <c r="J344" s="26">
        <f t="shared" si="43"/>
        <v>1.33</v>
      </c>
      <c r="K344" s="26"/>
      <c r="L344" s="14">
        <f t="shared" si="40"/>
        <v>176.96</v>
      </c>
      <c r="M344" s="14">
        <f t="shared" si="41"/>
        <v>133.05263157894737</v>
      </c>
    </row>
    <row r="345" spans="1:13" ht="15" customHeight="1" x14ac:dyDescent="0.25">
      <c r="A345" s="13">
        <v>6016026</v>
      </c>
      <c r="B345" s="27">
        <v>40640</v>
      </c>
      <c r="C345" s="13" t="s">
        <v>41</v>
      </c>
      <c r="D345" s="13" t="s">
        <v>169</v>
      </c>
      <c r="E345" s="28">
        <v>40</v>
      </c>
      <c r="F345" s="25">
        <v>3.18</v>
      </c>
      <c r="G345" s="26">
        <f t="shared" si="42"/>
        <v>82.68</v>
      </c>
      <c r="H345" s="26">
        <v>115</v>
      </c>
      <c r="I345" s="26">
        <v>26.05</v>
      </c>
      <c r="J345" s="26">
        <f t="shared" si="43"/>
        <v>3.18</v>
      </c>
      <c r="K345" s="26"/>
      <c r="L345" s="14">
        <f t="shared" si="40"/>
        <v>226.91000000000003</v>
      </c>
      <c r="M345" s="14">
        <f t="shared" si="41"/>
        <v>71.355345911949684</v>
      </c>
    </row>
    <row r="346" spans="1:13" ht="15" customHeight="1" x14ac:dyDescent="0.25">
      <c r="A346" s="13">
        <v>6016026</v>
      </c>
      <c r="B346" s="27">
        <v>40644</v>
      </c>
      <c r="C346" s="13" t="s">
        <v>170</v>
      </c>
      <c r="D346" s="13" t="s">
        <v>171</v>
      </c>
      <c r="E346" s="28">
        <v>32</v>
      </c>
      <c r="F346" s="25">
        <v>3.11</v>
      </c>
      <c r="G346" s="26">
        <f t="shared" si="42"/>
        <v>80.86</v>
      </c>
      <c r="H346" s="26">
        <v>115</v>
      </c>
      <c r="I346" s="26">
        <v>26.74</v>
      </c>
      <c r="J346" s="26">
        <f t="shared" si="43"/>
        <v>3.11</v>
      </c>
      <c r="K346" s="26">
        <f>H346+I346</f>
        <v>141.74</v>
      </c>
      <c r="L346" s="14">
        <f t="shared" si="40"/>
        <v>225.71000000000004</v>
      </c>
      <c r="M346" s="14">
        <f t="shared" si="41"/>
        <v>72.575562700964639</v>
      </c>
    </row>
    <row r="347" spans="1:13" ht="15" customHeight="1" x14ac:dyDescent="0.25">
      <c r="A347" s="13">
        <v>6016026</v>
      </c>
      <c r="B347" s="27">
        <v>40644</v>
      </c>
      <c r="C347" s="13" t="s">
        <v>181</v>
      </c>
      <c r="D347" s="13" t="s">
        <v>171</v>
      </c>
      <c r="E347" s="28">
        <v>30</v>
      </c>
      <c r="F347" s="25">
        <v>6.87</v>
      </c>
      <c r="G347" s="26">
        <f t="shared" si="42"/>
        <v>178.62</v>
      </c>
      <c r="H347" s="26">
        <v>115</v>
      </c>
      <c r="I347" s="26">
        <v>26.74</v>
      </c>
      <c r="J347" s="26">
        <f t="shared" si="43"/>
        <v>6.87</v>
      </c>
      <c r="K347" s="26"/>
      <c r="L347" s="14">
        <f t="shared" si="40"/>
        <v>327.23</v>
      </c>
      <c r="M347" s="14">
        <f t="shared" si="41"/>
        <v>47.631732168850071</v>
      </c>
    </row>
    <row r="348" spans="1:13" ht="15" customHeight="1" x14ac:dyDescent="0.25">
      <c r="A348" s="13">
        <v>6016026</v>
      </c>
      <c r="B348" s="27">
        <v>40646</v>
      </c>
      <c r="C348" s="13" t="s">
        <v>173</v>
      </c>
      <c r="D348" s="13" t="s">
        <v>171</v>
      </c>
      <c r="E348" s="28">
        <v>30</v>
      </c>
      <c r="F348" s="25">
        <v>2.88</v>
      </c>
      <c r="G348" s="26">
        <f t="shared" si="42"/>
        <v>74.88</v>
      </c>
      <c r="H348" s="26">
        <v>115</v>
      </c>
      <c r="I348" s="26">
        <v>26.74</v>
      </c>
      <c r="J348" s="26">
        <f t="shared" si="43"/>
        <v>2.88</v>
      </c>
      <c r="K348" s="26">
        <f>H348+I348</f>
        <v>141.74</v>
      </c>
      <c r="L348" s="14">
        <f t="shared" si="40"/>
        <v>219.5</v>
      </c>
      <c r="M348" s="14">
        <f t="shared" si="41"/>
        <v>76.215277777777786</v>
      </c>
    </row>
    <row r="349" spans="1:13" ht="15" customHeight="1" x14ac:dyDescent="0.25">
      <c r="A349" s="13">
        <v>6016026</v>
      </c>
      <c r="B349" s="27">
        <v>40647</v>
      </c>
      <c r="C349" s="13" t="s">
        <v>110</v>
      </c>
      <c r="D349" s="13" t="s">
        <v>169</v>
      </c>
      <c r="E349" s="28">
        <v>40</v>
      </c>
      <c r="F349" s="25">
        <v>2.4300000000000002</v>
      </c>
      <c r="G349" s="26">
        <f t="shared" si="42"/>
        <v>63.180000000000007</v>
      </c>
      <c r="H349" s="26">
        <v>115</v>
      </c>
      <c r="I349" s="26">
        <v>26.74</v>
      </c>
      <c r="J349" s="26">
        <f t="shared" si="43"/>
        <v>2.4300000000000002</v>
      </c>
      <c r="K349" s="26"/>
      <c r="L349" s="14">
        <f t="shared" si="40"/>
        <v>207.35000000000002</v>
      </c>
      <c r="M349" s="14">
        <f t="shared" si="41"/>
        <v>85.329218106995881</v>
      </c>
    </row>
    <row r="350" spans="1:13" ht="15" customHeight="1" x14ac:dyDescent="0.25">
      <c r="A350" s="13">
        <v>6016026</v>
      </c>
      <c r="B350" s="27">
        <v>40651</v>
      </c>
      <c r="C350" s="13" t="s">
        <v>170</v>
      </c>
      <c r="D350" s="13" t="s">
        <v>171</v>
      </c>
      <c r="E350" s="28">
        <v>32</v>
      </c>
      <c r="F350" s="25">
        <v>3.1</v>
      </c>
      <c r="G350" s="26">
        <f t="shared" si="42"/>
        <v>80.600000000000009</v>
      </c>
      <c r="H350" s="26">
        <v>115</v>
      </c>
      <c r="I350" s="26">
        <v>26.91</v>
      </c>
      <c r="J350" s="26">
        <f t="shared" si="43"/>
        <v>3.1</v>
      </c>
      <c r="K350" s="26">
        <f>H350+I350</f>
        <v>141.91</v>
      </c>
      <c r="L350" s="14">
        <f t="shared" si="40"/>
        <v>225.61</v>
      </c>
      <c r="M350" s="14">
        <f t="shared" si="41"/>
        <v>72.777419354838713</v>
      </c>
    </row>
    <row r="351" spans="1:13" ht="15" customHeight="1" x14ac:dyDescent="0.25">
      <c r="A351" s="13">
        <v>6016026</v>
      </c>
      <c r="B351" s="27">
        <v>40652</v>
      </c>
      <c r="C351" s="13" t="s">
        <v>110</v>
      </c>
      <c r="D351" s="13" t="s">
        <v>169</v>
      </c>
      <c r="E351" s="28">
        <v>40</v>
      </c>
      <c r="F351" s="25">
        <v>3.38</v>
      </c>
      <c r="G351" s="26">
        <f t="shared" si="42"/>
        <v>87.88</v>
      </c>
      <c r="H351" s="26">
        <v>115</v>
      </c>
      <c r="I351" s="26">
        <v>26.91</v>
      </c>
      <c r="J351" s="26">
        <f t="shared" si="43"/>
        <v>3.38</v>
      </c>
      <c r="K351" s="26"/>
      <c r="L351" s="14">
        <f t="shared" si="40"/>
        <v>233.17</v>
      </c>
      <c r="M351" s="14">
        <f t="shared" si="41"/>
        <v>68.985207100591708</v>
      </c>
    </row>
    <row r="352" spans="1:13" ht="15" customHeight="1" x14ac:dyDescent="0.25">
      <c r="A352" s="13">
        <v>6016026</v>
      </c>
      <c r="B352" s="27">
        <v>40652</v>
      </c>
      <c r="C352" s="13" t="s">
        <v>128</v>
      </c>
      <c r="D352" s="13" t="s">
        <v>169</v>
      </c>
      <c r="E352" s="28">
        <v>20</v>
      </c>
      <c r="F352" s="25">
        <v>1.1000000000000001</v>
      </c>
      <c r="G352" s="26">
        <f t="shared" si="42"/>
        <v>28.6</v>
      </c>
      <c r="H352" s="26">
        <v>115</v>
      </c>
      <c r="I352" s="26">
        <v>26.91</v>
      </c>
      <c r="J352" s="26">
        <f t="shared" si="43"/>
        <v>1.1000000000000001</v>
      </c>
      <c r="K352" s="26"/>
      <c r="L352" s="14">
        <f t="shared" si="40"/>
        <v>171.60999999999999</v>
      </c>
      <c r="M352" s="14">
        <f t="shared" si="41"/>
        <v>156.00909090909087</v>
      </c>
    </row>
    <row r="353" spans="1:13" ht="15" customHeight="1" x14ac:dyDescent="0.25">
      <c r="A353" s="13">
        <v>6016026</v>
      </c>
      <c r="B353" s="27">
        <v>40652</v>
      </c>
      <c r="C353" s="13" t="s">
        <v>128</v>
      </c>
      <c r="D353" s="13" t="s">
        <v>169</v>
      </c>
      <c r="E353" s="28">
        <v>20</v>
      </c>
      <c r="F353" s="25">
        <v>2.95</v>
      </c>
      <c r="G353" s="26">
        <f t="shared" si="42"/>
        <v>76.7</v>
      </c>
      <c r="H353" s="26">
        <v>115</v>
      </c>
      <c r="I353" s="26">
        <v>26.91</v>
      </c>
      <c r="J353" s="26">
        <f t="shared" si="43"/>
        <v>2.95</v>
      </c>
      <c r="K353" s="26"/>
      <c r="L353" s="14">
        <f t="shared" si="40"/>
        <v>221.55999999999997</v>
      </c>
      <c r="M353" s="14">
        <f t="shared" si="41"/>
        <v>75.105084745762696</v>
      </c>
    </row>
    <row r="354" spans="1:13" ht="15" customHeight="1" x14ac:dyDescent="0.25">
      <c r="A354" s="13">
        <v>6016026</v>
      </c>
      <c r="B354" s="27">
        <v>40653</v>
      </c>
      <c r="C354" s="13" t="s">
        <v>173</v>
      </c>
      <c r="D354" s="13" t="s">
        <v>171</v>
      </c>
      <c r="E354" s="28">
        <v>30</v>
      </c>
      <c r="F354" s="25">
        <v>2.93</v>
      </c>
      <c r="G354" s="26">
        <f t="shared" si="42"/>
        <v>76.180000000000007</v>
      </c>
      <c r="H354" s="26">
        <v>115</v>
      </c>
      <c r="I354" s="26">
        <v>26.91</v>
      </c>
      <c r="J354" s="26">
        <f t="shared" si="43"/>
        <v>2.93</v>
      </c>
      <c r="K354" s="26">
        <f>H354+I354</f>
        <v>141.91</v>
      </c>
      <c r="L354" s="14">
        <f t="shared" si="40"/>
        <v>221.02</v>
      </c>
      <c r="M354" s="14">
        <f t="shared" si="41"/>
        <v>75.433447098976103</v>
      </c>
    </row>
    <row r="355" spans="1:13" ht="15" customHeight="1" x14ac:dyDescent="0.25">
      <c r="A355" s="13">
        <v>6016026</v>
      </c>
      <c r="B355" s="27">
        <v>40658</v>
      </c>
      <c r="C355" s="13" t="s">
        <v>170</v>
      </c>
      <c r="D355" s="13" t="s">
        <v>171</v>
      </c>
      <c r="E355" s="28">
        <v>32</v>
      </c>
      <c r="F355" s="25">
        <v>3.23</v>
      </c>
      <c r="G355" s="26">
        <f t="shared" si="42"/>
        <v>83.98</v>
      </c>
      <c r="H355" s="26">
        <v>115</v>
      </c>
      <c r="I355" s="26">
        <v>26.85</v>
      </c>
      <c r="J355" s="26">
        <f t="shared" si="43"/>
        <v>3.23</v>
      </c>
      <c r="K355" s="26">
        <f>H355+I355</f>
        <v>141.85</v>
      </c>
      <c r="L355" s="14">
        <f t="shared" si="40"/>
        <v>229.06</v>
      </c>
      <c r="M355" s="14">
        <f t="shared" si="41"/>
        <v>70.916408668730654</v>
      </c>
    </row>
    <row r="356" spans="1:13" ht="15" customHeight="1" x14ac:dyDescent="0.25">
      <c r="A356" s="13">
        <v>6016026</v>
      </c>
      <c r="B356" s="27">
        <v>40659</v>
      </c>
      <c r="C356" s="13" t="s">
        <v>173</v>
      </c>
      <c r="D356" s="13" t="s">
        <v>171</v>
      </c>
      <c r="E356" s="28">
        <v>30</v>
      </c>
      <c r="F356" s="25">
        <v>2.4500000000000002</v>
      </c>
      <c r="G356" s="26">
        <f t="shared" si="42"/>
        <v>63.7</v>
      </c>
      <c r="H356" s="26">
        <v>115</v>
      </c>
      <c r="I356" s="26">
        <v>26.85</v>
      </c>
      <c r="J356" s="26">
        <f t="shared" si="43"/>
        <v>2.4500000000000002</v>
      </c>
      <c r="K356" s="26">
        <f>H356+I356</f>
        <v>141.85</v>
      </c>
      <c r="L356" s="14">
        <f t="shared" si="40"/>
        <v>207.99999999999997</v>
      </c>
      <c r="M356" s="14">
        <f t="shared" si="41"/>
        <v>84.89795918367345</v>
      </c>
    </row>
    <row r="357" spans="1:13" ht="15" customHeight="1" x14ac:dyDescent="0.25">
      <c r="A357" s="13">
        <v>6016026</v>
      </c>
      <c r="B357" s="27">
        <v>40661</v>
      </c>
      <c r="C357" s="13" t="s">
        <v>110</v>
      </c>
      <c r="D357" s="13" t="s">
        <v>169</v>
      </c>
      <c r="E357" s="28">
        <v>40</v>
      </c>
      <c r="F357" s="25">
        <v>3.27</v>
      </c>
      <c r="G357" s="26">
        <f t="shared" si="42"/>
        <v>85.02</v>
      </c>
      <c r="H357" s="26">
        <v>115</v>
      </c>
      <c r="I357" s="26">
        <v>26.85</v>
      </c>
      <c r="J357" s="26">
        <f t="shared" si="43"/>
        <v>3.27</v>
      </c>
      <c r="K357" s="26"/>
      <c r="L357" s="14">
        <f t="shared" si="40"/>
        <v>230.14</v>
      </c>
      <c r="M357" s="14">
        <f t="shared" si="41"/>
        <v>70.379204892966357</v>
      </c>
    </row>
    <row r="358" spans="1:13" ht="15" customHeight="1" x14ac:dyDescent="0.25">
      <c r="A358" s="13">
        <v>5605072</v>
      </c>
      <c r="B358" s="27">
        <v>40663</v>
      </c>
      <c r="C358" s="13" t="s">
        <v>176</v>
      </c>
      <c r="D358" s="13" t="s">
        <v>175</v>
      </c>
      <c r="E358" s="28">
        <v>2</v>
      </c>
      <c r="F358" s="29">
        <v>0.78</v>
      </c>
      <c r="H358" s="26">
        <v>65</v>
      </c>
      <c r="J358" s="26"/>
      <c r="K358" s="26"/>
      <c r="L358" s="14">
        <f t="shared" si="40"/>
        <v>65</v>
      </c>
      <c r="M358" s="14">
        <f t="shared" si="41"/>
        <v>83.333333333333329</v>
      </c>
    </row>
    <row r="359" spans="1:13" ht="15" customHeight="1" x14ac:dyDescent="0.25">
      <c r="A359" s="13">
        <v>5605072</v>
      </c>
      <c r="B359" s="27">
        <v>40663</v>
      </c>
      <c r="C359" s="13" t="s">
        <v>176</v>
      </c>
      <c r="D359" s="13" t="s">
        <v>175</v>
      </c>
      <c r="E359" s="28">
        <v>2</v>
      </c>
      <c r="F359" s="29">
        <v>0.78</v>
      </c>
      <c r="H359" s="26">
        <v>65</v>
      </c>
      <c r="J359" s="26"/>
      <c r="K359" s="26"/>
      <c r="L359" s="14">
        <f t="shared" si="40"/>
        <v>65</v>
      </c>
      <c r="M359" s="14">
        <f t="shared" si="41"/>
        <v>83.333333333333329</v>
      </c>
    </row>
    <row r="360" spans="1:13" x14ac:dyDescent="0.25">
      <c r="A360" s="13">
        <v>5605072</v>
      </c>
      <c r="B360" s="27">
        <v>40663</v>
      </c>
      <c r="C360" s="13" t="s">
        <v>174</v>
      </c>
      <c r="D360" s="13" t="s">
        <v>175</v>
      </c>
      <c r="E360" s="28">
        <v>6</v>
      </c>
      <c r="F360" s="29">
        <v>1.17</v>
      </c>
      <c r="H360" s="26">
        <v>104</v>
      </c>
      <c r="J360" s="26"/>
      <c r="K360" s="26"/>
      <c r="L360" s="14">
        <f t="shared" si="40"/>
        <v>104</v>
      </c>
      <c r="M360" s="14">
        <f t="shared" si="41"/>
        <v>88.8888888888889</v>
      </c>
    </row>
    <row r="361" spans="1:13" ht="15" customHeight="1" x14ac:dyDescent="0.25">
      <c r="A361" s="13">
        <v>5605490</v>
      </c>
      <c r="B361" s="27">
        <v>40663</v>
      </c>
      <c r="C361" s="13" t="s">
        <v>177</v>
      </c>
      <c r="D361" s="13" t="s">
        <v>175</v>
      </c>
      <c r="E361" s="28">
        <v>8</v>
      </c>
      <c r="F361" s="29">
        <v>3.12</v>
      </c>
      <c r="H361" s="26">
        <v>189</v>
      </c>
      <c r="J361" s="26"/>
      <c r="K361" s="26"/>
      <c r="L361" s="14">
        <f t="shared" si="40"/>
        <v>189</v>
      </c>
      <c r="M361" s="14">
        <f t="shared" si="41"/>
        <v>60.576923076923073</v>
      </c>
    </row>
    <row r="362" spans="1:13" ht="15" customHeight="1" x14ac:dyDescent="0.25">
      <c r="A362" s="13">
        <v>5608098</v>
      </c>
      <c r="B362" s="27">
        <v>40663</v>
      </c>
      <c r="C362" s="13" t="s">
        <v>178</v>
      </c>
      <c r="D362" s="13" t="s">
        <v>171</v>
      </c>
      <c r="E362" s="28">
        <v>6</v>
      </c>
      <c r="F362" s="29">
        <v>3.9</v>
      </c>
      <c r="H362" s="26">
        <v>155.88</v>
      </c>
      <c r="J362" s="26"/>
      <c r="K362" s="26"/>
      <c r="L362" s="14">
        <f t="shared" si="40"/>
        <v>155.88</v>
      </c>
      <c r="M362" s="14">
        <f t="shared" si="41"/>
        <v>39.969230769230769</v>
      </c>
    </row>
    <row r="363" spans="1:13" ht="15" customHeight="1" x14ac:dyDescent="0.25">
      <c r="A363" s="13">
        <v>5608402</v>
      </c>
      <c r="B363" s="27">
        <v>40663</v>
      </c>
      <c r="C363" s="13" t="s">
        <v>179</v>
      </c>
      <c r="D363" s="13" t="s">
        <v>175</v>
      </c>
      <c r="E363" s="28">
        <v>2</v>
      </c>
      <c r="F363" s="29">
        <v>0.39</v>
      </c>
      <c r="H363" s="26">
        <v>48</v>
      </c>
      <c r="J363" s="26"/>
      <c r="K363" s="26"/>
      <c r="L363" s="14">
        <f t="shared" si="40"/>
        <v>48</v>
      </c>
      <c r="M363" s="14">
        <f t="shared" si="41"/>
        <v>123.07692307692307</v>
      </c>
    </row>
    <row r="364" spans="1:13" ht="15" customHeight="1" x14ac:dyDescent="0.25">
      <c r="A364" s="13">
        <v>6034641</v>
      </c>
      <c r="B364" s="27">
        <v>40665</v>
      </c>
      <c r="C364" s="13" t="s">
        <v>170</v>
      </c>
      <c r="D364" s="13" t="s">
        <v>171</v>
      </c>
      <c r="E364" s="28">
        <v>32</v>
      </c>
      <c r="F364" s="25">
        <v>3.35</v>
      </c>
      <c r="G364" s="26">
        <f t="shared" ref="G364:G376" si="44">F364*$G$2</f>
        <v>87.100000000000009</v>
      </c>
      <c r="H364" s="26">
        <v>115</v>
      </c>
      <c r="I364" s="26">
        <v>27.03</v>
      </c>
      <c r="J364" s="26">
        <f t="shared" ref="J364:J376" si="45">F364</f>
        <v>3.35</v>
      </c>
      <c r="K364" s="26">
        <f>H364+I364</f>
        <v>142.03</v>
      </c>
      <c r="L364" s="14">
        <f t="shared" si="40"/>
        <v>232.48000000000002</v>
      </c>
      <c r="M364" s="14">
        <f t="shared" si="41"/>
        <v>69.397014925373142</v>
      </c>
    </row>
    <row r="365" spans="1:13" ht="15" customHeight="1" x14ac:dyDescent="0.25">
      <c r="A365" s="13">
        <v>6034641</v>
      </c>
      <c r="B365" s="27">
        <v>40666</v>
      </c>
      <c r="C365" s="13" t="s">
        <v>128</v>
      </c>
      <c r="D365" s="13" t="s">
        <v>171</v>
      </c>
      <c r="E365" s="28">
        <v>35</v>
      </c>
      <c r="F365" s="25">
        <v>9.11</v>
      </c>
      <c r="G365" s="26">
        <f t="shared" si="44"/>
        <v>236.85999999999999</v>
      </c>
      <c r="H365" s="26">
        <v>115</v>
      </c>
      <c r="I365" s="26">
        <v>26.91</v>
      </c>
      <c r="J365" s="26">
        <f t="shared" si="45"/>
        <v>9.11</v>
      </c>
      <c r="K365" s="26"/>
      <c r="L365" s="14">
        <f t="shared" si="40"/>
        <v>387.88000000000005</v>
      </c>
      <c r="M365" s="14">
        <f t="shared" si="41"/>
        <v>42.577387486278823</v>
      </c>
    </row>
    <row r="366" spans="1:13" ht="15" customHeight="1" x14ac:dyDescent="0.25">
      <c r="A366" s="13">
        <v>6034641</v>
      </c>
      <c r="B366" s="27">
        <v>40667</v>
      </c>
      <c r="C366" s="13" t="s">
        <v>173</v>
      </c>
      <c r="D366" s="13" t="s">
        <v>171</v>
      </c>
      <c r="E366" s="28">
        <v>30</v>
      </c>
      <c r="F366" s="25">
        <v>3.72</v>
      </c>
      <c r="G366" s="26">
        <f t="shared" si="44"/>
        <v>96.72</v>
      </c>
      <c r="H366" s="26">
        <v>115</v>
      </c>
      <c r="I366" s="26">
        <v>27.03</v>
      </c>
      <c r="J366" s="26">
        <f t="shared" si="45"/>
        <v>3.72</v>
      </c>
      <c r="K366" s="26">
        <f>H366+I366</f>
        <v>142.03</v>
      </c>
      <c r="L366" s="14">
        <f t="shared" si="40"/>
        <v>242.47</v>
      </c>
      <c r="M366" s="14">
        <f t="shared" si="41"/>
        <v>65.180107526881713</v>
      </c>
    </row>
    <row r="367" spans="1:13" ht="15" customHeight="1" x14ac:dyDescent="0.25">
      <c r="A367" s="13">
        <v>6034641</v>
      </c>
      <c r="B367" s="27">
        <v>40669</v>
      </c>
      <c r="C367" s="13" t="s">
        <v>110</v>
      </c>
      <c r="D367" s="13" t="s">
        <v>169</v>
      </c>
      <c r="E367" s="28">
        <v>40</v>
      </c>
      <c r="F367" s="25">
        <v>4.8899999999999997</v>
      </c>
      <c r="G367" s="26">
        <f t="shared" si="44"/>
        <v>127.13999999999999</v>
      </c>
      <c r="H367" s="26">
        <v>115</v>
      </c>
      <c r="I367" s="26">
        <v>26.91</v>
      </c>
      <c r="J367" s="26">
        <f t="shared" si="45"/>
        <v>4.8899999999999997</v>
      </c>
      <c r="K367" s="26"/>
      <c r="L367" s="14">
        <f t="shared" si="40"/>
        <v>273.94</v>
      </c>
      <c r="M367" s="14">
        <f t="shared" si="41"/>
        <v>56.020449897750517</v>
      </c>
    </row>
    <row r="368" spans="1:13" ht="15" customHeight="1" x14ac:dyDescent="0.25">
      <c r="A368" s="13">
        <v>6034641</v>
      </c>
      <c r="B368" s="27">
        <v>40669</v>
      </c>
      <c r="C368" s="13" t="s">
        <v>110</v>
      </c>
      <c r="D368" s="13" t="s">
        <v>169</v>
      </c>
      <c r="E368" s="28">
        <v>40</v>
      </c>
      <c r="F368" s="25">
        <v>3.13</v>
      </c>
      <c r="G368" s="26">
        <f t="shared" si="44"/>
        <v>81.38</v>
      </c>
      <c r="H368" s="26">
        <v>115</v>
      </c>
      <c r="I368" s="26">
        <v>26.91</v>
      </c>
      <c r="J368" s="26">
        <f t="shared" si="45"/>
        <v>3.13</v>
      </c>
      <c r="K368" s="26"/>
      <c r="L368" s="14">
        <f t="shared" si="40"/>
        <v>226.42</v>
      </c>
      <c r="M368" s="14">
        <f t="shared" si="41"/>
        <v>72.33865814696486</v>
      </c>
    </row>
    <row r="369" spans="1:13" ht="15" customHeight="1" x14ac:dyDescent="0.25">
      <c r="A369" s="13">
        <v>6034641</v>
      </c>
      <c r="B369" s="27">
        <v>40672</v>
      </c>
      <c r="C369" s="13" t="s">
        <v>110</v>
      </c>
      <c r="D369" s="13" t="s">
        <v>169</v>
      </c>
      <c r="E369" s="28">
        <v>40</v>
      </c>
      <c r="F369" s="25">
        <v>3.26</v>
      </c>
      <c r="G369" s="26">
        <f t="shared" si="44"/>
        <v>84.759999999999991</v>
      </c>
      <c r="H369" s="26">
        <v>115</v>
      </c>
      <c r="I369" s="26">
        <v>26.91</v>
      </c>
      <c r="J369" s="26">
        <f t="shared" si="45"/>
        <v>3.26</v>
      </c>
      <c r="K369" s="26"/>
      <c r="L369" s="14">
        <f t="shared" si="40"/>
        <v>229.92999999999998</v>
      </c>
      <c r="M369" s="14">
        <f t="shared" si="41"/>
        <v>70.530674846625772</v>
      </c>
    </row>
    <row r="370" spans="1:13" ht="15" customHeight="1" x14ac:dyDescent="0.25">
      <c r="A370" s="13">
        <v>6034641</v>
      </c>
      <c r="B370" s="27">
        <v>40672</v>
      </c>
      <c r="C370" s="13" t="s">
        <v>170</v>
      </c>
      <c r="D370" s="13" t="s">
        <v>171</v>
      </c>
      <c r="E370" s="28">
        <v>32</v>
      </c>
      <c r="F370" s="25">
        <v>3.17</v>
      </c>
      <c r="G370" s="26">
        <f t="shared" si="44"/>
        <v>82.42</v>
      </c>
      <c r="H370" s="26">
        <v>115</v>
      </c>
      <c r="I370" s="26">
        <v>26.91</v>
      </c>
      <c r="J370" s="26">
        <f t="shared" si="45"/>
        <v>3.17</v>
      </c>
      <c r="K370" s="26">
        <f>H370+I370</f>
        <v>141.91</v>
      </c>
      <c r="L370" s="14">
        <f t="shared" si="40"/>
        <v>227.5</v>
      </c>
      <c r="M370" s="14">
        <f t="shared" si="41"/>
        <v>71.766561514195587</v>
      </c>
    </row>
    <row r="371" spans="1:13" ht="15" customHeight="1" x14ac:dyDescent="0.25">
      <c r="A371" s="13">
        <v>6034641</v>
      </c>
      <c r="B371" s="27">
        <v>40673</v>
      </c>
      <c r="C371" s="13" t="s">
        <v>173</v>
      </c>
      <c r="D371" s="13" t="s">
        <v>171</v>
      </c>
      <c r="E371" s="28">
        <v>30</v>
      </c>
      <c r="F371" s="25">
        <v>2.2200000000000002</v>
      </c>
      <c r="G371" s="26">
        <f t="shared" si="44"/>
        <v>57.720000000000006</v>
      </c>
      <c r="H371" s="26">
        <v>115</v>
      </c>
      <c r="I371" s="26">
        <v>26.62</v>
      </c>
      <c r="J371" s="26">
        <f t="shared" si="45"/>
        <v>2.2200000000000002</v>
      </c>
      <c r="K371" s="26">
        <f>H371+I371</f>
        <v>141.62</v>
      </c>
      <c r="L371" s="14">
        <f t="shared" si="40"/>
        <v>201.56</v>
      </c>
      <c r="M371" s="14">
        <f t="shared" si="41"/>
        <v>90.792792792792781</v>
      </c>
    </row>
    <row r="372" spans="1:13" ht="15" customHeight="1" x14ac:dyDescent="0.25">
      <c r="A372" s="13">
        <v>6034641</v>
      </c>
      <c r="B372" s="27">
        <v>40679</v>
      </c>
      <c r="C372" s="13" t="s">
        <v>170</v>
      </c>
      <c r="D372" s="13" t="s">
        <v>171</v>
      </c>
      <c r="E372" s="28">
        <v>32</v>
      </c>
      <c r="F372" s="25">
        <v>2.65</v>
      </c>
      <c r="G372" s="26">
        <f t="shared" si="44"/>
        <v>68.899999999999991</v>
      </c>
      <c r="H372" s="26">
        <v>115</v>
      </c>
      <c r="I372" s="26">
        <v>26.91</v>
      </c>
      <c r="J372" s="26">
        <f t="shared" si="45"/>
        <v>2.65</v>
      </c>
      <c r="K372" s="26">
        <f>H372+I372</f>
        <v>141.91</v>
      </c>
      <c r="L372" s="14">
        <f t="shared" si="40"/>
        <v>213.45999999999998</v>
      </c>
      <c r="M372" s="14">
        <f t="shared" si="41"/>
        <v>80.550943396226415</v>
      </c>
    </row>
    <row r="373" spans="1:13" ht="15" customHeight="1" x14ac:dyDescent="0.25">
      <c r="A373" s="13">
        <v>6034641</v>
      </c>
      <c r="B373" s="27">
        <v>40679</v>
      </c>
      <c r="C373" s="13" t="s">
        <v>185</v>
      </c>
      <c r="D373" s="13" t="s">
        <v>169</v>
      </c>
      <c r="E373" s="28">
        <v>40</v>
      </c>
      <c r="F373" s="25">
        <v>5.35</v>
      </c>
      <c r="G373" s="26">
        <f t="shared" si="44"/>
        <v>139.1</v>
      </c>
      <c r="H373" s="26">
        <v>115</v>
      </c>
      <c r="I373" s="26">
        <v>26.62</v>
      </c>
      <c r="J373" s="26">
        <f t="shared" si="45"/>
        <v>5.35</v>
      </c>
      <c r="K373" s="26"/>
      <c r="L373" s="14">
        <f t="shared" si="40"/>
        <v>286.07</v>
      </c>
      <c r="M373" s="14">
        <f t="shared" si="41"/>
        <v>53.471028037383178</v>
      </c>
    </row>
    <row r="374" spans="1:13" ht="15" customHeight="1" x14ac:dyDescent="0.25">
      <c r="A374" s="13">
        <v>6034641</v>
      </c>
      <c r="B374" s="27">
        <v>40681</v>
      </c>
      <c r="C374" s="13" t="s">
        <v>173</v>
      </c>
      <c r="D374" s="13" t="s">
        <v>171</v>
      </c>
      <c r="E374" s="28">
        <v>30</v>
      </c>
      <c r="F374" s="25">
        <v>3.46</v>
      </c>
      <c r="G374" s="26">
        <f t="shared" si="44"/>
        <v>89.96</v>
      </c>
      <c r="H374" s="26">
        <v>115</v>
      </c>
      <c r="I374" s="26">
        <v>26.16</v>
      </c>
      <c r="J374" s="26">
        <f t="shared" si="45"/>
        <v>3.46</v>
      </c>
      <c r="K374" s="26">
        <f>H374+I374</f>
        <v>141.16</v>
      </c>
      <c r="L374" s="14">
        <f t="shared" si="40"/>
        <v>234.57999999999998</v>
      </c>
      <c r="M374" s="14">
        <f t="shared" si="41"/>
        <v>67.797687861271669</v>
      </c>
    </row>
    <row r="375" spans="1:13" ht="15" customHeight="1" x14ac:dyDescent="0.25">
      <c r="A375" s="13">
        <v>6034641</v>
      </c>
      <c r="B375" s="27">
        <v>40686</v>
      </c>
      <c r="C375" s="13" t="s">
        <v>170</v>
      </c>
      <c r="D375" s="13" t="s">
        <v>171</v>
      </c>
      <c r="E375" s="28">
        <v>32</v>
      </c>
      <c r="F375" s="25">
        <v>2.64</v>
      </c>
      <c r="G375" s="26">
        <f t="shared" si="44"/>
        <v>68.64</v>
      </c>
      <c r="H375" s="26">
        <v>115</v>
      </c>
      <c r="I375" s="26">
        <v>26.16</v>
      </c>
      <c r="J375" s="26">
        <f t="shared" si="45"/>
        <v>2.64</v>
      </c>
      <c r="K375" s="26">
        <f>H375+I375</f>
        <v>141.16</v>
      </c>
      <c r="L375" s="14">
        <f t="shared" si="40"/>
        <v>212.43999999999997</v>
      </c>
      <c r="M375" s="14">
        <f t="shared" si="41"/>
        <v>80.469696969696955</v>
      </c>
    </row>
    <row r="376" spans="1:13" ht="15" customHeight="1" x14ac:dyDescent="0.25">
      <c r="A376" s="13">
        <v>6034641</v>
      </c>
      <c r="B376" s="27">
        <v>40688</v>
      </c>
      <c r="C376" s="13" t="s">
        <v>173</v>
      </c>
      <c r="D376" s="13" t="s">
        <v>171</v>
      </c>
      <c r="E376" s="28">
        <v>30</v>
      </c>
      <c r="F376" s="25">
        <v>2.0499999999999998</v>
      </c>
      <c r="G376" s="26">
        <f t="shared" si="44"/>
        <v>53.3</v>
      </c>
      <c r="H376" s="26">
        <v>115</v>
      </c>
      <c r="I376" s="26">
        <v>26.16</v>
      </c>
      <c r="J376" s="26">
        <f t="shared" si="45"/>
        <v>2.0499999999999998</v>
      </c>
      <c r="K376" s="26">
        <f>H376+I376</f>
        <v>141.16</v>
      </c>
      <c r="L376" s="14">
        <f t="shared" si="40"/>
        <v>196.51000000000002</v>
      </c>
      <c r="M376" s="14">
        <f t="shared" si="41"/>
        <v>95.858536585365869</v>
      </c>
    </row>
    <row r="377" spans="1:13" ht="15" customHeight="1" x14ac:dyDescent="0.25">
      <c r="A377" s="13">
        <v>5613603</v>
      </c>
      <c r="B377" s="27">
        <v>40694</v>
      </c>
      <c r="C377" s="13" t="s">
        <v>177</v>
      </c>
      <c r="D377" s="13" t="s">
        <v>175</v>
      </c>
      <c r="E377" s="28">
        <v>8</v>
      </c>
      <c r="F377" s="29">
        <v>3.12</v>
      </c>
      <c r="H377" s="26">
        <v>189</v>
      </c>
      <c r="J377" s="26"/>
      <c r="K377" s="26"/>
      <c r="L377" s="14">
        <f t="shared" si="40"/>
        <v>189</v>
      </c>
      <c r="M377" s="14">
        <f t="shared" si="41"/>
        <v>60.576923076923073</v>
      </c>
    </row>
    <row r="378" spans="1:13" ht="15" customHeight="1" x14ac:dyDescent="0.25">
      <c r="A378" s="13">
        <v>5616170</v>
      </c>
      <c r="B378" s="27">
        <v>40694</v>
      </c>
      <c r="C378" s="13" t="s">
        <v>178</v>
      </c>
      <c r="D378" s="13" t="s">
        <v>186</v>
      </c>
      <c r="E378" s="28">
        <v>6</v>
      </c>
      <c r="F378" s="29">
        <v>3.9</v>
      </c>
      <c r="H378" s="26">
        <v>155.88</v>
      </c>
      <c r="J378" s="26"/>
      <c r="K378" s="26"/>
      <c r="L378" s="14">
        <f t="shared" si="40"/>
        <v>155.88</v>
      </c>
      <c r="M378" s="14">
        <f t="shared" si="41"/>
        <v>39.969230769230769</v>
      </c>
    </row>
    <row r="379" spans="1:13" ht="15" customHeight="1" x14ac:dyDescent="0.25">
      <c r="A379" s="13">
        <v>5616471</v>
      </c>
      <c r="B379" s="27">
        <v>40694</v>
      </c>
      <c r="C379" s="13" t="s">
        <v>179</v>
      </c>
      <c r="D379" s="13" t="s">
        <v>187</v>
      </c>
      <c r="E379" s="28">
        <v>2</v>
      </c>
      <c r="F379" s="29">
        <v>0.39</v>
      </c>
      <c r="H379" s="26">
        <v>48</v>
      </c>
      <c r="J379" s="26"/>
      <c r="K379" s="26"/>
      <c r="L379" s="14">
        <f t="shared" si="40"/>
        <v>48</v>
      </c>
      <c r="M379" s="14">
        <f t="shared" si="41"/>
        <v>123.07692307692307</v>
      </c>
    </row>
    <row r="380" spans="1:13" ht="15" customHeight="1" x14ac:dyDescent="0.25">
      <c r="A380" s="13">
        <v>6034641</v>
      </c>
      <c r="B380" s="27">
        <v>40694</v>
      </c>
      <c r="C380" s="13" t="s">
        <v>170</v>
      </c>
      <c r="D380" s="13" t="s">
        <v>171</v>
      </c>
      <c r="E380" s="28">
        <v>32</v>
      </c>
      <c r="F380" s="25">
        <v>1.99</v>
      </c>
      <c r="G380" s="26">
        <f>F380*$G$2</f>
        <v>51.74</v>
      </c>
      <c r="H380" s="26">
        <v>115</v>
      </c>
      <c r="I380" s="26">
        <v>25.93</v>
      </c>
      <c r="J380" s="26">
        <f>F380</f>
        <v>1.99</v>
      </c>
      <c r="K380" s="26">
        <f>H380+I380</f>
        <v>140.93</v>
      </c>
      <c r="L380" s="14">
        <f t="shared" si="40"/>
        <v>194.66000000000003</v>
      </c>
      <c r="M380" s="14">
        <f t="shared" si="41"/>
        <v>97.819095477386952</v>
      </c>
    </row>
    <row r="381" spans="1:13" x14ac:dyDescent="0.25">
      <c r="A381" s="13">
        <v>5613184</v>
      </c>
      <c r="B381" s="27">
        <v>40694</v>
      </c>
      <c r="C381" s="13" t="s">
        <v>174</v>
      </c>
      <c r="D381" s="13" t="s">
        <v>187</v>
      </c>
      <c r="E381" s="28">
        <v>6</v>
      </c>
      <c r="F381" s="29">
        <v>1.17</v>
      </c>
      <c r="H381" s="26">
        <v>104</v>
      </c>
      <c r="J381" s="26"/>
      <c r="K381" s="26"/>
      <c r="L381" s="14">
        <f t="shared" si="40"/>
        <v>104</v>
      </c>
      <c r="M381" s="14">
        <f t="shared" si="41"/>
        <v>88.8888888888889</v>
      </c>
    </row>
    <row r="382" spans="1:13" ht="15" customHeight="1" x14ac:dyDescent="0.25">
      <c r="A382" s="13">
        <v>5613184</v>
      </c>
      <c r="B382" s="27">
        <v>40694</v>
      </c>
      <c r="C382" s="13" t="s">
        <v>176</v>
      </c>
      <c r="D382" s="13" t="s">
        <v>175</v>
      </c>
      <c r="E382" s="28">
        <v>2</v>
      </c>
      <c r="F382" s="29">
        <v>0.39</v>
      </c>
      <c r="H382" s="26">
        <v>65</v>
      </c>
      <c r="J382" s="26"/>
      <c r="K382" s="26"/>
      <c r="L382" s="14">
        <f t="shared" si="40"/>
        <v>65</v>
      </c>
      <c r="M382" s="14">
        <f t="shared" si="41"/>
        <v>166.66666666666666</v>
      </c>
    </row>
    <row r="383" spans="1:13" ht="15" customHeight="1" x14ac:dyDescent="0.25">
      <c r="A383" s="13">
        <v>5613184</v>
      </c>
      <c r="B383" s="27">
        <v>40694</v>
      </c>
      <c r="C383" s="13" t="s">
        <v>176</v>
      </c>
      <c r="D383" s="13" t="s">
        <v>175</v>
      </c>
      <c r="E383" s="28">
        <v>2</v>
      </c>
      <c r="F383" s="29">
        <v>0.39</v>
      </c>
      <c r="H383" s="26">
        <v>65</v>
      </c>
      <c r="J383" s="26"/>
      <c r="K383" s="26"/>
      <c r="L383" s="14">
        <f t="shared" si="40"/>
        <v>65</v>
      </c>
      <c r="M383" s="14">
        <f t="shared" si="41"/>
        <v>166.66666666666666</v>
      </c>
    </row>
    <row r="384" spans="1:13" ht="15" customHeight="1" x14ac:dyDescent="0.25">
      <c r="A384" s="13">
        <v>6055865</v>
      </c>
      <c r="B384" s="27">
        <v>40695</v>
      </c>
      <c r="C384" s="13" t="s">
        <v>173</v>
      </c>
      <c r="D384" s="13" t="s">
        <v>171</v>
      </c>
      <c r="E384" s="28">
        <v>30</v>
      </c>
      <c r="F384" s="25">
        <v>1.25</v>
      </c>
      <c r="G384" s="26">
        <f t="shared" ref="G384:G398" si="46">F384*$G$2</f>
        <v>32.5</v>
      </c>
      <c r="H384" s="26">
        <v>115</v>
      </c>
      <c r="I384" s="26">
        <v>25.93</v>
      </c>
      <c r="J384" s="26">
        <f t="shared" ref="J384:J398" si="47">F384</f>
        <v>1.25</v>
      </c>
      <c r="K384" s="26">
        <f>H384+I384</f>
        <v>140.93</v>
      </c>
      <c r="L384" s="14">
        <f t="shared" si="40"/>
        <v>174.68</v>
      </c>
      <c r="M384" s="14">
        <f t="shared" si="41"/>
        <v>139.744</v>
      </c>
    </row>
    <row r="385" spans="1:13" ht="15" customHeight="1" x14ac:dyDescent="0.25">
      <c r="A385" s="13">
        <v>6055865</v>
      </c>
      <c r="B385" s="27">
        <v>40696</v>
      </c>
      <c r="C385" s="13" t="s">
        <v>128</v>
      </c>
      <c r="D385" s="13" t="s">
        <v>188</v>
      </c>
      <c r="E385" s="28">
        <v>20</v>
      </c>
      <c r="F385" s="25">
        <v>7.52</v>
      </c>
      <c r="G385" s="26">
        <f t="shared" si="46"/>
        <v>195.51999999999998</v>
      </c>
      <c r="H385" s="26">
        <v>115</v>
      </c>
      <c r="I385" s="26">
        <v>25.93</v>
      </c>
      <c r="J385" s="26">
        <f t="shared" si="47"/>
        <v>7.52</v>
      </c>
      <c r="K385" s="26"/>
      <c r="L385" s="14">
        <f t="shared" si="40"/>
        <v>343.96999999999997</v>
      </c>
      <c r="M385" s="14">
        <f t="shared" si="41"/>
        <v>45.740691489361701</v>
      </c>
    </row>
    <row r="386" spans="1:13" ht="15" customHeight="1" x14ac:dyDescent="0.25">
      <c r="A386" s="13">
        <v>6055865</v>
      </c>
      <c r="B386" s="27">
        <v>40696</v>
      </c>
      <c r="C386" s="13" t="s">
        <v>128</v>
      </c>
      <c r="D386" s="13" t="s">
        <v>186</v>
      </c>
      <c r="E386" s="28">
        <v>35</v>
      </c>
      <c r="F386" s="25">
        <v>7.48</v>
      </c>
      <c r="G386" s="26">
        <f t="shared" si="46"/>
        <v>194.48000000000002</v>
      </c>
      <c r="H386" s="26">
        <v>115</v>
      </c>
      <c r="I386" s="26">
        <v>25.93</v>
      </c>
      <c r="J386" s="26">
        <f t="shared" si="47"/>
        <v>7.48</v>
      </c>
      <c r="K386" s="26"/>
      <c r="L386" s="14">
        <f t="shared" si="40"/>
        <v>342.89000000000004</v>
      </c>
      <c r="M386" s="14">
        <f t="shared" si="41"/>
        <v>45.840909090909093</v>
      </c>
    </row>
    <row r="387" spans="1:13" ht="15" customHeight="1" x14ac:dyDescent="0.25">
      <c r="A387" s="13">
        <v>6055865</v>
      </c>
      <c r="B387" s="27">
        <v>40697</v>
      </c>
      <c r="C387" s="13" t="s">
        <v>128</v>
      </c>
      <c r="D387" s="13" t="s">
        <v>188</v>
      </c>
      <c r="E387" s="28">
        <v>20</v>
      </c>
      <c r="F387" s="25">
        <v>3.51</v>
      </c>
      <c r="G387" s="26">
        <f t="shared" si="46"/>
        <v>91.259999999999991</v>
      </c>
      <c r="H387" s="26">
        <v>115</v>
      </c>
      <c r="I387" s="26">
        <v>25.93</v>
      </c>
      <c r="J387" s="26">
        <f t="shared" si="47"/>
        <v>3.51</v>
      </c>
      <c r="K387" s="26"/>
      <c r="L387" s="14">
        <f t="shared" si="40"/>
        <v>235.7</v>
      </c>
      <c r="M387" s="14">
        <f t="shared" si="41"/>
        <v>67.150997150997156</v>
      </c>
    </row>
    <row r="388" spans="1:13" ht="15" customHeight="1" x14ac:dyDescent="0.25">
      <c r="A388" s="13">
        <v>6055865</v>
      </c>
      <c r="B388" s="27">
        <v>40697</v>
      </c>
      <c r="C388" s="13" t="s">
        <v>185</v>
      </c>
      <c r="D388" s="13" t="s">
        <v>188</v>
      </c>
      <c r="E388" s="28">
        <v>40</v>
      </c>
      <c r="F388" s="25">
        <v>6.89</v>
      </c>
      <c r="G388" s="26">
        <f t="shared" si="46"/>
        <v>179.14</v>
      </c>
      <c r="H388" s="26">
        <v>115</v>
      </c>
      <c r="I388" s="26">
        <v>25.93</v>
      </c>
      <c r="J388" s="26">
        <f t="shared" si="47"/>
        <v>6.89</v>
      </c>
      <c r="K388" s="26"/>
      <c r="L388" s="14">
        <f t="shared" ref="L388:L451" si="48">G388+H388+I388+J388</f>
        <v>326.95999999999998</v>
      </c>
      <c r="M388" s="14">
        <f t="shared" ref="M388:M451" si="49">L388/F388</f>
        <v>47.454281567489112</v>
      </c>
    </row>
    <row r="389" spans="1:13" ht="15" customHeight="1" x14ac:dyDescent="0.25">
      <c r="A389" s="13">
        <v>6055865</v>
      </c>
      <c r="B389" s="27">
        <v>40700</v>
      </c>
      <c r="C389" s="13" t="s">
        <v>170</v>
      </c>
      <c r="D389" s="13" t="s">
        <v>171</v>
      </c>
      <c r="E389" s="28">
        <v>32</v>
      </c>
      <c r="F389" s="25">
        <v>1.53</v>
      </c>
      <c r="G389" s="26">
        <f t="shared" si="46"/>
        <v>39.78</v>
      </c>
      <c r="H389" s="26">
        <v>115</v>
      </c>
      <c r="I389" s="26">
        <v>25.93</v>
      </c>
      <c r="J389" s="26">
        <f t="shared" si="47"/>
        <v>1.53</v>
      </c>
      <c r="K389" s="26">
        <f>H389+I389</f>
        <v>140.93</v>
      </c>
      <c r="L389" s="14">
        <f t="shared" si="48"/>
        <v>182.24</v>
      </c>
      <c r="M389" s="14">
        <f t="shared" si="49"/>
        <v>119.11111111111111</v>
      </c>
    </row>
    <row r="390" spans="1:13" ht="15" customHeight="1" x14ac:dyDescent="0.25">
      <c r="A390" s="13">
        <v>6055865</v>
      </c>
      <c r="B390" s="27">
        <v>40702</v>
      </c>
      <c r="C390" s="13" t="s">
        <v>173</v>
      </c>
      <c r="D390" s="13" t="s">
        <v>186</v>
      </c>
      <c r="E390" s="28">
        <v>30</v>
      </c>
      <c r="F390" s="25">
        <v>1.18</v>
      </c>
      <c r="G390" s="26">
        <f t="shared" si="46"/>
        <v>30.68</v>
      </c>
      <c r="H390" s="26">
        <v>115</v>
      </c>
      <c r="I390" s="26">
        <v>25.88</v>
      </c>
      <c r="J390" s="26">
        <f t="shared" si="47"/>
        <v>1.18</v>
      </c>
      <c r="K390" s="26">
        <f>H390+I390</f>
        <v>140.88</v>
      </c>
      <c r="L390" s="14">
        <f t="shared" si="48"/>
        <v>172.74</v>
      </c>
      <c r="M390" s="14">
        <f t="shared" si="49"/>
        <v>146.3898305084746</v>
      </c>
    </row>
    <row r="391" spans="1:13" ht="15" customHeight="1" x14ac:dyDescent="0.25">
      <c r="A391" s="13">
        <v>6055865</v>
      </c>
      <c r="B391" s="27">
        <v>40707</v>
      </c>
      <c r="C391" s="13" t="s">
        <v>170</v>
      </c>
      <c r="D391" s="13" t="s">
        <v>186</v>
      </c>
      <c r="E391" s="28">
        <v>32</v>
      </c>
      <c r="F391" s="25">
        <v>1.95</v>
      </c>
      <c r="G391" s="26">
        <f t="shared" si="46"/>
        <v>50.699999999999996</v>
      </c>
      <c r="H391" s="26">
        <v>115</v>
      </c>
      <c r="I391" s="26">
        <v>25.99</v>
      </c>
      <c r="J391" s="26">
        <f t="shared" si="47"/>
        <v>1.95</v>
      </c>
      <c r="K391" s="26">
        <f>H391+I391</f>
        <v>140.99</v>
      </c>
      <c r="L391" s="14">
        <f t="shared" si="48"/>
        <v>193.64</v>
      </c>
      <c r="M391" s="14">
        <f t="shared" si="49"/>
        <v>99.302564102564091</v>
      </c>
    </row>
    <row r="392" spans="1:13" ht="15" customHeight="1" x14ac:dyDescent="0.25">
      <c r="A392" s="13">
        <v>6055865</v>
      </c>
      <c r="B392" s="27">
        <v>40709</v>
      </c>
      <c r="C392" s="13" t="s">
        <v>173</v>
      </c>
      <c r="D392" s="13" t="s">
        <v>171</v>
      </c>
      <c r="E392" s="28">
        <v>30</v>
      </c>
      <c r="F392" s="25">
        <v>1.33</v>
      </c>
      <c r="G392" s="26">
        <f t="shared" si="46"/>
        <v>34.58</v>
      </c>
      <c r="H392" s="26">
        <v>115</v>
      </c>
      <c r="I392" s="26">
        <v>25.99</v>
      </c>
      <c r="J392" s="26">
        <f t="shared" si="47"/>
        <v>1.33</v>
      </c>
      <c r="K392" s="26">
        <f>H392+I392</f>
        <v>140.99</v>
      </c>
      <c r="L392" s="14">
        <f t="shared" si="48"/>
        <v>176.9</v>
      </c>
      <c r="M392" s="14">
        <f t="shared" si="49"/>
        <v>133.00751879699249</v>
      </c>
    </row>
    <row r="393" spans="1:13" ht="15" customHeight="1" x14ac:dyDescent="0.25">
      <c r="A393" s="13">
        <v>6055865</v>
      </c>
      <c r="B393" s="27">
        <v>40710</v>
      </c>
      <c r="C393" s="13" t="s">
        <v>172</v>
      </c>
      <c r="D393" s="13" t="s">
        <v>169</v>
      </c>
      <c r="E393" s="28">
        <v>40</v>
      </c>
      <c r="F393" s="25">
        <v>3.15</v>
      </c>
      <c r="G393" s="26">
        <f t="shared" si="46"/>
        <v>81.899999999999991</v>
      </c>
      <c r="H393" s="26">
        <v>115</v>
      </c>
      <c r="I393" s="26">
        <v>25.93</v>
      </c>
      <c r="J393" s="26">
        <f t="shared" si="47"/>
        <v>3.15</v>
      </c>
      <c r="K393" s="26"/>
      <c r="L393" s="14">
        <f t="shared" si="48"/>
        <v>225.98</v>
      </c>
      <c r="M393" s="14">
        <f t="shared" si="49"/>
        <v>71.739682539682534</v>
      </c>
    </row>
    <row r="394" spans="1:13" ht="15" customHeight="1" x14ac:dyDescent="0.25">
      <c r="A394" s="13">
        <v>6055865</v>
      </c>
      <c r="B394" s="27">
        <v>40711</v>
      </c>
      <c r="C394" s="13" t="s">
        <v>41</v>
      </c>
      <c r="D394" s="13" t="s">
        <v>169</v>
      </c>
      <c r="E394" s="28">
        <v>40</v>
      </c>
      <c r="F394" s="25">
        <v>3.1</v>
      </c>
      <c r="G394" s="26">
        <f t="shared" si="46"/>
        <v>80.600000000000009</v>
      </c>
      <c r="H394" s="26">
        <v>115</v>
      </c>
      <c r="I394" s="26">
        <v>25.93</v>
      </c>
      <c r="J394" s="26">
        <f t="shared" si="47"/>
        <v>3.1</v>
      </c>
      <c r="K394" s="26"/>
      <c r="L394" s="14">
        <f t="shared" si="48"/>
        <v>224.63000000000002</v>
      </c>
      <c r="M394" s="14">
        <f t="shared" si="49"/>
        <v>72.461290322580652</v>
      </c>
    </row>
    <row r="395" spans="1:13" ht="15" customHeight="1" x14ac:dyDescent="0.25">
      <c r="A395" s="13">
        <v>6055865</v>
      </c>
      <c r="B395" s="27">
        <v>40714</v>
      </c>
      <c r="C395" s="13" t="s">
        <v>170</v>
      </c>
      <c r="D395" s="13" t="s">
        <v>171</v>
      </c>
      <c r="E395" s="28">
        <v>32</v>
      </c>
      <c r="F395" s="25">
        <v>2.48</v>
      </c>
      <c r="G395" s="26">
        <f t="shared" si="46"/>
        <v>64.48</v>
      </c>
      <c r="H395" s="26">
        <v>115</v>
      </c>
      <c r="I395" s="26">
        <v>25.93</v>
      </c>
      <c r="J395" s="26">
        <f t="shared" si="47"/>
        <v>2.48</v>
      </c>
      <c r="K395" s="26">
        <f>H395+I395</f>
        <v>140.93</v>
      </c>
      <c r="L395" s="14">
        <f t="shared" si="48"/>
        <v>207.89000000000001</v>
      </c>
      <c r="M395" s="14">
        <f t="shared" si="49"/>
        <v>83.826612903225808</v>
      </c>
    </row>
    <row r="396" spans="1:13" ht="15" customHeight="1" x14ac:dyDescent="0.25">
      <c r="A396" s="13">
        <v>6055865</v>
      </c>
      <c r="B396" s="27">
        <v>40715</v>
      </c>
      <c r="C396" s="13" t="s">
        <v>173</v>
      </c>
      <c r="D396" s="13" t="s">
        <v>186</v>
      </c>
      <c r="E396" s="28">
        <v>30</v>
      </c>
      <c r="F396" s="25">
        <v>1.31</v>
      </c>
      <c r="G396" s="26">
        <f t="shared" si="46"/>
        <v>34.06</v>
      </c>
      <c r="H396" s="26">
        <v>115</v>
      </c>
      <c r="I396" s="26">
        <v>25.93</v>
      </c>
      <c r="J396" s="26">
        <f t="shared" si="47"/>
        <v>1.31</v>
      </c>
      <c r="K396" s="26">
        <f>H396+I396</f>
        <v>140.93</v>
      </c>
      <c r="L396" s="14">
        <f t="shared" si="48"/>
        <v>176.3</v>
      </c>
      <c r="M396" s="14">
        <f t="shared" si="49"/>
        <v>134.58015267175574</v>
      </c>
    </row>
    <row r="397" spans="1:13" ht="15" customHeight="1" x14ac:dyDescent="0.25">
      <c r="A397" s="13">
        <v>6055865</v>
      </c>
      <c r="B397" s="27">
        <v>40721</v>
      </c>
      <c r="C397" s="13" t="s">
        <v>170</v>
      </c>
      <c r="D397" s="13" t="s">
        <v>171</v>
      </c>
      <c r="E397" s="28">
        <v>32</v>
      </c>
      <c r="F397" s="25">
        <v>1.95</v>
      </c>
      <c r="G397" s="26">
        <f t="shared" si="46"/>
        <v>50.699999999999996</v>
      </c>
      <c r="H397" s="26">
        <v>115</v>
      </c>
      <c r="I397" s="26">
        <v>25.59</v>
      </c>
      <c r="J397" s="26">
        <f t="shared" si="47"/>
        <v>1.95</v>
      </c>
      <c r="K397" s="26">
        <f>H397+I397</f>
        <v>140.59</v>
      </c>
      <c r="L397" s="14">
        <f t="shared" si="48"/>
        <v>193.23999999999998</v>
      </c>
      <c r="M397" s="14">
        <f t="shared" si="49"/>
        <v>99.097435897435886</v>
      </c>
    </row>
    <row r="398" spans="1:13" ht="15" customHeight="1" x14ac:dyDescent="0.25">
      <c r="A398" s="13">
        <v>6055865</v>
      </c>
      <c r="B398" s="27">
        <v>40722</v>
      </c>
      <c r="C398" s="13" t="s">
        <v>173</v>
      </c>
      <c r="D398" s="13" t="s">
        <v>186</v>
      </c>
      <c r="E398" s="28">
        <v>30</v>
      </c>
      <c r="F398" s="25">
        <v>1.41</v>
      </c>
      <c r="G398" s="26">
        <f t="shared" si="46"/>
        <v>36.659999999999997</v>
      </c>
      <c r="H398" s="26">
        <v>115</v>
      </c>
      <c r="I398" s="26">
        <v>25.59</v>
      </c>
      <c r="J398" s="26">
        <f t="shared" si="47"/>
        <v>1.41</v>
      </c>
      <c r="K398" s="26">
        <f>H398+I398</f>
        <v>140.59</v>
      </c>
      <c r="L398" s="14">
        <f t="shared" si="48"/>
        <v>178.66</v>
      </c>
      <c r="M398" s="14">
        <f t="shared" si="49"/>
        <v>126.70921985815603</v>
      </c>
    </row>
    <row r="399" spans="1:13" x14ac:dyDescent="0.25">
      <c r="A399" s="13">
        <v>5621698</v>
      </c>
      <c r="B399" s="27">
        <v>40724</v>
      </c>
      <c r="C399" s="13" t="s">
        <v>174</v>
      </c>
      <c r="D399" s="13" t="s">
        <v>187</v>
      </c>
      <c r="E399" s="28">
        <v>6</v>
      </c>
      <c r="F399" s="29">
        <v>1.17</v>
      </c>
      <c r="H399" s="26">
        <v>104</v>
      </c>
      <c r="J399" s="26"/>
      <c r="K399" s="26"/>
      <c r="L399" s="14">
        <f t="shared" si="48"/>
        <v>104</v>
      </c>
      <c r="M399" s="14">
        <f t="shared" si="49"/>
        <v>88.8888888888889</v>
      </c>
    </row>
    <row r="400" spans="1:13" ht="15" customHeight="1" x14ac:dyDescent="0.25">
      <c r="A400" s="13">
        <v>5621698</v>
      </c>
      <c r="B400" s="27">
        <v>40724</v>
      </c>
      <c r="C400" s="13" t="s">
        <v>176</v>
      </c>
      <c r="D400" s="13" t="s">
        <v>175</v>
      </c>
      <c r="E400" s="28">
        <v>2</v>
      </c>
      <c r="F400" s="29">
        <v>0.39</v>
      </c>
      <c r="H400" s="26">
        <v>65</v>
      </c>
      <c r="J400" s="26"/>
      <c r="K400" s="26"/>
      <c r="L400" s="14">
        <f t="shared" si="48"/>
        <v>65</v>
      </c>
      <c r="M400" s="14">
        <f t="shared" si="49"/>
        <v>166.66666666666666</v>
      </c>
    </row>
    <row r="401" spans="1:13" ht="15" customHeight="1" x14ac:dyDescent="0.25">
      <c r="A401" s="13">
        <v>5621698</v>
      </c>
      <c r="B401" s="27">
        <v>40724</v>
      </c>
      <c r="C401" s="13" t="s">
        <v>176</v>
      </c>
      <c r="D401" s="13" t="s">
        <v>175</v>
      </c>
      <c r="E401" s="28">
        <v>2</v>
      </c>
      <c r="F401" s="29">
        <v>0.39</v>
      </c>
      <c r="H401" s="26">
        <v>65</v>
      </c>
      <c r="J401" s="26"/>
      <c r="K401" s="26"/>
      <c r="L401" s="14">
        <f t="shared" si="48"/>
        <v>65</v>
      </c>
      <c r="M401" s="14">
        <f t="shared" si="49"/>
        <v>166.66666666666666</v>
      </c>
    </row>
    <row r="402" spans="1:13" ht="15" customHeight="1" x14ac:dyDescent="0.25">
      <c r="A402" s="13">
        <v>5622116</v>
      </c>
      <c r="B402" s="27">
        <v>40724</v>
      </c>
      <c r="C402" s="13" t="s">
        <v>177</v>
      </c>
      <c r="D402" s="13" t="s">
        <v>175</v>
      </c>
      <c r="E402" s="28">
        <v>8</v>
      </c>
      <c r="F402" s="29">
        <v>3.12</v>
      </c>
      <c r="H402" s="26">
        <v>189</v>
      </c>
      <c r="J402" s="26"/>
      <c r="K402" s="26"/>
      <c r="L402" s="14">
        <f t="shared" si="48"/>
        <v>189</v>
      </c>
      <c r="M402" s="14">
        <f t="shared" si="49"/>
        <v>60.576923076923073</v>
      </c>
    </row>
    <row r="403" spans="1:13" ht="15" customHeight="1" x14ac:dyDescent="0.25">
      <c r="A403" s="13">
        <v>5624654</v>
      </c>
      <c r="B403" s="27">
        <v>40724</v>
      </c>
      <c r="C403" s="13" t="s">
        <v>178</v>
      </c>
      <c r="D403" s="13" t="s">
        <v>186</v>
      </c>
      <c r="E403" s="28">
        <v>6</v>
      </c>
      <c r="F403" s="29">
        <v>3.9</v>
      </c>
      <c r="H403" s="26">
        <v>155.88</v>
      </c>
      <c r="J403" s="26"/>
      <c r="K403" s="26"/>
      <c r="L403" s="14">
        <f t="shared" si="48"/>
        <v>155.88</v>
      </c>
      <c r="M403" s="14">
        <f t="shared" si="49"/>
        <v>39.969230769230769</v>
      </c>
    </row>
    <row r="404" spans="1:13" ht="15" customHeight="1" x14ac:dyDescent="0.25">
      <c r="A404" s="13">
        <v>6074315</v>
      </c>
      <c r="B404" s="27">
        <v>40726</v>
      </c>
      <c r="C404" s="13" t="s">
        <v>128</v>
      </c>
      <c r="D404" s="13" t="s">
        <v>171</v>
      </c>
      <c r="E404" s="28">
        <v>35</v>
      </c>
      <c r="F404" s="25">
        <v>1.81</v>
      </c>
      <c r="G404" s="26">
        <f t="shared" ref="G404:G416" si="50">F404*$G$2</f>
        <v>47.06</v>
      </c>
      <c r="H404" s="26">
        <v>115</v>
      </c>
      <c r="I404" s="26">
        <v>25.59</v>
      </c>
      <c r="J404" s="26">
        <f t="shared" ref="J404:J416" si="51">F404</f>
        <v>1.81</v>
      </c>
      <c r="K404" s="26"/>
      <c r="L404" s="14">
        <f t="shared" si="48"/>
        <v>189.46</v>
      </c>
      <c r="M404" s="14">
        <f t="shared" si="49"/>
        <v>104.67403314917127</v>
      </c>
    </row>
    <row r="405" spans="1:13" ht="15" customHeight="1" x14ac:dyDescent="0.25">
      <c r="A405" s="13">
        <v>6074315</v>
      </c>
      <c r="B405" s="27">
        <v>40729</v>
      </c>
      <c r="C405" s="13" t="s">
        <v>185</v>
      </c>
      <c r="D405" s="13" t="s">
        <v>169</v>
      </c>
      <c r="E405" s="28">
        <v>40</v>
      </c>
      <c r="F405" s="25">
        <v>5.61</v>
      </c>
      <c r="G405" s="26">
        <f t="shared" si="50"/>
        <v>145.86000000000001</v>
      </c>
      <c r="H405" s="26">
        <v>115</v>
      </c>
      <c r="I405" s="26">
        <v>25.59</v>
      </c>
      <c r="J405" s="26">
        <f t="shared" si="51"/>
        <v>5.61</v>
      </c>
      <c r="K405" s="26"/>
      <c r="L405" s="14">
        <f t="shared" si="48"/>
        <v>292.06</v>
      </c>
      <c r="M405" s="14">
        <f t="shared" si="49"/>
        <v>52.060606060606055</v>
      </c>
    </row>
    <row r="406" spans="1:13" ht="15" customHeight="1" x14ac:dyDescent="0.25">
      <c r="A406" s="13">
        <v>6074315</v>
      </c>
      <c r="B406" s="27">
        <v>40730</v>
      </c>
      <c r="C406" s="13" t="s">
        <v>173</v>
      </c>
      <c r="D406" s="13" t="s">
        <v>171</v>
      </c>
      <c r="E406" s="28">
        <v>30</v>
      </c>
      <c r="F406" s="25">
        <v>1.64</v>
      </c>
      <c r="G406" s="26">
        <f t="shared" si="50"/>
        <v>42.64</v>
      </c>
      <c r="H406" s="26">
        <v>115</v>
      </c>
      <c r="I406" s="26">
        <v>25.59</v>
      </c>
      <c r="J406" s="26">
        <f t="shared" si="51"/>
        <v>1.64</v>
      </c>
      <c r="K406" s="26">
        <f>H406+I406</f>
        <v>140.59</v>
      </c>
      <c r="L406" s="14">
        <f t="shared" si="48"/>
        <v>184.86999999999998</v>
      </c>
      <c r="M406" s="14">
        <f t="shared" si="49"/>
        <v>112.72560975609755</v>
      </c>
    </row>
    <row r="407" spans="1:13" ht="15" customHeight="1" x14ac:dyDescent="0.25">
      <c r="A407" s="13">
        <v>6074315</v>
      </c>
      <c r="B407" s="27">
        <v>40731</v>
      </c>
      <c r="C407" s="13" t="s">
        <v>181</v>
      </c>
      <c r="D407" s="13" t="s">
        <v>186</v>
      </c>
      <c r="E407" s="28">
        <v>30</v>
      </c>
      <c r="F407" s="25">
        <v>7.91</v>
      </c>
      <c r="G407" s="26">
        <f t="shared" si="50"/>
        <v>205.66</v>
      </c>
      <c r="H407" s="26">
        <v>115</v>
      </c>
      <c r="I407" s="26">
        <v>25.59</v>
      </c>
      <c r="J407" s="26">
        <f t="shared" si="51"/>
        <v>7.91</v>
      </c>
      <c r="K407" s="26"/>
      <c r="L407" s="14">
        <f t="shared" si="48"/>
        <v>354.15999999999997</v>
      </c>
      <c r="M407" s="14">
        <f t="shared" si="49"/>
        <v>44.773704171934256</v>
      </c>
    </row>
    <row r="408" spans="1:13" ht="15" customHeight="1" x14ac:dyDescent="0.25">
      <c r="A408" s="13">
        <v>6074315</v>
      </c>
      <c r="B408" s="27">
        <v>40735</v>
      </c>
      <c r="C408" s="13" t="s">
        <v>170</v>
      </c>
      <c r="D408" s="13" t="s">
        <v>171</v>
      </c>
      <c r="E408" s="28">
        <v>32</v>
      </c>
      <c r="F408" s="25">
        <v>1.32</v>
      </c>
      <c r="G408" s="26">
        <f t="shared" si="50"/>
        <v>34.32</v>
      </c>
      <c r="H408" s="26">
        <v>115</v>
      </c>
      <c r="I408" s="26">
        <v>25.59</v>
      </c>
      <c r="J408" s="26">
        <f t="shared" si="51"/>
        <v>1.32</v>
      </c>
      <c r="K408" s="26">
        <f>H408+I408</f>
        <v>140.59</v>
      </c>
      <c r="L408" s="14">
        <f t="shared" si="48"/>
        <v>176.23</v>
      </c>
      <c r="M408" s="14">
        <f t="shared" si="49"/>
        <v>133.50757575757575</v>
      </c>
    </row>
    <row r="409" spans="1:13" ht="15" customHeight="1" x14ac:dyDescent="0.25">
      <c r="A409" s="13">
        <v>6074315</v>
      </c>
      <c r="B409" s="27">
        <v>40735</v>
      </c>
      <c r="C409" s="13" t="s">
        <v>110</v>
      </c>
      <c r="D409" s="13" t="s">
        <v>188</v>
      </c>
      <c r="E409" s="28">
        <v>40</v>
      </c>
      <c r="F409" s="25">
        <v>6.9</v>
      </c>
      <c r="G409" s="26">
        <f t="shared" si="50"/>
        <v>179.4</v>
      </c>
      <c r="H409" s="26">
        <v>115</v>
      </c>
      <c r="I409" s="26">
        <v>25.59</v>
      </c>
      <c r="J409" s="26">
        <f t="shared" si="51"/>
        <v>6.9</v>
      </c>
      <c r="K409" s="26"/>
      <c r="L409" s="14">
        <f t="shared" si="48"/>
        <v>326.88999999999993</v>
      </c>
      <c r="M409" s="14">
        <f t="shared" si="49"/>
        <v>47.375362318840565</v>
      </c>
    </row>
    <row r="410" spans="1:13" ht="15" customHeight="1" x14ac:dyDescent="0.25">
      <c r="A410" s="13">
        <v>6074315</v>
      </c>
      <c r="B410" s="27">
        <v>40736</v>
      </c>
      <c r="C410" s="13" t="s">
        <v>128</v>
      </c>
      <c r="D410" s="13" t="s">
        <v>186</v>
      </c>
      <c r="E410" s="28">
        <v>35</v>
      </c>
      <c r="F410" s="25">
        <v>9.1999999999999993</v>
      </c>
      <c r="G410" s="26">
        <f t="shared" si="50"/>
        <v>239.2</v>
      </c>
      <c r="H410" s="26">
        <v>115</v>
      </c>
      <c r="I410" s="26">
        <v>25.59</v>
      </c>
      <c r="J410" s="26">
        <f t="shared" si="51"/>
        <v>9.1999999999999993</v>
      </c>
      <c r="K410" s="26"/>
      <c r="L410" s="14">
        <f t="shared" si="48"/>
        <v>388.98999999999995</v>
      </c>
      <c r="M410" s="14">
        <f t="shared" si="49"/>
        <v>42.281521739130433</v>
      </c>
    </row>
    <row r="411" spans="1:13" ht="15" customHeight="1" x14ac:dyDescent="0.25">
      <c r="A411" s="13">
        <v>6074315</v>
      </c>
      <c r="B411" s="27">
        <v>40738</v>
      </c>
      <c r="C411" s="13" t="s">
        <v>173</v>
      </c>
      <c r="D411" s="13" t="s">
        <v>186</v>
      </c>
      <c r="E411" s="28">
        <v>30</v>
      </c>
      <c r="F411" s="25">
        <v>2.0499999999999998</v>
      </c>
      <c r="G411" s="26">
        <f t="shared" si="50"/>
        <v>53.3</v>
      </c>
      <c r="H411" s="26">
        <v>115</v>
      </c>
      <c r="I411" s="26">
        <v>25.59</v>
      </c>
      <c r="J411" s="26">
        <f t="shared" si="51"/>
        <v>2.0499999999999998</v>
      </c>
      <c r="K411" s="26">
        <f>H411+I411</f>
        <v>140.59</v>
      </c>
      <c r="L411" s="14">
        <f t="shared" si="48"/>
        <v>195.94000000000003</v>
      </c>
      <c r="M411" s="14">
        <f t="shared" si="49"/>
        <v>95.580487804878075</v>
      </c>
    </row>
    <row r="412" spans="1:13" ht="15" customHeight="1" x14ac:dyDescent="0.25">
      <c r="A412" s="13">
        <v>6074315</v>
      </c>
      <c r="B412" s="27">
        <v>40742</v>
      </c>
      <c r="C412" s="13" t="s">
        <v>170</v>
      </c>
      <c r="D412" s="13" t="s">
        <v>171</v>
      </c>
      <c r="E412" s="28">
        <v>32</v>
      </c>
      <c r="F412" s="25">
        <v>1.63</v>
      </c>
      <c r="G412" s="26">
        <f t="shared" si="50"/>
        <v>42.379999999999995</v>
      </c>
      <c r="H412" s="26">
        <v>115</v>
      </c>
      <c r="I412" s="26">
        <v>25.93</v>
      </c>
      <c r="J412" s="26">
        <f t="shared" si="51"/>
        <v>1.63</v>
      </c>
      <c r="K412" s="26">
        <f>H412+I412</f>
        <v>140.93</v>
      </c>
      <c r="L412" s="14">
        <f t="shared" si="48"/>
        <v>184.94</v>
      </c>
      <c r="M412" s="14">
        <f t="shared" si="49"/>
        <v>113.4601226993865</v>
      </c>
    </row>
    <row r="413" spans="1:13" ht="15" customHeight="1" x14ac:dyDescent="0.25">
      <c r="A413" s="13">
        <v>6074315</v>
      </c>
      <c r="B413" s="27">
        <v>40745</v>
      </c>
      <c r="C413" s="13" t="s">
        <v>173</v>
      </c>
      <c r="D413" s="13" t="s">
        <v>171</v>
      </c>
      <c r="E413" s="28">
        <v>30</v>
      </c>
      <c r="F413" s="25">
        <v>1.69</v>
      </c>
      <c r="G413" s="26">
        <f t="shared" si="50"/>
        <v>43.94</v>
      </c>
      <c r="H413" s="26">
        <v>115</v>
      </c>
      <c r="I413" s="26">
        <v>25.93</v>
      </c>
      <c r="J413" s="26">
        <f t="shared" si="51"/>
        <v>1.69</v>
      </c>
      <c r="K413" s="26">
        <f>H413+I413</f>
        <v>140.93</v>
      </c>
      <c r="L413" s="14">
        <f t="shared" si="48"/>
        <v>186.56</v>
      </c>
      <c r="M413" s="14">
        <f t="shared" si="49"/>
        <v>110.3905325443787</v>
      </c>
    </row>
    <row r="414" spans="1:13" ht="15" customHeight="1" x14ac:dyDescent="0.25">
      <c r="A414" s="13">
        <v>6074315</v>
      </c>
      <c r="B414" s="27">
        <v>40745</v>
      </c>
      <c r="C414" s="13" t="s">
        <v>172</v>
      </c>
      <c r="D414" s="13" t="s">
        <v>169</v>
      </c>
      <c r="E414" s="28">
        <v>40</v>
      </c>
      <c r="F414" s="25">
        <v>2.73</v>
      </c>
      <c r="G414" s="26">
        <f t="shared" si="50"/>
        <v>70.98</v>
      </c>
      <c r="H414" s="26">
        <v>115</v>
      </c>
      <c r="I414" s="26">
        <v>25.93</v>
      </c>
      <c r="J414" s="26">
        <f t="shared" si="51"/>
        <v>2.73</v>
      </c>
      <c r="K414" s="26"/>
      <c r="L414" s="14">
        <f t="shared" si="48"/>
        <v>214.64000000000001</v>
      </c>
      <c r="M414" s="14">
        <f t="shared" si="49"/>
        <v>78.622710622710628</v>
      </c>
    </row>
    <row r="415" spans="1:13" ht="15" customHeight="1" x14ac:dyDescent="0.25">
      <c r="A415" s="13">
        <v>6074315</v>
      </c>
      <c r="B415" s="27">
        <v>40749</v>
      </c>
      <c r="C415" s="13" t="s">
        <v>170</v>
      </c>
      <c r="D415" s="13" t="s">
        <v>171</v>
      </c>
      <c r="E415" s="28">
        <v>32</v>
      </c>
      <c r="F415" s="25">
        <v>1.56</v>
      </c>
      <c r="G415" s="26">
        <f t="shared" si="50"/>
        <v>40.56</v>
      </c>
      <c r="H415" s="26">
        <v>115</v>
      </c>
      <c r="I415" s="26">
        <v>26.11</v>
      </c>
      <c r="J415" s="26">
        <f t="shared" si="51"/>
        <v>1.56</v>
      </c>
      <c r="K415" s="26">
        <f>H415+I415</f>
        <v>141.11000000000001</v>
      </c>
      <c r="L415" s="14">
        <f t="shared" si="48"/>
        <v>183.23000000000002</v>
      </c>
      <c r="M415" s="14">
        <f t="shared" si="49"/>
        <v>117.45512820512822</v>
      </c>
    </row>
    <row r="416" spans="1:13" ht="15" customHeight="1" x14ac:dyDescent="0.25">
      <c r="A416" s="13">
        <v>6074315</v>
      </c>
      <c r="B416" s="27">
        <v>40751</v>
      </c>
      <c r="C416" s="13" t="s">
        <v>173</v>
      </c>
      <c r="D416" s="13" t="s">
        <v>171</v>
      </c>
      <c r="E416" s="28">
        <v>30</v>
      </c>
      <c r="F416" s="25">
        <v>0.61</v>
      </c>
      <c r="G416" s="26">
        <f t="shared" si="50"/>
        <v>15.86</v>
      </c>
      <c r="H416" s="26">
        <v>115</v>
      </c>
      <c r="I416" s="26">
        <v>26.11</v>
      </c>
      <c r="J416" s="26">
        <f t="shared" si="51"/>
        <v>0.61</v>
      </c>
      <c r="K416" s="26">
        <f>H416+I416</f>
        <v>141.11000000000001</v>
      </c>
      <c r="L416" s="14">
        <f t="shared" si="48"/>
        <v>157.58000000000004</v>
      </c>
      <c r="M416" s="14">
        <f t="shared" si="49"/>
        <v>258.32786885245906</v>
      </c>
    </row>
    <row r="417" spans="1:13" x14ac:dyDescent="0.25">
      <c r="A417" s="13">
        <v>5629923</v>
      </c>
      <c r="B417" s="27">
        <v>40755</v>
      </c>
      <c r="C417" s="13" t="s">
        <v>174</v>
      </c>
      <c r="D417" s="13" t="s">
        <v>187</v>
      </c>
      <c r="E417" s="28">
        <v>6</v>
      </c>
      <c r="F417" s="29">
        <v>1.17</v>
      </c>
      <c r="H417" s="26">
        <v>104</v>
      </c>
      <c r="J417" s="26"/>
      <c r="K417" s="26"/>
      <c r="L417" s="14">
        <f t="shared" si="48"/>
        <v>104</v>
      </c>
      <c r="M417" s="14">
        <f t="shared" si="49"/>
        <v>88.8888888888889</v>
      </c>
    </row>
    <row r="418" spans="1:13" ht="15" customHeight="1" x14ac:dyDescent="0.25">
      <c r="A418" s="13">
        <v>5629923</v>
      </c>
      <c r="B418" s="27">
        <v>40755</v>
      </c>
      <c r="C418" s="13" t="s">
        <v>176</v>
      </c>
      <c r="D418" s="13" t="s">
        <v>175</v>
      </c>
      <c r="E418" s="28">
        <v>2</v>
      </c>
      <c r="F418" s="29">
        <v>0.39</v>
      </c>
      <c r="H418" s="26">
        <v>65</v>
      </c>
      <c r="J418" s="26"/>
      <c r="K418" s="26"/>
      <c r="L418" s="14">
        <f t="shared" si="48"/>
        <v>65</v>
      </c>
      <c r="M418" s="14">
        <f t="shared" si="49"/>
        <v>166.66666666666666</v>
      </c>
    </row>
    <row r="419" spans="1:13" ht="15" customHeight="1" x14ac:dyDescent="0.25">
      <c r="A419" s="13">
        <v>5629923</v>
      </c>
      <c r="B419" s="27">
        <v>40755</v>
      </c>
      <c r="C419" s="13" t="s">
        <v>176</v>
      </c>
      <c r="D419" s="13" t="s">
        <v>175</v>
      </c>
      <c r="E419" s="28">
        <v>2</v>
      </c>
      <c r="F419" s="29">
        <v>0.39</v>
      </c>
      <c r="H419" s="26">
        <v>65</v>
      </c>
      <c r="J419" s="26"/>
      <c r="K419" s="26"/>
      <c r="L419" s="14">
        <f t="shared" si="48"/>
        <v>65</v>
      </c>
      <c r="M419" s="14">
        <f t="shared" si="49"/>
        <v>166.66666666666666</v>
      </c>
    </row>
    <row r="420" spans="1:13" ht="15" customHeight="1" x14ac:dyDescent="0.25">
      <c r="A420" s="13">
        <v>5630341</v>
      </c>
      <c r="B420" s="27">
        <v>40755</v>
      </c>
      <c r="C420" s="13" t="s">
        <v>177</v>
      </c>
      <c r="D420" s="13" t="s">
        <v>175</v>
      </c>
      <c r="E420" s="28">
        <v>8</v>
      </c>
      <c r="F420" s="29">
        <v>3.12</v>
      </c>
      <c r="H420" s="26">
        <v>189</v>
      </c>
      <c r="J420" s="26"/>
      <c r="K420" s="26"/>
      <c r="L420" s="14">
        <f t="shared" si="48"/>
        <v>189</v>
      </c>
      <c r="M420" s="14">
        <f t="shared" si="49"/>
        <v>60.576923076923073</v>
      </c>
    </row>
    <row r="421" spans="1:13" ht="15" customHeight="1" x14ac:dyDescent="0.25">
      <c r="A421" s="13">
        <v>5632866</v>
      </c>
      <c r="B421" s="27">
        <v>40755</v>
      </c>
      <c r="C421" s="13" t="s">
        <v>178</v>
      </c>
      <c r="D421" s="13" t="s">
        <v>186</v>
      </c>
      <c r="E421" s="28">
        <v>6</v>
      </c>
      <c r="F421" s="29">
        <v>3.9</v>
      </c>
      <c r="H421" s="26">
        <v>155.88</v>
      </c>
      <c r="J421" s="26"/>
      <c r="K421" s="26"/>
      <c r="L421" s="14">
        <f t="shared" si="48"/>
        <v>155.88</v>
      </c>
      <c r="M421" s="14">
        <f t="shared" si="49"/>
        <v>39.969230769230769</v>
      </c>
    </row>
    <row r="422" spans="1:13" ht="15" customHeight="1" x14ac:dyDescent="0.25">
      <c r="A422" s="13">
        <v>5633169</v>
      </c>
      <c r="B422" s="27">
        <v>40755</v>
      </c>
      <c r="C422" s="13" t="s">
        <v>179</v>
      </c>
      <c r="D422" s="13" t="s">
        <v>187</v>
      </c>
      <c r="E422" s="28">
        <v>2</v>
      </c>
      <c r="F422" s="29">
        <v>0.39</v>
      </c>
      <c r="H422" s="26">
        <v>48</v>
      </c>
      <c r="J422" s="26"/>
      <c r="K422" s="26"/>
      <c r="L422" s="14">
        <f t="shared" si="48"/>
        <v>48</v>
      </c>
      <c r="M422" s="14">
        <f t="shared" si="49"/>
        <v>123.07692307692307</v>
      </c>
    </row>
    <row r="423" spans="1:13" ht="15" customHeight="1" x14ac:dyDescent="0.25">
      <c r="A423" s="13">
        <v>6096126</v>
      </c>
      <c r="B423" s="27">
        <v>40756</v>
      </c>
      <c r="C423" s="13" t="s">
        <v>170</v>
      </c>
      <c r="D423" s="13" t="s">
        <v>171</v>
      </c>
      <c r="E423" s="28">
        <v>32</v>
      </c>
      <c r="F423" s="25">
        <v>2.1</v>
      </c>
      <c r="G423" s="26">
        <f t="shared" ref="G423:G441" si="52">F423*$G$2</f>
        <v>54.6</v>
      </c>
      <c r="H423" s="26">
        <v>115</v>
      </c>
      <c r="I423" s="26">
        <v>26.05</v>
      </c>
      <c r="J423" s="26">
        <f t="shared" ref="J423:J441" si="53">F423</f>
        <v>2.1</v>
      </c>
      <c r="K423" s="26">
        <f>H423+I423</f>
        <v>141.05000000000001</v>
      </c>
      <c r="L423" s="14">
        <f t="shared" si="48"/>
        <v>197.75</v>
      </c>
      <c r="M423" s="14">
        <f t="shared" si="49"/>
        <v>94.166666666666657</v>
      </c>
    </row>
    <row r="424" spans="1:13" ht="15" customHeight="1" x14ac:dyDescent="0.25">
      <c r="A424" s="13">
        <v>6096126</v>
      </c>
      <c r="B424" s="27">
        <v>40757</v>
      </c>
      <c r="C424" s="13" t="s">
        <v>128</v>
      </c>
      <c r="D424" s="13" t="s">
        <v>169</v>
      </c>
      <c r="E424" s="28">
        <v>20</v>
      </c>
      <c r="F424" s="25">
        <v>1.32</v>
      </c>
      <c r="G424" s="26">
        <f t="shared" si="52"/>
        <v>34.32</v>
      </c>
      <c r="H424" s="26">
        <v>115</v>
      </c>
      <c r="I424" s="26">
        <v>26.05</v>
      </c>
      <c r="J424" s="26">
        <f t="shared" si="53"/>
        <v>1.32</v>
      </c>
      <c r="K424" s="26"/>
      <c r="L424" s="14">
        <f t="shared" si="48"/>
        <v>176.69</v>
      </c>
      <c r="M424" s="14">
        <f t="shared" si="49"/>
        <v>133.85606060606059</v>
      </c>
    </row>
    <row r="425" spans="1:13" ht="15" customHeight="1" x14ac:dyDescent="0.25">
      <c r="A425" s="13">
        <v>6096126</v>
      </c>
      <c r="B425" s="27">
        <v>40757</v>
      </c>
      <c r="C425" s="13" t="s">
        <v>128</v>
      </c>
      <c r="D425" s="13" t="s">
        <v>169</v>
      </c>
      <c r="E425" s="28">
        <v>20</v>
      </c>
      <c r="F425" s="25">
        <v>2.27</v>
      </c>
      <c r="G425" s="26">
        <f t="shared" si="52"/>
        <v>59.02</v>
      </c>
      <c r="H425" s="26">
        <v>115</v>
      </c>
      <c r="I425" s="26">
        <v>26.05</v>
      </c>
      <c r="J425" s="26">
        <f t="shared" si="53"/>
        <v>2.27</v>
      </c>
      <c r="K425" s="26"/>
      <c r="L425" s="14">
        <f t="shared" si="48"/>
        <v>202.34000000000003</v>
      </c>
      <c r="M425" s="14">
        <f t="shared" si="49"/>
        <v>89.136563876651991</v>
      </c>
    </row>
    <row r="426" spans="1:13" ht="15" customHeight="1" x14ac:dyDescent="0.25">
      <c r="B426" s="27">
        <v>40757</v>
      </c>
      <c r="C426" s="13" t="s">
        <v>128</v>
      </c>
      <c r="D426" s="13" t="s">
        <v>169</v>
      </c>
      <c r="E426" s="28">
        <v>20</v>
      </c>
      <c r="F426" s="25">
        <v>1.32</v>
      </c>
      <c r="G426" s="26">
        <f t="shared" si="52"/>
        <v>34.32</v>
      </c>
      <c r="H426" s="26">
        <v>115</v>
      </c>
      <c r="I426" s="26">
        <v>25.59</v>
      </c>
      <c r="J426" s="26">
        <f t="shared" si="53"/>
        <v>1.32</v>
      </c>
      <c r="K426" s="26"/>
      <c r="L426" s="14">
        <f t="shared" si="48"/>
        <v>176.23</v>
      </c>
      <c r="M426" s="14">
        <f t="shared" si="49"/>
        <v>133.50757575757575</v>
      </c>
    </row>
    <row r="427" spans="1:13" ht="15" customHeight="1" x14ac:dyDescent="0.25">
      <c r="A427" s="13">
        <v>6096126</v>
      </c>
      <c r="B427" s="27">
        <v>40758</v>
      </c>
      <c r="C427" s="13" t="s">
        <v>173</v>
      </c>
      <c r="D427" s="13" t="s">
        <v>171</v>
      </c>
      <c r="E427" s="28">
        <v>30</v>
      </c>
      <c r="F427" s="25">
        <v>1.24</v>
      </c>
      <c r="G427" s="26">
        <f t="shared" si="52"/>
        <v>32.24</v>
      </c>
      <c r="H427" s="26">
        <v>115</v>
      </c>
      <c r="I427" s="26">
        <v>26.05</v>
      </c>
      <c r="J427" s="26">
        <f t="shared" si="53"/>
        <v>1.24</v>
      </c>
      <c r="K427" s="26">
        <f>H427+I427</f>
        <v>141.05000000000001</v>
      </c>
      <c r="L427" s="14">
        <f t="shared" si="48"/>
        <v>174.53000000000003</v>
      </c>
      <c r="M427" s="14">
        <f t="shared" si="49"/>
        <v>140.75000000000003</v>
      </c>
    </row>
    <row r="428" spans="1:13" ht="15" customHeight="1" x14ac:dyDescent="0.25">
      <c r="A428" s="13">
        <v>6096126</v>
      </c>
      <c r="B428" s="27">
        <v>40760</v>
      </c>
      <c r="C428" s="13" t="s">
        <v>110</v>
      </c>
      <c r="D428" s="13" t="s">
        <v>188</v>
      </c>
      <c r="E428" s="28">
        <v>40</v>
      </c>
      <c r="F428" s="25">
        <v>5.33</v>
      </c>
      <c r="G428" s="26">
        <f t="shared" si="52"/>
        <v>138.58000000000001</v>
      </c>
      <c r="H428" s="26">
        <v>115</v>
      </c>
      <c r="I428" s="26">
        <v>26.05</v>
      </c>
      <c r="J428" s="26">
        <f t="shared" si="53"/>
        <v>5.33</v>
      </c>
      <c r="K428" s="26"/>
      <c r="L428" s="14">
        <f t="shared" si="48"/>
        <v>284.95999999999998</v>
      </c>
      <c r="M428" s="14">
        <f t="shared" si="49"/>
        <v>53.463414634146339</v>
      </c>
    </row>
    <row r="429" spans="1:13" ht="15" customHeight="1" x14ac:dyDescent="0.25">
      <c r="A429" s="13">
        <v>6096126</v>
      </c>
      <c r="B429" s="27">
        <v>40763</v>
      </c>
      <c r="C429" s="13" t="s">
        <v>170</v>
      </c>
      <c r="D429" s="13" t="s">
        <v>171</v>
      </c>
      <c r="E429" s="28">
        <v>32</v>
      </c>
      <c r="F429" s="25">
        <v>1.34</v>
      </c>
      <c r="G429" s="26">
        <f t="shared" si="52"/>
        <v>34.840000000000003</v>
      </c>
      <c r="H429" s="26">
        <v>115</v>
      </c>
      <c r="I429" s="26">
        <v>25.82</v>
      </c>
      <c r="J429" s="26">
        <f t="shared" si="53"/>
        <v>1.34</v>
      </c>
      <c r="K429" s="26">
        <f>H429+I429</f>
        <v>140.82</v>
      </c>
      <c r="L429" s="14">
        <f t="shared" si="48"/>
        <v>177</v>
      </c>
      <c r="M429" s="14">
        <f t="shared" si="49"/>
        <v>132.08955223880596</v>
      </c>
    </row>
    <row r="430" spans="1:13" ht="15" customHeight="1" x14ac:dyDescent="0.25">
      <c r="A430" s="13">
        <v>6096126</v>
      </c>
      <c r="B430" s="27">
        <v>40765</v>
      </c>
      <c r="C430" s="13" t="s">
        <v>173</v>
      </c>
      <c r="D430" s="13" t="s">
        <v>171</v>
      </c>
      <c r="E430" s="28">
        <v>30</v>
      </c>
      <c r="F430" s="25">
        <v>0.73</v>
      </c>
      <c r="G430" s="26">
        <f t="shared" si="52"/>
        <v>18.98</v>
      </c>
      <c r="H430" s="26">
        <v>115</v>
      </c>
      <c r="I430" s="26">
        <v>25.82</v>
      </c>
      <c r="J430" s="26">
        <f t="shared" si="53"/>
        <v>0.73</v>
      </c>
      <c r="K430" s="26">
        <f>H430+I430</f>
        <v>140.82</v>
      </c>
      <c r="L430" s="14">
        <f t="shared" si="48"/>
        <v>160.52999999999997</v>
      </c>
      <c r="M430" s="14">
        <f t="shared" si="49"/>
        <v>219.90410958904107</v>
      </c>
    </row>
    <row r="431" spans="1:13" ht="15" customHeight="1" x14ac:dyDescent="0.25">
      <c r="A431" s="13">
        <v>6096126</v>
      </c>
      <c r="B431" s="27">
        <v>40766</v>
      </c>
      <c r="C431" s="13" t="s">
        <v>110</v>
      </c>
      <c r="D431" s="13" t="s">
        <v>188</v>
      </c>
      <c r="E431" s="28">
        <v>40</v>
      </c>
      <c r="F431" s="25">
        <v>7.32</v>
      </c>
      <c r="G431" s="26">
        <f t="shared" si="52"/>
        <v>190.32</v>
      </c>
      <c r="H431" s="26">
        <v>115</v>
      </c>
      <c r="I431" s="26">
        <v>25.82</v>
      </c>
      <c r="J431" s="26">
        <f t="shared" si="53"/>
        <v>7.32</v>
      </c>
      <c r="K431" s="26"/>
      <c r="L431" s="14">
        <f t="shared" si="48"/>
        <v>338.46</v>
      </c>
      <c r="M431" s="14">
        <f t="shared" si="49"/>
        <v>46.237704918032783</v>
      </c>
    </row>
    <row r="432" spans="1:13" ht="15" customHeight="1" x14ac:dyDescent="0.25">
      <c r="A432" s="13">
        <v>6096126</v>
      </c>
      <c r="B432" s="27">
        <v>40770</v>
      </c>
      <c r="C432" s="13" t="s">
        <v>189</v>
      </c>
      <c r="D432" s="13" t="s">
        <v>171</v>
      </c>
      <c r="E432" s="28">
        <v>32</v>
      </c>
      <c r="F432" s="25">
        <v>2.23</v>
      </c>
      <c r="G432" s="26">
        <f t="shared" si="52"/>
        <v>57.98</v>
      </c>
      <c r="H432" s="26">
        <v>115</v>
      </c>
      <c r="I432" s="26">
        <v>25.47</v>
      </c>
      <c r="J432" s="26">
        <f t="shared" si="53"/>
        <v>2.23</v>
      </c>
      <c r="K432" s="26">
        <f>H432+I432</f>
        <v>140.47</v>
      </c>
      <c r="L432" s="14">
        <f t="shared" si="48"/>
        <v>200.67999999999998</v>
      </c>
      <c r="M432" s="14">
        <f t="shared" si="49"/>
        <v>89.991031390134523</v>
      </c>
    </row>
    <row r="433" spans="1:13" ht="15" customHeight="1" x14ac:dyDescent="0.25">
      <c r="A433" s="13">
        <v>6096126</v>
      </c>
      <c r="B433" s="27">
        <v>40771</v>
      </c>
      <c r="C433" s="13" t="s">
        <v>110</v>
      </c>
      <c r="D433" s="13" t="s">
        <v>188</v>
      </c>
      <c r="E433" s="28">
        <v>40</v>
      </c>
      <c r="F433" s="25">
        <v>5.47</v>
      </c>
      <c r="G433" s="26">
        <f t="shared" si="52"/>
        <v>142.22</v>
      </c>
      <c r="H433" s="26">
        <v>115</v>
      </c>
      <c r="I433" s="26">
        <v>25.59</v>
      </c>
      <c r="J433" s="26">
        <f t="shared" si="53"/>
        <v>5.47</v>
      </c>
      <c r="K433" s="26"/>
      <c r="L433" s="14">
        <f t="shared" si="48"/>
        <v>288.28000000000003</v>
      </c>
      <c r="M433" s="14">
        <f t="shared" si="49"/>
        <v>52.7020109689214</v>
      </c>
    </row>
    <row r="434" spans="1:13" ht="15" customHeight="1" x14ac:dyDescent="0.25">
      <c r="A434" s="13">
        <v>6096126</v>
      </c>
      <c r="B434" s="27">
        <v>40772</v>
      </c>
      <c r="C434" s="13" t="s">
        <v>128</v>
      </c>
      <c r="D434" s="13" t="s">
        <v>186</v>
      </c>
      <c r="E434" s="28">
        <v>35</v>
      </c>
      <c r="F434" s="25">
        <v>7.98</v>
      </c>
      <c r="G434" s="26">
        <f t="shared" si="52"/>
        <v>207.48000000000002</v>
      </c>
      <c r="H434" s="26">
        <v>115</v>
      </c>
      <c r="I434" s="26">
        <v>25.47</v>
      </c>
      <c r="J434" s="26">
        <f t="shared" si="53"/>
        <v>7.98</v>
      </c>
      <c r="K434" s="26"/>
      <c r="L434" s="14">
        <f t="shared" si="48"/>
        <v>355.93000000000006</v>
      </c>
      <c r="M434" s="14">
        <f t="shared" si="49"/>
        <v>44.60275689223058</v>
      </c>
    </row>
    <row r="435" spans="1:13" ht="15" customHeight="1" x14ac:dyDescent="0.25">
      <c r="A435" s="13">
        <v>6096126</v>
      </c>
      <c r="B435" s="27">
        <v>40772</v>
      </c>
      <c r="C435" s="13" t="s">
        <v>173</v>
      </c>
      <c r="D435" s="13" t="s">
        <v>171</v>
      </c>
      <c r="E435" s="28">
        <v>30</v>
      </c>
      <c r="F435" s="25">
        <v>0.9</v>
      </c>
      <c r="G435" s="26">
        <f t="shared" si="52"/>
        <v>23.400000000000002</v>
      </c>
      <c r="H435" s="26">
        <v>115</v>
      </c>
      <c r="I435" s="26">
        <v>25.47</v>
      </c>
      <c r="J435" s="26">
        <f t="shared" si="53"/>
        <v>0.9</v>
      </c>
      <c r="K435" s="26">
        <f>H435+I435</f>
        <v>140.47</v>
      </c>
      <c r="L435" s="14">
        <f t="shared" si="48"/>
        <v>164.77</v>
      </c>
      <c r="M435" s="14">
        <f t="shared" si="49"/>
        <v>183.07777777777778</v>
      </c>
    </row>
    <row r="436" spans="1:13" ht="15" customHeight="1" x14ac:dyDescent="0.25">
      <c r="A436" s="13">
        <v>6096126</v>
      </c>
      <c r="B436" s="27">
        <v>40773</v>
      </c>
      <c r="C436" s="13" t="s">
        <v>110</v>
      </c>
      <c r="D436" s="13" t="s">
        <v>188</v>
      </c>
      <c r="E436" s="28">
        <v>40</v>
      </c>
      <c r="F436" s="25">
        <v>3.61</v>
      </c>
      <c r="G436" s="26">
        <f t="shared" si="52"/>
        <v>93.86</v>
      </c>
      <c r="H436" s="26">
        <v>115</v>
      </c>
      <c r="I436" s="26">
        <v>25.59</v>
      </c>
      <c r="J436" s="26">
        <f t="shared" si="53"/>
        <v>3.61</v>
      </c>
      <c r="K436" s="26"/>
      <c r="L436" s="14">
        <f t="shared" si="48"/>
        <v>238.06000000000003</v>
      </c>
      <c r="M436" s="14">
        <f t="shared" si="49"/>
        <v>65.944598337950154</v>
      </c>
    </row>
    <row r="437" spans="1:13" ht="15" customHeight="1" x14ac:dyDescent="0.25">
      <c r="A437" s="13">
        <v>6096126</v>
      </c>
      <c r="B437" s="27">
        <v>40777</v>
      </c>
      <c r="C437" s="13" t="s">
        <v>170</v>
      </c>
      <c r="D437" s="13" t="s">
        <v>171</v>
      </c>
      <c r="E437" s="28">
        <v>32</v>
      </c>
      <c r="F437" s="25">
        <v>2.2000000000000002</v>
      </c>
      <c r="G437" s="26">
        <f t="shared" si="52"/>
        <v>57.2</v>
      </c>
      <c r="H437" s="26">
        <v>115</v>
      </c>
      <c r="I437" s="26">
        <v>25.3</v>
      </c>
      <c r="J437" s="26">
        <f t="shared" si="53"/>
        <v>2.2000000000000002</v>
      </c>
      <c r="K437" s="26">
        <f>H437+I437</f>
        <v>140.30000000000001</v>
      </c>
      <c r="L437" s="14">
        <f t="shared" si="48"/>
        <v>199.7</v>
      </c>
      <c r="M437" s="14">
        <f t="shared" si="49"/>
        <v>90.772727272727266</v>
      </c>
    </row>
    <row r="438" spans="1:13" ht="15" customHeight="1" x14ac:dyDescent="0.25">
      <c r="A438" s="13">
        <v>6096126</v>
      </c>
      <c r="B438" s="27">
        <v>40778</v>
      </c>
      <c r="C438" s="13" t="s">
        <v>110</v>
      </c>
      <c r="D438" s="13" t="s">
        <v>188</v>
      </c>
      <c r="E438" s="28">
        <v>40</v>
      </c>
      <c r="F438" s="25">
        <v>3.52</v>
      </c>
      <c r="G438" s="26">
        <f t="shared" si="52"/>
        <v>91.52</v>
      </c>
      <c r="H438" s="26">
        <v>115</v>
      </c>
      <c r="I438" s="26">
        <v>25.59</v>
      </c>
      <c r="J438" s="26">
        <f t="shared" si="53"/>
        <v>3.52</v>
      </c>
      <c r="K438" s="26"/>
      <c r="L438" s="14">
        <f t="shared" si="48"/>
        <v>235.63</v>
      </c>
      <c r="M438" s="14">
        <f t="shared" si="49"/>
        <v>66.940340909090907</v>
      </c>
    </row>
    <row r="439" spans="1:13" ht="15" customHeight="1" x14ac:dyDescent="0.25">
      <c r="A439" s="13">
        <v>6096126</v>
      </c>
      <c r="B439" s="27">
        <v>40779</v>
      </c>
      <c r="C439" s="13" t="s">
        <v>185</v>
      </c>
      <c r="D439" s="13" t="s">
        <v>169</v>
      </c>
      <c r="E439" s="28">
        <v>40</v>
      </c>
      <c r="F439" s="25">
        <v>5.26</v>
      </c>
      <c r="G439" s="26">
        <f t="shared" si="52"/>
        <v>136.76</v>
      </c>
      <c r="H439" s="26">
        <v>115</v>
      </c>
      <c r="I439" s="26">
        <v>25.59</v>
      </c>
      <c r="J439" s="26">
        <f t="shared" si="53"/>
        <v>5.26</v>
      </c>
      <c r="K439" s="26"/>
      <c r="L439" s="14">
        <f t="shared" si="48"/>
        <v>282.60999999999996</v>
      </c>
      <c r="M439" s="14">
        <f t="shared" si="49"/>
        <v>53.72813688212927</v>
      </c>
    </row>
    <row r="440" spans="1:13" ht="15" customHeight="1" x14ac:dyDescent="0.25">
      <c r="A440" s="13">
        <v>6096126</v>
      </c>
      <c r="B440" s="27">
        <v>40779</v>
      </c>
      <c r="C440" s="13" t="s">
        <v>173</v>
      </c>
      <c r="D440" s="13" t="s">
        <v>186</v>
      </c>
      <c r="E440" s="28">
        <v>30</v>
      </c>
      <c r="F440" s="25">
        <v>2.08</v>
      </c>
      <c r="G440" s="26">
        <f t="shared" si="52"/>
        <v>54.08</v>
      </c>
      <c r="H440" s="26">
        <v>115</v>
      </c>
      <c r="I440" s="26">
        <v>25.59</v>
      </c>
      <c r="J440" s="26">
        <f t="shared" si="53"/>
        <v>2.08</v>
      </c>
      <c r="K440" s="26">
        <f>H440+I440</f>
        <v>140.59</v>
      </c>
      <c r="L440" s="14">
        <f t="shared" si="48"/>
        <v>196.75</v>
      </c>
      <c r="M440" s="14">
        <f t="shared" si="49"/>
        <v>94.591346153846146</v>
      </c>
    </row>
    <row r="441" spans="1:13" x14ac:dyDescent="0.25">
      <c r="A441" s="13">
        <v>6096126</v>
      </c>
      <c r="B441" s="27">
        <v>40784</v>
      </c>
      <c r="C441" s="13" t="s">
        <v>170</v>
      </c>
      <c r="D441" s="13" t="s">
        <v>171</v>
      </c>
      <c r="E441" s="28">
        <v>32</v>
      </c>
      <c r="F441" s="25">
        <v>2.88</v>
      </c>
      <c r="G441" s="26">
        <f t="shared" si="52"/>
        <v>74.88</v>
      </c>
      <c r="H441" s="26">
        <v>115</v>
      </c>
      <c r="I441" s="26">
        <v>25.93</v>
      </c>
      <c r="J441" s="26">
        <f t="shared" si="53"/>
        <v>2.88</v>
      </c>
      <c r="K441" s="26">
        <f>H441+I441</f>
        <v>140.93</v>
      </c>
      <c r="L441" s="14">
        <f t="shared" si="48"/>
        <v>218.69</v>
      </c>
      <c r="M441" s="14">
        <f t="shared" si="49"/>
        <v>75.934027777777786</v>
      </c>
    </row>
    <row r="442" spans="1:13" ht="15" customHeight="1" x14ac:dyDescent="0.25">
      <c r="A442" s="13">
        <v>5638408</v>
      </c>
      <c r="B442" s="27">
        <v>40786</v>
      </c>
      <c r="C442" s="13" t="s">
        <v>174</v>
      </c>
      <c r="D442" s="13" t="s">
        <v>187</v>
      </c>
      <c r="E442" s="28">
        <v>6</v>
      </c>
      <c r="F442" s="29">
        <v>1.17</v>
      </c>
      <c r="H442" s="26">
        <v>55</v>
      </c>
      <c r="J442" s="26"/>
      <c r="K442" s="26"/>
      <c r="L442" s="14">
        <f t="shared" si="48"/>
        <v>55</v>
      </c>
      <c r="M442" s="14">
        <f t="shared" si="49"/>
        <v>47.008547008547012</v>
      </c>
    </row>
    <row r="443" spans="1:13" ht="15" customHeight="1" x14ac:dyDescent="0.25">
      <c r="A443" s="13">
        <v>5638408</v>
      </c>
      <c r="B443" s="27">
        <v>40786</v>
      </c>
      <c r="C443" s="13" t="s">
        <v>176</v>
      </c>
      <c r="D443" s="13" t="s">
        <v>175</v>
      </c>
      <c r="E443" s="28">
        <v>2</v>
      </c>
      <c r="F443" s="29">
        <v>0.39</v>
      </c>
      <c r="H443" s="26">
        <v>65</v>
      </c>
      <c r="J443" s="26"/>
      <c r="K443" s="26"/>
      <c r="L443" s="14">
        <f t="shared" si="48"/>
        <v>65</v>
      </c>
      <c r="M443" s="14">
        <f t="shared" si="49"/>
        <v>166.66666666666666</v>
      </c>
    </row>
    <row r="444" spans="1:13" ht="15" customHeight="1" x14ac:dyDescent="0.25">
      <c r="A444" s="13">
        <v>5638408</v>
      </c>
      <c r="B444" s="27">
        <v>40786</v>
      </c>
      <c r="C444" s="13" t="s">
        <v>176</v>
      </c>
      <c r="D444" s="13" t="s">
        <v>175</v>
      </c>
      <c r="E444" s="28">
        <v>2</v>
      </c>
      <c r="F444" s="29">
        <v>0.39</v>
      </c>
      <c r="H444" s="26">
        <v>65</v>
      </c>
      <c r="J444" s="26"/>
      <c r="K444" s="26"/>
      <c r="L444" s="14">
        <f t="shared" si="48"/>
        <v>65</v>
      </c>
      <c r="M444" s="14">
        <f t="shared" si="49"/>
        <v>166.66666666666666</v>
      </c>
    </row>
    <row r="445" spans="1:13" ht="15" customHeight="1" x14ac:dyDescent="0.25">
      <c r="A445" s="13">
        <v>5638824</v>
      </c>
      <c r="B445" s="27">
        <v>40786</v>
      </c>
      <c r="C445" s="13" t="s">
        <v>177</v>
      </c>
      <c r="D445" s="13" t="s">
        <v>175</v>
      </c>
      <c r="E445" s="28">
        <v>8</v>
      </c>
      <c r="F445" s="29">
        <v>3.12</v>
      </c>
      <c r="H445" s="26">
        <v>129</v>
      </c>
      <c r="J445" s="26"/>
      <c r="K445" s="26"/>
      <c r="L445" s="14">
        <f t="shared" si="48"/>
        <v>129</v>
      </c>
      <c r="M445" s="14">
        <f t="shared" si="49"/>
        <v>41.346153846153847</v>
      </c>
    </row>
    <row r="446" spans="1:13" ht="15" customHeight="1" x14ac:dyDescent="0.25">
      <c r="A446" s="13">
        <v>5641333</v>
      </c>
      <c r="B446" s="27">
        <v>40786</v>
      </c>
      <c r="C446" s="13" t="s">
        <v>178</v>
      </c>
      <c r="D446" s="13" t="s">
        <v>186</v>
      </c>
      <c r="E446" s="28">
        <v>6</v>
      </c>
      <c r="F446" s="29">
        <v>3.9</v>
      </c>
      <c r="H446" s="26">
        <v>155.88</v>
      </c>
      <c r="J446" s="26"/>
      <c r="K446" s="26"/>
      <c r="L446" s="14">
        <f t="shared" si="48"/>
        <v>155.88</v>
      </c>
      <c r="M446" s="14">
        <f t="shared" si="49"/>
        <v>39.969230769230769</v>
      </c>
    </row>
    <row r="447" spans="1:13" ht="15" customHeight="1" x14ac:dyDescent="0.25">
      <c r="B447" s="27">
        <v>40786</v>
      </c>
      <c r="C447" s="13" t="s">
        <v>179</v>
      </c>
      <c r="D447" s="13" t="s">
        <v>187</v>
      </c>
      <c r="E447" s="28">
        <v>2</v>
      </c>
      <c r="F447" s="29">
        <v>0.39</v>
      </c>
      <c r="H447" s="26">
        <v>48</v>
      </c>
      <c r="J447" s="26"/>
      <c r="K447" s="26"/>
      <c r="L447" s="14">
        <f t="shared" si="48"/>
        <v>48</v>
      </c>
      <c r="M447" s="14">
        <f t="shared" si="49"/>
        <v>123.07692307692307</v>
      </c>
    </row>
    <row r="448" spans="1:13" ht="15" customHeight="1" x14ac:dyDescent="0.25">
      <c r="A448" s="13">
        <v>6096126</v>
      </c>
      <c r="B448" s="27">
        <v>40786</v>
      </c>
      <c r="C448" s="13" t="s">
        <v>173</v>
      </c>
      <c r="D448" s="13" t="s">
        <v>171</v>
      </c>
      <c r="E448" s="28">
        <v>30</v>
      </c>
      <c r="F448" s="25">
        <v>2.91</v>
      </c>
      <c r="G448" s="26">
        <f>F448*$G$2</f>
        <v>75.66</v>
      </c>
      <c r="H448" s="26">
        <v>115</v>
      </c>
      <c r="I448" s="26">
        <v>26.11</v>
      </c>
      <c r="J448" s="26">
        <f>F448</f>
        <v>2.91</v>
      </c>
      <c r="K448" s="26">
        <f>H448+I448</f>
        <v>141.11000000000001</v>
      </c>
      <c r="L448" s="14">
        <f t="shared" si="48"/>
        <v>219.67999999999998</v>
      </c>
      <c r="M448" s="14">
        <f t="shared" si="49"/>
        <v>75.491408934707891</v>
      </c>
    </row>
    <row r="449" spans="1:13" x14ac:dyDescent="0.25">
      <c r="A449" s="13">
        <v>5643865</v>
      </c>
      <c r="B449" s="27">
        <v>40786</v>
      </c>
      <c r="C449" s="13" t="s">
        <v>190</v>
      </c>
      <c r="D449" s="13" t="s">
        <v>187</v>
      </c>
      <c r="E449" s="28">
        <v>8</v>
      </c>
      <c r="F449" s="29">
        <v>1.56</v>
      </c>
      <c r="H449" s="26">
        <v>64.72</v>
      </c>
      <c r="L449" s="14">
        <f t="shared" si="48"/>
        <v>64.72</v>
      </c>
      <c r="M449" s="14">
        <f t="shared" si="49"/>
        <v>41.487179487179482</v>
      </c>
    </row>
    <row r="450" spans="1:13" ht="15" customHeight="1" x14ac:dyDescent="0.25">
      <c r="A450" s="13">
        <v>6117681</v>
      </c>
      <c r="B450" s="27">
        <v>40788</v>
      </c>
      <c r="C450" s="13" t="s">
        <v>185</v>
      </c>
      <c r="D450" s="13" t="s">
        <v>169</v>
      </c>
      <c r="E450" s="28">
        <v>40</v>
      </c>
      <c r="F450" s="25">
        <v>3.13</v>
      </c>
      <c r="G450" s="26">
        <f t="shared" ref="G450:G465" si="54">F450*$G$2</f>
        <v>81.38</v>
      </c>
      <c r="H450" s="26">
        <v>115</v>
      </c>
      <c r="I450" s="26">
        <v>0</v>
      </c>
      <c r="J450" s="26">
        <f t="shared" ref="J450:J465" si="55">F450</f>
        <v>3.13</v>
      </c>
      <c r="K450" s="26"/>
      <c r="L450" s="14">
        <f t="shared" si="48"/>
        <v>199.51</v>
      </c>
      <c r="M450" s="14">
        <f t="shared" si="49"/>
        <v>63.741214057507989</v>
      </c>
    </row>
    <row r="451" spans="1:13" ht="15" customHeight="1" x14ac:dyDescent="0.25">
      <c r="A451" s="13">
        <v>6117681</v>
      </c>
      <c r="B451" s="27">
        <v>40792</v>
      </c>
      <c r="C451" s="13" t="s">
        <v>170</v>
      </c>
      <c r="D451" s="13" t="s">
        <v>171</v>
      </c>
      <c r="E451" s="28">
        <v>32</v>
      </c>
      <c r="F451" s="25">
        <v>2.71</v>
      </c>
      <c r="G451" s="26">
        <f t="shared" si="54"/>
        <v>70.459999999999994</v>
      </c>
      <c r="H451" s="26">
        <v>115</v>
      </c>
      <c r="I451" s="26">
        <v>0</v>
      </c>
      <c r="J451" s="26">
        <f t="shared" si="55"/>
        <v>2.71</v>
      </c>
      <c r="K451" s="26">
        <f>H451+I451</f>
        <v>115</v>
      </c>
      <c r="L451" s="14">
        <f t="shared" si="48"/>
        <v>188.17</v>
      </c>
      <c r="M451" s="14">
        <f t="shared" si="49"/>
        <v>69.435424354243537</v>
      </c>
    </row>
    <row r="452" spans="1:13" ht="15" customHeight="1" x14ac:dyDescent="0.25">
      <c r="A452" s="13">
        <v>6117681</v>
      </c>
      <c r="B452" s="27">
        <v>40793</v>
      </c>
      <c r="C452" s="13" t="s">
        <v>173</v>
      </c>
      <c r="D452" s="13" t="s">
        <v>186</v>
      </c>
      <c r="E452" s="28">
        <v>30</v>
      </c>
      <c r="F452" s="25">
        <v>2.31</v>
      </c>
      <c r="G452" s="26">
        <f t="shared" si="54"/>
        <v>60.06</v>
      </c>
      <c r="H452" s="26">
        <v>115</v>
      </c>
      <c r="I452" s="26">
        <v>0</v>
      </c>
      <c r="J452" s="26">
        <f t="shared" si="55"/>
        <v>2.31</v>
      </c>
      <c r="K452" s="26">
        <f>H452+I452</f>
        <v>115</v>
      </c>
      <c r="L452" s="14">
        <f t="shared" ref="L452:L515" si="56">G452+H452+I452+J452</f>
        <v>177.37</v>
      </c>
      <c r="M452" s="14">
        <f t="shared" ref="M452:M470" si="57">L452/F452</f>
        <v>76.783549783549788</v>
      </c>
    </row>
    <row r="453" spans="1:13" ht="15" customHeight="1" x14ac:dyDescent="0.25">
      <c r="A453" s="13">
        <v>6117681</v>
      </c>
      <c r="B453" s="27">
        <v>40794</v>
      </c>
      <c r="C453" s="13" t="s">
        <v>128</v>
      </c>
      <c r="D453" s="13" t="s">
        <v>169</v>
      </c>
      <c r="E453" s="28">
        <v>20</v>
      </c>
      <c r="F453" s="25">
        <v>2.44</v>
      </c>
      <c r="G453" s="26">
        <f t="shared" si="54"/>
        <v>63.44</v>
      </c>
      <c r="H453" s="26">
        <v>115</v>
      </c>
      <c r="I453" s="26">
        <v>0</v>
      </c>
      <c r="J453" s="26">
        <f t="shared" si="55"/>
        <v>2.44</v>
      </c>
      <c r="K453" s="26"/>
      <c r="L453" s="14">
        <f t="shared" si="56"/>
        <v>180.88</v>
      </c>
      <c r="M453" s="14">
        <f t="shared" si="57"/>
        <v>74.131147540983605</v>
      </c>
    </row>
    <row r="454" spans="1:13" ht="15" customHeight="1" x14ac:dyDescent="0.25">
      <c r="A454" s="13">
        <v>6117681</v>
      </c>
      <c r="B454" s="27">
        <v>40798</v>
      </c>
      <c r="C454" s="13" t="s">
        <v>170</v>
      </c>
      <c r="D454" s="13" t="s">
        <v>171</v>
      </c>
      <c r="E454" s="28">
        <v>32</v>
      </c>
      <c r="F454" s="25">
        <v>2.25</v>
      </c>
      <c r="G454" s="26">
        <f t="shared" si="54"/>
        <v>58.5</v>
      </c>
      <c r="H454" s="26">
        <v>115</v>
      </c>
      <c r="I454" s="26">
        <v>0</v>
      </c>
      <c r="J454" s="26">
        <f t="shared" si="55"/>
        <v>2.25</v>
      </c>
      <c r="K454" s="26">
        <f>H454+I454</f>
        <v>115</v>
      </c>
      <c r="L454" s="14">
        <f t="shared" si="56"/>
        <v>175.75</v>
      </c>
      <c r="M454" s="14">
        <f t="shared" si="57"/>
        <v>78.111111111111114</v>
      </c>
    </row>
    <row r="455" spans="1:13" ht="15" customHeight="1" x14ac:dyDescent="0.25">
      <c r="A455" s="13">
        <v>6117681</v>
      </c>
      <c r="B455" s="27">
        <v>40798</v>
      </c>
      <c r="C455" s="13" t="s">
        <v>128</v>
      </c>
      <c r="D455" s="13" t="s">
        <v>186</v>
      </c>
      <c r="E455" s="28">
        <v>35</v>
      </c>
      <c r="F455" s="25">
        <v>7.39</v>
      </c>
      <c r="G455" s="26">
        <f t="shared" si="54"/>
        <v>192.14</v>
      </c>
      <c r="H455" s="26">
        <v>115</v>
      </c>
      <c r="I455" s="26">
        <v>0</v>
      </c>
      <c r="J455" s="26">
        <f t="shared" si="55"/>
        <v>7.39</v>
      </c>
      <c r="K455" s="26"/>
      <c r="L455" s="14">
        <f t="shared" si="56"/>
        <v>314.52999999999997</v>
      </c>
      <c r="M455" s="14">
        <f t="shared" si="57"/>
        <v>42.561569688768607</v>
      </c>
    </row>
    <row r="456" spans="1:13" ht="15" customHeight="1" x14ac:dyDescent="0.25">
      <c r="A456" s="13">
        <v>6117681</v>
      </c>
      <c r="B456" s="27">
        <v>40798</v>
      </c>
      <c r="C456" s="13" t="s">
        <v>128</v>
      </c>
      <c r="D456" s="13" t="s">
        <v>186</v>
      </c>
      <c r="E456" s="28">
        <v>35</v>
      </c>
      <c r="F456" s="25">
        <v>4.25</v>
      </c>
      <c r="G456" s="26">
        <f t="shared" si="54"/>
        <v>110.5</v>
      </c>
      <c r="H456" s="26">
        <v>115</v>
      </c>
      <c r="I456" s="26">
        <v>0</v>
      </c>
      <c r="J456" s="26">
        <f t="shared" si="55"/>
        <v>4.25</v>
      </c>
      <c r="K456" s="26"/>
      <c r="L456" s="14">
        <f t="shared" si="56"/>
        <v>229.75</v>
      </c>
      <c r="M456" s="14">
        <f t="shared" si="57"/>
        <v>54.058823529411768</v>
      </c>
    </row>
    <row r="457" spans="1:13" ht="15" customHeight="1" x14ac:dyDescent="0.25">
      <c r="A457" s="13">
        <v>6117681</v>
      </c>
      <c r="B457" s="27">
        <v>40800</v>
      </c>
      <c r="C457" s="13" t="s">
        <v>173</v>
      </c>
      <c r="D457" s="13" t="s">
        <v>186</v>
      </c>
      <c r="E457" s="28">
        <v>30</v>
      </c>
      <c r="F457" s="25">
        <v>3.16</v>
      </c>
      <c r="G457" s="26">
        <f t="shared" si="54"/>
        <v>82.16</v>
      </c>
      <c r="H457" s="26">
        <v>115</v>
      </c>
      <c r="I457" s="26">
        <v>0</v>
      </c>
      <c r="J457" s="26">
        <f t="shared" si="55"/>
        <v>3.16</v>
      </c>
      <c r="K457" s="26">
        <f>H457+I457</f>
        <v>115</v>
      </c>
      <c r="L457" s="14">
        <f t="shared" si="56"/>
        <v>200.32</v>
      </c>
      <c r="M457" s="14">
        <f t="shared" si="57"/>
        <v>63.392405063291136</v>
      </c>
    </row>
    <row r="458" spans="1:13" ht="15" customHeight="1" x14ac:dyDescent="0.25">
      <c r="A458" s="13">
        <v>6117681</v>
      </c>
      <c r="B458" s="27">
        <v>40800</v>
      </c>
      <c r="C458" s="13" t="s">
        <v>110</v>
      </c>
      <c r="D458" s="13" t="s">
        <v>188</v>
      </c>
      <c r="E458" s="28">
        <v>40</v>
      </c>
      <c r="F458" s="25">
        <v>2.0099999999999998</v>
      </c>
      <c r="G458" s="26">
        <f t="shared" si="54"/>
        <v>52.259999999999991</v>
      </c>
      <c r="H458" s="26">
        <v>115</v>
      </c>
      <c r="I458" s="26">
        <v>0</v>
      </c>
      <c r="J458" s="26">
        <f t="shared" si="55"/>
        <v>2.0099999999999998</v>
      </c>
      <c r="K458" s="26"/>
      <c r="L458" s="14">
        <f t="shared" si="56"/>
        <v>169.26999999999998</v>
      </c>
      <c r="M458" s="14">
        <f t="shared" si="57"/>
        <v>84.2139303482587</v>
      </c>
    </row>
    <row r="459" spans="1:13" ht="15" customHeight="1" x14ac:dyDescent="0.25">
      <c r="A459" s="13">
        <v>6117681</v>
      </c>
      <c r="B459" s="27">
        <v>40805</v>
      </c>
      <c r="C459" s="13" t="s">
        <v>170</v>
      </c>
      <c r="D459" s="13" t="s">
        <v>171</v>
      </c>
      <c r="E459" s="28">
        <v>32</v>
      </c>
      <c r="F459" s="25">
        <v>2.41</v>
      </c>
      <c r="G459" s="26">
        <f t="shared" si="54"/>
        <v>62.660000000000004</v>
      </c>
      <c r="H459" s="26">
        <v>115</v>
      </c>
      <c r="I459" s="26">
        <v>0</v>
      </c>
      <c r="J459" s="26">
        <f t="shared" si="55"/>
        <v>2.41</v>
      </c>
      <c r="K459" s="26">
        <f>H459+I459</f>
        <v>115</v>
      </c>
      <c r="L459" s="14">
        <f t="shared" si="56"/>
        <v>180.07</v>
      </c>
      <c r="M459" s="14">
        <f t="shared" si="57"/>
        <v>74.717842323651439</v>
      </c>
    </row>
    <row r="460" spans="1:13" ht="15" customHeight="1" x14ac:dyDescent="0.25">
      <c r="A460" s="13">
        <v>6117681</v>
      </c>
      <c r="B460" s="27">
        <v>40807</v>
      </c>
      <c r="C460" s="13" t="s">
        <v>173</v>
      </c>
      <c r="D460" s="13" t="s">
        <v>186</v>
      </c>
      <c r="E460" s="28">
        <v>30</v>
      </c>
      <c r="F460" s="25">
        <v>2.99</v>
      </c>
      <c r="G460" s="26">
        <f t="shared" si="54"/>
        <v>77.740000000000009</v>
      </c>
      <c r="H460" s="26">
        <v>115</v>
      </c>
      <c r="I460" s="26">
        <v>0</v>
      </c>
      <c r="J460" s="26">
        <f t="shared" si="55"/>
        <v>2.99</v>
      </c>
      <c r="K460" s="26">
        <f>H460+I460</f>
        <v>115</v>
      </c>
      <c r="L460" s="14">
        <f t="shared" si="56"/>
        <v>195.73000000000002</v>
      </c>
      <c r="M460" s="14">
        <f t="shared" si="57"/>
        <v>65.461538461538467</v>
      </c>
    </row>
    <row r="461" spans="1:13" ht="15" customHeight="1" x14ac:dyDescent="0.25">
      <c r="A461" s="13">
        <v>6117681</v>
      </c>
      <c r="B461" s="27">
        <v>40808</v>
      </c>
      <c r="C461" s="13" t="s">
        <v>110</v>
      </c>
      <c r="D461" s="13" t="s">
        <v>188</v>
      </c>
      <c r="E461" s="28">
        <v>40</v>
      </c>
      <c r="F461" s="25">
        <v>2.56</v>
      </c>
      <c r="G461" s="26">
        <f t="shared" si="54"/>
        <v>66.56</v>
      </c>
      <c r="H461" s="26">
        <v>115</v>
      </c>
      <c r="I461" s="26">
        <v>0</v>
      </c>
      <c r="J461" s="26">
        <f t="shared" si="55"/>
        <v>2.56</v>
      </c>
      <c r="K461" s="26"/>
      <c r="L461" s="14">
        <f t="shared" si="56"/>
        <v>184.12</v>
      </c>
      <c r="M461" s="14">
        <f t="shared" si="57"/>
        <v>71.921875</v>
      </c>
    </row>
    <row r="462" spans="1:13" ht="15" customHeight="1" x14ac:dyDescent="0.25">
      <c r="A462" s="13">
        <v>6117681</v>
      </c>
      <c r="B462" s="27">
        <v>40812</v>
      </c>
      <c r="C462" s="13" t="s">
        <v>170</v>
      </c>
      <c r="D462" s="13" t="s">
        <v>171</v>
      </c>
      <c r="E462" s="28">
        <v>32</v>
      </c>
      <c r="F462" s="25">
        <v>2.73</v>
      </c>
      <c r="G462" s="26">
        <f t="shared" si="54"/>
        <v>70.98</v>
      </c>
      <c r="H462" s="26">
        <v>115</v>
      </c>
      <c r="I462" s="26">
        <v>0</v>
      </c>
      <c r="J462" s="26">
        <f t="shared" si="55"/>
        <v>2.73</v>
      </c>
      <c r="K462" s="26">
        <f>H462+I462</f>
        <v>115</v>
      </c>
      <c r="L462" s="14">
        <f t="shared" si="56"/>
        <v>188.71</v>
      </c>
      <c r="M462" s="14">
        <f t="shared" si="57"/>
        <v>69.124542124542131</v>
      </c>
    </row>
    <row r="463" spans="1:13" ht="15" customHeight="1" x14ac:dyDescent="0.25">
      <c r="A463" s="13">
        <v>6117681</v>
      </c>
      <c r="B463" s="27">
        <v>40814</v>
      </c>
      <c r="C463" s="13" t="s">
        <v>173</v>
      </c>
      <c r="D463" s="13" t="s">
        <v>186</v>
      </c>
      <c r="E463" s="28">
        <v>30</v>
      </c>
      <c r="F463" s="25">
        <v>3.28</v>
      </c>
      <c r="G463" s="26">
        <f t="shared" si="54"/>
        <v>85.28</v>
      </c>
      <c r="H463" s="26">
        <v>115</v>
      </c>
      <c r="I463" s="26">
        <v>0</v>
      </c>
      <c r="J463" s="26">
        <f t="shared" si="55"/>
        <v>3.28</v>
      </c>
      <c r="K463" s="26">
        <f>H463+I463</f>
        <v>115</v>
      </c>
      <c r="L463" s="14">
        <f t="shared" si="56"/>
        <v>203.56</v>
      </c>
      <c r="M463" s="14">
        <f t="shared" si="57"/>
        <v>62.060975609756099</v>
      </c>
    </row>
    <row r="464" spans="1:13" ht="15" customHeight="1" x14ac:dyDescent="0.25">
      <c r="A464" s="13">
        <v>6117681</v>
      </c>
      <c r="B464" s="27">
        <v>40814</v>
      </c>
      <c r="C464" s="13" t="s">
        <v>110</v>
      </c>
      <c r="D464" s="13" t="s">
        <v>188</v>
      </c>
      <c r="E464" s="28">
        <v>40</v>
      </c>
      <c r="F464" s="25">
        <v>2.58</v>
      </c>
      <c r="G464" s="26">
        <f t="shared" si="54"/>
        <v>67.08</v>
      </c>
      <c r="H464" s="26">
        <v>115</v>
      </c>
      <c r="I464" s="26">
        <v>0</v>
      </c>
      <c r="J464" s="26">
        <f t="shared" si="55"/>
        <v>2.58</v>
      </c>
      <c r="K464" s="26"/>
      <c r="L464" s="14">
        <f t="shared" si="56"/>
        <v>184.66</v>
      </c>
      <c r="M464" s="14">
        <f t="shared" si="57"/>
        <v>71.573643410852711</v>
      </c>
    </row>
    <row r="465" spans="1:13" ht="15" customHeight="1" x14ac:dyDescent="0.25">
      <c r="A465" s="13">
        <v>6117681</v>
      </c>
      <c r="B465" s="27">
        <v>40814</v>
      </c>
      <c r="C465" s="13" t="s">
        <v>128</v>
      </c>
      <c r="D465" s="13" t="s">
        <v>169</v>
      </c>
      <c r="E465" s="28">
        <v>20</v>
      </c>
      <c r="F465" s="25">
        <v>3.95</v>
      </c>
      <c r="G465" s="26">
        <f t="shared" si="54"/>
        <v>102.7</v>
      </c>
      <c r="H465" s="26">
        <v>115</v>
      </c>
      <c r="I465" s="26">
        <v>0</v>
      </c>
      <c r="J465" s="26">
        <f t="shared" si="55"/>
        <v>3.95</v>
      </c>
      <c r="K465" s="26"/>
      <c r="L465" s="14">
        <f t="shared" si="56"/>
        <v>221.64999999999998</v>
      </c>
      <c r="M465" s="14">
        <f t="shared" si="57"/>
        <v>56.113924050632903</v>
      </c>
    </row>
    <row r="466" spans="1:13" ht="15" customHeight="1" x14ac:dyDescent="0.25">
      <c r="A466" s="13">
        <v>5646938</v>
      </c>
      <c r="B466" s="27">
        <v>40816</v>
      </c>
      <c r="C466" s="13" t="s">
        <v>174</v>
      </c>
      <c r="D466" s="13" t="s">
        <v>187</v>
      </c>
      <c r="E466" s="28">
        <v>6</v>
      </c>
      <c r="F466" s="29">
        <v>1.17</v>
      </c>
      <c r="H466" s="26">
        <v>55</v>
      </c>
      <c r="J466" s="26"/>
      <c r="K466" s="26"/>
      <c r="L466" s="14">
        <f t="shared" si="56"/>
        <v>55</v>
      </c>
      <c r="M466" s="14">
        <f t="shared" si="57"/>
        <v>47.008547008547012</v>
      </c>
    </row>
    <row r="467" spans="1:13" ht="15" customHeight="1" x14ac:dyDescent="0.25">
      <c r="A467" s="13">
        <v>5646938</v>
      </c>
      <c r="B467" s="27">
        <v>40816</v>
      </c>
      <c r="C467" s="13" t="s">
        <v>176</v>
      </c>
      <c r="D467" s="13" t="s">
        <v>175</v>
      </c>
      <c r="E467" s="28">
        <v>6</v>
      </c>
      <c r="F467" s="29">
        <v>1.17</v>
      </c>
      <c r="H467" s="26">
        <v>65</v>
      </c>
      <c r="J467" s="26"/>
      <c r="K467" s="26"/>
      <c r="L467" s="14">
        <f t="shared" si="56"/>
        <v>65</v>
      </c>
      <c r="M467" s="14">
        <f t="shared" si="57"/>
        <v>55.555555555555557</v>
      </c>
    </row>
    <row r="468" spans="1:13" ht="15" customHeight="1" x14ac:dyDescent="0.25">
      <c r="A468" s="13">
        <v>5647347</v>
      </c>
      <c r="B468" s="27">
        <v>40816</v>
      </c>
      <c r="C468" s="13" t="s">
        <v>177</v>
      </c>
      <c r="D468" s="13" t="s">
        <v>175</v>
      </c>
      <c r="E468" s="28">
        <v>8</v>
      </c>
      <c r="F468" s="29">
        <v>3.12</v>
      </c>
      <c r="H468" s="26">
        <v>129</v>
      </c>
      <c r="J468" s="26"/>
      <c r="K468" s="26"/>
      <c r="L468" s="14">
        <f t="shared" si="56"/>
        <v>129</v>
      </c>
      <c r="M468" s="14">
        <f t="shared" si="57"/>
        <v>41.346153846153847</v>
      </c>
    </row>
    <row r="469" spans="1:13" ht="15" customHeight="1" x14ac:dyDescent="0.25">
      <c r="A469" s="13" t="s">
        <v>110</v>
      </c>
      <c r="B469" s="27">
        <v>40816</v>
      </c>
      <c r="C469" s="13" t="s">
        <v>178</v>
      </c>
      <c r="D469" s="13" t="s">
        <v>186</v>
      </c>
      <c r="E469" s="28">
        <v>6</v>
      </c>
      <c r="F469" s="29">
        <v>3.9</v>
      </c>
      <c r="H469" s="26">
        <v>155.88</v>
      </c>
      <c r="J469" s="26"/>
      <c r="K469" s="26"/>
      <c r="L469" s="14">
        <f t="shared" si="56"/>
        <v>155.88</v>
      </c>
      <c r="M469" s="14">
        <f t="shared" si="57"/>
        <v>39.969230769230769</v>
      </c>
    </row>
    <row r="470" spans="1:13" ht="15" customHeight="1" x14ac:dyDescent="0.25">
      <c r="A470" s="13">
        <v>5650126</v>
      </c>
      <c r="B470" s="27">
        <v>40816</v>
      </c>
      <c r="C470" s="13" t="s">
        <v>179</v>
      </c>
      <c r="D470" s="13" t="s">
        <v>187</v>
      </c>
      <c r="E470" s="28">
        <v>2</v>
      </c>
      <c r="F470" s="29">
        <v>0.39</v>
      </c>
      <c r="H470" s="26">
        <v>48</v>
      </c>
      <c r="J470" s="26"/>
      <c r="K470" s="26"/>
      <c r="L470" s="14">
        <f t="shared" si="56"/>
        <v>48</v>
      </c>
      <c r="M470" s="14">
        <f t="shared" si="57"/>
        <v>123.07692307692307</v>
      </c>
    </row>
    <row r="471" spans="1:13" ht="15" customHeight="1" x14ac:dyDescent="0.25">
      <c r="A471" s="13">
        <v>5652319</v>
      </c>
      <c r="B471" s="27">
        <v>40816</v>
      </c>
      <c r="C471" s="13" t="s">
        <v>190</v>
      </c>
      <c r="D471" s="13" t="s">
        <v>187</v>
      </c>
      <c r="E471" s="28">
        <v>8</v>
      </c>
      <c r="F471" s="25">
        <v>1.56</v>
      </c>
      <c r="H471" s="26">
        <v>69.28</v>
      </c>
      <c r="L471" s="14">
        <f t="shared" si="56"/>
        <v>69.28</v>
      </c>
    </row>
    <row r="472" spans="1:13" ht="15" customHeight="1" x14ac:dyDescent="0.25">
      <c r="A472" s="13">
        <v>6136627</v>
      </c>
      <c r="B472" s="27">
        <v>40819</v>
      </c>
      <c r="C472" s="13" t="s">
        <v>170</v>
      </c>
      <c r="D472" s="13" t="s">
        <v>171</v>
      </c>
      <c r="E472" s="28">
        <v>32</v>
      </c>
      <c r="F472" s="25">
        <v>2.59</v>
      </c>
      <c r="G472" s="26">
        <f t="shared" ref="G472:G488" si="58">F472*$G$2</f>
        <v>67.34</v>
      </c>
      <c r="H472" s="26">
        <v>115</v>
      </c>
      <c r="I472" s="26">
        <v>0</v>
      </c>
      <c r="J472" s="26">
        <f t="shared" ref="J472:J488" si="59">F472</f>
        <v>2.59</v>
      </c>
      <c r="K472" s="26">
        <f>H472+I472</f>
        <v>115</v>
      </c>
      <c r="L472" s="14">
        <f t="shared" si="56"/>
        <v>184.93</v>
      </c>
      <c r="M472" s="14">
        <f t="shared" ref="M472:M493" si="60">L472/F472</f>
        <v>71.401544401544413</v>
      </c>
    </row>
    <row r="473" spans="1:13" ht="15" customHeight="1" x14ac:dyDescent="0.25">
      <c r="A473" s="13">
        <v>6136627</v>
      </c>
      <c r="B473" s="27">
        <v>40821</v>
      </c>
      <c r="C473" s="13" t="s">
        <v>173</v>
      </c>
      <c r="D473" s="13" t="s">
        <v>186</v>
      </c>
      <c r="E473" s="28">
        <v>30</v>
      </c>
      <c r="F473" s="25">
        <v>2.68</v>
      </c>
      <c r="G473" s="26">
        <f t="shared" si="58"/>
        <v>69.680000000000007</v>
      </c>
      <c r="H473" s="26">
        <v>115</v>
      </c>
      <c r="I473" s="26">
        <v>0</v>
      </c>
      <c r="J473" s="26">
        <f t="shared" si="59"/>
        <v>2.68</v>
      </c>
      <c r="K473" s="26">
        <f>H473+I473</f>
        <v>115</v>
      </c>
      <c r="L473" s="14">
        <f t="shared" si="56"/>
        <v>187.36</v>
      </c>
      <c r="M473" s="14">
        <f t="shared" si="60"/>
        <v>69.910447761194035</v>
      </c>
    </row>
    <row r="474" spans="1:13" ht="15" customHeight="1" x14ac:dyDescent="0.25">
      <c r="A474" s="13">
        <v>6136627</v>
      </c>
      <c r="B474" s="27">
        <v>40822</v>
      </c>
      <c r="C474" s="13" t="s">
        <v>110</v>
      </c>
      <c r="D474" s="13" t="s">
        <v>188</v>
      </c>
      <c r="E474" s="28">
        <v>40</v>
      </c>
      <c r="F474" s="25">
        <v>2.14</v>
      </c>
      <c r="G474" s="26">
        <f t="shared" si="58"/>
        <v>55.64</v>
      </c>
      <c r="H474" s="26">
        <v>115</v>
      </c>
      <c r="I474" s="26">
        <v>0</v>
      </c>
      <c r="J474" s="26">
        <f t="shared" si="59"/>
        <v>2.14</v>
      </c>
      <c r="K474" s="26"/>
      <c r="L474" s="14">
        <f t="shared" si="56"/>
        <v>172.77999999999997</v>
      </c>
      <c r="M474" s="14">
        <f t="shared" si="60"/>
        <v>80.738317757009327</v>
      </c>
    </row>
    <row r="475" spans="1:13" ht="15" customHeight="1" x14ac:dyDescent="0.25">
      <c r="A475" s="13">
        <v>6136627</v>
      </c>
      <c r="B475" s="27">
        <v>40826</v>
      </c>
      <c r="C475" s="13" t="s">
        <v>170</v>
      </c>
      <c r="D475" s="13" t="s">
        <v>171</v>
      </c>
      <c r="E475" s="28">
        <v>32</v>
      </c>
      <c r="F475" s="25">
        <v>2.57</v>
      </c>
      <c r="G475" s="26">
        <f t="shared" si="58"/>
        <v>66.819999999999993</v>
      </c>
      <c r="H475" s="26">
        <v>115</v>
      </c>
      <c r="I475" s="26">
        <v>0</v>
      </c>
      <c r="J475" s="26">
        <f t="shared" si="59"/>
        <v>2.57</v>
      </c>
      <c r="K475" s="26">
        <f>H475+I475</f>
        <v>115</v>
      </c>
      <c r="L475" s="14">
        <f t="shared" si="56"/>
        <v>184.39</v>
      </c>
      <c r="M475" s="14">
        <f t="shared" si="60"/>
        <v>71.747081712062254</v>
      </c>
    </row>
    <row r="476" spans="1:13" ht="15" customHeight="1" x14ac:dyDescent="0.25">
      <c r="A476" s="13">
        <v>6136627</v>
      </c>
      <c r="B476" s="27">
        <v>40827</v>
      </c>
      <c r="C476" s="13" t="s">
        <v>128</v>
      </c>
      <c r="D476" s="13" t="s">
        <v>186</v>
      </c>
      <c r="E476" s="28">
        <v>35</v>
      </c>
      <c r="F476" s="25">
        <v>7.99</v>
      </c>
      <c r="G476" s="26">
        <f t="shared" si="58"/>
        <v>207.74</v>
      </c>
      <c r="H476" s="26">
        <v>115</v>
      </c>
      <c r="I476" s="26">
        <v>0</v>
      </c>
      <c r="J476" s="26">
        <f t="shared" si="59"/>
        <v>7.99</v>
      </c>
      <c r="K476" s="26"/>
      <c r="L476" s="14">
        <f t="shared" si="56"/>
        <v>330.73</v>
      </c>
      <c r="M476" s="14">
        <f t="shared" si="60"/>
        <v>41.392991239048811</v>
      </c>
    </row>
    <row r="477" spans="1:13" ht="15" customHeight="1" x14ac:dyDescent="0.25">
      <c r="A477" s="13">
        <v>6136627</v>
      </c>
      <c r="B477" s="27">
        <v>40827</v>
      </c>
      <c r="C477" s="13" t="s">
        <v>128</v>
      </c>
      <c r="D477" s="13" t="s">
        <v>169</v>
      </c>
      <c r="E477" s="28">
        <v>20</v>
      </c>
      <c r="F477" s="25">
        <v>5.04</v>
      </c>
      <c r="G477" s="26">
        <f t="shared" si="58"/>
        <v>131.04</v>
      </c>
      <c r="H477" s="26">
        <v>115</v>
      </c>
      <c r="I477" s="26">
        <v>0</v>
      </c>
      <c r="J477" s="26">
        <f t="shared" si="59"/>
        <v>5.04</v>
      </c>
      <c r="K477" s="26">
        <f t="shared" ref="K477:K488" si="61">H477+I477</f>
        <v>115</v>
      </c>
      <c r="L477" s="14">
        <f t="shared" si="56"/>
        <v>251.07999999999998</v>
      </c>
      <c r="M477" s="14">
        <f t="shared" si="60"/>
        <v>49.817460317460316</v>
      </c>
    </row>
    <row r="478" spans="1:13" ht="15" customHeight="1" x14ac:dyDescent="0.25">
      <c r="A478" s="13">
        <v>6136627</v>
      </c>
      <c r="B478" s="27">
        <v>40828</v>
      </c>
      <c r="C478" s="13" t="s">
        <v>173</v>
      </c>
      <c r="D478" s="13" t="s">
        <v>186</v>
      </c>
      <c r="E478" s="28">
        <v>30</v>
      </c>
      <c r="F478" s="25">
        <v>2.85</v>
      </c>
      <c r="G478" s="26">
        <f t="shared" si="58"/>
        <v>74.100000000000009</v>
      </c>
      <c r="H478" s="26">
        <v>115</v>
      </c>
      <c r="I478" s="26">
        <v>0</v>
      </c>
      <c r="J478" s="26">
        <f t="shared" si="59"/>
        <v>2.85</v>
      </c>
      <c r="K478" s="26">
        <f t="shared" si="61"/>
        <v>115</v>
      </c>
      <c r="L478" s="14">
        <f t="shared" si="56"/>
        <v>191.95000000000002</v>
      </c>
      <c r="M478" s="14">
        <f t="shared" si="60"/>
        <v>67.350877192982466</v>
      </c>
    </row>
    <row r="479" spans="1:13" ht="15" customHeight="1" x14ac:dyDescent="0.25">
      <c r="A479" s="13">
        <v>6136627</v>
      </c>
      <c r="B479" s="27">
        <v>40829</v>
      </c>
      <c r="C479" s="13" t="s">
        <v>185</v>
      </c>
      <c r="D479" s="13" t="s">
        <v>169</v>
      </c>
      <c r="E479" s="28">
        <v>40</v>
      </c>
      <c r="F479" s="25">
        <v>1.69</v>
      </c>
      <c r="G479" s="26">
        <f t="shared" si="58"/>
        <v>43.94</v>
      </c>
      <c r="H479" s="26">
        <v>115</v>
      </c>
      <c r="I479" s="26">
        <v>0</v>
      </c>
      <c r="J479" s="26">
        <f t="shared" si="59"/>
        <v>1.69</v>
      </c>
      <c r="K479" s="26">
        <f t="shared" si="61"/>
        <v>115</v>
      </c>
      <c r="L479" s="14">
        <f t="shared" si="56"/>
        <v>160.63</v>
      </c>
      <c r="M479" s="14">
        <f t="shared" si="60"/>
        <v>95.047337278106511</v>
      </c>
    </row>
    <row r="480" spans="1:13" ht="15" customHeight="1" x14ac:dyDescent="0.25">
      <c r="A480" s="13">
        <v>6136627</v>
      </c>
      <c r="B480" s="27">
        <v>40829</v>
      </c>
      <c r="C480" s="13" t="s">
        <v>41</v>
      </c>
      <c r="D480" s="13" t="s">
        <v>169</v>
      </c>
      <c r="E480" s="28">
        <v>40</v>
      </c>
      <c r="F480" s="25">
        <v>4.18</v>
      </c>
      <c r="G480" s="26">
        <f t="shared" si="58"/>
        <v>108.67999999999999</v>
      </c>
      <c r="H480" s="26">
        <v>115</v>
      </c>
      <c r="J480" s="26">
        <f t="shared" si="59"/>
        <v>4.18</v>
      </c>
      <c r="K480" s="26">
        <f t="shared" si="61"/>
        <v>115</v>
      </c>
      <c r="L480" s="14">
        <f t="shared" si="56"/>
        <v>227.86</v>
      </c>
      <c r="M480" s="14">
        <f t="shared" si="60"/>
        <v>54.511961722488046</v>
      </c>
    </row>
    <row r="481" spans="1:13" ht="15" customHeight="1" x14ac:dyDescent="0.25">
      <c r="A481" s="13">
        <v>6136627</v>
      </c>
      <c r="B481" s="27">
        <v>40833</v>
      </c>
      <c r="C481" s="13" t="s">
        <v>170</v>
      </c>
      <c r="D481" s="13" t="s">
        <v>171</v>
      </c>
      <c r="E481" s="28">
        <v>32</v>
      </c>
      <c r="F481" s="25">
        <v>2.16</v>
      </c>
      <c r="G481" s="26">
        <f t="shared" si="58"/>
        <v>56.160000000000004</v>
      </c>
      <c r="H481" s="26">
        <v>115</v>
      </c>
      <c r="I481" s="26">
        <v>0</v>
      </c>
      <c r="J481" s="26">
        <f t="shared" si="59"/>
        <v>2.16</v>
      </c>
      <c r="K481" s="26">
        <f t="shared" si="61"/>
        <v>115</v>
      </c>
      <c r="L481" s="14">
        <f t="shared" si="56"/>
        <v>173.32</v>
      </c>
      <c r="M481" s="14">
        <f t="shared" si="60"/>
        <v>80.240740740740733</v>
      </c>
    </row>
    <row r="482" spans="1:13" ht="15" customHeight="1" x14ac:dyDescent="0.25">
      <c r="A482" s="13">
        <v>6136627</v>
      </c>
      <c r="B482" s="27">
        <v>40835</v>
      </c>
      <c r="C482" s="13" t="s">
        <v>173</v>
      </c>
      <c r="D482" s="13" t="s">
        <v>186</v>
      </c>
      <c r="E482" s="28">
        <v>30</v>
      </c>
      <c r="F482" s="25">
        <v>2.96</v>
      </c>
      <c r="G482" s="26">
        <f t="shared" si="58"/>
        <v>76.959999999999994</v>
      </c>
      <c r="H482" s="26">
        <v>115</v>
      </c>
      <c r="I482" s="26">
        <v>0</v>
      </c>
      <c r="J482" s="26">
        <f t="shared" si="59"/>
        <v>2.96</v>
      </c>
      <c r="K482" s="26">
        <f t="shared" si="61"/>
        <v>115</v>
      </c>
      <c r="L482" s="14">
        <f t="shared" si="56"/>
        <v>194.92</v>
      </c>
      <c r="M482" s="14">
        <f t="shared" si="60"/>
        <v>65.851351351351354</v>
      </c>
    </row>
    <row r="483" spans="1:13" ht="15" customHeight="1" x14ac:dyDescent="0.25">
      <c r="A483" s="13">
        <v>6136627</v>
      </c>
      <c r="B483" s="27">
        <v>40835</v>
      </c>
      <c r="C483" s="13" t="s">
        <v>110</v>
      </c>
      <c r="D483" s="13" t="s">
        <v>188</v>
      </c>
      <c r="E483" s="28">
        <v>40</v>
      </c>
      <c r="F483" s="25">
        <v>1.52</v>
      </c>
      <c r="G483" s="26">
        <f t="shared" si="58"/>
        <v>39.520000000000003</v>
      </c>
      <c r="H483" s="26">
        <v>115</v>
      </c>
      <c r="I483" s="26">
        <v>0</v>
      </c>
      <c r="J483" s="26">
        <f t="shared" si="59"/>
        <v>1.52</v>
      </c>
      <c r="K483" s="26">
        <f t="shared" si="61"/>
        <v>115</v>
      </c>
      <c r="L483" s="14">
        <f t="shared" si="56"/>
        <v>156.04000000000002</v>
      </c>
      <c r="M483" s="14">
        <f t="shared" si="60"/>
        <v>102.65789473684212</v>
      </c>
    </row>
    <row r="484" spans="1:13" ht="15" customHeight="1" x14ac:dyDescent="0.25">
      <c r="A484" s="13">
        <v>6136627</v>
      </c>
      <c r="B484" s="27">
        <v>40835</v>
      </c>
      <c r="C484" s="13" t="s">
        <v>110</v>
      </c>
      <c r="D484" s="13" t="s">
        <v>188</v>
      </c>
      <c r="E484" s="28">
        <v>40</v>
      </c>
      <c r="F484" s="25">
        <v>0.83</v>
      </c>
      <c r="G484" s="26">
        <f t="shared" si="58"/>
        <v>21.58</v>
      </c>
      <c r="H484" s="26">
        <v>115</v>
      </c>
      <c r="I484" s="26">
        <v>0</v>
      </c>
      <c r="J484" s="26">
        <f t="shared" si="59"/>
        <v>0.83</v>
      </c>
      <c r="K484" s="26">
        <f t="shared" si="61"/>
        <v>115</v>
      </c>
      <c r="L484" s="14">
        <f t="shared" si="56"/>
        <v>137.41</v>
      </c>
      <c r="M484" s="14">
        <f t="shared" si="60"/>
        <v>165.55421686746988</v>
      </c>
    </row>
    <row r="485" spans="1:13" ht="15" customHeight="1" x14ac:dyDescent="0.25">
      <c r="A485" s="13">
        <v>6136627</v>
      </c>
      <c r="B485" s="27">
        <v>40836</v>
      </c>
      <c r="C485" s="13" t="s">
        <v>110</v>
      </c>
      <c r="D485" s="13" t="s">
        <v>188</v>
      </c>
      <c r="E485" s="28">
        <v>40</v>
      </c>
      <c r="F485" s="25">
        <v>1.89</v>
      </c>
      <c r="G485" s="26">
        <f t="shared" si="58"/>
        <v>49.14</v>
      </c>
      <c r="H485" s="26">
        <v>115</v>
      </c>
      <c r="I485" s="26">
        <v>0</v>
      </c>
      <c r="J485" s="26">
        <f t="shared" si="59"/>
        <v>1.89</v>
      </c>
      <c r="K485" s="26">
        <f t="shared" si="61"/>
        <v>115</v>
      </c>
      <c r="L485" s="14">
        <f t="shared" si="56"/>
        <v>166.02999999999997</v>
      </c>
      <c r="M485" s="14">
        <f t="shared" si="60"/>
        <v>87.846560846560834</v>
      </c>
    </row>
    <row r="486" spans="1:13" ht="15" customHeight="1" x14ac:dyDescent="0.25">
      <c r="A486" s="13">
        <v>6136627</v>
      </c>
      <c r="B486" s="27">
        <v>40840</v>
      </c>
      <c r="C486" s="13" t="s">
        <v>170</v>
      </c>
      <c r="D486" s="13" t="s">
        <v>171</v>
      </c>
      <c r="E486" s="28">
        <v>32</v>
      </c>
      <c r="F486" s="25">
        <v>2.4700000000000002</v>
      </c>
      <c r="G486" s="26">
        <f t="shared" si="58"/>
        <v>64.22</v>
      </c>
      <c r="H486" s="26">
        <v>115</v>
      </c>
      <c r="I486" s="26">
        <v>0</v>
      </c>
      <c r="J486" s="26">
        <f t="shared" si="59"/>
        <v>2.4700000000000002</v>
      </c>
      <c r="K486" s="26">
        <f t="shared" si="61"/>
        <v>115</v>
      </c>
      <c r="L486" s="14">
        <f t="shared" si="56"/>
        <v>181.69</v>
      </c>
      <c r="M486" s="14">
        <f t="shared" si="60"/>
        <v>73.558704453441294</v>
      </c>
    </row>
    <row r="487" spans="1:13" ht="15" customHeight="1" x14ac:dyDescent="0.25">
      <c r="A487" s="13">
        <v>6136627</v>
      </c>
      <c r="B487" s="27">
        <v>40842</v>
      </c>
      <c r="C487" s="13" t="s">
        <v>173</v>
      </c>
      <c r="D487" s="13" t="s">
        <v>186</v>
      </c>
      <c r="E487" s="28">
        <v>30</v>
      </c>
      <c r="F487" s="25">
        <v>2.94</v>
      </c>
      <c r="G487" s="26">
        <f t="shared" si="58"/>
        <v>76.44</v>
      </c>
      <c r="H487" s="26">
        <v>115</v>
      </c>
      <c r="I487" s="26">
        <v>0</v>
      </c>
      <c r="J487" s="26">
        <f t="shared" si="59"/>
        <v>2.94</v>
      </c>
      <c r="K487" s="26">
        <f t="shared" si="61"/>
        <v>115</v>
      </c>
      <c r="L487" s="14">
        <f t="shared" si="56"/>
        <v>194.38</v>
      </c>
      <c r="M487" s="14">
        <f t="shared" si="60"/>
        <v>66.115646258503403</v>
      </c>
    </row>
    <row r="488" spans="1:13" ht="15" customHeight="1" x14ac:dyDescent="0.25">
      <c r="A488" s="13">
        <v>6136627</v>
      </c>
      <c r="B488" s="27">
        <v>40847</v>
      </c>
      <c r="C488" s="13" t="s">
        <v>170</v>
      </c>
      <c r="D488" s="13" t="s">
        <v>171</v>
      </c>
      <c r="E488" s="28">
        <v>32</v>
      </c>
      <c r="F488" s="25">
        <v>2.35</v>
      </c>
      <c r="G488" s="26">
        <f t="shared" si="58"/>
        <v>61.1</v>
      </c>
      <c r="H488" s="26">
        <v>115</v>
      </c>
      <c r="I488" s="26">
        <v>0</v>
      </c>
      <c r="J488" s="26">
        <f t="shared" si="59"/>
        <v>2.35</v>
      </c>
      <c r="K488" s="26">
        <f t="shared" si="61"/>
        <v>115</v>
      </c>
      <c r="L488" s="14">
        <f t="shared" si="56"/>
        <v>178.45</v>
      </c>
      <c r="M488" s="14">
        <f t="shared" si="60"/>
        <v>75.936170212765944</v>
      </c>
    </row>
    <row r="489" spans="1:13" ht="15" customHeight="1" x14ac:dyDescent="0.25">
      <c r="A489" s="13">
        <v>5655155</v>
      </c>
      <c r="B489" s="27">
        <v>40847</v>
      </c>
      <c r="C489" s="13" t="s">
        <v>174</v>
      </c>
      <c r="D489" s="13" t="s">
        <v>187</v>
      </c>
      <c r="E489" s="28">
        <v>6</v>
      </c>
      <c r="F489" s="29">
        <v>1.17</v>
      </c>
      <c r="H489" s="26">
        <v>70.680000000000007</v>
      </c>
      <c r="J489" s="26"/>
      <c r="K489" s="26"/>
      <c r="L489" s="14">
        <f t="shared" si="56"/>
        <v>70.680000000000007</v>
      </c>
      <c r="M489" s="14">
        <f t="shared" si="60"/>
        <v>60.410256410256423</v>
      </c>
    </row>
    <row r="490" spans="1:13" ht="15" customHeight="1" x14ac:dyDescent="0.25">
      <c r="A490" s="13">
        <v>5655155</v>
      </c>
      <c r="B490" s="27">
        <v>40847</v>
      </c>
      <c r="C490" s="13" t="s">
        <v>176</v>
      </c>
      <c r="D490" s="13" t="s">
        <v>175</v>
      </c>
      <c r="E490" s="28">
        <v>6</v>
      </c>
      <c r="F490" s="29">
        <v>2.34</v>
      </c>
      <c r="H490" s="26">
        <v>94.32</v>
      </c>
      <c r="J490" s="26"/>
      <c r="K490" s="26"/>
      <c r="L490" s="14">
        <f t="shared" si="56"/>
        <v>94.32</v>
      </c>
      <c r="M490" s="14">
        <f t="shared" si="60"/>
        <v>40.307692307692307</v>
      </c>
    </row>
    <row r="491" spans="1:13" ht="15" customHeight="1" x14ac:dyDescent="0.25">
      <c r="A491" s="13">
        <v>5655562</v>
      </c>
      <c r="B491" s="27">
        <v>40847</v>
      </c>
      <c r="C491" s="13" t="s">
        <v>177</v>
      </c>
      <c r="D491" s="13" t="s">
        <v>175</v>
      </c>
      <c r="E491" s="28">
        <v>8</v>
      </c>
      <c r="F491" s="29">
        <v>3.12</v>
      </c>
      <c r="H491" s="26">
        <v>129</v>
      </c>
      <c r="J491" s="26"/>
      <c r="K491" s="26"/>
      <c r="L491" s="14">
        <f t="shared" si="56"/>
        <v>129</v>
      </c>
      <c r="M491" s="14">
        <f t="shared" si="60"/>
        <v>41.346153846153847</v>
      </c>
    </row>
    <row r="492" spans="1:13" ht="15" customHeight="1" x14ac:dyDescent="0.25">
      <c r="A492" s="13">
        <v>5658030</v>
      </c>
      <c r="B492" s="27">
        <v>40847</v>
      </c>
      <c r="C492" s="13" t="s">
        <v>178</v>
      </c>
      <c r="D492" s="13" t="s">
        <v>186</v>
      </c>
      <c r="E492" s="28">
        <v>6</v>
      </c>
      <c r="F492" s="29">
        <v>3.9</v>
      </c>
      <c r="H492" s="26">
        <v>155.88</v>
      </c>
      <c r="J492" s="26"/>
      <c r="K492" s="26"/>
      <c r="L492" s="14">
        <f t="shared" si="56"/>
        <v>155.88</v>
      </c>
      <c r="M492" s="14">
        <f t="shared" si="60"/>
        <v>39.969230769230769</v>
      </c>
    </row>
    <row r="493" spans="1:13" ht="15" customHeight="1" x14ac:dyDescent="0.25">
      <c r="A493" s="13">
        <v>5658310</v>
      </c>
      <c r="B493" s="27">
        <v>40847</v>
      </c>
      <c r="C493" s="13" t="s">
        <v>179</v>
      </c>
      <c r="D493" s="13" t="s">
        <v>187</v>
      </c>
      <c r="E493" s="28">
        <v>2</v>
      </c>
      <c r="F493" s="29">
        <v>0.39</v>
      </c>
      <c r="H493" s="26">
        <v>48</v>
      </c>
      <c r="J493" s="26"/>
      <c r="K493" s="26"/>
      <c r="L493" s="14">
        <f t="shared" si="56"/>
        <v>48</v>
      </c>
      <c r="M493" s="14">
        <f t="shared" si="60"/>
        <v>123.07692307692307</v>
      </c>
    </row>
    <row r="494" spans="1:13" ht="15" customHeight="1" x14ac:dyDescent="0.25">
      <c r="A494" s="13">
        <v>5660472</v>
      </c>
      <c r="B494" s="27">
        <v>40847</v>
      </c>
      <c r="C494" s="13" t="s">
        <v>190</v>
      </c>
      <c r="D494" s="13" t="s">
        <v>187</v>
      </c>
      <c r="E494" s="28">
        <v>8</v>
      </c>
      <c r="F494" s="25">
        <v>1.56</v>
      </c>
      <c r="H494" s="26">
        <v>69.28</v>
      </c>
      <c r="L494" s="14">
        <f t="shared" si="56"/>
        <v>69.28</v>
      </c>
    </row>
    <row r="495" spans="1:13" ht="15" customHeight="1" x14ac:dyDescent="0.25">
      <c r="A495" s="13">
        <v>6155784</v>
      </c>
      <c r="B495" s="27">
        <v>40848</v>
      </c>
      <c r="C495" s="13" t="s">
        <v>185</v>
      </c>
      <c r="D495" s="13" t="s">
        <v>169</v>
      </c>
      <c r="E495" s="28">
        <v>40</v>
      </c>
      <c r="F495" s="25">
        <v>4.18</v>
      </c>
      <c r="G495" s="26">
        <f t="shared" ref="G495:G510" si="62">F495*$G$2</f>
        <v>108.67999999999999</v>
      </c>
      <c r="H495" s="26">
        <v>115</v>
      </c>
      <c r="I495" s="26">
        <v>0</v>
      </c>
      <c r="J495" s="26">
        <f t="shared" ref="J495:J510" si="63">F495</f>
        <v>4.18</v>
      </c>
      <c r="K495" s="26">
        <f t="shared" ref="K495:K510" si="64">H495+I495</f>
        <v>115</v>
      </c>
      <c r="L495" s="14">
        <f t="shared" si="56"/>
        <v>227.86</v>
      </c>
      <c r="M495" s="14">
        <f t="shared" ref="M495:M515" si="65">L495/F495</f>
        <v>54.511961722488046</v>
      </c>
    </row>
    <row r="496" spans="1:13" ht="15" customHeight="1" x14ac:dyDescent="0.25">
      <c r="A496" s="13">
        <v>6155784</v>
      </c>
      <c r="B496" s="27">
        <v>40849</v>
      </c>
      <c r="C496" s="13" t="s">
        <v>173</v>
      </c>
      <c r="D496" s="13" t="s">
        <v>186</v>
      </c>
      <c r="E496" s="28">
        <v>30</v>
      </c>
      <c r="F496" s="25">
        <v>2.72</v>
      </c>
      <c r="G496" s="26">
        <f t="shared" si="62"/>
        <v>70.72</v>
      </c>
      <c r="H496" s="26">
        <v>115</v>
      </c>
      <c r="I496" s="26">
        <v>0</v>
      </c>
      <c r="J496" s="26">
        <f t="shared" si="63"/>
        <v>2.72</v>
      </c>
      <c r="K496" s="26">
        <f t="shared" si="64"/>
        <v>115</v>
      </c>
      <c r="L496" s="14">
        <f t="shared" si="56"/>
        <v>188.44</v>
      </c>
      <c r="M496" s="14">
        <f t="shared" si="65"/>
        <v>69.27941176470587</v>
      </c>
    </row>
    <row r="497" spans="1:13" ht="15" customHeight="1" x14ac:dyDescent="0.25">
      <c r="A497" s="13">
        <v>6155784</v>
      </c>
      <c r="B497" s="27">
        <v>40854</v>
      </c>
      <c r="C497" s="13" t="s">
        <v>170</v>
      </c>
      <c r="D497" s="13" t="s">
        <v>171</v>
      </c>
      <c r="E497" s="28">
        <v>32</v>
      </c>
      <c r="F497" s="25">
        <v>2.48</v>
      </c>
      <c r="G497" s="26">
        <f t="shared" si="62"/>
        <v>64.48</v>
      </c>
      <c r="H497" s="26">
        <v>115</v>
      </c>
      <c r="I497" s="26">
        <v>0</v>
      </c>
      <c r="J497" s="26">
        <f t="shared" si="63"/>
        <v>2.48</v>
      </c>
      <c r="K497" s="26">
        <f t="shared" si="64"/>
        <v>115</v>
      </c>
      <c r="L497" s="14">
        <f t="shared" si="56"/>
        <v>181.96</v>
      </c>
      <c r="M497" s="14">
        <f t="shared" si="65"/>
        <v>73.370967741935488</v>
      </c>
    </row>
    <row r="498" spans="1:13" ht="15" customHeight="1" x14ac:dyDescent="0.25">
      <c r="A498" s="13">
        <v>6155784</v>
      </c>
      <c r="B498" s="27">
        <v>40856</v>
      </c>
      <c r="C498" s="13" t="s">
        <v>173</v>
      </c>
      <c r="D498" s="13" t="s">
        <v>186</v>
      </c>
      <c r="E498" s="28">
        <v>30</v>
      </c>
      <c r="F498" s="25">
        <v>3.42</v>
      </c>
      <c r="G498" s="26">
        <f t="shared" si="62"/>
        <v>88.92</v>
      </c>
      <c r="H498" s="26">
        <v>115</v>
      </c>
      <c r="I498" s="26">
        <v>0</v>
      </c>
      <c r="J498" s="26">
        <f t="shared" si="63"/>
        <v>3.42</v>
      </c>
      <c r="K498" s="26">
        <f t="shared" si="64"/>
        <v>115</v>
      </c>
      <c r="L498" s="14">
        <f t="shared" si="56"/>
        <v>207.34</v>
      </c>
      <c r="M498" s="14">
        <f t="shared" si="65"/>
        <v>60.62573099415205</v>
      </c>
    </row>
    <row r="499" spans="1:13" ht="15" customHeight="1" x14ac:dyDescent="0.25">
      <c r="A499" s="13">
        <v>6155784</v>
      </c>
      <c r="B499" s="27">
        <v>40856</v>
      </c>
      <c r="C499" s="13" t="s">
        <v>185</v>
      </c>
      <c r="D499" s="13" t="s">
        <v>169</v>
      </c>
      <c r="E499" s="28">
        <v>40</v>
      </c>
      <c r="F499" s="25">
        <v>6.04</v>
      </c>
      <c r="G499" s="26">
        <f t="shared" si="62"/>
        <v>157.04</v>
      </c>
      <c r="H499" s="26">
        <v>115</v>
      </c>
      <c r="I499" s="26">
        <v>0</v>
      </c>
      <c r="J499" s="26">
        <f t="shared" si="63"/>
        <v>6.04</v>
      </c>
      <c r="K499" s="26">
        <f t="shared" si="64"/>
        <v>115</v>
      </c>
      <c r="L499" s="14">
        <f t="shared" si="56"/>
        <v>278.08</v>
      </c>
      <c r="M499" s="14">
        <f t="shared" si="65"/>
        <v>46.039735099337747</v>
      </c>
    </row>
    <row r="500" spans="1:13" ht="15" customHeight="1" x14ac:dyDescent="0.25">
      <c r="A500" s="13">
        <v>6174014</v>
      </c>
      <c r="B500" s="27">
        <v>40859</v>
      </c>
      <c r="C500" s="13" t="s">
        <v>128</v>
      </c>
      <c r="D500" s="13" t="s">
        <v>169</v>
      </c>
      <c r="E500" s="28">
        <v>20</v>
      </c>
      <c r="F500" s="25">
        <v>6.49</v>
      </c>
      <c r="G500" s="26">
        <f t="shared" si="62"/>
        <v>168.74</v>
      </c>
      <c r="H500" s="26">
        <v>115</v>
      </c>
      <c r="I500" s="26">
        <v>0</v>
      </c>
      <c r="J500" s="26">
        <f t="shared" si="63"/>
        <v>6.49</v>
      </c>
      <c r="K500" s="26">
        <f t="shared" si="64"/>
        <v>115</v>
      </c>
      <c r="L500" s="14">
        <f t="shared" si="56"/>
        <v>290.23</v>
      </c>
      <c r="M500" s="14">
        <f t="shared" si="65"/>
        <v>44.719568567026194</v>
      </c>
    </row>
    <row r="501" spans="1:13" ht="15" customHeight="1" x14ac:dyDescent="0.25">
      <c r="A501" s="13">
        <v>6174014</v>
      </c>
      <c r="B501" s="27">
        <v>40859</v>
      </c>
      <c r="C501" s="13" t="s">
        <v>128</v>
      </c>
      <c r="D501" s="13" t="s">
        <v>169</v>
      </c>
      <c r="E501" s="28">
        <v>20</v>
      </c>
      <c r="F501" s="25">
        <v>8.94</v>
      </c>
      <c r="G501" s="26">
        <f t="shared" si="62"/>
        <v>232.44</v>
      </c>
      <c r="H501" s="26">
        <v>115</v>
      </c>
      <c r="I501" s="26">
        <v>0</v>
      </c>
      <c r="J501" s="26">
        <f t="shared" si="63"/>
        <v>8.94</v>
      </c>
      <c r="K501" s="26">
        <f t="shared" si="64"/>
        <v>115</v>
      </c>
      <c r="L501" s="14">
        <f t="shared" si="56"/>
        <v>356.38</v>
      </c>
      <c r="M501" s="14">
        <f t="shared" si="65"/>
        <v>39.863534675615213</v>
      </c>
    </row>
    <row r="502" spans="1:13" ht="15" customHeight="1" x14ac:dyDescent="0.25">
      <c r="A502" s="13">
        <v>6155784</v>
      </c>
      <c r="B502" s="27">
        <v>40861</v>
      </c>
      <c r="C502" s="13" t="s">
        <v>170</v>
      </c>
      <c r="D502" s="13" t="s">
        <v>171</v>
      </c>
      <c r="E502" s="28">
        <v>32</v>
      </c>
      <c r="F502" s="25">
        <v>7.99</v>
      </c>
      <c r="G502" s="26">
        <f t="shared" si="62"/>
        <v>207.74</v>
      </c>
      <c r="H502" s="26">
        <v>115</v>
      </c>
      <c r="I502" s="26">
        <v>0</v>
      </c>
      <c r="J502" s="26">
        <f t="shared" si="63"/>
        <v>7.99</v>
      </c>
      <c r="K502" s="26">
        <f t="shared" si="64"/>
        <v>115</v>
      </c>
      <c r="L502" s="14">
        <f t="shared" si="56"/>
        <v>330.73</v>
      </c>
      <c r="M502" s="14">
        <f t="shared" si="65"/>
        <v>41.392991239048811</v>
      </c>
    </row>
    <row r="503" spans="1:13" ht="15" customHeight="1" x14ac:dyDescent="0.25">
      <c r="A503" s="13">
        <v>6155784</v>
      </c>
      <c r="B503" s="27">
        <v>40862</v>
      </c>
      <c r="C503" s="13" t="s">
        <v>128</v>
      </c>
      <c r="D503" s="13" t="s">
        <v>169</v>
      </c>
      <c r="E503" s="28">
        <v>20</v>
      </c>
      <c r="F503" s="25">
        <v>3.06</v>
      </c>
      <c r="G503" s="26">
        <f t="shared" si="62"/>
        <v>79.56</v>
      </c>
      <c r="H503" s="26">
        <v>115</v>
      </c>
      <c r="I503" s="26">
        <v>0</v>
      </c>
      <c r="J503" s="26">
        <f t="shared" si="63"/>
        <v>3.06</v>
      </c>
      <c r="K503" s="26">
        <f t="shared" si="64"/>
        <v>115</v>
      </c>
      <c r="L503" s="14">
        <f t="shared" si="56"/>
        <v>197.62</v>
      </c>
      <c r="M503" s="14">
        <f t="shared" si="65"/>
        <v>64.58169934640523</v>
      </c>
    </row>
    <row r="504" spans="1:13" ht="15" customHeight="1" x14ac:dyDescent="0.25">
      <c r="A504" s="13">
        <v>6155784</v>
      </c>
      <c r="B504" s="27">
        <v>40862</v>
      </c>
      <c r="C504" s="13" t="s">
        <v>128</v>
      </c>
      <c r="D504" s="13" t="s">
        <v>186</v>
      </c>
      <c r="E504" s="28">
        <v>35</v>
      </c>
      <c r="F504" s="25">
        <v>1.78</v>
      </c>
      <c r="G504" s="26">
        <f t="shared" si="62"/>
        <v>46.28</v>
      </c>
      <c r="H504" s="26">
        <v>115</v>
      </c>
      <c r="I504" s="26">
        <v>0</v>
      </c>
      <c r="J504" s="26">
        <f t="shared" si="63"/>
        <v>1.78</v>
      </c>
      <c r="K504" s="26">
        <f t="shared" si="64"/>
        <v>115</v>
      </c>
      <c r="L504" s="14">
        <f t="shared" si="56"/>
        <v>163.06</v>
      </c>
      <c r="M504" s="14">
        <f t="shared" si="65"/>
        <v>91.606741573033702</v>
      </c>
    </row>
    <row r="505" spans="1:13" ht="15" customHeight="1" x14ac:dyDescent="0.25">
      <c r="A505" s="13">
        <v>6155784</v>
      </c>
      <c r="B505" s="27">
        <v>40863</v>
      </c>
      <c r="C505" s="13" t="s">
        <v>173</v>
      </c>
      <c r="D505" s="13" t="s">
        <v>186</v>
      </c>
      <c r="E505" s="28">
        <v>30</v>
      </c>
      <c r="F505" s="25">
        <v>3.51</v>
      </c>
      <c r="G505" s="26">
        <f t="shared" si="62"/>
        <v>91.259999999999991</v>
      </c>
      <c r="H505" s="26">
        <v>115</v>
      </c>
      <c r="I505" s="26">
        <v>0</v>
      </c>
      <c r="J505" s="26">
        <f t="shared" si="63"/>
        <v>3.51</v>
      </c>
      <c r="K505" s="26">
        <f t="shared" si="64"/>
        <v>115</v>
      </c>
      <c r="L505" s="14">
        <f t="shared" si="56"/>
        <v>209.76999999999998</v>
      </c>
      <c r="M505" s="14">
        <f t="shared" si="65"/>
        <v>59.763532763532758</v>
      </c>
    </row>
    <row r="506" spans="1:13" ht="15" customHeight="1" x14ac:dyDescent="0.25">
      <c r="A506" s="13">
        <v>6155784</v>
      </c>
      <c r="B506" s="27">
        <v>40864</v>
      </c>
      <c r="C506" s="13" t="s">
        <v>185</v>
      </c>
      <c r="D506" s="13" t="s">
        <v>169</v>
      </c>
      <c r="E506" s="28">
        <v>40</v>
      </c>
      <c r="F506" s="25">
        <v>3.49</v>
      </c>
      <c r="G506" s="26">
        <f t="shared" si="62"/>
        <v>90.740000000000009</v>
      </c>
      <c r="H506" s="26">
        <v>115</v>
      </c>
      <c r="I506" s="26">
        <v>0</v>
      </c>
      <c r="J506" s="26">
        <f t="shared" si="63"/>
        <v>3.49</v>
      </c>
      <c r="K506" s="26">
        <f t="shared" si="64"/>
        <v>115</v>
      </c>
      <c r="L506" s="14">
        <f t="shared" si="56"/>
        <v>209.23000000000002</v>
      </c>
      <c r="M506" s="14">
        <f t="shared" si="65"/>
        <v>59.951289398280807</v>
      </c>
    </row>
    <row r="507" spans="1:13" ht="15" customHeight="1" x14ac:dyDescent="0.25">
      <c r="A507" s="13">
        <v>6155784</v>
      </c>
      <c r="B507" s="27">
        <v>40868</v>
      </c>
      <c r="C507" s="13" t="s">
        <v>170</v>
      </c>
      <c r="D507" s="13" t="s">
        <v>171</v>
      </c>
      <c r="E507" s="28">
        <v>32</v>
      </c>
      <c r="F507" s="25">
        <v>1.91</v>
      </c>
      <c r="G507" s="26">
        <f t="shared" si="62"/>
        <v>49.66</v>
      </c>
      <c r="H507" s="26">
        <v>115</v>
      </c>
      <c r="I507" s="26">
        <v>0</v>
      </c>
      <c r="J507" s="26">
        <f t="shared" si="63"/>
        <v>1.91</v>
      </c>
      <c r="K507" s="26">
        <f t="shared" si="64"/>
        <v>115</v>
      </c>
      <c r="L507" s="14">
        <f t="shared" si="56"/>
        <v>166.57</v>
      </c>
      <c r="M507" s="14">
        <f t="shared" si="65"/>
        <v>87.209424083769633</v>
      </c>
    </row>
    <row r="508" spans="1:13" ht="15" customHeight="1" x14ac:dyDescent="0.25">
      <c r="A508" s="13">
        <v>6155784</v>
      </c>
      <c r="B508" s="27">
        <v>40869</v>
      </c>
      <c r="C508" s="13" t="s">
        <v>173</v>
      </c>
      <c r="D508" s="13" t="s">
        <v>186</v>
      </c>
      <c r="E508" s="28">
        <v>30</v>
      </c>
      <c r="F508" s="25">
        <v>1.92</v>
      </c>
      <c r="G508" s="26">
        <f t="shared" si="62"/>
        <v>49.92</v>
      </c>
      <c r="H508" s="26">
        <v>115</v>
      </c>
      <c r="I508" s="26">
        <v>0</v>
      </c>
      <c r="J508" s="26">
        <f t="shared" si="63"/>
        <v>1.92</v>
      </c>
      <c r="K508" s="26">
        <f t="shared" si="64"/>
        <v>115</v>
      </c>
      <c r="L508" s="14">
        <f t="shared" si="56"/>
        <v>166.84</v>
      </c>
      <c r="M508" s="14">
        <f t="shared" si="65"/>
        <v>86.895833333333343</v>
      </c>
    </row>
    <row r="509" spans="1:13" ht="15" customHeight="1" x14ac:dyDescent="0.25">
      <c r="A509" s="13">
        <v>6155784</v>
      </c>
      <c r="B509" s="27">
        <v>40875</v>
      </c>
      <c r="C509" s="13" t="s">
        <v>170</v>
      </c>
      <c r="D509" s="13" t="s">
        <v>171</v>
      </c>
      <c r="E509" s="28">
        <v>32</v>
      </c>
      <c r="F509" s="25">
        <v>0.93</v>
      </c>
      <c r="G509" s="26">
        <f t="shared" si="62"/>
        <v>24.18</v>
      </c>
      <c r="H509" s="26">
        <v>115</v>
      </c>
      <c r="I509" s="26">
        <v>0</v>
      </c>
      <c r="J509" s="26">
        <f t="shared" si="63"/>
        <v>0.93</v>
      </c>
      <c r="K509" s="26">
        <f t="shared" si="64"/>
        <v>115</v>
      </c>
      <c r="L509" s="14">
        <f t="shared" si="56"/>
        <v>140.11000000000001</v>
      </c>
      <c r="M509" s="14">
        <f t="shared" si="65"/>
        <v>150.65591397849462</v>
      </c>
    </row>
    <row r="510" spans="1:13" ht="15" customHeight="1" x14ac:dyDescent="0.25">
      <c r="A510" s="13">
        <v>6155784</v>
      </c>
      <c r="B510" s="27">
        <v>40876</v>
      </c>
      <c r="C510" s="13" t="s">
        <v>185</v>
      </c>
      <c r="D510" s="13" t="s">
        <v>169</v>
      </c>
      <c r="E510" s="28">
        <v>40</v>
      </c>
      <c r="F510" s="25">
        <v>4.03</v>
      </c>
      <c r="G510" s="26">
        <f t="shared" si="62"/>
        <v>104.78</v>
      </c>
      <c r="H510" s="26">
        <v>115</v>
      </c>
      <c r="I510" s="26">
        <v>0</v>
      </c>
      <c r="J510" s="26">
        <f t="shared" si="63"/>
        <v>4.03</v>
      </c>
      <c r="K510" s="26">
        <f t="shared" si="64"/>
        <v>115</v>
      </c>
      <c r="L510" s="14">
        <f t="shared" si="56"/>
        <v>223.81</v>
      </c>
      <c r="M510" s="14">
        <f t="shared" si="65"/>
        <v>55.535980148883375</v>
      </c>
    </row>
    <row r="511" spans="1:13" ht="15" customHeight="1" x14ac:dyDescent="0.25">
      <c r="A511" s="13">
        <v>5663264</v>
      </c>
      <c r="B511" s="27">
        <v>40877</v>
      </c>
      <c r="C511" s="13" t="s">
        <v>174</v>
      </c>
      <c r="D511" s="13" t="s">
        <v>187</v>
      </c>
      <c r="E511" s="28">
        <v>6</v>
      </c>
      <c r="F511" s="29">
        <v>1.17</v>
      </c>
      <c r="H511" s="26">
        <v>70.680000000000007</v>
      </c>
      <c r="J511" s="26"/>
      <c r="K511" s="26"/>
      <c r="L511" s="14">
        <f t="shared" si="56"/>
        <v>70.680000000000007</v>
      </c>
      <c r="M511" s="14">
        <f t="shared" si="65"/>
        <v>60.410256410256423</v>
      </c>
    </row>
    <row r="512" spans="1:13" ht="15" customHeight="1" x14ac:dyDescent="0.25">
      <c r="A512" s="13">
        <v>5663264</v>
      </c>
      <c r="B512" s="27">
        <v>40877</v>
      </c>
      <c r="C512" s="13" t="s">
        <v>176</v>
      </c>
      <c r="D512" s="13" t="s">
        <v>175</v>
      </c>
      <c r="E512" s="28">
        <v>6</v>
      </c>
      <c r="F512" s="29">
        <v>2.34</v>
      </c>
      <c r="H512" s="26">
        <v>94.32</v>
      </c>
      <c r="J512" s="26"/>
      <c r="K512" s="26"/>
      <c r="L512" s="14">
        <f t="shared" si="56"/>
        <v>94.32</v>
      </c>
      <c r="M512" s="14">
        <f t="shared" si="65"/>
        <v>40.307692307692307</v>
      </c>
    </row>
    <row r="513" spans="1:13" ht="15" customHeight="1" x14ac:dyDescent="0.25">
      <c r="A513" s="13">
        <v>5663668</v>
      </c>
      <c r="B513" s="27">
        <v>40877</v>
      </c>
      <c r="C513" s="13" t="s">
        <v>177</v>
      </c>
      <c r="D513" s="13" t="s">
        <v>175</v>
      </c>
      <c r="E513" s="28">
        <v>8</v>
      </c>
      <c r="F513" s="29">
        <v>3.12</v>
      </c>
      <c r="H513" s="26">
        <v>129</v>
      </c>
      <c r="J513" s="26"/>
      <c r="K513" s="26"/>
      <c r="L513" s="14">
        <f t="shared" si="56"/>
        <v>129</v>
      </c>
      <c r="M513" s="14">
        <f t="shared" si="65"/>
        <v>41.346153846153847</v>
      </c>
    </row>
    <row r="514" spans="1:13" ht="15" customHeight="1" x14ac:dyDescent="0.25">
      <c r="A514" s="13">
        <v>5666127</v>
      </c>
      <c r="B514" s="27">
        <v>40877</v>
      </c>
      <c r="C514" s="13" t="s">
        <v>178</v>
      </c>
      <c r="D514" s="13" t="s">
        <v>186</v>
      </c>
      <c r="E514" s="28">
        <v>6</v>
      </c>
      <c r="F514" s="29">
        <v>3.9</v>
      </c>
      <c r="H514" s="26">
        <v>155.88</v>
      </c>
      <c r="J514" s="26"/>
      <c r="K514" s="26"/>
      <c r="L514" s="14">
        <f t="shared" si="56"/>
        <v>155.88</v>
      </c>
      <c r="M514" s="14">
        <f t="shared" si="65"/>
        <v>39.969230769230769</v>
      </c>
    </row>
    <row r="515" spans="1:13" ht="15" customHeight="1" x14ac:dyDescent="0.25">
      <c r="A515" s="13">
        <v>5666404</v>
      </c>
      <c r="B515" s="27">
        <v>40877</v>
      </c>
      <c r="C515" s="13" t="s">
        <v>179</v>
      </c>
      <c r="D515" s="13" t="s">
        <v>187</v>
      </c>
      <c r="E515" s="28">
        <v>2</v>
      </c>
      <c r="F515" s="29">
        <v>0.39</v>
      </c>
      <c r="H515" s="26">
        <v>48</v>
      </c>
      <c r="J515" s="26"/>
      <c r="K515" s="26"/>
      <c r="L515" s="14">
        <f t="shared" si="56"/>
        <v>48</v>
      </c>
      <c r="M515" s="14">
        <f t="shared" si="65"/>
        <v>123.07692307692307</v>
      </c>
    </row>
    <row r="516" spans="1:13" ht="15" customHeight="1" x14ac:dyDescent="0.25">
      <c r="A516" s="13">
        <v>5668511</v>
      </c>
      <c r="B516" s="27">
        <v>40877</v>
      </c>
      <c r="C516" s="13" t="s">
        <v>190</v>
      </c>
      <c r="D516" s="13" t="s">
        <v>187</v>
      </c>
      <c r="E516" s="28">
        <v>8</v>
      </c>
      <c r="F516" s="25">
        <v>1.56</v>
      </c>
      <c r="H516" s="26">
        <v>69.28</v>
      </c>
      <c r="L516" s="14">
        <f t="shared" ref="L516:L579" si="66">G516+H516+I516+J516</f>
        <v>69.28</v>
      </c>
    </row>
    <row r="517" spans="1:13" ht="15" customHeight="1" x14ac:dyDescent="0.25">
      <c r="A517" s="13">
        <v>6155784</v>
      </c>
      <c r="B517" s="27">
        <v>40877</v>
      </c>
      <c r="C517" s="13" t="s">
        <v>173</v>
      </c>
      <c r="D517" s="13" t="s">
        <v>186</v>
      </c>
      <c r="E517" s="28">
        <v>30</v>
      </c>
      <c r="F517" s="25">
        <v>1.52</v>
      </c>
      <c r="G517" s="26">
        <f t="shared" ref="G517:G530" si="67">F517*$G$2</f>
        <v>39.520000000000003</v>
      </c>
      <c r="H517" s="26">
        <v>115</v>
      </c>
      <c r="I517" s="26">
        <v>0</v>
      </c>
      <c r="J517" s="26">
        <f t="shared" ref="J517:J530" si="68">F517</f>
        <v>1.52</v>
      </c>
      <c r="K517" s="26">
        <f t="shared" ref="K517:K530" si="69">H517+I517</f>
        <v>115</v>
      </c>
      <c r="L517" s="14">
        <f t="shared" si="66"/>
        <v>156.04000000000002</v>
      </c>
      <c r="M517" s="14">
        <f t="shared" ref="M517:M535" si="70">L517/F517</f>
        <v>102.65789473684212</v>
      </c>
    </row>
    <row r="518" spans="1:13" ht="15" customHeight="1" x14ac:dyDescent="0.25">
      <c r="A518" s="13">
        <v>6174014</v>
      </c>
      <c r="B518" s="27">
        <v>40882</v>
      </c>
      <c r="C518" s="13" t="s">
        <v>170</v>
      </c>
      <c r="D518" s="13" t="s">
        <v>171</v>
      </c>
      <c r="E518" s="28">
        <v>32</v>
      </c>
      <c r="F518" s="25">
        <v>2.23</v>
      </c>
      <c r="G518" s="26">
        <f t="shared" si="67"/>
        <v>57.98</v>
      </c>
      <c r="H518" s="26">
        <v>115</v>
      </c>
      <c r="I518" s="26">
        <v>0</v>
      </c>
      <c r="J518" s="26">
        <f t="shared" si="68"/>
        <v>2.23</v>
      </c>
      <c r="K518" s="26">
        <f t="shared" si="69"/>
        <v>115</v>
      </c>
      <c r="L518" s="14">
        <f t="shared" si="66"/>
        <v>175.20999999999998</v>
      </c>
      <c r="M518" s="14">
        <f t="shared" si="70"/>
        <v>78.569506726457391</v>
      </c>
    </row>
    <row r="519" spans="1:13" ht="15" customHeight="1" x14ac:dyDescent="0.25">
      <c r="A519" s="13">
        <v>6174014</v>
      </c>
      <c r="B519" s="27">
        <v>40884</v>
      </c>
      <c r="C519" s="13" t="s">
        <v>173</v>
      </c>
      <c r="D519" s="13" t="s">
        <v>186</v>
      </c>
      <c r="E519" s="28">
        <v>30</v>
      </c>
      <c r="F519" s="25">
        <v>3.3</v>
      </c>
      <c r="G519" s="26">
        <f t="shared" si="67"/>
        <v>85.8</v>
      </c>
      <c r="H519" s="26">
        <v>115</v>
      </c>
      <c r="I519" s="26">
        <v>0</v>
      </c>
      <c r="J519" s="26">
        <f t="shared" si="68"/>
        <v>3.3</v>
      </c>
      <c r="K519" s="26">
        <f t="shared" si="69"/>
        <v>115</v>
      </c>
      <c r="L519" s="14">
        <f t="shared" si="66"/>
        <v>204.10000000000002</v>
      </c>
      <c r="M519" s="14">
        <f t="shared" si="70"/>
        <v>61.848484848484858</v>
      </c>
    </row>
    <row r="520" spans="1:13" ht="15" customHeight="1" x14ac:dyDescent="0.25">
      <c r="A520" s="13">
        <v>6174014</v>
      </c>
      <c r="B520" s="27">
        <v>40889</v>
      </c>
      <c r="C520" s="13" t="s">
        <v>128</v>
      </c>
      <c r="D520" s="13" t="s">
        <v>186</v>
      </c>
      <c r="E520" s="28">
        <v>35</v>
      </c>
      <c r="F520" s="25">
        <v>6.31</v>
      </c>
      <c r="G520" s="26">
        <f t="shared" si="67"/>
        <v>164.06</v>
      </c>
      <c r="H520" s="26">
        <v>115</v>
      </c>
      <c r="I520" s="26">
        <v>0</v>
      </c>
      <c r="J520" s="26">
        <f t="shared" si="68"/>
        <v>6.31</v>
      </c>
      <c r="K520" s="26">
        <f t="shared" si="69"/>
        <v>115</v>
      </c>
      <c r="L520" s="14">
        <f t="shared" si="66"/>
        <v>285.37</v>
      </c>
      <c r="M520" s="14">
        <f t="shared" si="70"/>
        <v>45.225039619651348</v>
      </c>
    </row>
    <row r="521" spans="1:13" ht="15" customHeight="1" x14ac:dyDescent="0.25">
      <c r="A521" s="13">
        <v>6174014</v>
      </c>
      <c r="B521" s="27">
        <v>40889</v>
      </c>
      <c r="C521" s="13" t="s">
        <v>170</v>
      </c>
      <c r="D521" s="13" t="s">
        <v>171</v>
      </c>
      <c r="E521" s="28">
        <v>32</v>
      </c>
      <c r="F521" s="25">
        <v>2.5299999999999998</v>
      </c>
      <c r="G521" s="26">
        <f t="shared" si="67"/>
        <v>65.78</v>
      </c>
      <c r="H521" s="26">
        <v>115</v>
      </c>
      <c r="I521" s="26">
        <v>0</v>
      </c>
      <c r="J521" s="26">
        <f t="shared" si="68"/>
        <v>2.5299999999999998</v>
      </c>
      <c r="K521" s="26">
        <f t="shared" si="69"/>
        <v>115</v>
      </c>
      <c r="L521" s="14">
        <f t="shared" si="66"/>
        <v>183.31</v>
      </c>
      <c r="M521" s="14">
        <f t="shared" si="70"/>
        <v>72.454545454545467</v>
      </c>
    </row>
    <row r="522" spans="1:13" ht="15" customHeight="1" x14ac:dyDescent="0.25">
      <c r="A522" s="13">
        <v>6174014</v>
      </c>
      <c r="B522" s="27">
        <v>40889</v>
      </c>
      <c r="C522" s="13" t="s">
        <v>110</v>
      </c>
      <c r="D522" s="13" t="s">
        <v>188</v>
      </c>
      <c r="E522" s="28">
        <v>40</v>
      </c>
      <c r="F522" s="25">
        <v>2.74</v>
      </c>
      <c r="G522" s="26">
        <f t="shared" si="67"/>
        <v>71.240000000000009</v>
      </c>
      <c r="H522" s="26">
        <v>115</v>
      </c>
      <c r="I522" s="26">
        <v>0</v>
      </c>
      <c r="J522" s="26">
        <f t="shared" si="68"/>
        <v>2.74</v>
      </c>
      <c r="K522" s="26">
        <f t="shared" si="69"/>
        <v>115</v>
      </c>
      <c r="L522" s="14">
        <f t="shared" si="66"/>
        <v>188.98000000000002</v>
      </c>
      <c r="M522" s="14">
        <f t="shared" si="70"/>
        <v>68.970802919708035</v>
      </c>
    </row>
    <row r="523" spans="1:13" ht="15" customHeight="1" x14ac:dyDescent="0.25">
      <c r="A523" s="13">
        <v>6174014</v>
      </c>
      <c r="B523" s="27">
        <v>40889</v>
      </c>
      <c r="C523" s="13" t="s">
        <v>110</v>
      </c>
      <c r="D523" s="13" t="s">
        <v>188</v>
      </c>
      <c r="E523" s="28">
        <v>40</v>
      </c>
      <c r="F523" s="25">
        <v>3.1</v>
      </c>
      <c r="G523" s="26">
        <f t="shared" si="67"/>
        <v>80.600000000000009</v>
      </c>
      <c r="H523" s="26">
        <v>115</v>
      </c>
      <c r="I523" s="26">
        <v>0</v>
      </c>
      <c r="J523" s="26">
        <f t="shared" si="68"/>
        <v>3.1</v>
      </c>
      <c r="K523" s="26">
        <f t="shared" si="69"/>
        <v>115</v>
      </c>
      <c r="L523" s="14">
        <f t="shared" si="66"/>
        <v>198.70000000000002</v>
      </c>
      <c r="M523" s="14">
        <f t="shared" si="70"/>
        <v>64.096774193548384</v>
      </c>
    </row>
    <row r="524" spans="1:13" ht="15" customHeight="1" x14ac:dyDescent="0.25">
      <c r="A524" s="13">
        <v>6174014</v>
      </c>
      <c r="B524" s="27">
        <v>40891</v>
      </c>
      <c r="C524" s="13" t="s">
        <v>173</v>
      </c>
      <c r="D524" s="13" t="s">
        <v>186</v>
      </c>
      <c r="E524" s="28">
        <v>30</v>
      </c>
      <c r="F524" s="25">
        <v>2.59</v>
      </c>
      <c r="G524" s="26">
        <f t="shared" si="67"/>
        <v>67.34</v>
      </c>
      <c r="H524" s="26">
        <v>115</v>
      </c>
      <c r="I524" s="26">
        <v>0</v>
      </c>
      <c r="J524" s="26">
        <f t="shared" si="68"/>
        <v>2.59</v>
      </c>
      <c r="K524" s="26">
        <f t="shared" si="69"/>
        <v>115</v>
      </c>
      <c r="L524" s="14">
        <f t="shared" si="66"/>
        <v>184.93</v>
      </c>
      <c r="M524" s="14">
        <f t="shared" si="70"/>
        <v>71.401544401544413</v>
      </c>
    </row>
    <row r="525" spans="1:13" ht="15" customHeight="1" x14ac:dyDescent="0.25">
      <c r="A525" s="13">
        <v>6174014</v>
      </c>
      <c r="B525" s="27">
        <v>40896</v>
      </c>
      <c r="C525" s="13" t="s">
        <v>170</v>
      </c>
      <c r="D525" s="13" t="s">
        <v>171</v>
      </c>
      <c r="E525" s="28">
        <v>32</v>
      </c>
      <c r="F525" s="25">
        <v>2.2999999999999998</v>
      </c>
      <c r="G525" s="26">
        <f t="shared" si="67"/>
        <v>59.8</v>
      </c>
      <c r="H525" s="26">
        <v>115</v>
      </c>
      <c r="I525" s="26">
        <v>0</v>
      </c>
      <c r="J525" s="26">
        <f t="shared" si="68"/>
        <v>2.2999999999999998</v>
      </c>
      <c r="K525" s="26">
        <f t="shared" si="69"/>
        <v>115</v>
      </c>
      <c r="L525" s="14">
        <f t="shared" si="66"/>
        <v>177.10000000000002</v>
      </c>
      <c r="M525" s="14">
        <f t="shared" si="70"/>
        <v>77.000000000000014</v>
      </c>
    </row>
    <row r="526" spans="1:13" ht="15" customHeight="1" x14ac:dyDescent="0.25">
      <c r="A526" s="13">
        <v>6174014</v>
      </c>
      <c r="B526" s="27">
        <v>40898</v>
      </c>
      <c r="C526" s="13" t="s">
        <v>185</v>
      </c>
      <c r="D526" s="13" t="s">
        <v>169</v>
      </c>
      <c r="E526" s="28">
        <v>40</v>
      </c>
      <c r="F526" s="25">
        <v>4</v>
      </c>
      <c r="G526" s="26">
        <f t="shared" si="67"/>
        <v>104</v>
      </c>
      <c r="H526" s="26">
        <v>115</v>
      </c>
      <c r="I526" s="26">
        <v>0</v>
      </c>
      <c r="J526" s="26">
        <f t="shared" si="68"/>
        <v>4</v>
      </c>
      <c r="K526" s="26">
        <f t="shared" si="69"/>
        <v>115</v>
      </c>
      <c r="L526" s="14">
        <f t="shared" si="66"/>
        <v>223</v>
      </c>
      <c r="M526" s="14">
        <f t="shared" si="70"/>
        <v>55.75</v>
      </c>
    </row>
    <row r="527" spans="1:13" ht="15" customHeight="1" x14ac:dyDescent="0.25">
      <c r="A527" s="13">
        <v>6174014</v>
      </c>
      <c r="B527" s="27">
        <v>40898</v>
      </c>
      <c r="C527" s="13" t="s">
        <v>173</v>
      </c>
      <c r="D527" s="13" t="s">
        <v>186</v>
      </c>
      <c r="E527" s="28">
        <v>30</v>
      </c>
      <c r="F527" s="25">
        <v>2.56</v>
      </c>
      <c r="G527" s="26">
        <f t="shared" si="67"/>
        <v>66.56</v>
      </c>
      <c r="H527" s="26">
        <v>115</v>
      </c>
      <c r="I527" s="26">
        <v>0</v>
      </c>
      <c r="J527" s="26">
        <f t="shared" si="68"/>
        <v>2.56</v>
      </c>
      <c r="K527" s="26">
        <f t="shared" si="69"/>
        <v>115</v>
      </c>
      <c r="L527" s="14">
        <f t="shared" si="66"/>
        <v>184.12</v>
      </c>
      <c r="M527" s="14">
        <f t="shared" si="70"/>
        <v>71.921875</v>
      </c>
    </row>
    <row r="528" spans="1:13" ht="15" customHeight="1" x14ac:dyDescent="0.25">
      <c r="A528" s="13">
        <v>6174014</v>
      </c>
      <c r="B528" s="27">
        <v>40903</v>
      </c>
      <c r="C528" s="13" t="s">
        <v>170</v>
      </c>
      <c r="D528" s="13" t="s">
        <v>171</v>
      </c>
      <c r="E528" s="28">
        <v>32</v>
      </c>
      <c r="F528" s="25">
        <v>1.84</v>
      </c>
      <c r="G528" s="26">
        <f t="shared" si="67"/>
        <v>47.84</v>
      </c>
      <c r="H528" s="26">
        <v>115</v>
      </c>
      <c r="I528" s="26">
        <v>0</v>
      </c>
      <c r="J528" s="26">
        <f t="shared" si="68"/>
        <v>1.84</v>
      </c>
      <c r="K528" s="26">
        <f t="shared" si="69"/>
        <v>115</v>
      </c>
      <c r="L528" s="14">
        <f t="shared" si="66"/>
        <v>164.68</v>
      </c>
      <c r="M528" s="14">
        <f t="shared" si="70"/>
        <v>89.5</v>
      </c>
    </row>
    <row r="529" spans="1:13" ht="15" customHeight="1" x14ac:dyDescent="0.25">
      <c r="A529" s="13">
        <v>6174014</v>
      </c>
      <c r="B529" s="27">
        <v>40904</v>
      </c>
      <c r="C529" s="13" t="s">
        <v>173</v>
      </c>
      <c r="D529" s="13" t="s">
        <v>186</v>
      </c>
      <c r="E529" s="28">
        <v>30</v>
      </c>
      <c r="F529" s="25">
        <v>1.1000000000000001</v>
      </c>
      <c r="G529" s="26">
        <f t="shared" si="67"/>
        <v>28.6</v>
      </c>
      <c r="H529" s="26">
        <v>115</v>
      </c>
      <c r="I529" s="26">
        <v>0</v>
      </c>
      <c r="J529" s="26">
        <f t="shared" si="68"/>
        <v>1.1000000000000001</v>
      </c>
      <c r="K529" s="26">
        <f t="shared" si="69"/>
        <v>115</v>
      </c>
      <c r="L529" s="14">
        <f t="shared" si="66"/>
        <v>144.69999999999999</v>
      </c>
      <c r="M529" s="14">
        <f t="shared" si="70"/>
        <v>131.54545454545453</v>
      </c>
    </row>
    <row r="530" spans="1:13" ht="15" customHeight="1" x14ac:dyDescent="0.25">
      <c r="A530" s="13">
        <v>6174014</v>
      </c>
      <c r="B530" s="27">
        <v>40905</v>
      </c>
      <c r="C530" s="13" t="s">
        <v>191</v>
      </c>
      <c r="D530" s="13" t="s">
        <v>188</v>
      </c>
      <c r="E530" s="28">
        <v>20</v>
      </c>
      <c r="F530" s="25">
        <v>0.86</v>
      </c>
      <c r="G530" s="26">
        <f t="shared" si="67"/>
        <v>22.36</v>
      </c>
      <c r="H530" s="26">
        <v>115</v>
      </c>
      <c r="I530" s="26">
        <v>0</v>
      </c>
      <c r="J530" s="26">
        <f t="shared" si="68"/>
        <v>0.86</v>
      </c>
      <c r="K530" s="26">
        <f t="shared" si="69"/>
        <v>115</v>
      </c>
      <c r="L530" s="14">
        <f t="shared" si="66"/>
        <v>138.22000000000003</v>
      </c>
      <c r="M530" s="14">
        <f t="shared" si="70"/>
        <v>160.72093023255817</v>
      </c>
    </row>
    <row r="531" spans="1:13" ht="15" customHeight="1" x14ac:dyDescent="0.25">
      <c r="A531" s="13">
        <v>5671317</v>
      </c>
      <c r="B531" s="27">
        <v>40908</v>
      </c>
      <c r="C531" s="13" t="s">
        <v>174</v>
      </c>
      <c r="D531" s="13" t="s">
        <v>187</v>
      </c>
      <c r="E531" s="28">
        <v>6</v>
      </c>
      <c r="F531" s="29">
        <v>1.17</v>
      </c>
      <c r="H531" s="26">
        <v>70.680000000000007</v>
      </c>
      <c r="J531" s="26"/>
      <c r="K531" s="26"/>
      <c r="L531" s="14">
        <f t="shared" si="66"/>
        <v>70.680000000000007</v>
      </c>
      <c r="M531" s="14">
        <f t="shared" si="70"/>
        <v>60.410256410256423</v>
      </c>
    </row>
    <row r="532" spans="1:13" ht="15" customHeight="1" x14ac:dyDescent="0.25">
      <c r="A532" s="13">
        <v>5671317</v>
      </c>
      <c r="B532" s="27">
        <v>40908</v>
      </c>
      <c r="C532" s="13" t="s">
        <v>176</v>
      </c>
      <c r="D532" s="13" t="s">
        <v>175</v>
      </c>
      <c r="E532" s="28">
        <v>6</v>
      </c>
      <c r="F532" s="29">
        <v>2.34</v>
      </c>
      <c r="H532" s="26">
        <v>94.32</v>
      </c>
      <c r="J532" s="26"/>
      <c r="K532" s="26"/>
      <c r="L532" s="14">
        <f t="shared" si="66"/>
        <v>94.32</v>
      </c>
      <c r="M532" s="14">
        <f t="shared" si="70"/>
        <v>40.307692307692307</v>
      </c>
    </row>
    <row r="533" spans="1:13" ht="15" customHeight="1" x14ac:dyDescent="0.25">
      <c r="A533" s="13">
        <v>5671718</v>
      </c>
      <c r="B533" s="27">
        <v>40908</v>
      </c>
      <c r="C533" s="13" t="s">
        <v>177</v>
      </c>
      <c r="D533" s="13" t="s">
        <v>175</v>
      </c>
      <c r="E533" s="28">
        <v>8</v>
      </c>
      <c r="F533" s="29">
        <v>3.12</v>
      </c>
      <c r="H533" s="26">
        <v>129</v>
      </c>
      <c r="J533" s="26"/>
      <c r="K533" s="26"/>
      <c r="L533" s="14">
        <f t="shared" si="66"/>
        <v>129</v>
      </c>
      <c r="M533" s="14">
        <f t="shared" si="70"/>
        <v>41.346153846153847</v>
      </c>
    </row>
    <row r="534" spans="1:13" ht="15" customHeight="1" x14ac:dyDescent="0.25">
      <c r="A534" s="13">
        <v>5674164</v>
      </c>
      <c r="B534" s="27">
        <v>40908</v>
      </c>
      <c r="C534" s="13" t="s">
        <v>178</v>
      </c>
      <c r="D534" s="13" t="s">
        <v>186</v>
      </c>
      <c r="E534" s="28">
        <v>6</v>
      </c>
      <c r="F534" s="29">
        <v>3.9</v>
      </c>
      <c r="H534" s="26">
        <v>155.88</v>
      </c>
      <c r="J534" s="26"/>
      <c r="K534" s="26"/>
      <c r="L534" s="14">
        <f t="shared" si="66"/>
        <v>155.88</v>
      </c>
      <c r="M534" s="14">
        <f t="shared" si="70"/>
        <v>39.969230769230769</v>
      </c>
    </row>
    <row r="535" spans="1:13" ht="15" customHeight="1" x14ac:dyDescent="0.25">
      <c r="A535" s="13" t="s">
        <v>110</v>
      </c>
      <c r="B535" s="27">
        <v>40908</v>
      </c>
      <c r="C535" s="13" t="s">
        <v>179</v>
      </c>
      <c r="D535" s="13" t="s">
        <v>187</v>
      </c>
      <c r="E535" s="28">
        <v>2</v>
      </c>
      <c r="F535" s="29">
        <v>0.39</v>
      </c>
      <c r="H535" s="26">
        <v>48</v>
      </c>
      <c r="J535" s="26"/>
      <c r="K535" s="26"/>
      <c r="L535" s="14">
        <f t="shared" si="66"/>
        <v>48</v>
      </c>
      <c r="M535" s="14">
        <f t="shared" si="70"/>
        <v>123.07692307692307</v>
      </c>
    </row>
    <row r="536" spans="1:13" ht="15" customHeight="1" x14ac:dyDescent="0.25">
      <c r="A536" s="13" t="s">
        <v>110</v>
      </c>
      <c r="B536" s="27">
        <v>40908</v>
      </c>
      <c r="C536" s="13" t="s">
        <v>190</v>
      </c>
      <c r="D536" s="13" t="s">
        <v>187</v>
      </c>
      <c r="E536" s="28">
        <v>8</v>
      </c>
      <c r="F536" s="25">
        <v>1.56</v>
      </c>
      <c r="H536" s="26">
        <v>69.28</v>
      </c>
      <c r="L536" s="14">
        <f t="shared" si="66"/>
        <v>69.28</v>
      </c>
    </row>
    <row r="537" spans="1:13" ht="15" customHeight="1" x14ac:dyDescent="0.25">
      <c r="A537" s="13">
        <v>6190831</v>
      </c>
      <c r="B537" s="27">
        <v>40910</v>
      </c>
      <c r="C537" s="13" t="s">
        <v>170</v>
      </c>
      <c r="D537" s="13" t="s">
        <v>171</v>
      </c>
      <c r="E537" s="28">
        <v>32</v>
      </c>
      <c r="F537" s="25">
        <v>0.03</v>
      </c>
      <c r="G537" s="26">
        <f t="shared" ref="G537:G553" si="71">F537*$G$2</f>
        <v>0.78</v>
      </c>
      <c r="H537" s="26">
        <v>115</v>
      </c>
      <c r="I537" s="26">
        <v>0</v>
      </c>
      <c r="J537" s="26">
        <f t="shared" ref="J537:J553" si="72">F537</f>
        <v>0.03</v>
      </c>
      <c r="K537" s="26">
        <v>115</v>
      </c>
      <c r="L537" s="14">
        <f t="shared" si="66"/>
        <v>115.81</v>
      </c>
      <c r="M537" s="14">
        <f t="shared" ref="M537:M558" si="73">L537/F537</f>
        <v>3860.3333333333335</v>
      </c>
    </row>
    <row r="538" spans="1:13" ht="15" customHeight="1" x14ac:dyDescent="0.25">
      <c r="A538" s="13">
        <v>6190831</v>
      </c>
      <c r="B538" s="27">
        <v>40911</v>
      </c>
      <c r="C538" s="13" t="s">
        <v>128</v>
      </c>
      <c r="D538" s="13" t="s">
        <v>169</v>
      </c>
      <c r="E538" s="28">
        <v>20</v>
      </c>
      <c r="F538" s="25">
        <v>1.1499999999999999</v>
      </c>
      <c r="G538" s="26">
        <f t="shared" si="71"/>
        <v>29.9</v>
      </c>
      <c r="H538" s="26">
        <v>115</v>
      </c>
      <c r="I538" s="26">
        <v>0</v>
      </c>
      <c r="J538" s="26">
        <f t="shared" si="72"/>
        <v>1.1499999999999999</v>
      </c>
      <c r="K538" s="26">
        <f>H538+I538</f>
        <v>115</v>
      </c>
      <c r="L538" s="14">
        <f t="shared" si="66"/>
        <v>146.05000000000001</v>
      </c>
      <c r="M538" s="14">
        <f t="shared" si="73"/>
        <v>127.00000000000001</v>
      </c>
    </row>
    <row r="539" spans="1:13" ht="15" customHeight="1" x14ac:dyDescent="0.25">
      <c r="A539" s="13">
        <v>6190831</v>
      </c>
      <c r="B539" s="27">
        <v>40912</v>
      </c>
      <c r="C539" s="13" t="s">
        <v>128</v>
      </c>
      <c r="D539" s="13" t="s">
        <v>186</v>
      </c>
      <c r="E539" s="28">
        <v>35</v>
      </c>
      <c r="F539" s="25">
        <v>2.41</v>
      </c>
      <c r="G539" s="26">
        <f t="shared" si="71"/>
        <v>62.660000000000004</v>
      </c>
      <c r="H539" s="26">
        <v>115</v>
      </c>
      <c r="I539" s="26">
        <v>0</v>
      </c>
      <c r="J539" s="26">
        <f t="shared" si="72"/>
        <v>2.41</v>
      </c>
      <c r="K539" s="26">
        <v>115</v>
      </c>
      <c r="L539" s="14">
        <f t="shared" si="66"/>
        <v>180.07</v>
      </c>
      <c r="M539" s="14">
        <f t="shared" si="73"/>
        <v>74.717842323651439</v>
      </c>
    </row>
    <row r="540" spans="1:13" ht="15" customHeight="1" x14ac:dyDescent="0.25">
      <c r="A540" s="13">
        <v>6190831</v>
      </c>
      <c r="B540" s="27">
        <v>40912</v>
      </c>
      <c r="C540" s="13" t="s">
        <v>173</v>
      </c>
      <c r="D540" s="13" t="s">
        <v>186</v>
      </c>
      <c r="E540" s="28">
        <v>30</v>
      </c>
      <c r="F540" s="25">
        <v>0.31</v>
      </c>
      <c r="G540" s="26">
        <f t="shared" si="71"/>
        <v>8.06</v>
      </c>
      <c r="H540" s="26">
        <v>115</v>
      </c>
      <c r="I540" s="26">
        <v>0</v>
      </c>
      <c r="J540" s="26">
        <f t="shared" si="72"/>
        <v>0.31</v>
      </c>
      <c r="K540" s="26">
        <v>115</v>
      </c>
      <c r="L540" s="14">
        <f t="shared" si="66"/>
        <v>123.37</v>
      </c>
      <c r="M540" s="14">
        <f t="shared" si="73"/>
        <v>397.9677419354839</v>
      </c>
    </row>
    <row r="541" spans="1:13" ht="15" customHeight="1" x14ac:dyDescent="0.25">
      <c r="A541" s="13">
        <v>6190831</v>
      </c>
      <c r="B541" s="27">
        <v>40914</v>
      </c>
      <c r="C541" s="13" t="s">
        <v>185</v>
      </c>
      <c r="D541" s="13" t="s">
        <v>169</v>
      </c>
      <c r="E541" s="28">
        <v>40</v>
      </c>
      <c r="F541" s="25">
        <v>2.8</v>
      </c>
      <c r="G541" s="26">
        <f t="shared" si="71"/>
        <v>72.8</v>
      </c>
      <c r="H541" s="26">
        <v>115</v>
      </c>
      <c r="I541" s="26">
        <v>0</v>
      </c>
      <c r="J541" s="26">
        <f t="shared" si="72"/>
        <v>2.8</v>
      </c>
      <c r="K541" s="26">
        <v>115</v>
      </c>
      <c r="L541" s="14">
        <f t="shared" si="66"/>
        <v>190.60000000000002</v>
      </c>
      <c r="M541" s="14">
        <f t="shared" si="73"/>
        <v>68.071428571428584</v>
      </c>
    </row>
    <row r="542" spans="1:13" ht="15" customHeight="1" x14ac:dyDescent="0.25">
      <c r="A542" s="13">
        <v>6190831</v>
      </c>
      <c r="B542" s="27">
        <v>40919</v>
      </c>
      <c r="C542" s="13" t="s">
        <v>173</v>
      </c>
      <c r="D542" s="13" t="s">
        <v>186</v>
      </c>
      <c r="E542" s="28">
        <v>30</v>
      </c>
      <c r="F542" s="25">
        <v>1.49</v>
      </c>
      <c r="G542" s="26">
        <f t="shared" si="71"/>
        <v>38.74</v>
      </c>
      <c r="H542" s="26">
        <v>115</v>
      </c>
      <c r="I542" s="26">
        <v>0</v>
      </c>
      <c r="J542" s="26">
        <f t="shared" si="72"/>
        <v>1.49</v>
      </c>
      <c r="K542" s="26">
        <v>115</v>
      </c>
      <c r="L542" s="14">
        <f t="shared" si="66"/>
        <v>155.23000000000002</v>
      </c>
      <c r="M542" s="14">
        <f t="shared" si="73"/>
        <v>104.18120805369129</v>
      </c>
    </row>
    <row r="543" spans="1:13" ht="15" customHeight="1" x14ac:dyDescent="0.25">
      <c r="A543" s="13">
        <v>6190831</v>
      </c>
      <c r="B543" s="27">
        <v>40920</v>
      </c>
      <c r="C543" s="13" t="s">
        <v>191</v>
      </c>
      <c r="D543" s="13" t="s">
        <v>188</v>
      </c>
      <c r="E543" s="28">
        <v>20</v>
      </c>
      <c r="F543" s="25">
        <v>1.05</v>
      </c>
      <c r="G543" s="26">
        <f t="shared" si="71"/>
        <v>27.3</v>
      </c>
      <c r="H543" s="26">
        <v>115</v>
      </c>
      <c r="I543" s="26">
        <v>0</v>
      </c>
      <c r="J543" s="26">
        <f t="shared" si="72"/>
        <v>1.05</v>
      </c>
      <c r="K543" s="26">
        <f>H543+I543</f>
        <v>115</v>
      </c>
      <c r="L543" s="14">
        <f t="shared" si="66"/>
        <v>143.35000000000002</v>
      </c>
      <c r="M543" s="14">
        <f t="shared" si="73"/>
        <v>136.52380952380955</v>
      </c>
    </row>
    <row r="544" spans="1:13" ht="15" customHeight="1" x14ac:dyDescent="0.25">
      <c r="A544" s="13">
        <v>6190831</v>
      </c>
      <c r="B544" s="27">
        <v>40924</v>
      </c>
      <c r="C544" s="13" t="s">
        <v>170</v>
      </c>
      <c r="D544" s="13" t="s">
        <v>171</v>
      </c>
      <c r="E544" s="28">
        <v>32</v>
      </c>
      <c r="F544" s="25">
        <v>3.54</v>
      </c>
      <c r="G544" s="26">
        <f t="shared" si="71"/>
        <v>92.04</v>
      </c>
      <c r="H544" s="26">
        <v>115</v>
      </c>
      <c r="I544" s="26">
        <v>0</v>
      </c>
      <c r="J544" s="26">
        <f t="shared" si="72"/>
        <v>3.54</v>
      </c>
      <c r="K544" s="26">
        <v>115</v>
      </c>
      <c r="L544" s="14">
        <f t="shared" si="66"/>
        <v>210.58</v>
      </c>
      <c r="M544" s="14">
        <f t="shared" si="73"/>
        <v>59.485875706214692</v>
      </c>
    </row>
    <row r="545" spans="1:13" ht="15" customHeight="1" x14ac:dyDescent="0.25">
      <c r="A545" s="13">
        <v>6190831</v>
      </c>
      <c r="B545" s="27">
        <v>40924</v>
      </c>
      <c r="C545" s="13" t="s">
        <v>185</v>
      </c>
      <c r="D545" s="13" t="s">
        <v>169</v>
      </c>
      <c r="E545" s="28">
        <v>40</v>
      </c>
      <c r="F545" s="25">
        <v>3.16</v>
      </c>
      <c r="G545" s="26">
        <f t="shared" si="71"/>
        <v>82.16</v>
      </c>
      <c r="H545" s="26">
        <v>115</v>
      </c>
      <c r="I545" s="26">
        <v>0</v>
      </c>
      <c r="J545" s="26">
        <f t="shared" si="72"/>
        <v>3.16</v>
      </c>
      <c r="K545" s="26">
        <v>115</v>
      </c>
      <c r="L545" s="14">
        <f t="shared" si="66"/>
        <v>200.32</v>
      </c>
      <c r="M545" s="14">
        <f t="shared" si="73"/>
        <v>63.392405063291136</v>
      </c>
    </row>
    <row r="546" spans="1:13" ht="15" customHeight="1" x14ac:dyDescent="0.25">
      <c r="A546" s="13">
        <v>6190831</v>
      </c>
      <c r="B546" s="27">
        <v>40925</v>
      </c>
      <c r="C546" s="13" t="s">
        <v>173</v>
      </c>
      <c r="D546" s="13" t="s">
        <v>186</v>
      </c>
      <c r="E546" s="28">
        <v>30</v>
      </c>
      <c r="F546" s="25">
        <v>0.85</v>
      </c>
      <c r="G546" s="26">
        <f t="shared" si="71"/>
        <v>22.099999999999998</v>
      </c>
      <c r="H546" s="26">
        <v>115</v>
      </c>
      <c r="I546" s="26">
        <v>0</v>
      </c>
      <c r="J546" s="26">
        <f t="shared" si="72"/>
        <v>0.85</v>
      </c>
      <c r="K546" s="26">
        <v>115</v>
      </c>
      <c r="L546" s="14">
        <f t="shared" si="66"/>
        <v>137.94999999999999</v>
      </c>
      <c r="M546" s="14">
        <f t="shared" si="73"/>
        <v>162.29411764705881</v>
      </c>
    </row>
    <row r="547" spans="1:13" ht="15" customHeight="1" x14ac:dyDescent="0.25">
      <c r="A547" s="13">
        <v>6190831</v>
      </c>
      <c r="B547" s="27">
        <v>40925</v>
      </c>
      <c r="C547" s="13" t="s">
        <v>128</v>
      </c>
      <c r="D547" s="13" t="s">
        <v>186</v>
      </c>
      <c r="E547" s="28">
        <v>35</v>
      </c>
      <c r="F547" s="25">
        <v>2.2000000000000002</v>
      </c>
      <c r="G547" s="26">
        <f t="shared" si="71"/>
        <v>57.2</v>
      </c>
      <c r="H547" s="26">
        <v>115</v>
      </c>
      <c r="I547" s="26">
        <v>0</v>
      </c>
      <c r="J547" s="26">
        <f t="shared" si="72"/>
        <v>2.2000000000000002</v>
      </c>
      <c r="K547" s="26">
        <v>115</v>
      </c>
      <c r="L547" s="14">
        <f t="shared" si="66"/>
        <v>174.39999999999998</v>
      </c>
      <c r="M547" s="14">
        <f t="shared" si="73"/>
        <v>79.272727272727252</v>
      </c>
    </row>
    <row r="548" spans="1:13" ht="15" customHeight="1" x14ac:dyDescent="0.25">
      <c r="A548" s="13">
        <v>6190831</v>
      </c>
      <c r="B548" s="27">
        <v>40931</v>
      </c>
      <c r="C548" s="13" t="s">
        <v>170</v>
      </c>
      <c r="D548" s="13" t="s">
        <v>171</v>
      </c>
      <c r="E548" s="28">
        <v>32</v>
      </c>
      <c r="F548" s="25">
        <v>2.12</v>
      </c>
      <c r="G548" s="26">
        <f t="shared" si="71"/>
        <v>55.120000000000005</v>
      </c>
      <c r="H548" s="26">
        <v>115</v>
      </c>
      <c r="I548" s="26">
        <v>0</v>
      </c>
      <c r="J548" s="26">
        <f t="shared" si="72"/>
        <v>2.12</v>
      </c>
      <c r="K548" s="26">
        <v>115</v>
      </c>
      <c r="L548" s="14">
        <f t="shared" si="66"/>
        <v>172.24</v>
      </c>
      <c r="M548" s="14">
        <f t="shared" si="73"/>
        <v>81.245283018867923</v>
      </c>
    </row>
    <row r="549" spans="1:13" ht="15" customHeight="1" x14ac:dyDescent="0.25">
      <c r="A549" s="13">
        <v>6190831</v>
      </c>
      <c r="B549" s="27">
        <v>40933</v>
      </c>
      <c r="C549" s="13" t="s">
        <v>173</v>
      </c>
      <c r="D549" s="13" t="s">
        <v>186</v>
      </c>
      <c r="E549" s="28">
        <v>30</v>
      </c>
      <c r="F549" s="25">
        <v>2.99</v>
      </c>
      <c r="G549" s="26">
        <f t="shared" si="71"/>
        <v>77.740000000000009</v>
      </c>
      <c r="H549" s="26">
        <v>115</v>
      </c>
      <c r="I549" s="26">
        <v>0</v>
      </c>
      <c r="J549" s="26">
        <f t="shared" si="72"/>
        <v>2.99</v>
      </c>
      <c r="K549" s="26">
        <v>115</v>
      </c>
      <c r="L549" s="14">
        <f t="shared" si="66"/>
        <v>195.73000000000002</v>
      </c>
      <c r="M549" s="14">
        <f t="shared" si="73"/>
        <v>65.461538461538467</v>
      </c>
    </row>
    <row r="550" spans="1:13" ht="15" customHeight="1" x14ac:dyDescent="0.25">
      <c r="A550" s="13">
        <v>6190831</v>
      </c>
      <c r="B550" s="27">
        <v>40933</v>
      </c>
      <c r="C550" s="13" t="s">
        <v>185</v>
      </c>
      <c r="D550" s="13" t="s">
        <v>169</v>
      </c>
      <c r="E550" s="28">
        <v>40</v>
      </c>
      <c r="F550" s="25">
        <v>3.06</v>
      </c>
      <c r="G550" s="26">
        <f t="shared" si="71"/>
        <v>79.56</v>
      </c>
      <c r="H550" s="26">
        <v>115</v>
      </c>
      <c r="I550" s="26">
        <v>0</v>
      </c>
      <c r="J550" s="26">
        <f t="shared" si="72"/>
        <v>3.06</v>
      </c>
      <c r="K550" s="26">
        <v>115</v>
      </c>
      <c r="L550" s="14">
        <f t="shared" si="66"/>
        <v>197.62</v>
      </c>
      <c r="M550" s="14">
        <f t="shared" si="73"/>
        <v>64.58169934640523</v>
      </c>
    </row>
    <row r="551" spans="1:13" ht="15" customHeight="1" x14ac:dyDescent="0.25">
      <c r="A551" s="13">
        <v>6190831</v>
      </c>
      <c r="B551" s="27">
        <v>40933</v>
      </c>
      <c r="C551" s="13" t="s">
        <v>128</v>
      </c>
      <c r="D551" s="13" t="s">
        <v>169</v>
      </c>
      <c r="E551" s="28">
        <v>20</v>
      </c>
      <c r="F551" s="25">
        <v>5.31</v>
      </c>
      <c r="G551" s="26">
        <f t="shared" si="71"/>
        <v>138.06</v>
      </c>
      <c r="H551" s="26">
        <v>115</v>
      </c>
      <c r="I551" s="26">
        <v>0</v>
      </c>
      <c r="J551" s="26">
        <f t="shared" si="72"/>
        <v>5.31</v>
      </c>
      <c r="K551" s="26">
        <f>H551+I551</f>
        <v>115</v>
      </c>
      <c r="L551" s="14">
        <f t="shared" si="66"/>
        <v>258.37</v>
      </c>
      <c r="M551" s="14">
        <f t="shared" si="73"/>
        <v>48.657250470809799</v>
      </c>
    </row>
    <row r="552" spans="1:13" ht="15" customHeight="1" x14ac:dyDescent="0.25">
      <c r="A552" s="13">
        <v>6190831</v>
      </c>
      <c r="B552" s="27">
        <v>40933</v>
      </c>
      <c r="C552" s="13" t="s">
        <v>128</v>
      </c>
      <c r="D552" s="13" t="s">
        <v>169</v>
      </c>
      <c r="E552" s="28">
        <v>20</v>
      </c>
      <c r="F552" s="25">
        <v>0.8</v>
      </c>
      <c r="G552" s="26">
        <f t="shared" si="71"/>
        <v>20.8</v>
      </c>
      <c r="H552" s="26">
        <v>115</v>
      </c>
      <c r="I552" s="26">
        <v>0</v>
      </c>
      <c r="J552" s="26">
        <f t="shared" si="72"/>
        <v>0.8</v>
      </c>
      <c r="K552" s="26">
        <f>H552+I552</f>
        <v>115</v>
      </c>
      <c r="L552" s="14">
        <f t="shared" si="66"/>
        <v>136.60000000000002</v>
      </c>
      <c r="M552" s="14">
        <f t="shared" si="73"/>
        <v>170.75000000000003</v>
      </c>
    </row>
    <row r="553" spans="1:13" ht="15" customHeight="1" x14ac:dyDescent="0.25">
      <c r="A553" s="13">
        <v>6190831</v>
      </c>
      <c r="B553" s="27">
        <v>40938</v>
      </c>
      <c r="C553" s="13" t="s">
        <v>170</v>
      </c>
      <c r="D553" s="13" t="s">
        <v>171</v>
      </c>
      <c r="E553" s="28">
        <v>32</v>
      </c>
      <c r="F553" s="25">
        <v>2.2799999999999998</v>
      </c>
      <c r="G553" s="26">
        <f t="shared" si="71"/>
        <v>59.279999999999994</v>
      </c>
      <c r="H553" s="26">
        <v>115</v>
      </c>
      <c r="I553" s="26">
        <v>0</v>
      </c>
      <c r="J553" s="26">
        <f t="shared" si="72"/>
        <v>2.2799999999999998</v>
      </c>
      <c r="K553" s="26">
        <v>115</v>
      </c>
      <c r="L553" s="14">
        <f t="shared" si="66"/>
        <v>176.56</v>
      </c>
      <c r="M553" s="14">
        <f t="shared" si="73"/>
        <v>77.438596491228083</v>
      </c>
    </row>
    <row r="554" spans="1:13" ht="15" customHeight="1" x14ac:dyDescent="0.25">
      <c r="A554" s="13">
        <v>5679114</v>
      </c>
      <c r="B554" s="27">
        <v>40939</v>
      </c>
      <c r="C554" s="13" t="s">
        <v>174</v>
      </c>
      <c r="D554" s="13" t="s">
        <v>187</v>
      </c>
      <c r="E554" s="28">
        <v>6</v>
      </c>
      <c r="F554" s="29">
        <v>1.17</v>
      </c>
      <c r="H554" s="26">
        <v>70.680000000000007</v>
      </c>
      <c r="J554" s="26"/>
      <c r="K554" s="26"/>
      <c r="L554" s="14">
        <f t="shared" si="66"/>
        <v>70.680000000000007</v>
      </c>
      <c r="M554" s="14">
        <f t="shared" si="73"/>
        <v>60.410256410256423</v>
      </c>
    </row>
    <row r="555" spans="1:13" ht="15" customHeight="1" x14ac:dyDescent="0.25">
      <c r="A555" s="13">
        <v>5679114</v>
      </c>
      <c r="B555" s="27">
        <v>40939</v>
      </c>
      <c r="C555" s="13" t="s">
        <v>176</v>
      </c>
      <c r="D555" s="13" t="s">
        <v>175</v>
      </c>
      <c r="E555" s="28">
        <v>6</v>
      </c>
      <c r="F555" s="29">
        <v>2.34</v>
      </c>
      <c r="H555" s="26">
        <v>94.32</v>
      </c>
      <c r="J555" s="26"/>
      <c r="K555" s="26"/>
      <c r="L555" s="14">
        <f t="shared" si="66"/>
        <v>94.32</v>
      </c>
      <c r="M555" s="14">
        <f t="shared" si="73"/>
        <v>40.307692307692307</v>
      </c>
    </row>
    <row r="556" spans="1:13" ht="15" customHeight="1" x14ac:dyDescent="0.25">
      <c r="A556" s="13">
        <v>5679509</v>
      </c>
      <c r="B556" s="27">
        <v>40939</v>
      </c>
      <c r="C556" s="13" t="s">
        <v>177</v>
      </c>
      <c r="D556" s="13" t="s">
        <v>175</v>
      </c>
      <c r="E556" s="28">
        <v>8</v>
      </c>
      <c r="F556" s="29">
        <v>3.12</v>
      </c>
      <c r="H556" s="26">
        <v>129</v>
      </c>
      <c r="J556" s="26"/>
      <c r="K556" s="26"/>
      <c r="L556" s="14">
        <f t="shared" si="66"/>
        <v>129</v>
      </c>
      <c r="M556" s="14">
        <f t="shared" si="73"/>
        <v>41.346153846153847</v>
      </c>
    </row>
    <row r="557" spans="1:13" ht="15" customHeight="1" x14ac:dyDescent="0.25">
      <c r="A557" s="13">
        <v>5681928</v>
      </c>
      <c r="B557" s="27">
        <v>40939</v>
      </c>
      <c r="C557" s="13" t="s">
        <v>178</v>
      </c>
      <c r="D557" s="13" t="s">
        <v>186</v>
      </c>
      <c r="E557" s="28">
        <v>6</v>
      </c>
      <c r="F557" s="29">
        <v>3.9</v>
      </c>
      <c r="H557" s="26">
        <v>155.88</v>
      </c>
      <c r="J557" s="26"/>
      <c r="K557" s="26"/>
      <c r="L557" s="14">
        <f t="shared" si="66"/>
        <v>155.88</v>
      </c>
      <c r="M557" s="14">
        <f t="shared" si="73"/>
        <v>39.969230769230769</v>
      </c>
    </row>
    <row r="558" spans="1:13" ht="15" customHeight="1" x14ac:dyDescent="0.25">
      <c r="A558" s="13">
        <v>5682203</v>
      </c>
      <c r="B558" s="27">
        <v>40939</v>
      </c>
      <c r="C558" s="13" t="s">
        <v>179</v>
      </c>
      <c r="D558" s="13" t="s">
        <v>187</v>
      </c>
      <c r="E558" s="28">
        <v>2</v>
      </c>
      <c r="F558" s="29">
        <v>0.39</v>
      </c>
      <c r="H558" s="26">
        <v>48</v>
      </c>
      <c r="J558" s="26"/>
      <c r="K558" s="26"/>
      <c r="L558" s="14">
        <f t="shared" si="66"/>
        <v>48</v>
      </c>
      <c r="M558" s="14">
        <f t="shared" si="73"/>
        <v>123.07692307692307</v>
      </c>
    </row>
    <row r="559" spans="1:13" ht="15" customHeight="1" x14ac:dyDescent="0.25">
      <c r="A559" s="13">
        <v>5684231</v>
      </c>
      <c r="B559" s="27">
        <v>40939</v>
      </c>
      <c r="C559" s="13" t="s">
        <v>190</v>
      </c>
      <c r="D559" s="13" t="s">
        <v>187</v>
      </c>
      <c r="E559" s="28">
        <v>8</v>
      </c>
      <c r="F559" s="25">
        <v>1.56</v>
      </c>
      <c r="H559" s="26">
        <v>69.28</v>
      </c>
      <c r="L559" s="14">
        <f t="shared" si="66"/>
        <v>69.28</v>
      </c>
    </row>
    <row r="560" spans="1:13" ht="15" customHeight="1" x14ac:dyDescent="0.25">
      <c r="A560" s="13">
        <v>6209110</v>
      </c>
      <c r="B560" s="27">
        <v>40940</v>
      </c>
      <c r="C560" s="13" t="s">
        <v>173</v>
      </c>
      <c r="D560" s="13" t="s">
        <v>186</v>
      </c>
      <c r="E560" s="28">
        <v>30</v>
      </c>
      <c r="F560" s="25">
        <v>2.71</v>
      </c>
      <c r="G560" s="26">
        <f t="shared" ref="G560:G573" si="74">F560*$G$2</f>
        <v>70.459999999999994</v>
      </c>
      <c r="H560" s="26">
        <v>115</v>
      </c>
      <c r="I560" s="26">
        <v>0</v>
      </c>
      <c r="J560" s="26">
        <f t="shared" ref="J560:J573" si="75">F560</f>
        <v>2.71</v>
      </c>
      <c r="K560" s="26">
        <v>115</v>
      </c>
      <c r="L560" s="14">
        <f t="shared" si="66"/>
        <v>188.17</v>
      </c>
      <c r="M560" s="14">
        <f t="shared" ref="M560:M578" si="76">L560/F560</f>
        <v>69.435424354243537</v>
      </c>
    </row>
    <row r="561" spans="1:13" ht="15" customHeight="1" x14ac:dyDescent="0.25">
      <c r="A561" s="13">
        <v>6209110</v>
      </c>
      <c r="B561" s="27">
        <v>40942</v>
      </c>
      <c r="C561" s="13" t="s">
        <v>128</v>
      </c>
      <c r="D561" s="13" t="s">
        <v>186</v>
      </c>
      <c r="E561" s="28">
        <v>35</v>
      </c>
      <c r="F561" s="25">
        <v>4.4800000000000004</v>
      </c>
      <c r="G561" s="26">
        <f t="shared" si="74"/>
        <v>116.48000000000002</v>
      </c>
      <c r="H561" s="26">
        <v>115</v>
      </c>
      <c r="I561" s="26">
        <v>0</v>
      </c>
      <c r="J561" s="26">
        <f t="shared" si="75"/>
        <v>4.4800000000000004</v>
      </c>
      <c r="K561" s="26">
        <v>115</v>
      </c>
      <c r="L561" s="14">
        <f t="shared" si="66"/>
        <v>235.96</v>
      </c>
      <c r="M561" s="14">
        <f t="shared" si="76"/>
        <v>52.669642857142854</v>
      </c>
    </row>
    <row r="562" spans="1:13" ht="15" customHeight="1" x14ac:dyDescent="0.25">
      <c r="A562" s="13">
        <v>6209110</v>
      </c>
      <c r="B562" s="27">
        <v>40942</v>
      </c>
      <c r="C562" s="13" t="s">
        <v>185</v>
      </c>
      <c r="D562" s="13" t="s">
        <v>169</v>
      </c>
      <c r="E562" s="28">
        <v>40</v>
      </c>
      <c r="F562" s="25">
        <v>5.38</v>
      </c>
      <c r="G562" s="26">
        <f t="shared" si="74"/>
        <v>139.88</v>
      </c>
      <c r="H562" s="26">
        <v>115</v>
      </c>
      <c r="I562" s="26">
        <v>0</v>
      </c>
      <c r="J562" s="26">
        <f t="shared" si="75"/>
        <v>5.38</v>
      </c>
      <c r="K562" s="26">
        <v>115</v>
      </c>
      <c r="L562" s="14">
        <f t="shared" si="66"/>
        <v>260.26</v>
      </c>
      <c r="M562" s="14">
        <f t="shared" si="76"/>
        <v>48.375464684014872</v>
      </c>
    </row>
    <row r="563" spans="1:13" ht="15" customHeight="1" x14ac:dyDescent="0.25">
      <c r="A563" s="13">
        <v>6209110</v>
      </c>
      <c r="B563" s="27">
        <v>40945</v>
      </c>
      <c r="C563" s="13" t="s">
        <v>170</v>
      </c>
      <c r="D563" s="13" t="s">
        <v>171</v>
      </c>
      <c r="E563" s="28">
        <v>32</v>
      </c>
      <c r="F563" s="25">
        <v>2.44</v>
      </c>
      <c r="G563" s="26">
        <f t="shared" si="74"/>
        <v>63.44</v>
      </c>
      <c r="H563" s="26">
        <v>115</v>
      </c>
      <c r="I563" s="26">
        <v>0</v>
      </c>
      <c r="J563" s="26">
        <f t="shared" si="75"/>
        <v>2.44</v>
      </c>
      <c r="K563" s="26">
        <v>115</v>
      </c>
      <c r="L563" s="14">
        <f t="shared" si="66"/>
        <v>180.88</v>
      </c>
      <c r="M563" s="14">
        <f t="shared" si="76"/>
        <v>74.131147540983605</v>
      </c>
    </row>
    <row r="564" spans="1:13" ht="15" customHeight="1" x14ac:dyDescent="0.25">
      <c r="A564" s="13">
        <v>6209110</v>
      </c>
      <c r="B564" s="27">
        <v>40947</v>
      </c>
      <c r="C564" s="13" t="s">
        <v>173</v>
      </c>
      <c r="D564" s="13" t="s">
        <v>186</v>
      </c>
      <c r="E564" s="28">
        <v>30</v>
      </c>
      <c r="F564" s="25">
        <v>3.49</v>
      </c>
      <c r="G564" s="26">
        <f t="shared" si="74"/>
        <v>90.740000000000009</v>
      </c>
      <c r="H564" s="26">
        <v>115</v>
      </c>
      <c r="I564" s="26">
        <v>0</v>
      </c>
      <c r="J564" s="26">
        <f t="shared" si="75"/>
        <v>3.49</v>
      </c>
      <c r="K564" s="26">
        <v>115</v>
      </c>
      <c r="L564" s="14">
        <f t="shared" si="66"/>
        <v>209.23000000000002</v>
      </c>
      <c r="M564" s="14">
        <f t="shared" si="76"/>
        <v>59.951289398280807</v>
      </c>
    </row>
    <row r="565" spans="1:13" ht="15" customHeight="1" x14ac:dyDescent="0.25">
      <c r="A565" s="13">
        <v>6209110</v>
      </c>
      <c r="B565" s="27">
        <v>40949</v>
      </c>
      <c r="C565" s="13" t="s">
        <v>192</v>
      </c>
      <c r="D565" s="13" t="s">
        <v>169</v>
      </c>
      <c r="E565" s="28">
        <v>40</v>
      </c>
      <c r="F565" s="25">
        <v>2.36</v>
      </c>
      <c r="G565" s="26">
        <f t="shared" si="74"/>
        <v>61.36</v>
      </c>
      <c r="H565" s="26">
        <v>115</v>
      </c>
      <c r="J565" s="26">
        <f t="shared" si="75"/>
        <v>2.36</v>
      </c>
      <c r="K565" s="26">
        <f>H565+I565</f>
        <v>115</v>
      </c>
      <c r="L565" s="14">
        <f t="shared" si="66"/>
        <v>178.72000000000003</v>
      </c>
      <c r="M565" s="14">
        <f t="shared" si="76"/>
        <v>75.728813559322049</v>
      </c>
    </row>
    <row r="566" spans="1:13" ht="15" customHeight="1" x14ac:dyDescent="0.25">
      <c r="A566" s="13">
        <v>6209110</v>
      </c>
      <c r="B566" s="27">
        <v>40952</v>
      </c>
      <c r="C566" s="13" t="s">
        <v>170</v>
      </c>
      <c r="D566" s="13" t="s">
        <v>171</v>
      </c>
      <c r="E566" s="28">
        <v>32</v>
      </c>
      <c r="F566" s="25">
        <v>2.12</v>
      </c>
      <c r="G566" s="26">
        <f t="shared" si="74"/>
        <v>55.120000000000005</v>
      </c>
      <c r="H566" s="26">
        <v>115</v>
      </c>
      <c r="I566" s="26">
        <v>0</v>
      </c>
      <c r="J566" s="26">
        <f t="shared" si="75"/>
        <v>2.12</v>
      </c>
      <c r="K566" s="26">
        <v>115</v>
      </c>
      <c r="L566" s="14">
        <f t="shared" si="66"/>
        <v>172.24</v>
      </c>
      <c r="M566" s="14">
        <f t="shared" si="76"/>
        <v>81.245283018867923</v>
      </c>
    </row>
    <row r="567" spans="1:13" ht="15" customHeight="1" x14ac:dyDescent="0.25">
      <c r="A567" s="13">
        <v>6209110</v>
      </c>
      <c r="B567" s="27">
        <v>40954</v>
      </c>
      <c r="C567" s="13" t="s">
        <v>173</v>
      </c>
      <c r="D567" s="13" t="s">
        <v>186</v>
      </c>
      <c r="E567" s="28">
        <v>30</v>
      </c>
      <c r="F567" s="25">
        <v>2.7</v>
      </c>
      <c r="G567" s="26">
        <f t="shared" si="74"/>
        <v>70.2</v>
      </c>
      <c r="H567" s="26">
        <v>115</v>
      </c>
      <c r="I567" s="26">
        <v>0</v>
      </c>
      <c r="J567" s="26">
        <f t="shared" si="75"/>
        <v>2.7</v>
      </c>
      <c r="K567" s="26">
        <v>115</v>
      </c>
      <c r="L567" s="14">
        <f t="shared" si="66"/>
        <v>187.89999999999998</v>
      </c>
      <c r="M567" s="14">
        <f t="shared" si="76"/>
        <v>69.592592592592581</v>
      </c>
    </row>
    <row r="568" spans="1:13" ht="15" customHeight="1" x14ac:dyDescent="0.25">
      <c r="A568" s="13">
        <v>6209110</v>
      </c>
      <c r="B568" s="27">
        <v>40956</v>
      </c>
      <c r="C568" s="13" t="s">
        <v>128</v>
      </c>
      <c r="D568" s="13" t="s">
        <v>169</v>
      </c>
      <c r="E568" s="28">
        <v>20</v>
      </c>
      <c r="F568" s="25">
        <v>2.6</v>
      </c>
      <c r="G568" s="26">
        <f t="shared" si="74"/>
        <v>67.600000000000009</v>
      </c>
      <c r="H568" s="26">
        <v>115</v>
      </c>
      <c r="I568" s="26">
        <v>0</v>
      </c>
      <c r="J568" s="26">
        <f t="shared" si="75"/>
        <v>2.6</v>
      </c>
      <c r="K568" s="26">
        <f>H568+I568</f>
        <v>115</v>
      </c>
      <c r="L568" s="14">
        <f t="shared" si="66"/>
        <v>185.20000000000002</v>
      </c>
      <c r="M568" s="14">
        <f t="shared" si="76"/>
        <v>71.230769230769241</v>
      </c>
    </row>
    <row r="569" spans="1:13" ht="15" customHeight="1" x14ac:dyDescent="0.25">
      <c r="A569" s="13">
        <v>6209110</v>
      </c>
      <c r="B569" s="27">
        <v>40959</v>
      </c>
      <c r="C569" s="13" t="s">
        <v>170</v>
      </c>
      <c r="D569" s="13" t="s">
        <v>171</v>
      </c>
      <c r="E569" s="28">
        <v>32</v>
      </c>
      <c r="F569" s="25">
        <v>2.2999999999999998</v>
      </c>
      <c r="G569" s="26">
        <f t="shared" si="74"/>
        <v>59.8</v>
      </c>
      <c r="H569" s="26">
        <v>115</v>
      </c>
      <c r="I569" s="26">
        <v>0</v>
      </c>
      <c r="J569" s="26">
        <f t="shared" si="75"/>
        <v>2.2999999999999998</v>
      </c>
      <c r="K569" s="26">
        <v>115</v>
      </c>
      <c r="L569" s="14">
        <f t="shared" si="66"/>
        <v>177.10000000000002</v>
      </c>
      <c r="M569" s="14">
        <f t="shared" si="76"/>
        <v>77.000000000000014</v>
      </c>
    </row>
    <row r="570" spans="1:13" ht="15" customHeight="1" x14ac:dyDescent="0.25">
      <c r="A570" s="13">
        <v>6209110</v>
      </c>
      <c r="B570" s="27">
        <v>40960</v>
      </c>
      <c r="C570" s="13" t="s">
        <v>192</v>
      </c>
      <c r="D570" s="13" t="s">
        <v>169</v>
      </c>
      <c r="E570" s="28">
        <v>40</v>
      </c>
      <c r="F570" s="25">
        <v>4.42</v>
      </c>
      <c r="G570" s="26">
        <f t="shared" si="74"/>
        <v>114.92</v>
      </c>
      <c r="H570" s="26">
        <v>115</v>
      </c>
      <c r="J570" s="26">
        <f t="shared" si="75"/>
        <v>4.42</v>
      </c>
      <c r="K570" s="26">
        <f>H570+I570</f>
        <v>115</v>
      </c>
      <c r="L570" s="14">
        <f t="shared" si="66"/>
        <v>234.34</v>
      </c>
      <c r="M570" s="14">
        <f t="shared" si="76"/>
        <v>53.018099547511312</v>
      </c>
    </row>
    <row r="571" spans="1:13" ht="15" customHeight="1" x14ac:dyDescent="0.25">
      <c r="A571" s="13">
        <v>6209110</v>
      </c>
      <c r="B571" s="27">
        <v>40961</v>
      </c>
      <c r="C571" s="13" t="s">
        <v>173</v>
      </c>
      <c r="D571" s="13" t="s">
        <v>186</v>
      </c>
      <c r="E571" s="28">
        <v>30</v>
      </c>
      <c r="F571" s="25">
        <v>3.01</v>
      </c>
      <c r="G571" s="26">
        <f t="shared" si="74"/>
        <v>78.259999999999991</v>
      </c>
      <c r="H571" s="26">
        <v>115</v>
      </c>
      <c r="I571" s="26">
        <v>0</v>
      </c>
      <c r="J571" s="26">
        <f t="shared" si="75"/>
        <v>3.01</v>
      </c>
      <c r="K571" s="26">
        <v>115</v>
      </c>
      <c r="L571" s="14">
        <f t="shared" si="66"/>
        <v>196.26999999999998</v>
      </c>
      <c r="M571" s="14">
        <f t="shared" si="76"/>
        <v>65.205980066445179</v>
      </c>
    </row>
    <row r="572" spans="1:13" ht="15" customHeight="1" x14ac:dyDescent="0.25">
      <c r="A572" s="13">
        <v>6209110</v>
      </c>
      <c r="B572" s="27">
        <v>40962</v>
      </c>
      <c r="C572" s="13" t="s">
        <v>192</v>
      </c>
      <c r="D572" s="13" t="s">
        <v>169</v>
      </c>
      <c r="E572" s="28">
        <v>40</v>
      </c>
      <c r="F572" s="25">
        <v>3.07</v>
      </c>
      <c r="G572" s="26">
        <f t="shared" si="74"/>
        <v>79.819999999999993</v>
      </c>
      <c r="H572" s="26">
        <v>115</v>
      </c>
      <c r="J572" s="26">
        <f t="shared" si="75"/>
        <v>3.07</v>
      </c>
      <c r="K572" s="26">
        <f>H572+I572</f>
        <v>115</v>
      </c>
      <c r="L572" s="14">
        <f t="shared" si="66"/>
        <v>197.89</v>
      </c>
      <c r="M572" s="14">
        <f t="shared" si="76"/>
        <v>64.45928338762215</v>
      </c>
    </row>
    <row r="573" spans="1:13" ht="15" customHeight="1" x14ac:dyDescent="0.25">
      <c r="A573" s="13">
        <v>6209110</v>
      </c>
      <c r="B573" s="27">
        <v>40966</v>
      </c>
      <c r="C573" s="13" t="s">
        <v>170</v>
      </c>
      <c r="D573" s="13" t="s">
        <v>171</v>
      </c>
      <c r="E573" s="28">
        <v>32</v>
      </c>
      <c r="F573" s="25">
        <v>2.33</v>
      </c>
      <c r="G573" s="26">
        <f t="shared" si="74"/>
        <v>60.58</v>
      </c>
      <c r="H573" s="26">
        <v>115</v>
      </c>
      <c r="I573" s="26">
        <v>0</v>
      </c>
      <c r="J573" s="26">
        <f t="shared" si="75"/>
        <v>2.33</v>
      </c>
      <c r="K573" s="26">
        <v>115</v>
      </c>
      <c r="L573" s="14">
        <f t="shared" si="66"/>
        <v>177.91</v>
      </c>
      <c r="M573" s="14">
        <f t="shared" si="76"/>
        <v>76.356223175965667</v>
      </c>
    </row>
    <row r="574" spans="1:13" ht="15" customHeight="1" x14ac:dyDescent="0.25">
      <c r="A574" s="13">
        <v>5687702</v>
      </c>
      <c r="B574" s="27">
        <v>40968</v>
      </c>
      <c r="C574" s="13" t="s">
        <v>174</v>
      </c>
      <c r="D574" s="13" t="s">
        <v>187</v>
      </c>
      <c r="E574" s="28">
        <v>6</v>
      </c>
      <c r="F574" s="29">
        <v>1.17</v>
      </c>
      <c r="H574" s="26">
        <v>70.680000000000007</v>
      </c>
      <c r="J574" s="26"/>
      <c r="K574" s="26"/>
      <c r="L574" s="14">
        <f t="shared" si="66"/>
        <v>70.680000000000007</v>
      </c>
      <c r="M574" s="14">
        <f t="shared" si="76"/>
        <v>60.410256410256423</v>
      </c>
    </row>
    <row r="575" spans="1:13" ht="15" customHeight="1" x14ac:dyDescent="0.25">
      <c r="A575" s="13">
        <v>5687702</v>
      </c>
      <c r="B575" s="27">
        <v>40968</v>
      </c>
      <c r="C575" s="13" t="s">
        <v>176</v>
      </c>
      <c r="D575" s="13" t="s">
        <v>175</v>
      </c>
      <c r="E575" s="28">
        <v>6</v>
      </c>
      <c r="F575" s="29">
        <v>2.34</v>
      </c>
      <c r="H575" s="26">
        <v>94.32</v>
      </c>
      <c r="J575" s="26"/>
      <c r="K575" s="26"/>
      <c r="L575" s="14">
        <f t="shared" si="66"/>
        <v>94.32</v>
      </c>
      <c r="M575" s="14">
        <f t="shared" si="76"/>
        <v>40.307692307692307</v>
      </c>
    </row>
    <row r="576" spans="1:13" ht="15" customHeight="1" x14ac:dyDescent="0.25">
      <c r="A576" s="13">
        <v>5688096</v>
      </c>
      <c r="B576" s="27">
        <v>40968</v>
      </c>
      <c r="C576" s="13" t="s">
        <v>177</v>
      </c>
      <c r="D576" s="13" t="s">
        <v>175</v>
      </c>
      <c r="E576" s="28">
        <v>8</v>
      </c>
      <c r="F576" s="29">
        <v>3.12</v>
      </c>
      <c r="H576" s="26">
        <v>129</v>
      </c>
      <c r="J576" s="26"/>
      <c r="K576" s="26"/>
      <c r="L576" s="14">
        <f t="shared" si="66"/>
        <v>129</v>
      </c>
      <c r="M576" s="14">
        <f t="shared" si="76"/>
        <v>41.346153846153847</v>
      </c>
    </row>
    <row r="577" spans="1:13" ht="15" customHeight="1" x14ac:dyDescent="0.25">
      <c r="A577" s="13">
        <v>5690501</v>
      </c>
      <c r="B577" s="27">
        <v>40968</v>
      </c>
      <c r="C577" s="13" t="s">
        <v>178</v>
      </c>
      <c r="D577" s="13" t="s">
        <v>186</v>
      </c>
      <c r="E577" s="28">
        <v>6</v>
      </c>
      <c r="F577" s="29">
        <v>3.9</v>
      </c>
      <c r="H577" s="26">
        <v>155.88</v>
      </c>
      <c r="J577" s="26"/>
      <c r="K577" s="26"/>
      <c r="L577" s="14">
        <f t="shared" si="66"/>
        <v>155.88</v>
      </c>
      <c r="M577" s="14">
        <f t="shared" si="76"/>
        <v>39.969230769230769</v>
      </c>
    </row>
    <row r="578" spans="1:13" ht="15" customHeight="1" x14ac:dyDescent="0.25">
      <c r="A578" s="13">
        <v>5690775</v>
      </c>
      <c r="B578" s="27">
        <v>40968</v>
      </c>
      <c r="C578" s="13" t="s">
        <v>179</v>
      </c>
      <c r="D578" s="13" t="s">
        <v>187</v>
      </c>
      <c r="E578" s="28">
        <v>2</v>
      </c>
      <c r="F578" s="29">
        <v>0.39</v>
      </c>
      <c r="H578" s="26">
        <v>48</v>
      </c>
      <c r="J578" s="26"/>
      <c r="K578" s="26"/>
      <c r="L578" s="14">
        <f t="shared" si="66"/>
        <v>48</v>
      </c>
      <c r="M578" s="14">
        <f t="shared" si="76"/>
        <v>123.07692307692307</v>
      </c>
    </row>
    <row r="579" spans="1:13" ht="15" customHeight="1" x14ac:dyDescent="0.25">
      <c r="A579" s="13">
        <v>5692760</v>
      </c>
      <c r="B579" s="27">
        <v>40968</v>
      </c>
      <c r="C579" s="13" t="s">
        <v>190</v>
      </c>
      <c r="D579" s="13" t="s">
        <v>187</v>
      </c>
      <c r="E579" s="28">
        <v>8</v>
      </c>
      <c r="F579" s="25">
        <v>1.56</v>
      </c>
      <c r="H579" s="26">
        <v>69.28</v>
      </c>
      <c r="L579" s="14">
        <f t="shared" si="66"/>
        <v>69.28</v>
      </c>
    </row>
    <row r="580" spans="1:13" ht="15" customHeight="1" x14ac:dyDescent="0.25">
      <c r="A580" s="13">
        <v>6209110</v>
      </c>
      <c r="B580" s="27">
        <v>40968</v>
      </c>
      <c r="C580" s="13" t="s">
        <v>173</v>
      </c>
      <c r="D580" s="13" t="s">
        <v>186</v>
      </c>
      <c r="E580" s="28">
        <v>30</v>
      </c>
      <c r="F580" s="25">
        <v>3.12</v>
      </c>
      <c r="G580" s="26">
        <f t="shared" ref="G580:G592" si="77">F580*$G$2</f>
        <v>81.12</v>
      </c>
      <c r="H580" s="26">
        <v>115</v>
      </c>
      <c r="I580" s="26">
        <v>0</v>
      </c>
      <c r="J580" s="26">
        <f t="shared" ref="J580:J592" si="78">F580</f>
        <v>3.12</v>
      </c>
      <c r="K580" s="26">
        <v>115</v>
      </c>
      <c r="L580" s="14">
        <f t="shared" ref="L580:L643" si="79">G580+H580+I580+J580</f>
        <v>199.24</v>
      </c>
      <c r="M580" s="14">
        <f t="shared" ref="M580:M597" si="80">L580/F580</f>
        <v>63.858974358974358</v>
      </c>
    </row>
    <row r="581" spans="1:13" ht="15" customHeight="1" x14ac:dyDescent="0.25">
      <c r="A581" s="13">
        <v>6227350</v>
      </c>
      <c r="B581" s="27">
        <v>40970</v>
      </c>
      <c r="C581" s="13" t="s">
        <v>185</v>
      </c>
      <c r="D581" s="13" t="s">
        <v>169</v>
      </c>
      <c r="E581" s="28">
        <v>40</v>
      </c>
      <c r="F581" s="25">
        <v>1.96</v>
      </c>
      <c r="G581" s="26">
        <f t="shared" si="77"/>
        <v>50.96</v>
      </c>
      <c r="H581" s="26">
        <v>115</v>
      </c>
      <c r="I581" s="26">
        <v>0</v>
      </c>
      <c r="J581" s="26">
        <f t="shared" si="78"/>
        <v>1.96</v>
      </c>
      <c r="K581" s="26">
        <v>115</v>
      </c>
      <c r="L581" s="14">
        <f t="shared" si="79"/>
        <v>167.92000000000002</v>
      </c>
      <c r="M581" s="14">
        <f t="shared" si="80"/>
        <v>85.673469387755105</v>
      </c>
    </row>
    <row r="582" spans="1:13" ht="15" customHeight="1" x14ac:dyDescent="0.25">
      <c r="A582" s="13">
        <v>6227350</v>
      </c>
      <c r="B582" s="27">
        <v>40973</v>
      </c>
      <c r="C582" s="13" t="s">
        <v>170</v>
      </c>
      <c r="D582" s="13" t="s">
        <v>171</v>
      </c>
      <c r="E582" s="28">
        <v>32</v>
      </c>
      <c r="F582" s="25">
        <v>2.42</v>
      </c>
      <c r="G582" s="26">
        <f t="shared" si="77"/>
        <v>62.92</v>
      </c>
      <c r="H582" s="26">
        <v>115</v>
      </c>
      <c r="I582" s="26">
        <v>0</v>
      </c>
      <c r="J582" s="26">
        <f t="shared" si="78"/>
        <v>2.42</v>
      </c>
      <c r="K582" s="26">
        <v>115</v>
      </c>
      <c r="L582" s="14">
        <f t="shared" si="79"/>
        <v>180.34</v>
      </c>
      <c r="M582" s="14">
        <f t="shared" si="80"/>
        <v>74.52066115702479</v>
      </c>
    </row>
    <row r="583" spans="1:13" ht="15" customHeight="1" x14ac:dyDescent="0.25">
      <c r="A583" s="13">
        <v>6227350</v>
      </c>
      <c r="B583" s="27">
        <v>40975</v>
      </c>
      <c r="C583" s="13" t="s">
        <v>173</v>
      </c>
      <c r="D583" s="13" t="s">
        <v>186</v>
      </c>
      <c r="E583" s="28">
        <v>30</v>
      </c>
      <c r="F583" s="25">
        <v>2.73</v>
      </c>
      <c r="G583" s="26">
        <f t="shared" si="77"/>
        <v>70.98</v>
      </c>
      <c r="H583" s="26">
        <v>115</v>
      </c>
      <c r="I583" s="26">
        <v>0</v>
      </c>
      <c r="J583" s="26">
        <f t="shared" si="78"/>
        <v>2.73</v>
      </c>
      <c r="K583" s="26">
        <v>115</v>
      </c>
      <c r="L583" s="14">
        <f t="shared" si="79"/>
        <v>188.71</v>
      </c>
      <c r="M583" s="14">
        <f t="shared" si="80"/>
        <v>69.124542124542131</v>
      </c>
    </row>
    <row r="584" spans="1:13" ht="15" customHeight="1" x14ac:dyDescent="0.25">
      <c r="A584" s="13">
        <v>6227350</v>
      </c>
      <c r="B584" s="27">
        <v>40977</v>
      </c>
      <c r="C584" s="13" t="s">
        <v>128</v>
      </c>
      <c r="D584" s="13" t="s">
        <v>186</v>
      </c>
      <c r="E584" s="28">
        <v>35</v>
      </c>
      <c r="F584" s="25">
        <v>8.2799999999999994</v>
      </c>
      <c r="G584" s="26">
        <f t="shared" si="77"/>
        <v>215.27999999999997</v>
      </c>
      <c r="H584" s="26">
        <v>115</v>
      </c>
      <c r="I584" s="26">
        <v>0</v>
      </c>
      <c r="J584" s="26">
        <f t="shared" si="78"/>
        <v>8.2799999999999994</v>
      </c>
      <c r="K584" s="26">
        <v>115</v>
      </c>
      <c r="L584" s="14">
        <f t="shared" si="79"/>
        <v>338.55999999999995</v>
      </c>
      <c r="M584" s="14">
        <f t="shared" si="80"/>
        <v>40.888888888888886</v>
      </c>
    </row>
    <row r="585" spans="1:13" ht="15" customHeight="1" x14ac:dyDescent="0.25">
      <c r="A585" s="13">
        <v>6227350</v>
      </c>
      <c r="B585" s="27">
        <v>40977</v>
      </c>
      <c r="C585" s="13" t="s">
        <v>170</v>
      </c>
      <c r="D585" s="13" t="s">
        <v>171</v>
      </c>
      <c r="E585" s="28">
        <v>32</v>
      </c>
      <c r="F585" s="25">
        <v>2.08</v>
      </c>
      <c r="G585" s="26">
        <f t="shared" si="77"/>
        <v>54.08</v>
      </c>
      <c r="H585" s="26">
        <v>115</v>
      </c>
      <c r="I585" s="26">
        <v>0</v>
      </c>
      <c r="J585" s="26">
        <f t="shared" si="78"/>
        <v>2.08</v>
      </c>
      <c r="K585" s="26">
        <v>115</v>
      </c>
      <c r="L585" s="14">
        <f t="shared" si="79"/>
        <v>171.16</v>
      </c>
      <c r="M585" s="14">
        <f t="shared" si="80"/>
        <v>82.288461538461533</v>
      </c>
    </row>
    <row r="586" spans="1:13" ht="15" customHeight="1" x14ac:dyDescent="0.25">
      <c r="A586" s="13">
        <v>6227350</v>
      </c>
      <c r="B586" s="27">
        <v>40980</v>
      </c>
      <c r="C586" s="13" t="s">
        <v>192</v>
      </c>
      <c r="D586" s="13" t="s">
        <v>169</v>
      </c>
      <c r="E586" s="28">
        <v>40</v>
      </c>
      <c r="F586" s="25">
        <v>4.8600000000000003</v>
      </c>
      <c r="G586" s="26">
        <f t="shared" si="77"/>
        <v>126.36000000000001</v>
      </c>
      <c r="H586" s="26">
        <v>115</v>
      </c>
      <c r="J586" s="26">
        <f t="shared" si="78"/>
        <v>4.8600000000000003</v>
      </c>
      <c r="K586" s="26">
        <f>H586+I586</f>
        <v>115</v>
      </c>
      <c r="L586" s="14">
        <f t="shared" si="79"/>
        <v>246.22000000000003</v>
      </c>
      <c r="M586" s="14">
        <f t="shared" si="80"/>
        <v>50.662551440329217</v>
      </c>
    </row>
    <row r="587" spans="1:13" ht="15" customHeight="1" x14ac:dyDescent="0.25">
      <c r="A587" s="13">
        <v>6227350</v>
      </c>
      <c r="B587" s="27">
        <v>40982</v>
      </c>
      <c r="C587" s="13" t="s">
        <v>173</v>
      </c>
      <c r="D587" s="13" t="s">
        <v>186</v>
      </c>
      <c r="E587" s="28">
        <v>30</v>
      </c>
      <c r="F587" s="25">
        <v>2.08</v>
      </c>
      <c r="G587" s="26">
        <f t="shared" si="77"/>
        <v>54.08</v>
      </c>
      <c r="H587" s="26">
        <v>115</v>
      </c>
      <c r="I587" s="26">
        <v>0</v>
      </c>
      <c r="J587" s="26">
        <f t="shared" si="78"/>
        <v>2.08</v>
      </c>
      <c r="K587" s="26">
        <v>115</v>
      </c>
      <c r="L587" s="14">
        <f t="shared" si="79"/>
        <v>171.16</v>
      </c>
      <c r="M587" s="14">
        <f t="shared" si="80"/>
        <v>82.288461538461533</v>
      </c>
    </row>
    <row r="588" spans="1:13" ht="15" customHeight="1" x14ac:dyDescent="0.25">
      <c r="A588" s="13">
        <v>6227350</v>
      </c>
      <c r="B588" s="27">
        <v>40987</v>
      </c>
      <c r="C588" s="13" t="s">
        <v>170</v>
      </c>
      <c r="D588" s="13" t="s">
        <v>171</v>
      </c>
      <c r="E588" s="28">
        <v>32</v>
      </c>
      <c r="F588" s="25">
        <v>2.16</v>
      </c>
      <c r="G588" s="26">
        <f t="shared" si="77"/>
        <v>56.160000000000004</v>
      </c>
      <c r="H588" s="26">
        <v>115</v>
      </c>
      <c r="I588" s="26">
        <v>0</v>
      </c>
      <c r="J588" s="26">
        <f t="shared" si="78"/>
        <v>2.16</v>
      </c>
      <c r="K588" s="26">
        <v>115</v>
      </c>
      <c r="L588" s="14">
        <f t="shared" si="79"/>
        <v>173.32</v>
      </c>
      <c r="M588" s="14">
        <f t="shared" si="80"/>
        <v>80.240740740740733</v>
      </c>
    </row>
    <row r="589" spans="1:13" ht="15" customHeight="1" x14ac:dyDescent="0.25">
      <c r="A589" s="13">
        <v>6227350</v>
      </c>
      <c r="B589" s="27">
        <v>40989</v>
      </c>
      <c r="C589" s="13" t="s">
        <v>173</v>
      </c>
      <c r="D589" s="13" t="s">
        <v>186</v>
      </c>
      <c r="E589" s="28">
        <v>30</v>
      </c>
      <c r="F589" s="25">
        <v>1.82</v>
      </c>
      <c r="G589" s="26">
        <f t="shared" si="77"/>
        <v>47.32</v>
      </c>
      <c r="H589" s="26">
        <v>115</v>
      </c>
      <c r="I589" s="26">
        <v>0</v>
      </c>
      <c r="J589" s="26">
        <f t="shared" si="78"/>
        <v>1.82</v>
      </c>
      <c r="K589" s="26">
        <v>115</v>
      </c>
      <c r="L589" s="14">
        <f t="shared" si="79"/>
        <v>164.14</v>
      </c>
      <c r="M589" s="14">
        <f t="shared" si="80"/>
        <v>90.186813186813183</v>
      </c>
    </row>
    <row r="590" spans="1:13" ht="15" customHeight="1" x14ac:dyDescent="0.25">
      <c r="A590" s="13">
        <v>6227350</v>
      </c>
      <c r="B590" s="27">
        <v>40994</v>
      </c>
      <c r="C590" s="13" t="s">
        <v>170</v>
      </c>
      <c r="D590" s="13" t="s">
        <v>171</v>
      </c>
      <c r="E590" s="28">
        <v>32</v>
      </c>
      <c r="F590" s="25">
        <v>2.66</v>
      </c>
      <c r="G590" s="26">
        <f t="shared" si="77"/>
        <v>69.16</v>
      </c>
      <c r="H590" s="26">
        <v>115</v>
      </c>
      <c r="I590" s="26">
        <v>0</v>
      </c>
      <c r="J590" s="26">
        <f t="shared" si="78"/>
        <v>2.66</v>
      </c>
      <c r="K590" s="26">
        <v>115</v>
      </c>
      <c r="L590" s="14">
        <f t="shared" si="79"/>
        <v>186.82</v>
      </c>
      <c r="M590" s="14">
        <f t="shared" si="80"/>
        <v>70.233082706766908</v>
      </c>
    </row>
    <row r="591" spans="1:13" ht="15" customHeight="1" x14ac:dyDescent="0.25">
      <c r="A591" s="13">
        <v>6227350</v>
      </c>
      <c r="B591" s="27">
        <v>40995</v>
      </c>
      <c r="C591" s="13" t="s">
        <v>173</v>
      </c>
      <c r="D591" s="13" t="s">
        <v>186</v>
      </c>
      <c r="E591" s="28">
        <v>30</v>
      </c>
      <c r="F591" s="25">
        <v>3.02</v>
      </c>
      <c r="G591" s="26">
        <f t="shared" si="77"/>
        <v>78.52</v>
      </c>
      <c r="H591" s="26">
        <v>115</v>
      </c>
      <c r="I591" s="26">
        <v>0</v>
      </c>
      <c r="J591" s="26">
        <f t="shared" si="78"/>
        <v>3.02</v>
      </c>
      <c r="K591" s="26">
        <v>115</v>
      </c>
      <c r="L591" s="14">
        <f t="shared" si="79"/>
        <v>196.54</v>
      </c>
      <c r="M591" s="14">
        <f t="shared" si="80"/>
        <v>65.079470198675494</v>
      </c>
    </row>
    <row r="592" spans="1:13" ht="15" customHeight="1" x14ac:dyDescent="0.25">
      <c r="A592" s="13">
        <v>6227350</v>
      </c>
      <c r="B592" s="27">
        <v>40995</v>
      </c>
      <c r="C592" s="13" t="s">
        <v>185</v>
      </c>
      <c r="D592" s="13" t="s">
        <v>169</v>
      </c>
      <c r="E592" s="28">
        <v>40</v>
      </c>
      <c r="F592" s="25">
        <v>3.02</v>
      </c>
      <c r="G592" s="26">
        <f t="shared" si="77"/>
        <v>78.52</v>
      </c>
      <c r="H592" s="26">
        <v>115</v>
      </c>
      <c r="I592" s="26">
        <v>0</v>
      </c>
      <c r="J592" s="26">
        <f t="shared" si="78"/>
        <v>3.02</v>
      </c>
      <c r="K592" s="26">
        <v>115</v>
      </c>
      <c r="L592" s="14">
        <f t="shared" si="79"/>
        <v>196.54</v>
      </c>
      <c r="M592" s="14">
        <f t="shared" si="80"/>
        <v>65.079470198675494</v>
      </c>
    </row>
    <row r="593" spans="1:13" ht="15" customHeight="1" x14ac:dyDescent="0.25">
      <c r="A593" s="13">
        <v>5697372</v>
      </c>
      <c r="B593" s="27">
        <v>40999</v>
      </c>
      <c r="C593" s="13" t="s">
        <v>174</v>
      </c>
      <c r="D593" s="13" t="s">
        <v>187</v>
      </c>
      <c r="E593" s="28">
        <v>6</v>
      </c>
      <c r="F593" s="29">
        <v>1.17</v>
      </c>
      <c r="H593" s="26">
        <v>70.680000000000007</v>
      </c>
      <c r="J593" s="26"/>
      <c r="K593" s="26"/>
      <c r="L593" s="14">
        <f t="shared" si="79"/>
        <v>70.680000000000007</v>
      </c>
      <c r="M593" s="14">
        <f t="shared" si="80"/>
        <v>60.410256410256423</v>
      </c>
    </row>
    <row r="594" spans="1:13" ht="15" customHeight="1" x14ac:dyDescent="0.25">
      <c r="A594" s="13">
        <v>5697372</v>
      </c>
      <c r="B594" s="27">
        <v>40999</v>
      </c>
      <c r="C594" s="13" t="s">
        <v>176</v>
      </c>
      <c r="D594" s="13" t="s">
        <v>175</v>
      </c>
      <c r="E594" s="28">
        <v>6</v>
      </c>
      <c r="F594" s="29">
        <v>2.34</v>
      </c>
      <c r="H594" s="26">
        <v>94.32</v>
      </c>
      <c r="J594" s="26"/>
      <c r="K594" s="26"/>
      <c r="L594" s="14">
        <f t="shared" si="79"/>
        <v>94.32</v>
      </c>
      <c r="M594" s="14">
        <f t="shared" si="80"/>
        <v>40.307692307692307</v>
      </c>
    </row>
    <row r="595" spans="1:13" ht="15" customHeight="1" x14ac:dyDescent="0.25">
      <c r="A595" s="13">
        <v>5697764</v>
      </c>
      <c r="B595" s="27">
        <v>40999</v>
      </c>
      <c r="C595" s="13" t="s">
        <v>177</v>
      </c>
      <c r="D595" s="13" t="s">
        <v>175</v>
      </c>
      <c r="E595" s="28">
        <v>8</v>
      </c>
      <c r="F595" s="29">
        <v>3.12</v>
      </c>
      <c r="H595" s="26">
        <v>129</v>
      </c>
      <c r="J595" s="26"/>
      <c r="K595" s="26"/>
      <c r="L595" s="14">
        <f t="shared" si="79"/>
        <v>129</v>
      </c>
      <c r="M595" s="14">
        <f t="shared" si="80"/>
        <v>41.346153846153847</v>
      </c>
    </row>
    <row r="596" spans="1:13" ht="15" customHeight="1" x14ac:dyDescent="0.25">
      <c r="A596" s="13">
        <v>5699819</v>
      </c>
      <c r="B596" s="27">
        <v>40999</v>
      </c>
      <c r="C596" s="13" t="s">
        <v>178</v>
      </c>
      <c r="D596" s="13" t="s">
        <v>186</v>
      </c>
      <c r="E596" s="28">
        <v>6</v>
      </c>
      <c r="F596" s="29">
        <v>3.9</v>
      </c>
      <c r="H596" s="26">
        <v>155.88</v>
      </c>
      <c r="J596" s="26"/>
      <c r="K596" s="26"/>
      <c r="L596" s="14">
        <f t="shared" si="79"/>
        <v>155.88</v>
      </c>
      <c r="M596" s="14">
        <f t="shared" si="80"/>
        <v>39.969230769230769</v>
      </c>
    </row>
    <row r="597" spans="1:13" ht="15" customHeight="1" x14ac:dyDescent="0.25">
      <c r="A597" s="13">
        <v>5700087</v>
      </c>
      <c r="B597" s="27">
        <v>40999</v>
      </c>
      <c r="C597" s="13" t="s">
        <v>179</v>
      </c>
      <c r="D597" s="13" t="s">
        <v>187</v>
      </c>
      <c r="E597" s="28">
        <v>2</v>
      </c>
      <c r="F597" s="29">
        <v>0.39</v>
      </c>
      <c r="H597" s="26">
        <v>48</v>
      </c>
      <c r="J597" s="26"/>
      <c r="K597" s="26"/>
      <c r="L597" s="14">
        <f t="shared" si="79"/>
        <v>48</v>
      </c>
      <c r="M597" s="14">
        <f t="shared" si="80"/>
        <v>123.07692307692307</v>
      </c>
    </row>
    <row r="598" spans="1:13" ht="15" customHeight="1" x14ac:dyDescent="0.25">
      <c r="A598" s="13">
        <v>5701991</v>
      </c>
      <c r="B598" s="27">
        <v>40999</v>
      </c>
      <c r="C598" s="13" t="s">
        <v>190</v>
      </c>
      <c r="D598" s="13" t="s">
        <v>187</v>
      </c>
      <c r="E598" s="28">
        <v>8</v>
      </c>
      <c r="F598" s="25">
        <v>1.56</v>
      </c>
      <c r="H598" s="26">
        <v>69.28</v>
      </c>
      <c r="L598" s="14">
        <f t="shared" si="79"/>
        <v>69.28</v>
      </c>
    </row>
    <row r="599" spans="1:13" ht="15" customHeight="1" x14ac:dyDescent="0.25">
      <c r="A599" s="13">
        <v>6245156</v>
      </c>
      <c r="B599" s="27">
        <v>41001</v>
      </c>
      <c r="C599" s="13" t="s">
        <v>170</v>
      </c>
      <c r="D599" s="13" t="s">
        <v>171</v>
      </c>
      <c r="E599" s="28">
        <v>32</v>
      </c>
      <c r="F599" s="25">
        <v>2.46</v>
      </c>
      <c r="G599" s="26">
        <f t="shared" ref="G599:G609" si="81">F599*$G$2</f>
        <v>63.96</v>
      </c>
      <c r="H599" s="26">
        <v>115</v>
      </c>
      <c r="I599" s="26">
        <v>0</v>
      </c>
      <c r="J599" s="26">
        <f t="shared" ref="J599:J609" si="82">F599</f>
        <v>2.46</v>
      </c>
      <c r="K599" s="26">
        <v>115</v>
      </c>
      <c r="L599" s="14">
        <f t="shared" si="79"/>
        <v>181.42000000000002</v>
      </c>
      <c r="M599" s="14">
        <f t="shared" ref="M599:M614" si="83">L599/F599</f>
        <v>73.747967479674799</v>
      </c>
    </row>
    <row r="600" spans="1:13" ht="15" customHeight="1" x14ac:dyDescent="0.25">
      <c r="A600" s="13">
        <v>6245156</v>
      </c>
      <c r="B600" s="27">
        <v>41002</v>
      </c>
      <c r="C600" s="13" t="s">
        <v>173</v>
      </c>
      <c r="D600" s="13" t="s">
        <v>186</v>
      </c>
      <c r="E600" s="28">
        <v>30</v>
      </c>
      <c r="F600" s="25">
        <v>2.57</v>
      </c>
      <c r="G600" s="26">
        <f t="shared" si="81"/>
        <v>66.819999999999993</v>
      </c>
      <c r="H600" s="26">
        <v>115</v>
      </c>
      <c r="I600" s="26">
        <v>0</v>
      </c>
      <c r="J600" s="26">
        <f t="shared" si="82"/>
        <v>2.57</v>
      </c>
      <c r="K600" s="26">
        <v>115</v>
      </c>
      <c r="L600" s="14">
        <f t="shared" si="79"/>
        <v>184.39</v>
      </c>
      <c r="M600" s="14">
        <f t="shared" si="83"/>
        <v>71.747081712062254</v>
      </c>
    </row>
    <row r="601" spans="1:13" ht="15" customHeight="1" x14ac:dyDescent="0.25">
      <c r="A601" s="13">
        <v>6245156</v>
      </c>
      <c r="B601" s="27">
        <v>41004</v>
      </c>
      <c r="C601" s="13" t="s">
        <v>185</v>
      </c>
      <c r="D601" s="13" t="s">
        <v>169</v>
      </c>
      <c r="E601" s="28">
        <v>40</v>
      </c>
      <c r="F601" s="25">
        <v>2.88</v>
      </c>
      <c r="G601" s="26">
        <f t="shared" si="81"/>
        <v>74.88</v>
      </c>
      <c r="H601" s="26">
        <v>115</v>
      </c>
      <c r="I601" s="26">
        <v>0</v>
      </c>
      <c r="J601" s="26">
        <f t="shared" si="82"/>
        <v>2.88</v>
      </c>
      <c r="K601" s="26">
        <v>115</v>
      </c>
      <c r="L601" s="14">
        <f t="shared" si="79"/>
        <v>192.76</v>
      </c>
      <c r="M601" s="14">
        <f t="shared" si="83"/>
        <v>66.930555555555557</v>
      </c>
    </row>
    <row r="602" spans="1:13" ht="15" customHeight="1" x14ac:dyDescent="0.25">
      <c r="A602" s="13">
        <v>6245156</v>
      </c>
      <c r="B602" s="27">
        <v>41005</v>
      </c>
      <c r="C602" s="13" t="s">
        <v>128</v>
      </c>
      <c r="D602" s="13" t="s">
        <v>169</v>
      </c>
      <c r="E602" s="28">
        <v>20</v>
      </c>
      <c r="F602" s="25">
        <v>1.78</v>
      </c>
      <c r="G602" s="26">
        <f t="shared" si="81"/>
        <v>46.28</v>
      </c>
      <c r="H602" s="26">
        <v>115</v>
      </c>
      <c r="I602" s="26">
        <v>0</v>
      </c>
      <c r="J602" s="26">
        <f t="shared" si="82"/>
        <v>1.78</v>
      </c>
      <c r="K602" s="26">
        <f>H602+I602</f>
        <v>115</v>
      </c>
      <c r="L602" s="14">
        <f t="shared" si="79"/>
        <v>163.06</v>
      </c>
      <c r="M602" s="14">
        <f t="shared" si="83"/>
        <v>91.606741573033702</v>
      </c>
    </row>
    <row r="603" spans="1:13" ht="15" customHeight="1" x14ac:dyDescent="0.25">
      <c r="A603" s="13">
        <v>6245156</v>
      </c>
      <c r="B603" s="27">
        <v>41005</v>
      </c>
      <c r="C603" s="13" t="s">
        <v>128</v>
      </c>
      <c r="D603" s="13" t="s">
        <v>169</v>
      </c>
      <c r="E603" s="28">
        <v>20</v>
      </c>
      <c r="F603" s="25">
        <v>3.47</v>
      </c>
      <c r="G603" s="26">
        <f t="shared" si="81"/>
        <v>90.22</v>
      </c>
      <c r="H603" s="26">
        <v>115</v>
      </c>
      <c r="I603" s="26">
        <v>0</v>
      </c>
      <c r="J603" s="26">
        <f t="shared" si="82"/>
        <v>3.47</v>
      </c>
      <c r="K603" s="26">
        <f>H603+I603</f>
        <v>115</v>
      </c>
      <c r="L603" s="14">
        <f t="shared" si="79"/>
        <v>208.69</v>
      </c>
      <c r="M603" s="14">
        <f t="shared" si="83"/>
        <v>60.141210374639762</v>
      </c>
    </row>
    <row r="604" spans="1:13" ht="15" customHeight="1" x14ac:dyDescent="0.25">
      <c r="A604" s="13">
        <v>6245156</v>
      </c>
      <c r="B604" s="27">
        <v>41009</v>
      </c>
      <c r="C604" s="13" t="s">
        <v>173</v>
      </c>
      <c r="D604" s="13" t="s">
        <v>186</v>
      </c>
      <c r="E604" s="28">
        <v>30</v>
      </c>
      <c r="F604" s="25">
        <v>2.21</v>
      </c>
      <c r="G604" s="26">
        <f t="shared" si="81"/>
        <v>57.46</v>
      </c>
      <c r="H604" s="26">
        <v>115</v>
      </c>
      <c r="I604" s="26">
        <v>0</v>
      </c>
      <c r="J604" s="26">
        <f t="shared" si="82"/>
        <v>2.21</v>
      </c>
      <c r="K604" s="26">
        <v>115</v>
      </c>
      <c r="L604" s="14">
        <f t="shared" si="79"/>
        <v>174.67000000000002</v>
      </c>
      <c r="M604" s="14">
        <f t="shared" si="83"/>
        <v>79.036199095022639</v>
      </c>
    </row>
    <row r="605" spans="1:13" ht="15" customHeight="1" x14ac:dyDescent="0.25">
      <c r="A605" s="13">
        <v>6245156</v>
      </c>
      <c r="B605" s="27">
        <v>41015</v>
      </c>
      <c r="C605" s="13" t="s">
        <v>170</v>
      </c>
      <c r="D605" s="13" t="s">
        <v>171</v>
      </c>
      <c r="E605" s="28">
        <v>32</v>
      </c>
      <c r="F605" s="25">
        <v>5</v>
      </c>
      <c r="G605" s="26">
        <f t="shared" si="81"/>
        <v>130</v>
      </c>
      <c r="H605" s="26">
        <v>115</v>
      </c>
      <c r="I605" s="26">
        <v>0</v>
      </c>
      <c r="J605" s="26">
        <f t="shared" si="82"/>
        <v>5</v>
      </c>
      <c r="K605" s="26">
        <v>115</v>
      </c>
      <c r="L605" s="14">
        <f t="shared" si="79"/>
        <v>250</v>
      </c>
      <c r="M605" s="14">
        <f t="shared" si="83"/>
        <v>50</v>
      </c>
    </row>
    <row r="606" spans="1:13" ht="15" customHeight="1" x14ac:dyDescent="0.25">
      <c r="A606" s="13">
        <v>6245156</v>
      </c>
      <c r="B606" s="27">
        <v>41017</v>
      </c>
      <c r="C606" s="13" t="s">
        <v>185</v>
      </c>
      <c r="D606" s="13" t="s">
        <v>169</v>
      </c>
      <c r="E606" s="28">
        <v>40</v>
      </c>
      <c r="F606" s="25">
        <v>4.58</v>
      </c>
      <c r="G606" s="26">
        <f t="shared" si="81"/>
        <v>119.08</v>
      </c>
      <c r="H606" s="26">
        <v>115</v>
      </c>
      <c r="I606" s="26">
        <v>0</v>
      </c>
      <c r="J606" s="26">
        <f t="shared" si="82"/>
        <v>4.58</v>
      </c>
      <c r="K606" s="26">
        <v>115</v>
      </c>
      <c r="L606" s="14">
        <f t="shared" si="79"/>
        <v>238.66</v>
      </c>
      <c r="M606" s="14">
        <f t="shared" si="83"/>
        <v>52.109170305676855</v>
      </c>
    </row>
    <row r="607" spans="1:13" ht="15" customHeight="1" x14ac:dyDescent="0.25">
      <c r="A607" s="13">
        <v>6245156</v>
      </c>
      <c r="B607" s="27">
        <v>41017</v>
      </c>
      <c r="C607" s="13" t="s">
        <v>128</v>
      </c>
      <c r="D607" s="13" t="s">
        <v>186</v>
      </c>
      <c r="E607" s="28">
        <v>35</v>
      </c>
      <c r="F607" s="25">
        <v>8.5500000000000007</v>
      </c>
      <c r="G607" s="26">
        <f t="shared" si="81"/>
        <v>222.3</v>
      </c>
      <c r="H607" s="26">
        <v>115</v>
      </c>
      <c r="I607" s="26">
        <v>0</v>
      </c>
      <c r="J607" s="26">
        <f t="shared" si="82"/>
        <v>8.5500000000000007</v>
      </c>
      <c r="K607" s="26">
        <v>115</v>
      </c>
      <c r="L607" s="14">
        <f t="shared" si="79"/>
        <v>345.85</v>
      </c>
      <c r="M607" s="14">
        <f t="shared" si="83"/>
        <v>40.450292397660817</v>
      </c>
    </row>
    <row r="608" spans="1:13" ht="15" customHeight="1" x14ac:dyDescent="0.25">
      <c r="A608" s="13">
        <v>6245156</v>
      </c>
      <c r="B608" s="27">
        <v>41023</v>
      </c>
      <c r="C608" s="13" t="s">
        <v>41</v>
      </c>
      <c r="D608" s="13" t="s">
        <v>169</v>
      </c>
      <c r="E608" s="28">
        <v>40</v>
      </c>
      <c r="F608" s="25">
        <v>2.2799999999999998</v>
      </c>
      <c r="G608" s="26">
        <f t="shared" si="81"/>
        <v>59.279999999999994</v>
      </c>
      <c r="H608" s="26">
        <v>115</v>
      </c>
      <c r="I608" s="26">
        <v>0</v>
      </c>
      <c r="J608" s="26">
        <f t="shared" si="82"/>
        <v>2.2799999999999998</v>
      </c>
      <c r="K608" s="26">
        <v>115</v>
      </c>
      <c r="L608" s="14">
        <f t="shared" si="79"/>
        <v>176.56</v>
      </c>
      <c r="M608" s="14">
        <f t="shared" si="83"/>
        <v>77.438596491228083</v>
      </c>
    </row>
    <row r="609" spans="1:13" ht="15" customHeight="1" x14ac:dyDescent="0.25">
      <c r="A609" s="13">
        <v>6245156</v>
      </c>
      <c r="B609" s="27">
        <v>41026</v>
      </c>
      <c r="C609" s="13" t="s">
        <v>185</v>
      </c>
      <c r="D609" s="13" t="s">
        <v>169</v>
      </c>
      <c r="E609" s="28">
        <v>40</v>
      </c>
      <c r="F609" s="25">
        <v>4.83</v>
      </c>
      <c r="G609" s="26">
        <f t="shared" si="81"/>
        <v>125.58</v>
      </c>
      <c r="H609" s="26">
        <v>115</v>
      </c>
      <c r="I609" s="26">
        <v>0</v>
      </c>
      <c r="J609" s="26">
        <f t="shared" si="82"/>
        <v>4.83</v>
      </c>
      <c r="K609" s="26">
        <v>115</v>
      </c>
      <c r="L609" s="14">
        <f t="shared" si="79"/>
        <v>245.41</v>
      </c>
      <c r="M609" s="14">
        <f t="shared" si="83"/>
        <v>50.80952380952381</v>
      </c>
    </row>
    <row r="610" spans="1:13" ht="15" customHeight="1" x14ac:dyDescent="0.25">
      <c r="A610" s="13">
        <v>5707009</v>
      </c>
      <c r="B610" s="27">
        <v>41029</v>
      </c>
      <c r="C610" s="13" t="s">
        <v>174</v>
      </c>
      <c r="D610" s="13" t="s">
        <v>187</v>
      </c>
      <c r="E610" s="28">
        <v>6</v>
      </c>
      <c r="F610" s="29">
        <v>1.17</v>
      </c>
      <c r="H610" s="26">
        <v>70.680000000000007</v>
      </c>
      <c r="J610" s="26"/>
      <c r="K610" s="26"/>
      <c r="L610" s="14">
        <f t="shared" si="79"/>
        <v>70.680000000000007</v>
      </c>
      <c r="M610" s="14">
        <f t="shared" si="83"/>
        <v>60.410256410256423</v>
      </c>
    </row>
    <row r="611" spans="1:13" ht="15" customHeight="1" x14ac:dyDescent="0.25">
      <c r="A611" s="13">
        <v>5707009</v>
      </c>
      <c r="B611" s="27">
        <v>41029</v>
      </c>
      <c r="C611" s="13" t="s">
        <v>176</v>
      </c>
      <c r="D611" s="13" t="s">
        <v>175</v>
      </c>
      <c r="E611" s="28">
        <v>6</v>
      </c>
      <c r="F611" s="29">
        <v>2.34</v>
      </c>
      <c r="H611" s="26">
        <v>94.32</v>
      </c>
      <c r="J611" s="26"/>
      <c r="K611" s="26"/>
      <c r="L611" s="14">
        <f t="shared" si="79"/>
        <v>94.32</v>
      </c>
      <c r="M611" s="14">
        <f t="shared" si="83"/>
        <v>40.307692307692307</v>
      </c>
    </row>
    <row r="612" spans="1:13" ht="15" customHeight="1" x14ac:dyDescent="0.25">
      <c r="A612" s="13">
        <v>5707396</v>
      </c>
      <c r="B612" s="27">
        <v>41029</v>
      </c>
      <c r="C612" s="13" t="s">
        <v>177</v>
      </c>
      <c r="D612" s="13" t="s">
        <v>175</v>
      </c>
      <c r="E612" s="28">
        <v>8</v>
      </c>
      <c r="F612" s="29">
        <v>3.12</v>
      </c>
      <c r="H612" s="26">
        <v>129</v>
      </c>
      <c r="J612" s="26"/>
      <c r="K612" s="26"/>
      <c r="L612" s="14">
        <f t="shared" si="79"/>
        <v>129</v>
      </c>
      <c r="M612" s="14">
        <f t="shared" si="83"/>
        <v>41.346153846153847</v>
      </c>
    </row>
    <row r="613" spans="1:13" ht="15" customHeight="1" x14ac:dyDescent="0.25">
      <c r="A613" s="13">
        <v>5709446</v>
      </c>
      <c r="B613" s="27">
        <v>41029</v>
      </c>
      <c r="C613" s="13" t="s">
        <v>178</v>
      </c>
      <c r="D613" s="13" t="s">
        <v>186</v>
      </c>
      <c r="E613" s="28">
        <v>6</v>
      </c>
      <c r="F613" s="29">
        <v>3.9</v>
      </c>
      <c r="H613" s="26">
        <v>155.88</v>
      </c>
      <c r="J613" s="26"/>
      <c r="K613" s="26"/>
      <c r="L613" s="14">
        <f t="shared" si="79"/>
        <v>155.88</v>
      </c>
      <c r="M613" s="14">
        <f t="shared" si="83"/>
        <v>39.969230769230769</v>
      </c>
    </row>
    <row r="614" spans="1:13" ht="15" customHeight="1" x14ac:dyDescent="0.25">
      <c r="A614" s="13">
        <v>5709714</v>
      </c>
      <c r="B614" s="27">
        <v>41029</v>
      </c>
      <c r="C614" s="13" t="s">
        <v>179</v>
      </c>
      <c r="D614" s="13" t="s">
        <v>187</v>
      </c>
      <c r="E614" s="28">
        <v>2</v>
      </c>
      <c r="F614" s="29">
        <v>0.39</v>
      </c>
      <c r="H614" s="26">
        <v>48</v>
      </c>
      <c r="J614" s="26"/>
      <c r="K614" s="26"/>
      <c r="L614" s="14">
        <f t="shared" si="79"/>
        <v>48</v>
      </c>
      <c r="M614" s="14">
        <f t="shared" si="83"/>
        <v>123.07692307692307</v>
      </c>
    </row>
    <row r="615" spans="1:13" ht="15" customHeight="1" x14ac:dyDescent="0.25">
      <c r="A615" s="13">
        <v>5711606</v>
      </c>
      <c r="B615" s="27">
        <v>41029</v>
      </c>
      <c r="C615" s="13" t="s">
        <v>190</v>
      </c>
      <c r="D615" s="13" t="s">
        <v>187</v>
      </c>
      <c r="E615" s="28">
        <v>8</v>
      </c>
      <c r="F615" s="25">
        <v>1.56</v>
      </c>
      <c r="H615" s="26">
        <v>69.28</v>
      </c>
      <c r="L615" s="14">
        <f t="shared" si="79"/>
        <v>69.28</v>
      </c>
    </row>
    <row r="616" spans="1:13" ht="15" customHeight="1" x14ac:dyDescent="0.25">
      <c r="A616" s="13">
        <v>6266457</v>
      </c>
      <c r="B616" s="27">
        <v>41036</v>
      </c>
      <c r="C616" s="13" t="s">
        <v>173</v>
      </c>
      <c r="D616" s="13" t="s">
        <v>186</v>
      </c>
      <c r="E616" s="28">
        <v>30</v>
      </c>
      <c r="F616" s="25">
        <v>10.16</v>
      </c>
      <c r="G616" s="26">
        <f t="shared" ref="G616:G622" si="84">F616*$G$2</f>
        <v>264.16000000000003</v>
      </c>
      <c r="H616" s="26">
        <v>115</v>
      </c>
      <c r="I616" s="26">
        <v>0</v>
      </c>
      <c r="J616" s="26">
        <f t="shared" ref="J616:J622" si="85">F616</f>
        <v>10.16</v>
      </c>
      <c r="K616" s="26">
        <v>115</v>
      </c>
      <c r="L616" s="14">
        <f t="shared" si="79"/>
        <v>389.32000000000005</v>
      </c>
      <c r="M616" s="14">
        <f t="shared" ref="M616:M627" si="86">L616/F616</f>
        <v>38.318897637795281</v>
      </c>
    </row>
    <row r="617" spans="1:13" ht="15" customHeight="1" x14ac:dyDescent="0.25">
      <c r="A617" s="13">
        <v>6266457</v>
      </c>
      <c r="B617" s="27">
        <v>41036</v>
      </c>
      <c r="C617" s="13" t="s">
        <v>170</v>
      </c>
      <c r="D617" s="13" t="s">
        <v>171</v>
      </c>
      <c r="E617" s="28">
        <v>32</v>
      </c>
      <c r="F617" s="25">
        <v>8.1300000000000008</v>
      </c>
      <c r="G617" s="26">
        <f t="shared" si="84"/>
        <v>211.38000000000002</v>
      </c>
      <c r="H617" s="26">
        <v>115</v>
      </c>
      <c r="I617" s="26">
        <v>0</v>
      </c>
      <c r="J617" s="26">
        <f t="shared" si="85"/>
        <v>8.1300000000000008</v>
      </c>
      <c r="K617" s="26">
        <v>115</v>
      </c>
      <c r="L617" s="14">
        <f t="shared" si="79"/>
        <v>334.51</v>
      </c>
      <c r="M617" s="14">
        <f t="shared" si="86"/>
        <v>41.14514145141451</v>
      </c>
    </row>
    <row r="618" spans="1:13" ht="15" customHeight="1" x14ac:dyDescent="0.25">
      <c r="A618" s="13">
        <v>6266457</v>
      </c>
      <c r="B618" s="27">
        <v>41037</v>
      </c>
      <c r="C618" s="13" t="s">
        <v>128</v>
      </c>
      <c r="D618" s="13" t="s">
        <v>186</v>
      </c>
      <c r="E618" s="28">
        <v>35</v>
      </c>
      <c r="F618" s="25">
        <v>4.7699999999999996</v>
      </c>
      <c r="G618" s="26">
        <f t="shared" si="84"/>
        <v>124.01999999999998</v>
      </c>
      <c r="H618" s="26">
        <v>115</v>
      </c>
      <c r="I618" s="26">
        <v>0</v>
      </c>
      <c r="J618" s="26">
        <f t="shared" si="85"/>
        <v>4.7699999999999996</v>
      </c>
      <c r="K618" s="26">
        <v>115</v>
      </c>
      <c r="L618" s="14">
        <f t="shared" si="79"/>
        <v>243.79</v>
      </c>
      <c r="M618" s="14">
        <f t="shared" si="86"/>
        <v>51.109014675052414</v>
      </c>
    </row>
    <row r="619" spans="1:13" ht="15" customHeight="1" x14ac:dyDescent="0.25">
      <c r="A619" s="13">
        <v>6266457</v>
      </c>
      <c r="B619" s="27">
        <v>41039</v>
      </c>
      <c r="C619" s="13" t="s">
        <v>110</v>
      </c>
      <c r="D619" s="13" t="s">
        <v>169</v>
      </c>
      <c r="E619" s="28">
        <v>40</v>
      </c>
      <c r="F619" s="25">
        <v>4.42</v>
      </c>
      <c r="G619" s="26">
        <f t="shared" si="84"/>
        <v>114.92</v>
      </c>
      <c r="H619" s="26">
        <v>115</v>
      </c>
      <c r="I619" s="26">
        <v>0</v>
      </c>
      <c r="J619" s="26">
        <f t="shared" si="85"/>
        <v>4.42</v>
      </c>
      <c r="K619" s="26">
        <v>115</v>
      </c>
      <c r="L619" s="14">
        <f t="shared" si="79"/>
        <v>234.34</v>
      </c>
      <c r="M619" s="14">
        <f t="shared" si="86"/>
        <v>53.018099547511312</v>
      </c>
    </row>
    <row r="620" spans="1:13" ht="15" customHeight="1" x14ac:dyDescent="0.25">
      <c r="A620" s="13">
        <v>6266457</v>
      </c>
      <c r="B620" s="27">
        <v>41045</v>
      </c>
      <c r="C620" s="13" t="s">
        <v>185</v>
      </c>
      <c r="D620" s="13" t="s">
        <v>169</v>
      </c>
      <c r="E620" s="28">
        <v>40</v>
      </c>
      <c r="F620" s="25">
        <v>3.69</v>
      </c>
      <c r="G620" s="26">
        <f t="shared" si="84"/>
        <v>95.94</v>
      </c>
      <c r="H620" s="26">
        <v>115</v>
      </c>
      <c r="I620" s="26">
        <v>0</v>
      </c>
      <c r="J620" s="26">
        <f t="shared" si="85"/>
        <v>3.69</v>
      </c>
      <c r="K620" s="26">
        <v>115</v>
      </c>
      <c r="L620" s="14">
        <f t="shared" si="79"/>
        <v>214.63</v>
      </c>
      <c r="M620" s="14">
        <f t="shared" si="86"/>
        <v>58.165311653116532</v>
      </c>
    </row>
    <row r="621" spans="1:13" ht="15" customHeight="1" x14ac:dyDescent="0.25">
      <c r="A621" s="13">
        <v>6266457</v>
      </c>
      <c r="B621" s="27">
        <v>41053</v>
      </c>
      <c r="C621" s="13" t="s">
        <v>110</v>
      </c>
      <c r="D621" s="13" t="s">
        <v>169</v>
      </c>
      <c r="E621" s="28">
        <v>40</v>
      </c>
      <c r="F621" s="25">
        <v>3.69</v>
      </c>
      <c r="G621" s="26">
        <f t="shared" si="84"/>
        <v>95.94</v>
      </c>
      <c r="H621" s="26">
        <v>115</v>
      </c>
      <c r="I621" s="26">
        <v>0</v>
      </c>
      <c r="J621" s="26">
        <f t="shared" si="85"/>
        <v>3.69</v>
      </c>
      <c r="K621" s="26">
        <v>115</v>
      </c>
      <c r="L621" s="14">
        <f t="shared" si="79"/>
        <v>214.63</v>
      </c>
      <c r="M621" s="14">
        <f t="shared" si="86"/>
        <v>58.165311653116532</v>
      </c>
    </row>
    <row r="622" spans="1:13" ht="15" customHeight="1" x14ac:dyDescent="0.25">
      <c r="A622" s="13">
        <v>6266457</v>
      </c>
      <c r="B622" s="27">
        <v>41053</v>
      </c>
      <c r="C622" s="13" t="s">
        <v>170</v>
      </c>
      <c r="D622" s="13" t="s">
        <v>171</v>
      </c>
      <c r="E622" s="28">
        <v>32</v>
      </c>
      <c r="F622" s="25">
        <v>4.83</v>
      </c>
      <c r="G622" s="26">
        <f t="shared" si="84"/>
        <v>125.58</v>
      </c>
      <c r="H622" s="26">
        <v>115</v>
      </c>
      <c r="I622" s="26">
        <v>0</v>
      </c>
      <c r="J622" s="26">
        <f t="shared" si="85"/>
        <v>4.83</v>
      </c>
      <c r="K622" s="26">
        <v>115</v>
      </c>
      <c r="L622" s="14">
        <f t="shared" si="79"/>
        <v>245.41</v>
      </c>
      <c r="M622" s="14">
        <f t="shared" si="86"/>
        <v>50.80952380952381</v>
      </c>
    </row>
    <row r="623" spans="1:13" ht="15" customHeight="1" x14ac:dyDescent="0.25">
      <c r="B623" s="27">
        <v>41060</v>
      </c>
      <c r="C623" s="13" t="s">
        <v>174</v>
      </c>
      <c r="D623" s="13" t="s">
        <v>187</v>
      </c>
      <c r="E623" s="28">
        <v>6</v>
      </c>
      <c r="F623" s="29">
        <v>1.17</v>
      </c>
      <c r="H623" s="26">
        <v>70.680000000000007</v>
      </c>
      <c r="J623" s="26"/>
      <c r="K623" s="26"/>
      <c r="L623" s="14">
        <f t="shared" si="79"/>
        <v>70.680000000000007</v>
      </c>
      <c r="M623" s="14">
        <f t="shared" si="86"/>
        <v>60.410256410256423</v>
      </c>
    </row>
    <row r="624" spans="1:13" ht="15" customHeight="1" x14ac:dyDescent="0.25">
      <c r="B624" s="27">
        <v>41060</v>
      </c>
      <c r="C624" s="13" t="s">
        <v>176</v>
      </c>
      <c r="D624" s="13" t="s">
        <v>175</v>
      </c>
      <c r="E624" s="28">
        <v>6</v>
      </c>
      <c r="F624" s="29">
        <v>2.34</v>
      </c>
      <c r="H624" s="26">
        <v>94.32</v>
      </c>
      <c r="J624" s="26"/>
      <c r="K624" s="26"/>
      <c r="L624" s="14">
        <f t="shared" si="79"/>
        <v>94.32</v>
      </c>
      <c r="M624" s="14">
        <f t="shared" si="86"/>
        <v>40.307692307692307</v>
      </c>
    </row>
    <row r="625" spans="1:13" ht="15" customHeight="1" x14ac:dyDescent="0.25">
      <c r="B625" s="27">
        <v>41060</v>
      </c>
      <c r="C625" s="13" t="s">
        <v>177</v>
      </c>
      <c r="D625" s="13" t="s">
        <v>175</v>
      </c>
      <c r="E625" s="28">
        <v>8</v>
      </c>
      <c r="F625" s="29">
        <v>3.12</v>
      </c>
      <c r="H625" s="26">
        <v>129</v>
      </c>
      <c r="J625" s="26"/>
      <c r="K625" s="26"/>
      <c r="L625" s="14">
        <f t="shared" si="79"/>
        <v>129</v>
      </c>
      <c r="M625" s="14">
        <f t="shared" si="86"/>
        <v>41.346153846153847</v>
      </c>
    </row>
    <row r="626" spans="1:13" ht="15" customHeight="1" x14ac:dyDescent="0.25">
      <c r="B626" s="27">
        <v>41060</v>
      </c>
      <c r="C626" s="13" t="s">
        <v>178</v>
      </c>
      <c r="D626" s="13" t="s">
        <v>186</v>
      </c>
      <c r="E626" s="28">
        <v>6</v>
      </c>
      <c r="F626" s="29">
        <v>1</v>
      </c>
      <c r="H626" s="26">
        <v>155.88</v>
      </c>
      <c r="J626" s="26"/>
      <c r="K626" s="26"/>
      <c r="L626" s="14">
        <f t="shared" si="79"/>
        <v>155.88</v>
      </c>
      <c r="M626" s="14">
        <f t="shared" si="86"/>
        <v>155.88</v>
      </c>
    </row>
    <row r="627" spans="1:13" ht="15" customHeight="1" x14ac:dyDescent="0.25">
      <c r="B627" s="27">
        <v>41060</v>
      </c>
      <c r="C627" s="13" t="s">
        <v>179</v>
      </c>
      <c r="D627" s="13" t="s">
        <v>187</v>
      </c>
      <c r="E627" s="28">
        <v>2</v>
      </c>
      <c r="F627" s="29">
        <v>0.39</v>
      </c>
      <c r="H627" s="26">
        <v>48</v>
      </c>
      <c r="J627" s="26"/>
      <c r="K627" s="26"/>
      <c r="L627" s="14">
        <f t="shared" si="79"/>
        <v>48</v>
      </c>
      <c r="M627" s="14">
        <f t="shared" si="86"/>
        <v>123.07692307692307</v>
      </c>
    </row>
    <row r="628" spans="1:13" ht="15" customHeight="1" x14ac:dyDescent="0.25">
      <c r="B628" s="27">
        <v>41060</v>
      </c>
      <c r="C628" s="13" t="s">
        <v>190</v>
      </c>
      <c r="D628" s="13" t="s">
        <v>187</v>
      </c>
      <c r="E628" s="28">
        <v>8</v>
      </c>
      <c r="F628" s="25">
        <v>1.56</v>
      </c>
      <c r="H628" s="26">
        <v>69.28</v>
      </c>
      <c r="L628" s="14">
        <f t="shared" si="79"/>
        <v>69.28</v>
      </c>
    </row>
    <row r="629" spans="1:13" ht="15" customHeight="1" x14ac:dyDescent="0.25">
      <c r="A629" s="13">
        <v>6284993</v>
      </c>
      <c r="B629" s="27">
        <v>41061</v>
      </c>
      <c r="C629" s="13" t="s">
        <v>185</v>
      </c>
      <c r="D629" s="13" t="s">
        <v>169</v>
      </c>
      <c r="E629" s="28">
        <v>40</v>
      </c>
      <c r="F629" s="25">
        <v>3.86</v>
      </c>
      <c r="G629" s="26">
        <f t="shared" ref="G629:G638" si="87">F629*$G$2</f>
        <v>100.36</v>
      </c>
      <c r="H629" s="26">
        <v>115</v>
      </c>
      <c r="I629" s="26">
        <v>0</v>
      </c>
      <c r="J629" s="26">
        <f t="shared" ref="J629:J638" si="88">F629</f>
        <v>3.86</v>
      </c>
      <c r="K629" s="26">
        <v>115</v>
      </c>
      <c r="L629" s="14">
        <f t="shared" si="79"/>
        <v>219.22000000000003</v>
      </c>
      <c r="M629" s="14">
        <f t="shared" ref="M629:M643" si="89">L629/F629</f>
        <v>56.792746113989644</v>
      </c>
    </row>
    <row r="630" spans="1:13" ht="15" customHeight="1" x14ac:dyDescent="0.25">
      <c r="A630" s="13">
        <v>6284993</v>
      </c>
      <c r="B630" s="27">
        <v>41062</v>
      </c>
      <c r="C630" s="13" t="s">
        <v>128</v>
      </c>
      <c r="D630" s="13" t="s">
        <v>169</v>
      </c>
      <c r="E630" s="28">
        <v>20</v>
      </c>
      <c r="F630" s="25">
        <v>2.2200000000000002</v>
      </c>
      <c r="G630" s="26">
        <f t="shared" si="87"/>
        <v>57.720000000000006</v>
      </c>
      <c r="H630" s="26">
        <v>115</v>
      </c>
      <c r="I630" s="26">
        <v>0</v>
      </c>
      <c r="J630" s="26">
        <f t="shared" si="88"/>
        <v>2.2200000000000002</v>
      </c>
      <c r="K630" s="26">
        <f>H630+I630</f>
        <v>115</v>
      </c>
      <c r="L630" s="14">
        <f t="shared" si="79"/>
        <v>174.94</v>
      </c>
      <c r="M630" s="14">
        <f t="shared" si="89"/>
        <v>78.801801801801787</v>
      </c>
    </row>
    <row r="631" spans="1:13" ht="15" customHeight="1" x14ac:dyDescent="0.25">
      <c r="A631" s="13">
        <v>6284993</v>
      </c>
      <c r="B631" s="27">
        <v>41062</v>
      </c>
      <c r="C631" s="13" t="s">
        <v>128</v>
      </c>
      <c r="D631" s="13" t="s">
        <v>169</v>
      </c>
      <c r="E631" s="28">
        <v>20</v>
      </c>
      <c r="F631" s="25">
        <v>2.37</v>
      </c>
      <c r="G631" s="26">
        <f t="shared" si="87"/>
        <v>61.620000000000005</v>
      </c>
      <c r="H631" s="26">
        <v>115</v>
      </c>
      <c r="I631" s="26">
        <v>0</v>
      </c>
      <c r="J631" s="26">
        <f t="shared" si="88"/>
        <v>2.37</v>
      </c>
      <c r="K631" s="26">
        <f>H631+I631</f>
        <v>115</v>
      </c>
      <c r="L631" s="14">
        <f t="shared" si="79"/>
        <v>178.99</v>
      </c>
      <c r="M631" s="14">
        <f t="shared" si="89"/>
        <v>75.523206751054857</v>
      </c>
    </row>
    <row r="632" spans="1:13" ht="15" customHeight="1" x14ac:dyDescent="0.25">
      <c r="A632" s="13">
        <v>6284993</v>
      </c>
      <c r="B632" s="27">
        <v>41062</v>
      </c>
      <c r="C632" s="13" t="s">
        <v>110</v>
      </c>
      <c r="D632" s="13" t="s">
        <v>169</v>
      </c>
      <c r="E632" s="28">
        <v>20</v>
      </c>
      <c r="F632" s="25">
        <v>2.2200000000000002</v>
      </c>
      <c r="G632" s="26">
        <f t="shared" si="87"/>
        <v>57.720000000000006</v>
      </c>
      <c r="H632" s="26">
        <v>115</v>
      </c>
      <c r="I632" s="26">
        <v>0</v>
      </c>
      <c r="J632" s="26">
        <f t="shared" si="88"/>
        <v>2.2200000000000002</v>
      </c>
      <c r="K632" s="26">
        <f>H632+I632</f>
        <v>115</v>
      </c>
      <c r="L632" s="14">
        <f t="shared" si="79"/>
        <v>174.94</v>
      </c>
      <c r="M632" s="14">
        <f t="shared" si="89"/>
        <v>78.801801801801787</v>
      </c>
    </row>
    <row r="633" spans="1:13" ht="15" customHeight="1" x14ac:dyDescent="0.25">
      <c r="A633" s="13">
        <v>6284993</v>
      </c>
      <c r="B633" s="27">
        <v>41065</v>
      </c>
      <c r="C633" s="13" t="s">
        <v>110</v>
      </c>
      <c r="D633" s="13" t="s">
        <v>169</v>
      </c>
      <c r="E633" s="28">
        <v>40</v>
      </c>
      <c r="F633" s="25">
        <v>3.09</v>
      </c>
      <c r="G633" s="26">
        <f t="shared" si="87"/>
        <v>80.34</v>
      </c>
      <c r="H633" s="26">
        <v>115</v>
      </c>
      <c r="I633" s="26">
        <v>0</v>
      </c>
      <c r="J633" s="26">
        <f t="shared" si="88"/>
        <v>3.09</v>
      </c>
      <c r="K633" s="26">
        <v>115</v>
      </c>
      <c r="L633" s="14">
        <f t="shared" si="79"/>
        <v>198.43</v>
      </c>
      <c r="M633" s="14">
        <f t="shared" si="89"/>
        <v>64.216828478964402</v>
      </c>
    </row>
    <row r="634" spans="1:13" ht="15" customHeight="1" x14ac:dyDescent="0.25">
      <c r="A634" s="13">
        <v>6284993</v>
      </c>
      <c r="B634" s="27">
        <v>41068</v>
      </c>
      <c r="C634" s="13" t="s">
        <v>170</v>
      </c>
      <c r="D634" s="13" t="s">
        <v>171</v>
      </c>
      <c r="E634" s="28">
        <v>32</v>
      </c>
      <c r="F634" s="25">
        <v>3.86</v>
      </c>
      <c r="G634" s="26">
        <f t="shared" si="87"/>
        <v>100.36</v>
      </c>
      <c r="H634" s="26">
        <v>115</v>
      </c>
      <c r="I634" s="26">
        <v>0</v>
      </c>
      <c r="J634" s="26">
        <f t="shared" si="88"/>
        <v>3.86</v>
      </c>
      <c r="K634" s="26">
        <v>115</v>
      </c>
      <c r="L634" s="14">
        <f t="shared" si="79"/>
        <v>219.22000000000003</v>
      </c>
      <c r="M634" s="14">
        <f t="shared" si="89"/>
        <v>56.792746113989644</v>
      </c>
    </row>
    <row r="635" spans="1:13" ht="15" customHeight="1" x14ac:dyDescent="0.25">
      <c r="A635" s="13">
        <v>6284993</v>
      </c>
      <c r="B635" s="27">
        <v>41068</v>
      </c>
      <c r="C635" s="13" t="s">
        <v>193</v>
      </c>
      <c r="D635" s="13" t="s">
        <v>169</v>
      </c>
      <c r="E635" s="28">
        <v>40</v>
      </c>
      <c r="F635" s="25">
        <v>2.2000000000000002</v>
      </c>
      <c r="G635" s="26">
        <f t="shared" si="87"/>
        <v>57.2</v>
      </c>
      <c r="H635" s="26">
        <v>115</v>
      </c>
      <c r="I635" s="26">
        <v>0</v>
      </c>
      <c r="J635" s="26">
        <f t="shared" si="88"/>
        <v>2.2000000000000002</v>
      </c>
      <c r="K635" s="26">
        <v>115</v>
      </c>
      <c r="L635" s="14">
        <f t="shared" si="79"/>
        <v>174.39999999999998</v>
      </c>
      <c r="M635" s="14">
        <f t="shared" si="89"/>
        <v>79.272727272727252</v>
      </c>
    </row>
    <row r="636" spans="1:13" ht="15" customHeight="1" x14ac:dyDescent="0.25">
      <c r="A636" s="13">
        <v>6284993</v>
      </c>
      <c r="B636" s="27">
        <v>41076</v>
      </c>
      <c r="C636" s="13" t="s">
        <v>110</v>
      </c>
      <c r="D636" s="13" t="s">
        <v>169</v>
      </c>
      <c r="E636" s="28">
        <v>40</v>
      </c>
      <c r="F636" s="25">
        <v>4.46</v>
      </c>
      <c r="G636" s="26">
        <f t="shared" si="87"/>
        <v>115.96</v>
      </c>
      <c r="H636" s="26">
        <v>115</v>
      </c>
      <c r="I636" s="26">
        <v>0</v>
      </c>
      <c r="J636" s="26">
        <f t="shared" si="88"/>
        <v>4.46</v>
      </c>
      <c r="K636" s="26">
        <v>115</v>
      </c>
      <c r="L636" s="14">
        <f t="shared" si="79"/>
        <v>235.42</v>
      </c>
      <c r="M636" s="14">
        <f t="shared" si="89"/>
        <v>52.784753363228695</v>
      </c>
    </row>
    <row r="637" spans="1:13" ht="15" customHeight="1" x14ac:dyDescent="0.25">
      <c r="A637" s="13">
        <v>6284993</v>
      </c>
      <c r="B637" s="27">
        <v>41081</v>
      </c>
      <c r="C637" s="13" t="s">
        <v>173</v>
      </c>
      <c r="D637" s="13" t="s">
        <v>186</v>
      </c>
      <c r="E637" s="28">
        <v>30</v>
      </c>
      <c r="F637" s="25">
        <v>10.62</v>
      </c>
      <c r="G637" s="26">
        <f t="shared" si="87"/>
        <v>276.12</v>
      </c>
      <c r="H637" s="26">
        <v>115</v>
      </c>
      <c r="I637" s="26">
        <v>0</v>
      </c>
      <c r="J637" s="26">
        <f t="shared" si="88"/>
        <v>10.62</v>
      </c>
      <c r="K637" s="26">
        <v>115</v>
      </c>
      <c r="L637" s="14">
        <f t="shared" si="79"/>
        <v>401.74</v>
      </c>
      <c r="M637" s="14">
        <f t="shared" si="89"/>
        <v>37.8286252354049</v>
      </c>
    </row>
    <row r="638" spans="1:13" ht="15" customHeight="1" x14ac:dyDescent="0.25">
      <c r="A638" s="13">
        <v>6284993</v>
      </c>
      <c r="B638" s="27">
        <v>41085</v>
      </c>
      <c r="C638" s="13" t="s">
        <v>170</v>
      </c>
      <c r="D638" s="13" t="s">
        <v>171</v>
      </c>
      <c r="E638" s="28">
        <v>32</v>
      </c>
      <c r="F638" s="25">
        <v>3.7</v>
      </c>
      <c r="G638" s="26">
        <f t="shared" si="87"/>
        <v>96.2</v>
      </c>
      <c r="H638" s="26">
        <v>115</v>
      </c>
      <c r="I638" s="26">
        <v>0</v>
      </c>
      <c r="J638" s="26">
        <f t="shared" si="88"/>
        <v>3.7</v>
      </c>
      <c r="K638" s="26">
        <v>115</v>
      </c>
      <c r="L638" s="14">
        <f t="shared" si="79"/>
        <v>214.89999999999998</v>
      </c>
      <c r="M638" s="14">
        <f t="shared" si="89"/>
        <v>58.081081081081074</v>
      </c>
    </row>
    <row r="639" spans="1:13" ht="15" customHeight="1" x14ac:dyDescent="0.25">
      <c r="B639" s="27">
        <v>41090</v>
      </c>
      <c r="C639" s="13" t="s">
        <v>174</v>
      </c>
      <c r="D639" s="13" t="s">
        <v>187</v>
      </c>
      <c r="E639" s="28">
        <v>6</v>
      </c>
      <c r="F639" s="29">
        <v>1.17</v>
      </c>
      <c r="H639" s="26">
        <v>70.680000000000007</v>
      </c>
      <c r="J639" s="26"/>
      <c r="K639" s="26"/>
      <c r="L639" s="14">
        <f t="shared" si="79"/>
        <v>70.680000000000007</v>
      </c>
      <c r="M639" s="14">
        <f t="shared" si="89"/>
        <v>60.410256410256423</v>
      </c>
    </row>
    <row r="640" spans="1:13" ht="15" customHeight="1" x14ac:dyDescent="0.25">
      <c r="B640" s="27">
        <v>41090</v>
      </c>
      <c r="C640" s="13" t="s">
        <v>176</v>
      </c>
      <c r="D640" s="13" t="s">
        <v>175</v>
      </c>
      <c r="E640" s="28">
        <v>6</v>
      </c>
      <c r="F640" s="29">
        <v>2.34</v>
      </c>
      <c r="H640" s="26">
        <v>94.32</v>
      </c>
      <c r="J640" s="26"/>
      <c r="K640" s="26"/>
      <c r="L640" s="14">
        <f t="shared" si="79"/>
        <v>94.32</v>
      </c>
      <c r="M640" s="14">
        <f t="shared" si="89"/>
        <v>40.307692307692307</v>
      </c>
    </row>
    <row r="641" spans="1:13" ht="15" customHeight="1" x14ac:dyDescent="0.25">
      <c r="B641" s="27">
        <v>41090</v>
      </c>
      <c r="C641" s="13" t="s">
        <v>177</v>
      </c>
      <c r="D641" s="13" t="s">
        <v>175</v>
      </c>
      <c r="E641" s="28">
        <v>8</v>
      </c>
      <c r="F641" s="29">
        <v>3.12</v>
      </c>
      <c r="H641" s="26">
        <v>129</v>
      </c>
      <c r="J641" s="26"/>
      <c r="K641" s="26"/>
      <c r="L641" s="14">
        <f t="shared" si="79"/>
        <v>129</v>
      </c>
      <c r="M641" s="14">
        <f t="shared" si="89"/>
        <v>41.346153846153847</v>
      </c>
    </row>
    <row r="642" spans="1:13" ht="15" customHeight="1" x14ac:dyDescent="0.25">
      <c r="B642" s="27">
        <v>41090</v>
      </c>
      <c r="C642" s="13" t="s">
        <v>178</v>
      </c>
      <c r="D642" s="13" t="s">
        <v>186</v>
      </c>
      <c r="E642" s="28">
        <v>6</v>
      </c>
      <c r="F642" s="29">
        <v>1</v>
      </c>
      <c r="H642" s="26">
        <v>155.88</v>
      </c>
      <c r="J642" s="26"/>
      <c r="K642" s="26"/>
      <c r="L642" s="14">
        <f t="shared" si="79"/>
        <v>155.88</v>
      </c>
      <c r="M642" s="14">
        <f t="shared" si="89"/>
        <v>155.88</v>
      </c>
    </row>
    <row r="643" spans="1:13" ht="15" customHeight="1" x14ac:dyDescent="0.25">
      <c r="B643" s="27">
        <v>41090</v>
      </c>
      <c r="C643" s="13" t="s">
        <v>179</v>
      </c>
      <c r="D643" s="13" t="s">
        <v>187</v>
      </c>
      <c r="E643" s="28">
        <v>2</v>
      </c>
      <c r="F643" s="29">
        <v>0.39</v>
      </c>
      <c r="H643" s="26">
        <v>48</v>
      </c>
      <c r="J643" s="26"/>
      <c r="K643" s="26"/>
      <c r="L643" s="14">
        <f t="shared" si="79"/>
        <v>48</v>
      </c>
      <c r="M643" s="14">
        <f t="shared" si="89"/>
        <v>123.07692307692307</v>
      </c>
    </row>
    <row r="644" spans="1:13" ht="15" customHeight="1" x14ac:dyDescent="0.25">
      <c r="B644" s="27">
        <v>41090</v>
      </c>
      <c r="C644" s="13" t="s">
        <v>190</v>
      </c>
      <c r="D644" s="13" t="s">
        <v>187</v>
      </c>
      <c r="E644" s="28">
        <v>8</v>
      </c>
      <c r="F644" s="25">
        <v>1.56</v>
      </c>
      <c r="H644" s="26">
        <v>69.28</v>
      </c>
      <c r="L644" s="14">
        <f t="shared" ref="L644:L707" si="90">G644+H644+I644+J644</f>
        <v>69.28</v>
      </c>
    </row>
    <row r="645" spans="1:13" ht="15" customHeight="1" x14ac:dyDescent="0.25">
      <c r="A645" s="13">
        <v>6305099</v>
      </c>
      <c r="B645" s="27">
        <v>41093</v>
      </c>
      <c r="C645" s="13" t="s">
        <v>185</v>
      </c>
      <c r="D645" s="13" t="s">
        <v>169</v>
      </c>
      <c r="E645" s="28">
        <v>40</v>
      </c>
      <c r="F645" s="25">
        <v>5.04</v>
      </c>
      <c r="G645" s="26">
        <f t="shared" ref="G645:G651" si="91">F645*$G$2</f>
        <v>131.04</v>
      </c>
      <c r="H645" s="26">
        <v>115</v>
      </c>
      <c r="I645" s="26">
        <v>0</v>
      </c>
      <c r="J645" s="26">
        <f t="shared" ref="J645:J651" si="92">F645</f>
        <v>5.04</v>
      </c>
      <c r="K645" s="26">
        <v>115</v>
      </c>
      <c r="L645" s="14">
        <f t="shared" si="90"/>
        <v>251.07999999999998</v>
      </c>
      <c r="M645" s="14">
        <f t="shared" ref="M645:M656" si="93">L645/F645</f>
        <v>49.817460317460316</v>
      </c>
    </row>
    <row r="646" spans="1:13" ht="15" customHeight="1" x14ac:dyDescent="0.25">
      <c r="A646" s="13">
        <v>6305099</v>
      </c>
      <c r="B646" s="27">
        <v>41093</v>
      </c>
      <c r="C646" s="13" t="s">
        <v>110</v>
      </c>
      <c r="D646" s="13" t="s">
        <v>169</v>
      </c>
      <c r="E646" s="28">
        <v>40</v>
      </c>
      <c r="F646" s="25">
        <v>1.96</v>
      </c>
      <c r="G646" s="26">
        <f t="shared" si="91"/>
        <v>50.96</v>
      </c>
      <c r="H646" s="26">
        <v>115</v>
      </c>
      <c r="I646" s="26">
        <v>0</v>
      </c>
      <c r="J646" s="26">
        <f t="shared" si="92"/>
        <v>1.96</v>
      </c>
      <c r="K646" s="26">
        <v>115</v>
      </c>
      <c r="L646" s="14">
        <f t="shared" si="90"/>
        <v>167.92000000000002</v>
      </c>
      <c r="M646" s="14">
        <f t="shared" si="93"/>
        <v>85.673469387755105</v>
      </c>
    </row>
    <row r="647" spans="1:13" ht="15" customHeight="1" x14ac:dyDescent="0.25">
      <c r="A647" s="13">
        <v>6305099</v>
      </c>
      <c r="B647" s="27">
        <v>41093</v>
      </c>
      <c r="C647" s="13" t="s">
        <v>110</v>
      </c>
      <c r="D647" s="13" t="s">
        <v>169</v>
      </c>
      <c r="E647" s="28">
        <v>40</v>
      </c>
      <c r="F647" s="25">
        <v>1.1399999999999999</v>
      </c>
      <c r="G647" s="26">
        <f t="shared" si="91"/>
        <v>29.639999999999997</v>
      </c>
      <c r="H647" s="26">
        <v>115</v>
      </c>
      <c r="I647" s="26">
        <v>0</v>
      </c>
      <c r="J647" s="26">
        <f t="shared" si="92"/>
        <v>1.1399999999999999</v>
      </c>
      <c r="K647" s="26">
        <v>115</v>
      </c>
      <c r="L647" s="14">
        <f t="shared" si="90"/>
        <v>145.77999999999997</v>
      </c>
      <c r="M647" s="14">
        <f t="shared" si="93"/>
        <v>127.87719298245612</v>
      </c>
    </row>
    <row r="648" spans="1:13" ht="15" customHeight="1" x14ac:dyDescent="0.25">
      <c r="A648" s="13">
        <v>6305099</v>
      </c>
      <c r="B648" s="27">
        <v>41106</v>
      </c>
      <c r="C648" s="13" t="s">
        <v>170</v>
      </c>
      <c r="D648" s="13" t="s">
        <v>171</v>
      </c>
      <c r="E648" s="28">
        <v>32</v>
      </c>
      <c r="F648" s="25">
        <v>4.22</v>
      </c>
      <c r="G648" s="26">
        <f t="shared" si="91"/>
        <v>109.72</v>
      </c>
      <c r="H648" s="26">
        <v>115</v>
      </c>
      <c r="I648" s="26">
        <v>0</v>
      </c>
      <c r="J648" s="26">
        <f t="shared" si="92"/>
        <v>4.22</v>
      </c>
      <c r="K648" s="26">
        <v>115</v>
      </c>
      <c r="L648" s="14">
        <f t="shared" si="90"/>
        <v>228.94</v>
      </c>
      <c r="M648" s="14">
        <f t="shared" si="93"/>
        <v>54.251184834123222</v>
      </c>
    </row>
    <row r="649" spans="1:13" ht="15" customHeight="1" x14ac:dyDescent="0.25">
      <c r="A649" s="13">
        <v>6305099</v>
      </c>
      <c r="B649" s="27">
        <v>41108</v>
      </c>
      <c r="C649" s="13" t="s">
        <v>110</v>
      </c>
      <c r="D649" s="13" t="s">
        <v>169</v>
      </c>
      <c r="E649" s="28">
        <v>40</v>
      </c>
      <c r="F649" s="25">
        <v>2.93</v>
      </c>
      <c r="G649" s="26">
        <f t="shared" si="91"/>
        <v>76.180000000000007</v>
      </c>
      <c r="H649" s="26">
        <v>115</v>
      </c>
      <c r="I649" s="26">
        <v>0</v>
      </c>
      <c r="J649" s="26">
        <f t="shared" si="92"/>
        <v>2.93</v>
      </c>
      <c r="K649" s="26">
        <v>115</v>
      </c>
      <c r="L649" s="14">
        <f t="shared" si="90"/>
        <v>194.11</v>
      </c>
      <c r="M649" s="14">
        <f t="shared" si="93"/>
        <v>66.249146757679185</v>
      </c>
    </row>
    <row r="650" spans="1:13" ht="15" customHeight="1" x14ac:dyDescent="0.25">
      <c r="A650" s="13">
        <v>6305099</v>
      </c>
      <c r="B650" s="27">
        <v>41117</v>
      </c>
      <c r="C650" s="13" t="s">
        <v>128</v>
      </c>
      <c r="D650" s="13" t="s">
        <v>186</v>
      </c>
      <c r="E650" s="28">
        <v>35</v>
      </c>
      <c r="F650" s="25">
        <v>8.4700000000000006</v>
      </c>
      <c r="G650" s="26">
        <f t="shared" si="91"/>
        <v>220.22000000000003</v>
      </c>
      <c r="H650" s="26">
        <v>115</v>
      </c>
      <c r="I650" s="26">
        <v>0</v>
      </c>
      <c r="J650" s="26">
        <f t="shared" si="92"/>
        <v>8.4700000000000006</v>
      </c>
      <c r="K650" s="26">
        <v>115</v>
      </c>
      <c r="L650" s="14">
        <f t="shared" si="90"/>
        <v>343.69000000000005</v>
      </c>
      <c r="M650" s="14">
        <f t="shared" si="93"/>
        <v>40.577331759149942</v>
      </c>
    </row>
    <row r="651" spans="1:13" ht="15" customHeight="1" x14ac:dyDescent="0.25">
      <c r="A651" s="13">
        <v>6305099</v>
      </c>
      <c r="B651" s="27">
        <v>41117</v>
      </c>
      <c r="C651" s="13" t="s">
        <v>185</v>
      </c>
      <c r="D651" s="13" t="s">
        <v>169</v>
      </c>
      <c r="E651" s="28">
        <v>40</v>
      </c>
      <c r="F651" s="25">
        <v>2.2999999999999998</v>
      </c>
      <c r="G651" s="26">
        <f t="shared" si="91"/>
        <v>59.8</v>
      </c>
      <c r="H651" s="26">
        <v>115</v>
      </c>
      <c r="I651" s="26">
        <v>0</v>
      </c>
      <c r="J651" s="26">
        <f t="shared" si="92"/>
        <v>2.2999999999999998</v>
      </c>
      <c r="K651" s="26">
        <v>115</v>
      </c>
      <c r="L651" s="14">
        <f t="shared" si="90"/>
        <v>177.10000000000002</v>
      </c>
      <c r="M651" s="14">
        <f t="shared" si="93"/>
        <v>77.000000000000014</v>
      </c>
    </row>
    <row r="652" spans="1:13" ht="15" customHeight="1" x14ac:dyDescent="0.25">
      <c r="B652" s="27">
        <v>41121</v>
      </c>
      <c r="C652" s="13" t="s">
        <v>174</v>
      </c>
      <c r="D652" s="13" t="s">
        <v>187</v>
      </c>
      <c r="E652" s="28">
        <v>6</v>
      </c>
      <c r="F652" s="29">
        <v>1.17</v>
      </c>
      <c r="H652" s="26">
        <v>70.680000000000007</v>
      </c>
      <c r="J652" s="26"/>
      <c r="K652" s="26"/>
      <c r="L652" s="14">
        <f t="shared" si="90"/>
        <v>70.680000000000007</v>
      </c>
      <c r="M652" s="14">
        <f t="shared" si="93"/>
        <v>60.410256410256423</v>
      </c>
    </row>
    <row r="653" spans="1:13" ht="15" customHeight="1" x14ac:dyDescent="0.25">
      <c r="B653" s="27">
        <v>41121</v>
      </c>
      <c r="C653" s="13" t="s">
        <v>176</v>
      </c>
      <c r="D653" s="13" t="s">
        <v>175</v>
      </c>
      <c r="E653" s="28">
        <v>6</v>
      </c>
      <c r="F653" s="29">
        <v>2.34</v>
      </c>
      <c r="H653" s="26">
        <v>94.32</v>
      </c>
      <c r="J653" s="26"/>
      <c r="K653" s="26"/>
      <c r="L653" s="14">
        <f t="shared" si="90"/>
        <v>94.32</v>
      </c>
      <c r="M653" s="14">
        <f t="shared" si="93"/>
        <v>40.307692307692307</v>
      </c>
    </row>
    <row r="654" spans="1:13" ht="15" customHeight="1" x14ac:dyDescent="0.25">
      <c r="B654" s="27">
        <v>41121</v>
      </c>
      <c r="C654" s="13" t="s">
        <v>177</v>
      </c>
      <c r="D654" s="13" t="s">
        <v>175</v>
      </c>
      <c r="E654" s="28">
        <v>8</v>
      </c>
      <c r="F654" s="29">
        <v>3.12</v>
      </c>
      <c r="H654" s="26">
        <v>129</v>
      </c>
      <c r="J654" s="26"/>
      <c r="K654" s="26"/>
      <c r="L654" s="14">
        <f t="shared" si="90"/>
        <v>129</v>
      </c>
      <c r="M654" s="14">
        <f t="shared" si="93"/>
        <v>41.346153846153847</v>
      </c>
    </row>
    <row r="655" spans="1:13" ht="15" customHeight="1" x14ac:dyDescent="0.25">
      <c r="B655" s="27">
        <v>41121</v>
      </c>
      <c r="C655" s="13" t="s">
        <v>178</v>
      </c>
      <c r="D655" s="13" t="s">
        <v>186</v>
      </c>
      <c r="E655" s="28">
        <v>6</v>
      </c>
      <c r="F655" s="29">
        <v>1</v>
      </c>
      <c r="H655" s="26">
        <v>155.88</v>
      </c>
      <c r="J655" s="26"/>
      <c r="K655" s="26"/>
      <c r="L655" s="14">
        <f t="shared" si="90"/>
        <v>155.88</v>
      </c>
      <c r="M655" s="14">
        <f t="shared" si="93"/>
        <v>155.88</v>
      </c>
    </row>
    <row r="656" spans="1:13" ht="15" customHeight="1" x14ac:dyDescent="0.25">
      <c r="B656" s="27">
        <v>41121</v>
      </c>
      <c r="C656" s="13" t="s">
        <v>179</v>
      </c>
      <c r="D656" s="13" t="s">
        <v>187</v>
      </c>
      <c r="E656" s="28">
        <v>2</v>
      </c>
      <c r="F656" s="29">
        <v>0.39</v>
      </c>
      <c r="H656" s="26">
        <v>48</v>
      </c>
      <c r="J656" s="26"/>
      <c r="K656" s="26"/>
      <c r="L656" s="14">
        <f t="shared" si="90"/>
        <v>48</v>
      </c>
      <c r="M656" s="14">
        <f t="shared" si="93"/>
        <v>123.07692307692307</v>
      </c>
    </row>
    <row r="657" spans="1:13" ht="15" customHeight="1" x14ac:dyDescent="0.25">
      <c r="B657" s="27">
        <v>41121</v>
      </c>
      <c r="C657" s="13" t="s">
        <v>190</v>
      </c>
      <c r="D657" s="13" t="s">
        <v>187</v>
      </c>
      <c r="E657" s="28">
        <v>8</v>
      </c>
      <c r="F657" s="25">
        <v>1.56</v>
      </c>
      <c r="H657" s="26">
        <v>69.28</v>
      </c>
      <c r="L657" s="14">
        <f t="shared" si="90"/>
        <v>69.28</v>
      </c>
    </row>
    <row r="658" spans="1:13" ht="15.75" customHeight="1" x14ac:dyDescent="0.25">
      <c r="A658" s="13">
        <v>6326783</v>
      </c>
      <c r="B658" s="27">
        <v>41128</v>
      </c>
      <c r="C658" s="13" t="s">
        <v>41</v>
      </c>
      <c r="D658" s="13" t="s">
        <v>169</v>
      </c>
      <c r="E658" s="28">
        <v>40</v>
      </c>
      <c r="F658" s="25">
        <v>2.54</v>
      </c>
      <c r="G658" s="26">
        <f t="shared" ref="G658:G665" si="94">F658*$G$2</f>
        <v>66.040000000000006</v>
      </c>
      <c r="H658" s="26">
        <v>115</v>
      </c>
      <c r="I658" s="26">
        <v>0</v>
      </c>
      <c r="J658" s="26">
        <f t="shared" ref="J658:J665" si="95">F658</f>
        <v>2.54</v>
      </c>
      <c r="K658" s="26">
        <v>115</v>
      </c>
      <c r="L658" s="14">
        <f t="shared" si="90"/>
        <v>183.58</v>
      </c>
      <c r="M658" s="14">
        <f t="shared" ref="M658:M671" si="96">L658/F658</f>
        <v>72.275590551181111</v>
      </c>
    </row>
    <row r="659" spans="1:13" ht="15" customHeight="1" x14ac:dyDescent="0.25">
      <c r="A659" s="13">
        <v>6326783</v>
      </c>
      <c r="B659" s="27">
        <v>41129</v>
      </c>
      <c r="C659" s="13" t="s">
        <v>128</v>
      </c>
      <c r="D659" s="13" t="s">
        <v>169</v>
      </c>
      <c r="E659" s="28">
        <v>20</v>
      </c>
      <c r="F659" s="25">
        <v>1.72</v>
      </c>
      <c r="G659" s="26">
        <f t="shared" si="94"/>
        <v>44.72</v>
      </c>
      <c r="H659" s="26">
        <v>115</v>
      </c>
      <c r="I659" s="26">
        <v>0</v>
      </c>
      <c r="J659" s="26">
        <f t="shared" si="95"/>
        <v>1.72</v>
      </c>
      <c r="K659" s="26">
        <f>H659+I659</f>
        <v>115</v>
      </c>
      <c r="L659" s="14">
        <f t="shared" si="90"/>
        <v>161.44</v>
      </c>
      <c r="M659" s="14">
        <f t="shared" si="96"/>
        <v>93.860465116279073</v>
      </c>
    </row>
    <row r="660" spans="1:13" ht="15" customHeight="1" x14ac:dyDescent="0.25">
      <c r="A660" s="13">
        <v>6326783</v>
      </c>
      <c r="B660" s="27">
        <v>41129</v>
      </c>
      <c r="C660" s="13" t="s">
        <v>128</v>
      </c>
      <c r="D660" s="13" t="s">
        <v>169</v>
      </c>
      <c r="E660" s="28">
        <v>20</v>
      </c>
      <c r="F660" s="25">
        <v>1.41</v>
      </c>
      <c r="G660" s="26">
        <f t="shared" si="94"/>
        <v>36.659999999999997</v>
      </c>
      <c r="H660" s="26">
        <v>115</v>
      </c>
      <c r="I660" s="26">
        <v>0</v>
      </c>
      <c r="J660" s="26">
        <f t="shared" si="95"/>
        <v>1.41</v>
      </c>
      <c r="K660" s="26">
        <f>H660+I660</f>
        <v>115</v>
      </c>
      <c r="L660" s="14">
        <f t="shared" si="90"/>
        <v>153.07</v>
      </c>
      <c r="M660" s="14">
        <f t="shared" si="96"/>
        <v>108.56028368794327</v>
      </c>
    </row>
    <row r="661" spans="1:13" ht="15" customHeight="1" x14ac:dyDescent="0.25">
      <c r="A661" s="13">
        <v>6326783</v>
      </c>
      <c r="B661" s="27">
        <v>41135</v>
      </c>
      <c r="C661" s="13" t="s">
        <v>185</v>
      </c>
      <c r="D661" s="13" t="s">
        <v>169</v>
      </c>
      <c r="E661" s="28">
        <v>40</v>
      </c>
      <c r="F661" s="25">
        <v>5.08</v>
      </c>
      <c r="G661" s="26">
        <f t="shared" si="94"/>
        <v>132.08000000000001</v>
      </c>
      <c r="H661" s="26">
        <v>115</v>
      </c>
      <c r="I661" s="26">
        <v>0</v>
      </c>
      <c r="J661" s="26">
        <f t="shared" si="95"/>
        <v>5.08</v>
      </c>
      <c r="K661" s="26">
        <v>115</v>
      </c>
      <c r="L661" s="14">
        <f t="shared" si="90"/>
        <v>252.16000000000003</v>
      </c>
      <c r="M661" s="14">
        <f t="shared" si="96"/>
        <v>49.637795275590555</v>
      </c>
    </row>
    <row r="662" spans="1:13" ht="15" customHeight="1" x14ac:dyDescent="0.25">
      <c r="A662" s="13">
        <v>6326783</v>
      </c>
      <c r="B662" s="27">
        <v>41135</v>
      </c>
      <c r="C662" s="13" t="s">
        <v>173</v>
      </c>
      <c r="D662" s="13" t="s">
        <v>186</v>
      </c>
      <c r="E662" s="28">
        <v>30</v>
      </c>
      <c r="F662" s="25">
        <v>6.28</v>
      </c>
      <c r="G662" s="26">
        <f t="shared" si="94"/>
        <v>163.28</v>
      </c>
      <c r="H662" s="26">
        <v>115</v>
      </c>
      <c r="I662" s="26">
        <v>0</v>
      </c>
      <c r="J662" s="26">
        <f t="shared" si="95"/>
        <v>6.28</v>
      </c>
      <c r="K662" s="26">
        <v>115</v>
      </c>
      <c r="L662" s="14">
        <f t="shared" si="90"/>
        <v>284.55999999999995</v>
      </c>
      <c r="M662" s="14">
        <f t="shared" si="96"/>
        <v>45.312101910828012</v>
      </c>
    </row>
    <row r="663" spans="1:13" ht="15" customHeight="1" x14ac:dyDescent="0.25">
      <c r="A663" s="13">
        <v>6326783</v>
      </c>
      <c r="B663" s="27">
        <v>41136</v>
      </c>
      <c r="C663" s="13" t="s">
        <v>170</v>
      </c>
      <c r="D663" s="13" t="s">
        <v>171</v>
      </c>
      <c r="E663" s="28">
        <v>32</v>
      </c>
      <c r="F663" s="25">
        <v>7.02</v>
      </c>
      <c r="G663" s="26">
        <f t="shared" si="94"/>
        <v>182.51999999999998</v>
      </c>
      <c r="H663" s="26">
        <v>115</v>
      </c>
      <c r="I663" s="26">
        <v>0</v>
      </c>
      <c r="J663" s="26">
        <f t="shared" si="95"/>
        <v>7.02</v>
      </c>
      <c r="K663" s="26">
        <v>115</v>
      </c>
      <c r="L663" s="14">
        <f t="shared" si="90"/>
        <v>304.53999999999996</v>
      </c>
      <c r="M663" s="14">
        <f t="shared" si="96"/>
        <v>43.381766381766376</v>
      </c>
    </row>
    <row r="664" spans="1:13" ht="15" customHeight="1" x14ac:dyDescent="0.25">
      <c r="A664" s="13">
        <v>6326783</v>
      </c>
      <c r="B664" s="27">
        <v>41146</v>
      </c>
      <c r="C664" s="13" t="s">
        <v>185</v>
      </c>
      <c r="D664" s="13" t="s">
        <v>169</v>
      </c>
      <c r="E664" s="28">
        <v>40</v>
      </c>
      <c r="F664" s="25">
        <v>2.2599999999999998</v>
      </c>
      <c r="G664" s="26">
        <f t="shared" si="94"/>
        <v>58.759999999999991</v>
      </c>
      <c r="H664" s="26">
        <v>115</v>
      </c>
      <c r="I664" s="26">
        <v>0</v>
      </c>
      <c r="J664" s="26">
        <f t="shared" si="95"/>
        <v>2.2599999999999998</v>
      </c>
      <c r="K664" s="26">
        <v>115</v>
      </c>
      <c r="L664" s="14">
        <f t="shared" si="90"/>
        <v>176.01999999999998</v>
      </c>
      <c r="M664" s="14">
        <f t="shared" si="96"/>
        <v>77.884955752212392</v>
      </c>
    </row>
    <row r="665" spans="1:13" ht="15" customHeight="1" x14ac:dyDescent="0.25">
      <c r="A665" s="13">
        <v>6326783</v>
      </c>
      <c r="B665" s="27">
        <v>41146</v>
      </c>
      <c r="C665" s="13" t="s">
        <v>128</v>
      </c>
      <c r="D665" s="13" t="s">
        <v>186</v>
      </c>
      <c r="E665" s="28">
        <v>35</v>
      </c>
      <c r="F665" s="25">
        <v>5.23</v>
      </c>
      <c r="G665" s="26">
        <f t="shared" si="94"/>
        <v>135.98000000000002</v>
      </c>
      <c r="H665" s="26">
        <v>115</v>
      </c>
      <c r="I665" s="26">
        <v>0</v>
      </c>
      <c r="J665" s="26">
        <f t="shared" si="95"/>
        <v>5.23</v>
      </c>
      <c r="K665" s="26">
        <v>115</v>
      </c>
      <c r="L665" s="14">
        <f t="shared" si="90"/>
        <v>256.21000000000004</v>
      </c>
      <c r="M665" s="14">
        <f t="shared" si="96"/>
        <v>48.988527724665396</v>
      </c>
    </row>
    <row r="666" spans="1:13" ht="15" customHeight="1" x14ac:dyDescent="0.25">
      <c r="B666" s="27">
        <v>41147</v>
      </c>
      <c r="C666" s="13" t="s">
        <v>174</v>
      </c>
      <c r="D666" s="13" t="s">
        <v>175</v>
      </c>
      <c r="E666" s="28">
        <v>6</v>
      </c>
      <c r="F666" s="29">
        <v>1.17</v>
      </c>
      <c r="H666" s="26">
        <v>54</v>
      </c>
      <c r="J666" s="26"/>
      <c r="K666" s="26"/>
      <c r="L666" s="14">
        <f t="shared" si="90"/>
        <v>54</v>
      </c>
      <c r="M666" s="14">
        <f t="shared" si="96"/>
        <v>46.153846153846153</v>
      </c>
    </row>
    <row r="667" spans="1:13" ht="15" customHeight="1" x14ac:dyDescent="0.25">
      <c r="B667" s="27">
        <v>41152</v>
      </c>
      <c r="C667" s="13" t="s">
        <v>174</v>
      </c>
      <c r="D667" s="13" t="s">
        <v>187</v>
      </c>
      <c r="E667" s="28">
        <v>6</v>
      </c>
      <c r="F667" s="29">
        <v>1.17</v>
      </c>
      <c r="H667" s="26">
        <v>70.680000000000007</v>
      </c>
      <c r="J667" s="26"/>
      <c r="K667" s="26"/>
      <c r="L667" s="14">
        <f t="shared" si="90"/>
        <v>70.680000000000007</v>
      </c>
      <c r="M667" s="14">
        <f t="shared" si="96"/>
        <v>60.410256410256423</v>
      </c>
    </row>
    <row r="668" spans="1:13" ht="15" customHeight="1" x14ac:dyDescent="0.25">
      <c r="B668" s="27">
        <v>41152</v>
      </c>
      <c r="C668" s="13" t="s">
        <v>176</v>
      </c>
      <c r="D668" s="13" t="s">
        <v>175</v>
      </c>
      <c r="E668" s="28">
        <v>6</v>
      </c>
      <c r="F668" s="29">
        <v>2.34</v>
      </c>
      <c r="H668" s="26">
        <v>94.32</v>
      </c>
      <c r="J668" s="26"/>
      <c r="K668" s="26"/>
      <c r="L668" s="14">
        <f t="shared" si="90"/>
        <v>94.32</v>
      </c>
      <c r="M668" s="14">
        <f t="shared" si="96"/>
        <v>40.307692307692307</v>
      </c>
    </row>
    <row r="669" spans="1:13" ht="15" customHeight="1" x14ac:dyDescent="0.25">
      <c r="B669" s="27">
        <v>41152</v>
      </c>
      <c r="C669" s="13" t="s">
        <v>177</v>
      </c>
      <c r="D669" s="13" t="s">
        <v>175</v>
      </c>
      <c r="E669" s="28">
        <v>8</v>
      </c>
      <c r="F669" s="29">
        <v>3.12</v>
      </c>
      <c r="H669" s="26">
        <v>129</v>
      </c>
      <c r="J669" s="26"/>
      <c r="K669" s="26"/>
      <c r="L669" s="14">
        <f t="shared" si="90"/>
        <v>129</v>
      </c>
      <c r="M669" s="14">
        <f t="shared" si="96"/>
        <v>41.346153846153847</v>
      </c>
    </row>
    <row r="670" spans="1:13" ht="15" customHeight="1" x14ac:dyDescent="0.25">
      <c r="B670" s="27">
        <v>41152</v>
      </c>
      <c r="C670" s="13" t="s">
        <v>178</v>
      </c>
      <c r="D670" s="13" t="s">
        <v>186</v>
      </c>
      <c r="E670" s="28">
        <v>6</v>
      </c>
      <c r="F670" s="29">
        <v>1</v>
      </c>
      <c r="H670" s="26">
        <v>155.88</v>
      </c>
      <c r="J670" s="26"/>
      <c r="K670" s="26"/>
      <c r="L670" s="14">
        <f t="shared" si="90"/>
        <v>155.88</v>
      </c>
      <c r="M670" s="14">
        <f t="shared" si="96"/>
        <v>155.88</v>
      </c>
    </row>
    <row r="671" spans="1:13" ht="15" customHeight="1" x14ac:dyDescent="0.25">
      <c r="B671" s="27">
        <v>41152</v>
      </c>
      <c r="C671" s="13" t="s">
        <v>179</v>
      </c>
      <c r="D671" s="13" t="s">
        <v>187</v>
      </c>
      <c r="E671" s="28">
        <v>2</v>
      </c>
      <c r="F671" s="29">
        <v>0.39</v>
      </c>
      <c r="H671" s="26">
        <v>48</v>
      </c>
      <c r="J671" s="26"/>
      <c r="K671" s="26"/>
      <c r="L671" s="14">
        <f t="shared" si="90"/>
        <v>48</v>
      </c>
      <c r="M671" s="14">
        <f t="shared" si="96"/>
        <v>123.07692307692307</v>
      </c>
    </row>
    <row r="672" spans="1:13" ht="15" customHeight="1" x14ac:dyDescent="0.25">
      <c r="B672" s="27">
        <v>41152</v>
      </c>
      <c r="C672" s="13" t="s">
        <v>190</v>
      </c>
      <c r="D672" s="13" t="s">
        <v>187</v>
      </c>
      <c r="E672" s="28">
        <v>8</v>
      </c>
      <c r="F672" s="25">
        <v>1.56</v>
      </c>
      <c r="H672" s="26">
        <v>69.28</v>
      </c>
      <c r="L672" s="14">
        <f t="shared" si="90"/>
        <v>69.28</v>
      </c>
    </row>
    <row r="673" spans="1:13" ht="15" customHeight="1" x14ac:dyDescent="0.25">
      <c r="A673" s="13">
        <v>6344130</v>
      </c>
      <c r="B673" s="27">
        <v>41160</v>
      </c>
      <c r="C673" s="13" t="s">
        <v>173</v>
      </c>
      <c r="D673" s="13" t="s">
        <v>186</v>
      </c>
      <c r="E673" s="28">
        <v>30</v>
      </c>
      <c r="F673" s="25">
        <v>2.39</v>
      </c>
      <c r="G673" s="26">
        <f t="shared" ref="G673:G681" si="97">F673*$G$2</f>
        <v>62.14</v>
      </c>
      <c r="H673" s="26">
        <v>115</v>
      </c>
      <c r="I673" s="26">
        <v>0</v>
      </c>
      <c r="J673" s="26">
        <f t="shared" ref="J673:J681" si="98">F673</f>
        <v>2.39</v>
      </c>
      <c r="K673" s="26">
        <v>115</v>
      </c>
      <c r="L673" s="14">
        <f t="shared" si="90"/>
        <v>179.52999999999997</v>
      </c>
      <c r="M673" s="14">
        <f t="shared" ref="M673:M686" si="99">L673/F673</f>
        <v>75.117154811715466</v>
      </c>
    </row>
    <row r="674" spans="1:13" ht="15" customHeight="1" x14ac:dyDescent="0.25">
      <c r="A674" s="13">
        <v>6344130</v>
      </c>
      <c r="B674" s="27">
        <v>41162</v>
      </c>
      <c r="C674" s="13" t="s">
        <v>128</v>
      </c>
      <c r="D674" s="13" t="s">
        <v>186</v>
      </c>
      <c r="E674" s="28">
        <v>35</v>
      </c>
      <c r="F674" s="25">
        <v>4.13</v>
      </c>
      <c r="G674" s="26">
        <f t="shared" si="97"/>
        <v>107.38</v>
      </c>
      <c r="H674" s="26">
        <v>115</v>
      </c>
      <c r="I674" s="26">
        <v>0</v>
      </c>
      <c r="J674" s="26">
        <f t="shared" si="98"/>
        <v>4.13</v>
      </c>
      <c r="K674" s="26">
        <v>115</v>
      </c>
      <c r="L674" s="14">
        <f t="shared" si="90"/>
        <v>226.51</v>
      </c>
      <c r="M674" s="14">
        <f t="shared" si="99"/>
        <v>54.845036319612589</v>
      </c>
    </row>
    <row r="675" spans="1:13" ht="15" customHeight="1" x14ac:dyDescent="0.25">
      <c r="A675" s="13">
        <v>6344130</v>
      </c>
      <c r="B675" s="27">
        <v>41162</v>
      </c>
      <c r="C675" s="13" t="s">
        <v>185</v>
      </c>
      <c r="D675" s="13" t="s">
        <v>169</v>
      </c>
      <c r="E675" s="28">
        <v>40</v>
      </c>
      <c r="F675" s="25">
        <v>3.33</v>
      </c>
      <c r="G675" s="26">
        <f t="shared" si="97"/>
        <v>86.58</v>
      </c>
      <c r="H675" s="26">
        <v>115</v>
      </c>
      <c r="I675" s="26">
        <v>0</v>
      </c>
      <c r="J675" s="26">
        <f t="shared" si="98"/>
        <v>3.33</v>
      </c>
      <c r="K675" s="26">
        <v>115</v>
      </c>
      <c r="L675" s="14">
        <f t="shared" si="90"/>
        <v>204.91</v>
      </c>
      <c r="M675" s="14">
        <f t="shared" si="99"/>
        <v>61.534534534534529</v>
      </c>
    </row>
    <row r="676" spans="1:13" ht="15" customHeight="1" x14ac:dyDescent="0.25">
      <c r="A676" s="13">
        <v>6344130</v>
      </c>
      <c r="B676" s="27">
        <v>41162</v>
      </c>
      <c r="C676" s="13" t="s">
        <v>173</v>
      </c>
      <c r="D676" s="13" t="s">
        <v>186</v>
      </c>
      <c r="E676" s="28">
        <v>30</v>
      </c>
      <c r="F676" s="25">
        <v>9.23</v>
      </c>
      <c r="G676" s="26">
        <f t="shared" si="97"/>
        <v>239.98000000000002</v>
      </c>
      <c r="H676" s="26">
        <v>115</v>
      </c>
      <c r="I676" s="26">
        <v>0</v>
      </c>
      <c r="J676" s="26">
        <f t="shared" si="98"/>
        <v>9.23</v>
      </c>
      <c r="K676" s="26">
        <v>115</v>
      </c>
      <c r="L676" s="14">
        <f t="shared" si="90"/>
        <v>364.21000000000004</v>
      </c>
      <c r="M676" s="14">
        <f t="shared" si="99"/>
        <v>39.45937161430119</v>
      </c>
    </row>
    <row r="677" spans="1:13" ht="15" customHeight="1" x14ac:dyDescent="0.25">
      <c r="A677" s="13">
        <v>6344130</v>
      </c>
      <c r="B677" s="27">
        <v>41163</v>
      </c>
      <c r="C677" s="13" t="s">
        <v>170</v>
      </c>
      <c r="D677" s="13" t="s">
        <v>171</v>
      </c>
      <c r="E677" s="28">
        <v>32</v>
      </c>
      <c r="F677" s="25">
        <v>0.7</v>
      </c>
      <c r="G677" s="26">
        <f t="shared" si="97"/>
        <v>18.2</v>
      </c>
      <c r="H677" s="26">
        <v>115</v>
      </c>
      <c r="I677" s="26">
        <v>0</v>
      </c>
      <c r="J677" s="26">
        <f t="shared" si="98"/>
        <v>0.7</v>
      </c>
      <c r="K677" s="26">
        <v>115</v>
      </c>
      <c r="L677" s="14">
        <f t="shared" si="90"/>
        <v>133.89999999999998</v>
      </c>
      <c r="M677" s="14">
        <f t="shared" si="99"/>
        <v>191.28571428571428</v>
      </c>
    </row>
    <row r="678" spans="1:13" ht="15" customHeight="1" x14ac:dyDescent="0.25">
      <c r="A678" s="13">
        <v>6344130</v>
      </c>
      <c r="B678" s="27">
        <v>41171</v>
      </c>
      <c r="C678" s="13" t="s">
        <v>170</v>
      </c>
      <c r="D678" s="13" t="s">
        <v>171</v>
      </c>
      <c r="E678" s="28">
        <v>32</v>
      </c>
      <c r="F678" s="25">
        <v>13.92</v>
      </c>
      <c r="G678" s="26">
        <f t="shared" si="97"/>
        <v>361.92</v>
      </c>
      <c r="H678" s="26">
        <v>115</v>
      </c>
      <c r="I678" s="26">
        <v>0</v>
      </c>
      <c r="J678" s="26">
        <f t="shared" si="98"/>
        <v>13.92</v>
      </c>
      <c r="K678" s="26">
        <v>115</v>
      </c>
      <c r="L678" s="14">
        <f t="shared" si="90"/>
        <v>490.84000000000003</v>
      </c>
      <c r="M678" s="14">
        <f t="shared" si="99"/>
        <v>35.261494252873568</v>
      </c>
    </row>
    <row r="679" spans="1:13" ht="15" customHeight="1" x14ac:dyDescent="0.25">
      <c r="A679" s="13">
        <v>6344130</v>
      </c>
      <c r="B679" s="27">
        <v>41172</v>
      </c>
      <c r="C679" s="13" t="s">
        <v>110</v>
      </c>
      <c r="D679" s="13" t="s">
        <v>169</v>
      </c>
      <c r="E679" s="28">
        <v>40</v>
      </c>
      <c r="F679" s="25">
        <v>4.76</v>
      </c>
      <c r="G679" s="26">
        <f t="shared" si="97"/>
        <v>123.75999999999999</v>
      </c>
      <c r="H679" s="26">
        <v>115</v>
      </c>
      <c r="I679" s="26">
        <v>0</v>
      </c>
      <c r="J679" s="26">
        <f t="shared" si="98"/>
        <v>4.76</v>
      </c>
      <c r="K679" s="26">
        <v>115</v>
      </c>
      <c r="L679" s="14">
        <f t="shared" si="90"/>
        <v>243.51999999999998</v>
      </c>
      <c r="M679" s="14">
        <f t="shared" si="99"/>
        <v>51.159663865546214</v>
      </c>
    </row>
    <row r="680" spans="1:13" ht="15" customHeight="1" x14ac:dyDescent="0.25">
      <c r="A680" s="13">
        <v>6344130</v>
      </c>
      <c r="B680" s="27">
        <v>41177</v>
      </c>
      <c r="C680" s="13" t="s">
        <v>185</v>
      </c>
      <c r="D680" s="13" t="s">
        <v>169</v>
      </c>
      <c r="E680" s="28">
        <v>40</v>
      </c>
      <c r="F680" s="25">
        <v>7.66</v>
      </c>
      <c r="G680" s="26">
        <f t="shared" si="97"/>
        <v>199.16</v>
      </c>
      <c r="H680" s="26">
        <v>115</v>
      </c>
      <c r="I680" s="26">
        <v>0</v>
      </c>
      <c r="J680" s="26">
        <f t="shared" si="98"/>
        <v>7.66</v>
      </c>
      <c r="K680" s="26">
        <v>115</v>
      </c>
      <c r="L680" s="14">
        <f t="shared" si="90"/>
        <v>321.82</v>
      </c>
      <c r="M680" s="14">
        <f t="shared" si="99"/>
        <v>42.013054830287203</v>
      </c>
    </row>
    <row r="681" spans="1:13" ht="15" customHeight="1" x14ac:dyDescent="0.25">
      <c r="A681" s="13">
        <v>6344130</v>
      </c>
      <c r="B681" s="27">
        <v>41181</v>
      </c>
      <c r="C681" s="13" t="s">
        <v>173</v>
      </c>
      <c r="D681" s="13" t="s">
        <v>186</v>
      </c>
      <c r="E681" s="28">
        <v>30</v>
      </c>
      <c r="F681" s="25">
        <v>7.44</v>
      </c>
      <c r="G681" s="26">
        <f t="shared" si="97"/>
        <v>193.44</v>
      </c>
      <c r="H681" s="26">
        <v>115</v>
      </c>
      <c r="I681" s="26">
        <v>0</v>
      </c>
      <c r="J681" s="26">
        <f t="shared" si="98"/>
        <v>7.44</v>
      </c>
      <c r="K681" s="26">
        <v>115</v>
      </c>
      <c r="L681" s="14">
        <f t="shared" si="90"/>
        <v>315.88</v>
      </c>
      <c r="M681" s="14">
        <f t="shared" si="99"/>
        <v>42.456989247311824</v>
      </c>
    </row>
    <row r="682" spans="1:13" ht="15" customHeight="1" x14ac:dyDescent="0.25">
      <c r="B682" s="27">
        <v>41182</v>
      </c>
      <c r="C682" s="13" t="s">
        <v>176</v>
      </c>
      <c r="D682" s="13" t="s">
        <v>175</v>
      </c>
      <c r="E682" s="28">
        <v>6</v>
      </c>
      <c r="F682" s="29">
        <v>2.34</v>
      </c>
      <c r="H682" s="26">
        <v>94.32</v>
      </c>
      <c r="J682" s="26"/>
      <c r="K682" s="26"/>
      <c r="L682" s="14">
        <f t="shared" si="90"/>
        <v>94.32</v>
      </c>
      <c r="M682" s="14">
        <f t="shared" si="99"/>
        <v>40.307692307692307</v>
      </c>
    </row>
    <row r="683" spans="1:13" ht="15" customHeight="1" x14ac:dyDescent="0.25">
      <c r="B683" s="27">
        <v>41182</v>
      </c>
      <c r="C683" s="13" t="s">
        <v>174</v>
      </c>
      <c r="D683" s="13" t="s">
        <v>175</v>
      </c>
      <c r="E683" s="28">
        <v>6</v>
      </c>
      <c r="F683" s="29">
        <v>1.17</v>
      </c>
      <c r="H683" s="26">
        <v>54</v>
      </c>
      <c r="J683" s="26"/>
      <c r="K683" s="26"/>
      <c r="L683" s="14">
        <f t="shared" si="90"/>
        <v>54</v>
      </c>
      <c r="M683" s="14">
        <f t="shared" si="99"/>
        <v>46.153846153846153</v>
      </c>
    </row>
    <row r="684" spans="1:13" ht="15" customHeight="1" x14ac:dyDescent="0.25">
      <c r="B684" s="27">
        <v>41182</v>
      </c>
      <c r="C684" s="13" t="s">
        <v>177</v>
      </c>
      <c r="D684" s="13" t="s">
        <v>175</v>
      </c>
      <c r="E684" s="28">
        <v>8</v>
      </c>
      <c r="F684" s="29">
        <v>3.12</v>
      </c>
      <c r="H684" s="26">
        <v>129</v>
      </c>
      <c r="J684" s="26"/>
      <c r="K684" s="26"/>
      <c r="L684" s="14">
        <f t="shared" si="90"/>
        <v>129</v>
      </c>
      <c r="M684" s="14">
        <f t="shared" si="99"/>
        <v>41.346153846153847</v>
      </c>
    </row>
    <row r="685" spans="1:13" ht="15" customHeight="1" x14ac:dyDescent="0.25">
      <c r="B685" s="27">
        <v>41182</v>
      </c>
      <c r="C685" s="13" t="s">
        <v>178</v>
      </c>
      <c r="D685" s="13" t="s">
        <v>186</v>
      </c>
      <c r="E685" s="28">
        <v>6</v>
      </c>
      <c r="F685" s="29">
        <v>1</v>
      </c>
      <c r="H685" s="26">
        <v>155.88</v>
      </c>
      <c r="J685" s="26"/>
      <c r="K685" s="26"/>
      <c r="L685" s="14">
        <f t="shared" si="90"/>
        <v>155.88</v>
      </c>
      <c r="M685" s="14">
        <f t="shared" si="99"/>
        <v>155.88</v>
      </c>
    </row>
    <row r="686" spans="1:13" ht="15" customHeight="1" x14ac:dyDescent="0.25">
      <c r="B686" s="27">
        <v>41182</v>
      </c>
      <c r="C686" s="13" t="s">
        <v>179</v>
      </c>
      <c r="D686" s="13" t="s">
        <v>187</v>
      </c>
      <c r="E686" s="28">
        <v>2</v>
      </c>
      <c r="F686" s="29">
        <v>0.39</v>
      </c>
      <c r="H686" s="26">
        <v>48</v>
      </c>
      <c r="J686" s="26"/>
      <c r="K686" s="26"/>
      <c r="L686" s="14">
        <f t="shared" si="90"/>
        <v>48</v>
      </c>
      <c r="M686" s="14">
        <f t="shared" si="99"/>
        <v>123.07692307692307</v>
      </c>
    </row>
    <row r="687" spans="1:13" ht="15" customHeight="1" x14ac:dyDescent="0.25">
      <c r="B687" s="27">
        <v>41182</v>
      </c>
      <c r="C687" s="13" t="s">
        <v>190</v>
      </c>
      <c r="D687" s="13" t="s">
        <v>187</v>
      </c>
      <c r="E687" s="28">
        <v>8</v>
      </c>
      <c r="F687" s="25">
        <v>1.56</v>
      </c>
      <c r="H687" s="26">
        <v>69.28</v>
      </c>
      <c r="L687" s="14">
        <f t="shared" si="90"/>
        <v>69.28</v>
      </c>
    </row>
    <row r="688" spans="1:13" ht="15.75" customHeight="1" x14ac:dyDescent="0.25">
      <c r="A688" s="13">
        <v>6364610</v>
      </c>
      <c r="B688" s="27">
        <v>41185</v>
      </c>
      <c r="C688" s="13" t="s">
        <v>110</v>
      </c>
      <c r="D688" s="13" t="s">
        <v>169</v>
      </c>
      <c r="E688" s="28">
        <v>40</v>
      </c>
      <c r="F688" s="25">
        <v>2.06</v>
      </c>
      <c r="G688" s="26">
        <f>F688*$G$2</f>
        <v>53.56</v>
      </c>
      <c r="H688" s="26">
        <v>115</v>
      </c>
      <c r="I688" s="26">
        <v>0</v>
      </c>
      <c r="J688" s="26">
        <f>F688</f>
        <v>2.06</v>
      </c>
      <c r="K688" s="26">
        <v>115</v>
      </c>
      <c r="L688" s="14">
        <f t="shared" si="90"/>
        <v>170.62</v>
      </c>
      <c r="M688" s="14">
        <f t="shared" ref="M688:M696" si="100">L688/F688</f>
        <v>82.825242718446603</v>
      </c>
    </row>
    <row r="689" spans="1:13" ht="15" customHeight="1" x14ac:dyDescent="0.25">
      <c r="A689" s="13">
        <v>6364610</v>
      </c>
      <c r="B689" s="27">
        <v>41185</v>
      </c>
      <c r="C689" s="13" t="s">
        <v>128</v>
      </c>
      <c r="D689" s="13" t="s">
        <v>186</v>
      </c>
      <c r="E689" s="28">
        <v>35</v>
      </c>
      <c r="F689" s="25">
        <v>5.4</v>
      </c>
      <c r="G689" s="26">
        <f>F689*$G$2</f>
        <v>140.4</v>
      </c>
      <c r="H689" s="26">
        <v>115</v>
      </c>
      <c r="I689" s="26">
        <v>0</v>
      </c>
      <c r="J689" s="26">
        <f>F689</f>
        <v>5.4</v>
      </c>
      <c r="K689" s="26">
        <v>115</v>
      </c>
      <c r="L689" s="14">
        <f t="shared" si="90"/>
        <v>260.8</v>
      </c>
      <c r="M689" s="14">
        <f t="shared" si="100"/>
        <v>48.296296296296298</v>
      </c>
    </row>
    <row r="690" spans="1:13" ht="15" customHeight="1" x14ac:dyDescent="0.25">
      <c r="A690" s="13">
        <v>6364610</v>
      </c>
      <c r="B690" s="27">
        <v>41212</v>
      </c>
      <c r="C690" s="13" t="s">
        <v>128</v>
      </c>
      <c r="D690" s="13" t="s">
        <v>169</v>
      </c>
      <c r="E690" s="28">
        <v>20</v>
      </c>
      <c r="F690" s="25">
        <v>4.33</v>
      </c>
      <c r="G690" s="26">
        <f>F690*$G$2</f>
        <v>112.58</v>
      </c>
      <c r="H690" s="26">
        <v>115</v>
      </c>
      <c r="I690" s="26">
        <v>0</v>
      </c>
      <c r="J690" s="26">
        <f>F690</f>
        <v>4.33</v>
      </c>
      <c r="K690" s="26">
        <f>H690+I690</f>
        <v>115</v>
      </c>
      <c r="L690" s="14">
        <f t="shared" si="90"/>
        <v>231.91</v>
      </c>
      <c r="M690" s="14">
        <f t="shared" si="100"/>
        <v>53.558891454965355</v>
      </c>
    </row>
    <row r="691" spans="1:13" ht="15" customHeight="1" x14ac:dyDescent="0.25">
      <c r="A691" s="13">
        <v>6364610</v>
      </c>
      <c r="B691" s="27">
        <v>41212</v>
      </c>
      <c r="C691" s="13" t="s">
        <v>128</v>
      </c>
      <c r="D691" s="13" t="s">
        <v>169</v>
      </c>
      <c r="E691" s="28">
        <v>20</v>
      </c>
      <c r="F691" s="25">
        <v>2.36</v>
      </c>
      <c r="G691" s="26">
        <f>F691*$G$2</f>
        <v>61.36</v>
      </c>
      <c r="H691" s="26">
        <v>115</v>
      </c>
      <c r="I691" s="26">
        <v>0</v>
      </c>
      <c r="J691" s="26">
        <f>F691</f>
        <v>2.36</v>
      </c>
      <c r="K691" s="26">
        <f>H691+I691</f>
        <v>115</v>
      </c>
      <c r="L691" s="14">
        <f t="shared" si="90"/>
        <v>178.72000000000003</v>
      </c>
      <c r="M691" s="14">
        <f t="shared" si="100"/>
        <v>75.728813559322049</v>
      </c>
    </row>
    <row r="692" spans="1:13" ht="15" customHeight="1" x14ac:dyDescent="0.25">
      <c r="B692" s="31">
        <v>41213</v>
      </c>
      <c r="C692" s="13" t="s">
        <v>174</v>
      </c>
      <c r="D692" s="13" t="s">
        <v>187</v>
      </c>
      <c r="E692" s="28">
        <v>6</v>
      </c>
      <c r="F692" s="29">
        <v>1.17</v>
      </c>
      <c r="H692" s="26">
        <v>70.680000000000007</v>
      </c>
      <c r="J692" s="26"/>
      <c r="K692" s="26"/>
      <c r="L692" s="14">
        <f t="shared" si="90"/>
        <v>70.680000000000007</v>
      </c>
      <c r="M692" s="14">
        <f t="shared" si="100"/>
        <v>60.410256410256423</v>
      </c>
    </row>
    <row r="693" spans="1:13" ht="15" customHeight="1" x14ac:dyDescent="0.25">
      <c r="B693" s="31">
        <v>41213</v>
      </c>
      <c r="C693" s="13" t="s">
        <v>176</v>
      </c>
      <c r="D693" s="13" t="s">
        <v>175</v>
      </c>
      <c r="E693" s="28">
        <v>6</v>
      </c>
      <c r="F693" s="29">
        <v>2.34</v>
      </c>
      <c r="H693" s="26">
        <v>94.32</v>
      </c>
      <c r="J693" s="26"/>
      <c r="K693" s="26"/>
      <c r="L693" s="14">
        <f t="shared" si="90"/>
        <v>94.32</v>
      </c>
      <c r="M693" s="14">
        <f t="shared" si="100"/>
        <v>40.307692307692307</v>
      </c>
    </row>
    <row r="694" spans="1:13" ht="15.75" customHeight="1" x14ac:dyDescent="0.25">
      <c r="B694" s="31">
        <v>41213</v>
      </c>
      <c r="C694" s="13" t="s">
        <v>177</v>
      </c>
      <c r="D694" s="13" t="s">
        <v>175</v>
      </c>
      <c r="E694" s="28">
        <v>8</v>
      </c>
      <c r="F694" s="29">
        <v>3.12</v>
      </c>
      <c r="H694" s="26">
        <v>129</v>
      </c>
      <c r="J694" s="26"/>
      <c r="K694" s="26"/>
      <c r="L694" s="14">
        <f t="shared" si="90"/>
        <v>129</v>
      </c>
      <c r="M694" s="14">
        <f t="shared" si="100"/>
        <v>41.346153846153847</v>
      </c>
    </row>
    <row r="695" spans="1:13" ht="15" customHeight="1" x14ac:dyDescent="0.25">
      <c r="B695" s="31">
        <v>41213</v>
      </c>
      <c r="C695" s="13" t="s">
        <v>178</v>
      </c>
      <c r="D695" s="13" t="s">
        <v>186</v>
      </c>
      <c r="E695" s="28">
        <v>6</v>
      </c>
      <c r="F695" s="29">
        <v>1</v>
      </c>
      <c r="H695" s="26">
        <v>155.88</v>
      </c>
      <c r="J695" s="26"/>
      <c r="K695" s="26"/>
      <c r="L695" s="14">
        <f t="shared" si="90"/>
        <v>155.88</v>
      </c>
      <c r="M695" s="14">
        <f t="shared" si="100"/>
        <v>155.88</v>
      </c>
    </row>
    <row r="696" spans="1:13" ht="15" customHeight="1" x14ac:dyDescent="0.25">
      <c r="B696" s="31">
        <v>41213</v>
      </c>
      <c r="C696" s="13" t="s">
        <v>179</v>
      </c>
      <c r="D696" s="13" t="s">
        <v>187</v>
      </c>
      <c r="E696" s="28">
        <v>2</v>
      </c>
      <c r="F696" s="29">
        <v>0.39</v>
      </c>
      <c r="H696" s="26">
        <v>48</v>
      </c>
      <c r="J696" s="26"/>
      <c r="K696" s="26"/>
      <c r="L696" s="14">
        <f t="shared" si="90"/>
        <v>48</v>
      </c>
      <c r="M696" s="14">
        <f t="shared" si="100"/>
        <v>123.07692307692307</v>
      </c>
    </row>
    <row r="697" spans="1:13" ht="15" customHeight="1" x14ac:dyDescent="0.25">
      <c r="B697" s="27">
        <v>41213</v>
      </c>
      <c r="C697" s="13" t="s">
        <v>190</v>
      </c>
      <c r="D697" s="13" t="s">
        <v>187</v>
      </c>
      <c r="E697" s="28">
        <v>8</v>
      </c>
      <c r="F697" s="25">
        <v>1.56</v>
      </c>
      <c r="H697" s="26">
        <v>69.28</v>
      </c>
      <c r="L697" s="14">
        <f t="shared" si="90"/>
        <v>69.28</v>
      </c>
    </row>
    <row r="698" spans="1:13" ht="15" customHeight="1" x14ac:dyDescent="0.25">
      <c r="A698" s="13">
        <v>6385427</v>
      </c>
      <c r="B698" s="27">
        <v>41220</v>
      </c>
      <c r="C698" s="13" t="s">
        <v>110</v>
      </c>
      <c r="D698" s="13" t="s">
        <v>169</v>
      </c>
      <c r="E698" s="28">
        <v>40</v>
      </c>
      <c r="F698" s="25">
        <v>2.14</v>
      </c>
      <c r="G698" s="26">
        <f t="shared" ref="G698:G705" si="101">F698*$G$2</f>
        <v>55.64</v>
      </c>
      <c r="H698" s="26">
        <v>115</v>
      </c>
      <c r="I698" s="26">
        <v>0</v>
      </c>
      <c r="J698" s="26">
        <f t="shared" ref="J698:J705" si="102">F698</f>
        <v>2.14</v>
      </c>
      <c r="K698" s="26">
        <v>115</v>
      </c>
      <c r="L698" s="14">
        <f t="shared" si="90"/>
        <v>172.77999999999997</v>
      </c>
      <c r="M698" s="14">
        <f t="shared" ref="M698:M710" si="103">L698/F698</f>
        <v>80.738317757009327</v>
      </c>
    </row>
    <row r="699" spans="1:13" ht="15" customHeight="1" x14ac:dyDescent="0.25">
      <c r="A699" s="13">
        <v>6385427</v>
      </c>
      <c r="B699" s="27">
        <v>41220</v>
      </c>
      <c r="C699" s="13" t="s">
        <v>110</v>
      </c>
      <c r="D699" s="13" t="s">
        <v>169</v>
      </c>
      <c r="E699" s="28">
        <v>40</v>
      </c>
      <c r="F699" s="25">
        <v>1.95</v>
      </c>
      <c r="G699" s="26">
        <f t="shared" si="101"/>
        <v>50.699999999999996</v>
      </c>
      <c r="H699" s="26">
        <v>115</v>
      </c>
      <c r="I699" s="26">
        <v>0</v>
      </c>
      <c r="J699" s="26">
        <f t="shared" si="102"/>
        <v>1.95</v>
      </c>
      <c r="K699" s="26">
        <v>115</v>
      </c>
      <c r="L699" s="14">
        <f t="shared" si="90"/>
        <v>167.64999999999998</v>
      </c>
      <c r="M699" s="14">
        <f t="shared" si="103"/>
        <v>85.974358974358964</v>
      </c>
    </row>
    <row r="700" spans="1:13" ht="15" customHeight="1" x14ac:dyDescent="0.25">
      <c r="A700" s="13">
        <v>6385427</v>
      </c>
      <c r="B700" s="27">
        <v>41223</v>
      </c>
      <c r="C700" s="13" t="s">
        <v>173</v>
      </c>
      <c r="D700" s="13" t="s">
        <v>186</v>
      </c>
      <c r="E700" s="28">
        <v>30</v>
      </c>
      <c r="F700" s="25">
        <v>1.93</v>
      </c>
      <c r="G700" s="26">
        <f t="shared" si="101"/>
        <v>50.18</v>
      </c>
      <c r="H700" s="26">
        <v>115</v>
      </c>
      <c r="I700" s="26">
        <v>0</v>
      </c>
      <c r="J700" s="26">
        <f t="shared" si="102"/>
        <v>1.93</v>
      </c>
      <c r="K700" s="26">
        <v>115</v>
      </c>
      <c r="L700" s="14">
        <f t="shared" si="90"/>
        <v>167.11</v>
      </c>
      <c r="M700" s="14">
        <f t="shared" si="103"/>
        <v>86.585492227979287</v>
      </c>
    </row>
    <row r="701" spans="1:13" ht="15.75" customHeight="1" x14ac:dyDescent="0.25">
      <c r="A701" s="13">
        <v>6385427</v>
      </c>
      <c r="B701" s="27">
        <v>41223</v>
      </c>
      <c r="C701" s="13" t="s">
        <v>170</v>
      </c>
      <c r="D701" s="13" t="s">
        <v>171</v>
      </c>
      <c r="E701" s="28">
        <v>32</v>
      </c>
      <c r="F701" s="25">
        <v>9.11</v>
      </c>
      <c r="G701" s="26">
        <f t="shared" si="101"/>
        <v>236.85999999999999</v>
      </c>
      <c r="H701" s="26">
        <v>115</v>
      </c>
      <c r="I701" s="26">
        <v>0</v>
      </c>
      <c r="J701" s="26">
        <f t="shared" si="102"/>
        <v>9.11</v>
      </c>
      <c r="K701" s="26">
        <v>115</v>
      </c>
      <c r="L701" s="14">
        <f t="shared" si="90"/>
        <v>360.97</v>
      </c>
      <c r="M701" s="14">
        <f t="shared" si="103"/>
        <v>39.623490669593856</v>
      </c>
    </row>
    <row r="702" spans="1:13" ht="15" customHeight="1" x14ac:dyDescent="0.25">
      <c r="A702" s="13">
        <v>6385427</v>
      </c>
      <c r="B702" s="27">
        <v>41225</v>
      </c>
      <c r="C702" s="13" t="s">
        <v>173</v>
      </c>
      <c r="D702" s="13" t="s">
        <v>186</v>
      </c>
      <c r="E702" s="28">
        <v>30</v>
      </c>
      <c r="F702" s="25">
        <v>8.43</v>
      </c>
      <c r="G702" s="26">
        <f t="shared" si="101"/>
        <v>219.18</v>
      </c>
      <c r="H702" s="26">
        <v>115</v>
      </c>
      <c r="I702" s="26">
        <v>0</v>
      </c>
      <c r="J702" s="26">
        <f t="shared" si="102"/>
        <v>8.43</v>
      </c>
      <c r="K702" s="26">
        <v>115</v>
      </c>
      <c r="L702" s="14">
        <f t="shared" si="90"/>
        <v>342.61</v>
      </c>
      <c r="M702" s="14">
        <f t="shared" si="103"/>
        <v>40.641755634638201</v>
      </c>
    </row>
    <row r="703" spans="1:13" ht="15" customHeight="1" x14ac:dyDescent="0.25">
      <c r="A703" s="13">
        <v>6385427</v>
      </c>
      <c r="B703" s="27">
        <v>41225</v>
      </c>
      <c r="C703" s="13" t="s">
        <v>128</v>
      </c>
      <c r="D703" s="13" t="s">
        <v>169</v>
      </c>
      <c r="E703" s="28">
        <v>20</v>
      </c>
      <c r="F703" s="25">
        <v>1.83</v>
      </c>
      <c r="G703" s="26">
        <f t="shared" si="101"/>
        <v>47.58</v>
      </c>
      <c r="H703" s="26">
        <v>115</v>
      </c>
      <c r="I703" s="26">
        <v>0</v>
      </c>
      <c r="J703" s="26">
        <f t="shared" si="102"/>
        <v>1.83</v>
      </c>
      <c r="K703" s="26">
        <f>H703+I703</f>
        <v>115</v>
      </c>
      <c r="L703" s="14">
        <f t="shared" si="90"/>
        <v>164.41</v>
      </c>
      <c r="M703" s="14">
        <f t="shared" si="103"/>
        <v>89.841530054644807</v>
      </c>
    </row>
    <row r="704" spans="1:13" ht="15" customHeight="1" x14ac:dyDescent="0.25">
      <c r="A704" s="13">
        <v>6385427</v>
      </c>
      <c r="B704" s="27">
        <v>41225</v>
      </c>
      <c r="C704" s="13" t="s">
        <v>128</v>
      </c>
      <c r="D704" s="13" t="s">
        <v>169</v>
      </c>
      <c r="E704" s="28">
        <v>20</v>
      </c>
      <c r="F704" s="25">
        <v>1.82</v>
      </c>
      <c r="G704" s="26">
        <f t="shared" si="101"/>
        <v>47.32</v>
      </c>
      <c r="H704" s="26">
        <v>115</v>
      </c>
      <c r="I704" s="26">
        <v>0</v>
      </c>
      <c r="J704" s="26">
        <f t="shared" si="102"/>
        <v>1.82</v>
      </c>
      <c r="K704" s="26">
        <f>H704+I704</f>
        <v>115</v>
      </c>
      <c r="L704" s="14">
        <f t="shared" si="90"/>
        <v>164.14</v>
      </c>
      <c r="M704" s="14">
        <f t="shared" si="103"/>
        <v>90.186813186813183</v>
      </c>
    </row>
    <row r="705" spans="1:13" ht="15" customHeight="1" x14ac:dyDescent="0.25">
      <c r="A705" s="13">
        <v>6385427</v>
      </c>
      <c r="B705" s="27">
        <v>41232</v>
      </c>
      <c r="C705" s="13" t="s">
        <v>185</v>
      </c>
      <c r="D705" s="13" t="s">
        <v>169</v>
      </c>
      <c r="E705" s="28">
        <v>40</v>
      </c>
      <c r="F705" s="25">
        <v>2.42</v>
      </c>
      <c r="G705" s="26">
        <f t="shared" si="101"/>
        <v>62.92</v>
      </c>
      <c r="H705" s="26">
        <v>115</v>
      </c>
      <c r="I705" s="26">
        <v>0</v>
      </c>
      <c r="J705" s="26">
        <f t="shared" si="102"/>
        <v>2.42</v>
      </c>
      <c r="K705" s="26">
        <v>115</v>
      </c>
      <c r="L705" s="14">
        <f t="shared" si="90"/>
        <v>180.34</v>
      </c>
      <c r="M705" s="14">
        <f t="shared" si="103"/>
        <v>74.52066115702479</v>
      </c>
    </row>
    <row r="706" spans="1:13" ht="15" customHeight="1" x14ac:dyDescent="0.25">
      <c r="B706" s="27">
        <v>41243</v>
      </c>
      <c r="C706" s="13" t="s">
        <v>174</v>
      </c>
      <c r="D706" s="13" t="s">
        <v>187</v>
      </c>
      <c r="E706" s="28">
        <v>6</v>
      </c>
      <c r="F706" s="29">
        <v>1.17</v>
      </c>
      <c r="H706" s="26">
        <v>70.680000000000007</v>
      </c>
      <c r="J706" s="26"/>
      <c r="K706" s="26"/>
      <c r="L706" s="14">
        <f t="shared" si="90"/>
        <v>70.680000000000007</v>
      </c>
      <c r="M706" s="14">
        <f t="shared" si="103"/>
        <v>60.410256410256423</v>
      </c>
    </row>
    <row r="707" spans="1:13" ht="15" customHeight="1" x14ac:dyDescent="0.25">
      <c r="B707" s="27">
        <v>41243</v>
      </c>
      <c r="C707" s="13" t="s">
        <v>176</v>
      </c>
      <c r="D707" s="13" t="s">
        <v>175</v>
      </c>
      <c r="E707" s="28">
        <v>6</v>
      </c>
      <c r="F707" s="29">
        <v>2.34</v>
      </c>
      <c r="H707" s="26">
        <v>94.32</v>
      </c>
      <c r="J707" s="26"/>
      <c r="K707" s="26"/>
      <c r="L707" s="14">
        <f t="shared" si="90"/>
        <v>94.32</v>
      </c>
      <c r="M707" s="14">
        <f t="shared" si="103"/>
        <v>40.307692307692307</v>
      </c>
    </row>
    <row r="708" spans="1:13" ht="15" customHeight="1" x14ac:dyDescent="0.25">
      <c r="B708" s="27">
        <v>41243</v>
      </c>
      <c r="C708" s="13" t="s">
        <v>177</v>
      </c>
      <c r="D708" s="13" t="s">
        <v>175</v>
      </c>
      <c r="E708" s="28">
        <v>8</v>
      </c>
      <c r="F708" s="29">
        <v>3.12</v>
      </c>
      <c r="H708" s="26">
        <v>129</v>
      </c>
      <c r="J708" s="26"/>
      <c r="K708" s="26"/>
      <c r="L708" s="14">
        <f t="shared" ref="L708:L771" si="104">G708+H708+I708+J708</f>
        <v>129</v>
      </c>
      <c r="M708" s="14">
        <f t="shared" si="103"/>
        <v>41.346153846153847</v>
      </c>
    </row>
    <row r="709" spans="1:13" ht="15" customHeight="1" x14ac:dyDescent="0.25">
      <c r="B709" s="27">
        <v>41243</v>
      </c>
      <c r="C709" s="13" t="s">
        <v>178</v>
      </c>
      <c r="D709" s="13" t="s">
        <v>186</v>
      </c>
      <c r="E709" s="28">
        <v>6</v>
      </c>
      <c r="F709" s="29">
        <v>1</v>
      </c>
      <c r="H709" s="26">
        <v>155.88</v>
      </c>
      <c r="J709" s="26"/>
      <c r="K709" s="26"/>
      <c r="L709" s="14">
        <f t="shared" si="104"/>
        <v>155.88</v>
      </c>
      <c r="M709" s="14">
        <f t="shared" si="103"/>
        <v>155.88</v>
      </c>
    </row>
    <row r="710" spans="1:13" ht="15" customHeight="1" x14ac:dyDescent="0.25">
      <c r="B710" s="27">
        <v>41243</v>
      </c>
      <c r="C710" s="13" t="s">
        <v>179</v>
      </c>
      <c r="D710" s="13" t="s">
        <v>187</v>
      </c>
      <c r="E710" s="28">
        <v>2</v>
      </c>
      <c r="F710" s="29">
        <v>0.39</v>
      </c>
      <c r="H710" s="26">
        <v>48</v>
      </c>
      <c r="J710" s="26"/>
      <c r="K710" s="26"/>
      <c r="L710" s="14">
        <f t="shared" si="104"/>
        <v>48</v>
      </c>
      <c r="M710" s="14">
        <f t="shared" si="103"/>
        <v>123.07692307692307</v>
      </c>
    </row>
    <row r="711" spans="1:13" ht="15" customHeight="1" x14ac:dyDescent="0.25">
      <c r="B711" s="27">
        <v>41243</v>
      </c>
      <c r="C711" s="13" t="s">
        <v>190</v>
      </c>
      <c r="D711" s="13" t="s">
        <v>187</v>
      </c>
      <c r="E711" s="28">
        <v>8</v>
      </c>
      <c r="F711" s="25">
        <v>1.56</v>
      </c>
      <c r="H711" s="26">
        <v>69.28</v>
      </c>
      <c r="L711" s="14">
        <f t="shared" si="104"/>
        <v>69.28</v>
      </c>
    </row>
    <row r="712" spans="1:13" ht="15" customHeight="1" x14ac:dyDescent="0.25">
      <c r="A712" s="13">
        <v>6401050</v>
      </c>
      <c r="B712" s="27">
        <v>41248</v>
      </c>
      <c r="C712" s="13" t="s">
        <v>170</v>
      </c>
      <c r="D712" s="13" t="s">
        <v>171</v>
      </c>
      <c r="E712" s="28">
        <v>32</v>
      </c>
      <c r="F712" s="25">
        <v>7.42</v>
      </c>
      <c r="G712" s="26">
        <f>F712*$G$2</f>
        <v>192.92</v>
      </c>
      <c r="H712" s="26">
        <v>115</v>
      </c>
      <c r="I712" s="26">
        <v>0</v>
      </c>
      <c r="J712" s="26">
        <f>F712</f>
        <v>7.42</v>
      </c>
      <c r="K712" s="26">
        <v>115</v>
      </c>
      <c r="L712" s="14">
        <f t="shared" si="104"/>
        <v>315.33999999999997</v>
      </c>
      <c r="M712" s="14">
        <f t="shared" ref="M712:M719" si="105">L712/F712</f>
        <v>42.498652291105117</v>
      </c>
    </row>
    <row r="713" spans="1:13" ht="15" customHeight="1" x14ac:dyDescent="0.25">
      <c r="A713" s="13">
        <v>6401050</v>
      </c>
      <c r="B713" s="27">
        <v>41250</v>
      </c>
      <c r="C713" s="13" t="s">
        <v>110</v>
      </c>
      <c r="D713" s="13" t="s">
        <v>169</v>
      </c>
      <c r="E713" s="28">
        <v>40</v>
      </c>
      <c r="F713" s="25">
        <v>4.57</v>
      </c>
      <c r="G713" s="26">
        <f>F713*$G$2</f>
        <v>118.82000000000001</v>
      </c>
      <c r="H713" s="26">
        <v>115</v>
      </c>
      <c r="I713" s="26">
        <v>0</v>
      </c>
      <c r="J713" s="26">
        <f>F713</f>
        <v>4.57</v>
      </c>
      <c r="K713" s="26">
        <v>115</v>
      </c>
      <c r="L713" s="14">
        <f t="shared" si="104"/>
        <v>238.39</v>
      </c>
      <c r="M713" s="14">
        <f t="shared" si="105"/>
        <v>52.16411378555798</v>
      </c>
    </row>
    <row r="714" spans="1:13" ht="15" customHeight="1" x14ac:dyDescent="0.25">
      <c r="A714" s="13">
        <v>6401050</v>
      </c>
      <c r="B714" s="27">
        <v>41250</v>
      </c>
      <c r="C714" s="13" t="s">
        <v>173</v>
      </c>
      <c r="D714" s="13" t="s">
        <v>186</v>
      </c>
      <c r="E714" s="28">
        <v>30</v>
      </c>
      <c r="F714" s="25">
        <v>8.2100000000000009</v>
      </c>
      <c r="G714" s="26">
        <f>F714*$G$2</f>
        <v>213.46000000000004</v>
      </c>
      <c r="H714" s="26">
        <v>115</v>
      </c>
      <c r="I714" s="26">
        <v>0</v>
      </c>
      <c r="J714" s="26">
        <f>F714</f>
        <v>8.2100000000000009</v>
      </c>
      <c r="K714" s="26">
        <v>115</v>
      </c>
      <c r="L714" s="14">
        <f t="shared" si="104"/>
        <v>336.67</v>
      </c>
      <c r="M714" s="14">
        <f t="shared" si="105"/>
        <v>41.007308160779537</v>
      </c>
    </row>
    <row r="715" spans="1:13" ht="15" customHeight="1" x14ac:dyDescent="0.25">
      <c r="B715" s="27">
        <v>41274</v>
      </c>
      <c r="C715" s="13" t="s">
        <v>174</v>
      </c>
      <c r="D715" s="13" t="s">
        <v>187</v>
      </c>
      <c r="E715" s="28">
        <v>6</v>
      </c>
      <c r="F715" s="29">
        <v>1.17</v>
      </c>
      <c r="H715" s="26">
        <v>70.680000000000007</v>
      </c>
      <c r="J715" s="26"/>
      <c r="K715" s="26"/>
      <c r="L715" s="14">
        <f t="shared" si="104"/>
        <v>70.680000000000007</v>
      </c>
      <c r="M715" s="14">
        <f t="shared" si="105"/>
        <v>60.410256410256423</v>
      </c>
    </row>
    <row r="716" spans="1:13" ht="15" customHeight="1" x14ac:dyDescent="0.25">
      <c r="B716" s="27">
        <v>41274</v>
      </c>
      <c r="C716" s="13" t="s">
        <v>176</v>
      </c>
      <c r="D716" s="13" t="s">
        <v>175</v>
      </c>
      <c r="E716" s="28">
        <v>6</v>
      </c>
      <c r="F716" s="29">
        <v>2.34</v>
      </c>
      <c r="H716" s="26">
        <v>94.32</v>
      </c>
      <c r="J716" s="26"/>
      <c r="K716" s="26"/>
      <c r="L716" s="14">
        <f t="shared" si="104"/>
        <v>94.32</v>
      </c>
      <c r="M716" s="14">
        <f t="shared" si="105"/>
        <v>40.307692307692307</v>
      </c>
    </row>
    <row r="717" spans="1:13" ht="15" customHeight="1" x14ac:dyDescent="0.25">
      <c r="B717" s="27">
        <v>41274</v>
      </c>
      <c r="C717" s="13" t="s">
        <v>177</v>
      </c>
      <c r="D717" s="13" t="s">
        <v>175</v>
      </c>
      <c r="E717" s="28">
        <v>8</v>
      </c>
      <c r="F717" s="29">
        <v>3.12</v>
      </c>
      <c r="H717" s="26">
        <v>129</v>
      </c>
      <c r="J717" s="26"/>
      <c r="K717" s="26"/>
      <c r="L717" s="14">
        <f t="shared" si="104"/>
        <v>129</v>
      </c>
      <c r="M717" s="14">
        <f t="shared" si="105"/>
        <v>41.346153846153847</v>
      </c>
    </row>
    <row r="718" spans="1:13" ht="15" customHeight="1" x14ac:dyDescent="0.25">
      <c r="B718" s="27">
        <v>41274</v>
      </c>
      <c r="C718" s="13" t="s">
        <v>178</v>
      </c>
      <c r="D718" s="13" t="s">
        <v>186</v>
      </c>
      <c r="E718" s="28">
        <v>6</v>
      </c>
      <c r="F718" s="29">
        <v>1</v>
      </c>
      <c r="H718" s="26">
        <v>155.88</v>
      </c>
      <c r="J718" s="26"/>
      <c r="K718" s="26"/>
      <c r="L718" s="14">
        <f t="shared" si="104"/>
        <v>155.88</v>
      </c>
      <c r="M718" s="14">
        <f t="shared" si="105"/>
        <v>155.88</v>
      </c>
    </row>
    <row r="719" spans="1:13" ht="15" customHeight="1" x14ac:dyDescent="0.25">
      <c r="B719" s="27">
        <v>41274</v>
      </c>
      <c r="C719" s="13" t="s">
        <v>179</v>
      </c>
      <c r="D719" s="13" t="s">
        <v>187</v>
      </c>
      <c r="E719" s="28">
        <v>2</v>
      </c>
      <c r="F719" s="29">
        <v>0.39</v>
      </c>
      <c r="H719" s="26">
        <v>48</v>
      </c>
      <c r="J719" s="26"/>
      <c r="K719" s="26"/>
      <c r="L719" s="14">
        <f t="shared" si="104"/>
        <v>48</v>
      </c>
      <c r="M719" s="14">
        <f t="shared" si="105"/>
        <v>123.07692307692307</v>
      </c>
    </row>
    <row r="720" spans="1:13" ht="15" customHeight="1" x14ac:dyDescent="0.25">
      <c r="B720" s="27">
        <v>41274</v>
      </c>
      <c r="C720" s="13" t="s">
        <v>190</v>
      </c>
      <c r="D720" s="13" t="s">
        <v>187</v>
      </c>
      <c r="E720" s="28">
        <v>8</v>
      </c>
      <c r="F720" s="25">
        <v>1.56</v>
      </c>
      <c r="H720" s="26">
        <v>69.28</v>
      </c>
      <c r="L720" s="14">
        <f t="shared" si="104"/>
        <v>69.28</v>
      </c>
    </row>
    <row r="721" spans="1:13" ht="15" customHeight="1" x14ac:dyDescent="0.25">
      <c r="A721" s="13">
        <v>6419309</v>
      </c>
      <c r="B721" s="27">
        <v>41277</v>
      </c>
      <c r="C721" s="13" t="s">
        <v>170</v>
      </c>
      <c r="D721" s="13" t="s">
        <v>171</v>
      </c>
      <c r="E721" s="28">
        <v>32</v>
      </c>
      <c r="F721" s="25">
        <v>5.36</v>
      </c>
      <c r="G721" s="26">
        <f>F721*$G$2</f>
        <v>139.36000000000001</v>
      </c>
      <c r="H721" s="26">
        <v>115</v>
      </c>
      <c r="I721" s="26">
        <v>0</v>
      </c>
      <c r="J721" s="26">
        <f>F721</f>
        <v>5.36</v>
      </c>
      <c r="K721" s="26">
        <v>115</v>
      </c>
      <c r="L721" s="14">
        <f t="shared" si="104"/>
        <v>259.72000000000003</v>
      </c>
      <c r="M721" s="14">
        <f t="shared" ref="M721:M730" si="106">L721/F721</f>
        <v>48.455223880597018</v>
      </c>
    </row>
    <row r="722" spans="1:13" ht="15" customHeight="1" x14ac:dyDescent="0.25">
      <c r="A722" s="13">
        <v>6419309</v>
      </c>
      <c r="B722" s="27">
        <v>41282</v>
      </c>
      <c r="C722" s="13" t="s">
        <v>110</v>
      </c>
      <c r="D722" s="13" t="s">
        <v>169</v>
      </c>
      <c r="E722" s="28">
        <v>40</v>
      </c>
      <c r="F722" s="25">
        <v>3.76</v>
      </c>
      <c r="G722" s="26">
        <f>F722*$G$2</f>
        <v>97.759999999999991</v>
      </c>
      <c r="H722" s="26">
        <v>115</v>
      </c>
      <c r="I722" s="26">
        <v>0</v>
      </c>
      <c r="J722" s="26">
        <f>F722</f>
        <v>3.76</v>
      </c>
      <c r="K722" s="26">
        <v>115</v>
      </c>
      <c r="L722" s="14">
        <f t="shared" si="104"/>
        <v>216.51999999999998</v>
      </c>
      <c r="M722" s="14">
        <f t="shared" si="106"/>
        <v>57.585106382978722</v>
      </c>
    </row>
    <row r="723" spans="1:13" ht="15" customHeight="1" x14ac:dyDescent="0.25">
      <c r="A723" s="13">
        <v>6419309</v>
      </c>
      <c r="B723" s="27">
        <v>41282</v>
      </c>
      <c r="C723" s="13" t="s">
        <v>173</v>
      </c>
      <c r="D723" s="13" t="s">
        <v>186</v>
      </c>
      <c r="E723" s="28">
        <v>30</v>
      </c>
      <c r="F723" s="25">
        <v>7.5</v>
      </c>
      <c r="G723" s="26">
        <f>F723*$G$2</f>
        <v>195</v>
      </c>
      <c r="H723" s="26">
        <v>115</v>
      </c>
      <c r="I723" s="26">
        <v>0</v>
      </c>
      <c r="J723" s="26">
        <f>F723</f>
        <v>7.5</v>
      </c>
      <c r="K723" s="26">
        <v>115</v>
      </c>
      <c r="L723" s="14">
        <f t="shared" si="104"/>
        <v>317.5</v>
      </c>
      <c r="M723" s="14">
        <f t="shared" si="106"/>
        <v>42.333333333333336</v>
      </c>
    </row>
    <row r="724" spans="1:13" ht="15" customHeight="1" x14ac:dyDescent="0.25">
      <c r="A724" s="13">
        <v>6419309</v>
      </c>
      <c r="B724" s="27">
        <v>41290</v>
      </c>
      <c r="C724" s="13" t="s">
        <v>128</v>
      </c>
      <c r="D724" s="13" t="s">
        <v>186</v>
      </c>
      <c r="E724" s="28">
        <v>35</v>
      </c>
      <c r="F724" s="25">
        <v>5.43</v>
      </c>
      <c r="G724" s="26">
        <f>F724*$G$2</f>
        <v>141.18</v>
      </c>
      <c r="H724" s="26">
        <v>115</v>
      </c>
      <c r="I724" s="26">
        <v>0</v>
      </c>
      <c r="J724" s="26">
        <f>F724</f>
        <v>5.43</v>
      </c>
      <c r="K724" s="26">
        <v>115</v>
      </c>
      <c r="L724" s="14">
        <f t="shared" si="104"/>
        <v>261.61</v>
      </c>
      <c r="M724" s="14">
        <f t="shared" si="106"/>
        <v>48.178637200736652</v>
      </c>
    </row>
    <row r="725" spans="1:13" ht="15" customHeight="1" x14ac:dyDescent="0.25">
      <c r="A725" s="13">
        <v>6419309</v>
      </c>
      <c r="B725" s="27">
        <v>41296</v>
      </c>
      <c r="C725" s="13" t="s">
        <v>185</v>
      </c>
      <c r="D725" s="13" t="s">
        <v>169</v>
      </c>
      <c r="E725" s="28">
        <v>40</v>
      </c>
      <c r="F725" s="25">
        <v>3.63</v>
      </c>
      <c r="G725" s="26">
        <f>F725*$G$2</f>
        <v>94.38</v>
      </c>
      <c r="H725" s="26">
        <v>115</v>
      </c>
      <c r="I725" s="26">
        <v>0</v>
      </c>
      <c r="J725" s="26">
        <f>F725</f>
        <v>3.63</v>
      </c>
      <c r="K725" s="26">
        <v>115</v>
      </c>
      <c r="L725" s="14">
        <f t="shared" si="104"/>
        <v>213.01</v>
      </c>
      <c r="M725" s="14">
        <f t="shared" si="106"/>
        <v>58.680440771349865</v>
      </c>
    </row>
    <row r="726" spans="1:13" ht="15" customHeight="1" x14ac:dyDescent="0.25">
      <c r="B726" s="27">
        <v>41304</v>
      </c>
      <c r="C726" s="13" t="s">
        <v>174</v>
      </c>
      <c r="D726" s="13" t="s">
        <v>187</v>
      </c>
      <c r="E726" s="28">
        <v>6</v>
      </c>
      <c r="F726" s="29">
        <v>1.17</v>
      </c>
      <c r="H726" s="26">
        <v>70.680000000000007</v>
      </c>
      <c r="J726" s="26"/>
      <c r="K726" s="26"/>
      <c r="L726" s="14">
        <f t="shared" si="104"/>
        <v>70.680000000000007</v>
      </c>
      <c r="M726" s="14">
        <f t="shared" si="106"/>
        <v>60.410256410256423</v>
      </c>
    </row>
    <row r="727" spans="1:13" ht="15" customHeight="1" x14ac:dyDescent="0.25">
      <c r="B727" s="27">
        <v>41304</v>
      </c>
      <c r="C727" s="13" t="s">
        <v>176</v>
      </c>
      <c r="D727" s="13" t="s">
        <v>175</v>
      </c>
      <c r="E727" s="28">
        <v>6</v>
      </c>
      <c r="F727" s="29">
        <v>2.34</v>
      </c>
      <c r="H727" s="26">
        <v>94.32</v>
      </c>
      <c r="J727" s="26"/>
      <c r="K727" s="26"/>
      <c r="L727" s="14">
        <f t="shared" si="104"/>
        <v>94.32</v>
      </c>
      <c r="M727" s="14">
        <f t="shared" si="106"/>
        <v>40.307692307692307</v>
      </c>
    </row>
    <row r="728" spans="1:13" ht="15" customHeight="1" x14ac:dyDescent="0.25">
      <c r="B728" s="27">
        <v>41304</v>
      </c>
      <c r="C728" s="13" t="s">
        <v>177</v>
      </c>
      <c r="D728" s="13" t="s">
        <v>175</v>
      </c>
      <c r="E728" s="28">
        <v>8</v>
      </c>
      <c r="F728" s="29">
        <v>3.12</v>
      </c>
      <c r="H728" s="26">
        <v>129</v>
      </c>
      <c r="J728" s="26"/>
      <c r="K728" s="26"/>
      <c r="L728" s="14">
        <f t="shared" si="104"/>
        <v>129</v>
      </c>
      <c r="M728" s="14">
        <f t="shared" si="106"/>
        <v>41.346153846153847</v>
      </c>
    </row>
    <row r="729" spans="1:13" ht="15.75" customHeight="1" x14ac:dyDescent="0.25">
      <c r="B729" s="27">
        <v>41304</v>
      </c>
      <c r="C729" s="13" t="s">
        <v>178</v>
      </c>
      <c r="D729" s="13" t="s">
        <v>186</v>
      </c>
      <c r="E729" s="28">
        <v>6</v>
      </c>
      <c r="F729" s="29">
        <v>0</v>
      </c>
      <c r="H729" s="26">
        <v>71.739999999999995</v>
      </c>
      <c r="J729" s="26"/>
      <c r="K729" s="26"/>
      <c r="L729" s="14">
        <f t="shared" si="104"/>
        <v>71.739999999999995</v>
      </c>
      <c r="M729" s="14" t="e">
        <f t="shared" si="106"/>
        <v>#DIV/0!</v>
      </c>
    </row>
    <row r="730" spans="1:13" ht="15" customHeight="1" x14ac:dyDescent="0.25">
      <c r="B730" s="27">
        <v>41304</v>
      </c>
      <c r="C730" s="13" t="s">
        <v>179</v>
      </c>
      <c r="D730" s="13" t="s">
        <v>187</v>
      </c>
      <c r="E730" s="28">
        <v>2</v>
      </c>
      <c r="F730" s="29">
        <v>0.39</v>
      </c>
      <c r="H730" s="26">
        <v>48</v>
      </c>
      <c r="J730" s="26"/>
      <c r="K730" s="26"/>
      <c r="L730" s="14">
        <f t="shared" si="104"/>
        <v>48</v>
      </c>
      <c r="M730" s="14">
        <f t="shared" si="106"/>
        <v>123.07692307692307</v>
      </c>
    </row>
    <row r="731" spans="1:13" ht="15" customHeight="1" x14ac:dyDescent="0.25">
      <c r="B731" s="27">
        <v>41304</v>
      </c>
      <c r="C731" s="13" t="s">
        <v>190</v>
      </c>
      <c r="D731" s="13" t="s">
        <v>187</v>
      </c>
      <c r="E731" s="28">
        <v>8</v>
      </c>
      <c r="F731" s="25">
        <v>1.56</v>
      </c>
      <c r="H731" s="26">
        <v>45.28</v>
      </c>
      <c r="L731" s="14">
        <f t="shared" si="104"/>
        <v>45.28</v>
      </c>
    </row>
    <row r="732" spans="1:13" ht="15" customHeight="1" x14ac:dyDescent="0.25">
      <c r="A732" s="13">
        <v>6435824</v>
      </c>
      <c r="B732" s="27">
        <v>41306</v>
      </c>
      <c r="C732" s="13" t="s">
        <v>170</v>
      </c>
      <c r="D732" s="13" t="s">
        <v>171</v>
      </c>
      <c r="E732" s="28">
        <v>32</v>
      </c>
      <c r="F732" s="25">
        <v>8.9700000000000006</v>
      </c>
      <c r="G732" s="26">
        <f t="shared" ref="G732:G740" si="107">F732*$G$2</f>
        <v>233.22000000000003</v>
      </c>
      <c r="H732" s="26">
        <v>115</v>
      </c>
      <c r="I732" s="26">
        <v>0</v>
      </c>
      <c r="J732" s="26">
        <f t="shared" ref="J732:J740" si="108">F732</f>
        <v>8.9700000000000006</v>
      </c>
      <c r="K732" s="26">
        <v>115</v>
      </c>
      <c r="L732" s="14">
        <f t="shared" si="104"/>
        <v>357.19000000000005</v>
      </c>
      <c r="M732" s="14">
        <f t="shared" ref="M732:M744" si="109">L732/F732</f>
        <v>39.820512820512825</v>
      </c>
    </row>
    <row r="733" spans="1:13" ht="15" customHeight="1" x14ac:dyDescent="0.25">
      <c r="A733" s="13">
        <v>6435824</v>
      </c>
      <c r="B733" s="27">
        <v>41306</v>
      </c>
      <c r="C733" s="13" t="s">
        <v>185</v>
      </c>
      <c r="D733" s="13" t="s">
        <v>169</v>
      </c>
      <c r="E733" s="28">
        <v>40</v>
      </c>
      <c r="F733" s="25">
        <v>2.2799999999999998</v>
      </c>
      <c r="G733" s="26">
        <f t="shared" si="107"/>
        <v>59.279999999999994</v>
      </c>
      <c r="H733" s="26">
        <v>115</v>
      </c>
      <c r="I733" s="26">
        <v>0</v>
      </c>
      <c r="J733" s="26">
        <f t="shared" si="108"/>
        <v>2.2799999999999998</v>
      </c>
      <c r="K733" s="26">
        <v>115</v>
      </c>
      <c r="L733" s="14">
        <f t="shared" si="104"/>
        <v>176.56</v>
      </c>
      <c r="M733" s="14">
        <f t="shared" si="109"/>
        <v>77.438596491228083</v>
      </c>
    </row>
    <row r="734" spans="1:13" ht="15" customHeight="1" x14ac:dyDescent="0.25">
      <c r="A734" s="13">
        <v>6435824</v>
      </c>
      <c r="B734" s="27">
        <v>41310</v>
      </c>
      <c r="C734" s="13" t="s">
        <v>128</v>
      </c>
      <c r="D734" s="13" t="s">
        <v>169</v>
      </c>
      <c r="E734" s="28">
        <v>20</v>
      </c>
      <c r="F734" s="25">
        <v>3.72</v>
      </c>
      <c r="G734" s="26">
        <f t="shared" si="107"/>
        <v>96.72</v>
      </c>
      <c r="H734" s="26">
        <v>115</v>
      </c>
      <c r="I734" s="26">
        <v>0</v>
      </c>
      <c r="J734" s="26">
        <f t="shared" si="108"/>
        <v>3.72</v>
      </c>
      <c r="K734" s="26">
        <f>H734+I734</f>
        <v>115</v>
      </c>
      <c r="L734" s="14">
        <f t="shared" si="104"/>
        <v>215.44</v>
      </c>
      <c r="M734" s="14">
        <f t="shared" si="109"/>
        <v>57.913978494623649</v>
      </c>
    </row>
    <row r="735" spans="1:13" ht="15" customHeight="1" x14ac:dyDescent="0.25">
      <c r="A735" s="13">
        <v>6435824</v>
      </c>
      <c r="B735" s="27">
        <v>41310</v>
      </c>
      <c r="C735" s="13" t="s">
        <v>128</v>
      </c>
      <c r="D735" s="13" t="s">
        <v>169</v>
      </c>
      <c r="E735" s="28">
        <v>20</v>
      </c>
      <c r="F735" s="25">
        <v>3.66</v>
      </c>
      <c r="G735" s="26">
        <f t="shared" si="107"/>
        <v>95.16</v>
      </c>
      <c r="H735" s="26">
        <v>115</v>
      </c>
      <c r="I735" s="26">
        <v>0</v>
      </c>
      <c r="J735" s="26">
        <f t="shared" si="108"/>
        <v>3.66</v>
      </c>
      <c r="K735" s="26">
        <f>H735+I735</f>
        <v>115</v>
      </c>
      <c r="L735" s="14">
        <f t="shared" si="104"/>
        <v>213.82</v>
      </c>
      <c r="M735" s="14">
        <f t="shared" si="109"/>
        <v>58.420765027322403</v>
      </c>
    </row>
    <row r="736" spans="1:13" ht="15" customHeight="1" x14ac:dyDescent="0.25">
      <c r="A736" s="13">
        <v>6435824</v>
      </c>
      <c r="B736" s="27">
        <v>41314</v>
      </c>
      <c r="C736" s="13" t="s">
        <v>173</v>
      </c>
      <c r="D736" s="13" t="s">
        <v>186</v>
      </c>
      <c r="E736" s="28">
        <v>30</v>
      </c>
      <c r="F736" s="25">
        <v>9.08</v>
      </c>
      <c r="G736" s="26">
        <f t="shared" si="107"/>
        <v>236.08</v>
      </c>
      <c r="H736" s="26">
        <v>115</v>
      </c>
      <c r="I736" s="26">
        <v>0</v>
      </c>
      <c r="J736" s="26">
        <f t="shared" si="108"/>
        <v>9.08</v>
      </c>
      <c r="K736" s="26">
        <v>115</v>
      </c>
      <c r="L736" s="14">
        <f t="shared" si="104"/>
        <v>360.16</v>
      </c>
      <c r="M736" s="14">
        <f t="shared" si="109"/>
        <v>39.665198237885463</v>
      </c>
    </row>
    <row r="737" spans="1:13" ht="15" customHeight="1" x14ac:dyDescent="0.25">
      <c r="A737" s="13">
        <v>6435824</v>
      </c>
      <c r="B737" s="27">
        <v>41318</v>
      </c>
      <c r="C737" s="13" t="s">
        <v>185</v>
      </c>
      <c r="D737" s="13" t="s">
        <v>169</v>
      </c>
      <c r="E737" s="28">
        <v>40</v>
      </c>
      <c r="F737" s="25">
        <v>2.96</v>
      </c>
      <c r="G737" s="26">
        <f t="shared" si="107"/>
        <v>76.959999999999994</v>
      </c>
      <c r="H737" s="26">
        <v>115</v>
      </c>
      <c r="I737" s="26">
        <v>0</v>
      </c>
      <c r="J737" s="26">
        <f t="shared" si="108"/>
        <v>2.96</v>
      </c>
      <c r="K737" s="26">
        <v>115</v>
      </c>
      <c r="L737" s="14">
        <f t="shared" si="104"/>
        <v>194.92</v>
      </c>
      <c r="M737" s="14">
        <f t="shared" si="109"/>
        <v>65.851351351351354</v>
      </c>
    </row>
    <row r="738" spans="1:13" ht="15" customHeight="1" x14ac:dyDescent="0.25">
      <c r="A738" s="13">
        <v>6435824</v>
      </c>
      <c r="B738" s="27">
        <v>41323</v>
      </c>
      <c r="C738" s="13" t="s">
        <v>110</v>
      </c>
      <c r="D738" s="13" t="s">
        <v>169</v>
      </c>
      <c r="E738" s="28">
        <v>40</v>
      </c>
      <c r="F738" s="25">
        <v>3.18</v>
      </c>
      <c r="G738" s="26">
        <f t="shared" si="107"/>
        <v>82.68</v>
      </c>
      <c r="H738" s="26">
        <v>115</v>
      </c>
      <c r="I738" s="26">
        <v>0</v>
      </c>
      <c r="J738" s="26">
        <f t="shared" si="108"/>
        <v>3.18</v>
      </c>
      <c r="K738" s="26">
        <v>115</v>
      </c>
      <c r="L738" s="14">
        <f t="shared" si="104"/>
        <v>200.86</v>
      </c>
      <c r="M738" s="14">
        <f t="shared" si="109"/>
        <v>63.163522012578618</v>
      </c>
    </row>
    <row r="739" spans="1:13" ht="15.75" customHeight="1" x14ac:dyDescent="0.25">
      <c r="A739" s="13">
        <v>6435824</v>
      </c>
      <c r="B739" s="27">
        <v>41323</v>
      </c>
      <c r="C739" s="13" t="s">
        <v>128</v>
      </c>
      <c r="D739" s="13" t="s">
        <v>186</v>
      </c>
      <c r="E739" s="28">
        <v>35</v>
      </c>
      <c r="F739" s="25">
        <v>7.56</v>
      </c>
      <c r="G739" s="26">
        <f t="shared" si="107"/>
        <v>196.56</v>
      </c>
      <c r="H739" s="26">
        <v>115</v>
      </c>
      <c r="I739" s="26">
        <v>0</v>
      </c>
      <c r="J739" s="26">
        <f t="shared" si="108"/>
        <v>7.56</v>
      </c>
      <c r="K739" s="26">
        <v>115</v>
      </c>
      <c r="L739" s="14">
        <f t="shared" si="104"/>
        <v>319.12</v>
      </c>
      <c r="M739" s="14">
        <f t="shared" si="109"/>
        <v>42.211640211640216</v>
      </c>
    </row>
    <row r="740" spans="1:13" ht="15" customHeight="1" x14ac:dyDescent="0.25">
      <c r="A740" s="13">
        <v>6435824</v>
      </c>
      <c r="B740" s="27">
        <v>41332</v>
      </c>
      <c r="C740" s="13" t="s">
        <v>185</v>
      </c>
      <c r="D740" s="13" t="s">
        <v>169</v>
      </c>
      <c r="E740" s="28">
        <v>40</v>
      </c>
      <c r="F740" s="25">
        <v>4.49</v>
      </c>
      <c r="G740" s="26">
        <f t="shared" si="107"/>
        <v>116.74000000000001</v>
      </c>
      <c r="H740" s="26">
        <v>115</v>
      </c>
      <c r="I740" s="26">
        <v>0</v>
      </c>
      <c r="J740" s="26">
        <f t="shared" si="108"/>
        <v>4.49</v>
      </c>
      <c r="K740" s="26">
        <v>115</v>
      </c>
      <c r="L740" s="14">
        <f t="shared" si="104"/>
        <v>236.23000000000002</v>
      </c>
      <c r="M740" s="14">
        <f t="shared" si="109"/>
        <v>52.612472160356347</v>
      </c>
    </row>
    <row r="741" spans="1:13" ht="15" customHeight="1" x14ac:dyDescent="0.25">
      <c r="B741" s="27">
        <v>41333</v>
      </c>
      <c r="C741" s="13" t="s">
        <v>174</v>
      </c>
      <c r="D741" s="13" t="s">
        <v>187</v>
      </c>
      <c r="E741" s="28">
        <v>6</v>
      </c>
      <c r="F741" s="29">
        <f>Legend!H$2*1.17</f>
        <v>0.93599999999999994</v>
      </c>
      <c r="H741" s="26">
        <v>70.680000000000007</v>
      </c>
      <c r="J741" s="26"/>
      <c r="K741" s="26"/>
      <c r="L741" s="14">
        <f t="shared" si="104"/>
        <v>70.680000000000007</v>
      </c>
      <c r="M741" s="14">
        <f t="shared" si="109"/>
        <v>75.512820512820525</v>
      </c>
    </row>
    <row r="742" spans="1:13" ht="15" customHeight="1" x14ac:dyDescent="0.25">
      <c r="B742" s="27">
        <v>41333</v>
      </c>
      <c r="C742" s="13" t="s">
        <v>176</v>
      </c>
      <c r="D742" s="13" t="s">
        <v>175</v>
      </c>
      <c r="E742" s="28">
        <v>6</v>
      </c>
      <c r="F742" s="29">
        <f>Legend!H$2*2.34</f>
        <v>1.8719999999999999</v>
      </c>
      <c r="H742" s="26">
        <v>94.32</v>
      </c>
      <c r="J742" s="26"/>
      <c r="K742" s="26"/>
      <c r="L742" s="14">
        <f t="shared" si="104"/>
        <v>94.32</v>
      </c>
      <c r="M742" s="14">
        <f t="shared" si="109"/>
        <v>50.384615384615387</v>
      </c>
    </row>
    <row r="743" spans="1:13" ht="15" customHeight="1" x14ac:dyDescent="0.25">
      <c r="B743" s="27">
        <v>41333</v>
      </c>
      <c r="C743" s="13" t="s">
        <v>177</v>
      </c>
      <c r="D743" s="13" t="s">
        <v>175</v>
      </c>
      <c r="E743" s="28">
        <v>8</v>
      </c>
      <c r="F743" s="29">
        <f>Legend!H$2*3.12</f>
        <v>2.4960000000000004</v>
      </c>
      <c r="H743" s="26">
        <v>129</v>
      </c>
      <c r="J743" s="26"/>
      <c r="K743" s="26"/>
      <c r="L743" s="14">
        <f t="shared" si="104"/>
        <v>129</v>
      </c>
      <c r="M743" s="14">
        <f t="shared" si="109"/>
        <v>51.682692307692299</v>
      </c>
    </row>
    <row r="744" spans="1:13" ht="15" customHeight="1" x14ac:dyDescent="0.25">
      <c r="B744" s="27">
        <v>41333</v>
      </c>
      <c r="C744" s="13" t="s">
        <v>179</v>
      </c>
      <c r="D744" s="13" t="s">
        <v>187</v>
      </c>
      <c r="E744" s="28">
        <v>2</v>
      </c>
      <c r="F744" s="29">
        <f>Legend!H$2*0.39</f>
        <v>0.31200000000000006</v>
      </c>
      <c r="H744" s="26">
        <v>48</v>
      </c>
      <c r="J744" s="26"/>
      <c r="K744" s="26"/>
      <c r="L744" s="14">
        <f t="shared" si="104"/>
        <v>48</v>
      </c>
      <c r="M744" s="14">
        <f t="shared" si="109"/>
        <v>153.84615384615381</v>
      </c>
    </row>
    <row r="745" spans="1:13" ht="15" customHeight="1" x14ac:dyDescent="0.25">
      <c r="B745" s="27">
        <v>41333</v>
      </c>
      <c r="C745" s="13" t="s">
        <v>190</v>
      </c>
      <c r="D745" s="13" t="s">
        <v>187</v>
      </c>
      <c r="E745" s="28">
        <v>8</v>
      </c>
      <c r="F745" s="25">
        <f>Legend!H$2*1.56</f>
        <v>1.2480000000000002</v>
      </c>
      <c r="H745" s="26">
        <v>45.28</v>
      </c>
      <c r="L745" s="14">
        <f t="shared" si="104"/>
        <v>45.28</v>
      </c>
    </row>
    <row r="746" spans="1:13" ht="15" customHeight="1" x14ac:dyDescent="0.25">
      <c r="A746" s="13">
        <v>6453847</v>
      </c>
      <c r="B746" s="27">
        <v>41337</v>
      </c>
      <c r="C746" s="13" t="s">
        <v>173</v>
      </c>
      <c r="D746" s="13" t="s">
        <v>186</v>
      </c>
      <c r="E746" s="28">
        <v>30</v>
      </c>
      <c r="F746" s="25">
        <v>7.72</v>
      </c>
      <c r="G746" s="26">
        <f>F746*$G$2</f>
        <v>200.72</v>
      </c>
      <c r="H746" s="26">
        <v>115</v>
      </c>
      <c r="I746" s="26">
        <v>0</v>
      </c>
      <c r="J746" s="26">
        <f>F746</f>
        <v>7.72</v>
      </c>
      <c r="K746" s="26">
        <v>115</v>
      </c>
      <c r="L746" s="14">
        <f t="shared" si="104"/>
        <v>323.44000000000005</v>
      </c>
      <c r="M746" s="14">
        <f t="shared" ref="M746:M753" si="110">L746/F746</f>
        <v>41.896373056994825</v>
      </c>
    </row>
    <row r="747" spans="1:13" ht="15" customHeight="1" x14ac:dyDescent="0.25">
      <c r="A747" s="13">
        <v>6453847</v>
      </c>
      <c r="B747" s="27">
        <v>41338</v>
      </c>
      <c r="C747" s="13" t="s">
        <v>170</v>
      </c>
      <c r="D747" s="13" t="s">
        <v>171</v>
      </c>
      <c r="E747" s="28">
        <v>32</v>
      </c>
      <c r="F747" s="25">
        <v>9.2100000000000009</v>
      </c>
      <c r="G747" s="26">
        <f>F747*$G$2</f>
        <v>239.46000000000004</v>
      </c>
      <c r="H747" s="26">
        <v>115</v>
      </c>
      <c r="I747" s="26">
        <v>0</v>
      </c>
      <c r="J747" s="26">
        <f>F747</f>
        <v>9.2100000000000009</v>
      </c>
      <c r="K747" s="26">
        <v>115</v>
      </c>
      <c r="L747" s="14">
        <f t="shared" si="104"/>
        <v>363.67</v>
      </c>
      <c r="M747" s="14">
        <f t="shared" si="110"/>
        <v>39.48642779587405</v>
      </c>
    </row>
    <row r="748" spans="1:13" ht="15" customHeight="1" x14ac:dyDescent="0.25">
      <c r="A748" s="13">
        <v>6453847</v>
      </c>
      <c r="B748" s="27">
        <v>41341</v>
      </c>
      <c r="C748" s="13" t="s">
        <v>185</v>
      </c>
      <c r="D748" s="13" t="s">
        <v>169</v>
      </c>
      <c r="E748" s="28">
        <v>40</v>
      </c>
      <c r="F748" s="25">
        <v>4.78</v>
      </c>
      <c r="G748" s="26">
        <f>F748*$G$2</f>
        <v>124.28</v>
      </c>
      <c r="H748" s="26">
        <v>115</v>
      </c>
      <c r="I748" s="26">
        <v>0</v>
      </c>
      <c r="J748" s="26">
        <f>F748</f>
        <v>4.78</v>
      </c>
      <c r="K748" s="26">
        <v>115</v>
      </c>
      <c r="L748" s="14">
        <f t="shared" si="104"/>
        <v>244.06</v>
      </c>
      <c r="M748" s="14">
        <f t="shared" si="110"/>
        <v>51.05857740585774</v>
      </c>
    </row>
    <row r="749" spans="1:13" ht="15" customHeight="1" x14ac:dyDescent="0.25">
      <c r="A749" s="13">
        <v>6453847</v>
      </c>
      <c r="B749" s="27">
        <v>41354</v>
      </c>
      <c r="C749" s="13" t="s">
        <v>110</v>
      </c>
      <c r="D749" s="13" t="s">
        <v>169</v>
      </c>
      <c r="E749" s="28">
        <v>40</v>
      </c>
      <c r="F749" s="25">
        <v>2.31</v>
      </c>
      <c r="G749" s="26">
        <f>F749*$G$2</f>
        <v>60.06</v>
      </c>
      <c r="H749" s="26">
        <v>115</v>
      </c>
      <c r="I749" s="26">
        <v>0</v>
      </c>
      <c r="J749" s="26">
        <f>F749</f>
        <v>2.31</v>
      </c>
      <c r="K749" s="26">
        <v>115</v>
      </c>
      <c r="L749" s="14">
        <f t="shared" si="104"/>
        <v>177.37</v>
      </c>
      <c r="M749" s="14">
        <f t="shared" si="110"/>
        <v>76.783549783549788</v>
      </c>
    </row>
    <row r="750" spans="1:13" ht="15" customHeight="1" x14ac:dyDescent="0.25">
      <c r="B750" s="27">
        <v>41364</v>
      </c>
      <c r="C750" s="13" t="s">
        <v>174</v>
      </c>
      <c r="D750" s="13" t="s">
        <v>187</v>
      </c>
      <c r="E750" s="28">
        <v>6</v>
      </c>
      <c r="F750" s="29">
        <f>Legend!H$2*1.17</f>
        <v>0.93599999999999994</v>
      </c>
      <c r="H750" s="26">
        <v>70.680000000000007</v>
      </c>
      <c r="J750" s="26"/>
      <c r="K750" s="26"/>
      <c r="L750" s="14">
        <f t="shared" si="104"/>
        <v>70.680000000000007</v>
      </c>
      <c r="M750" s="14">
        <f t="shared" si="110"/>
        <v>75.512820512820525</v>
      </c>
    </row>
    <row r="751" spans="1:13" ht="15" customHeight="1" x14ac:dyDescent="0.25">
      <c r="B751" s="27">
        <v>41364</v>
      </c>
      <c r="C751" s="13" t="s">
        <v>176</v>
      </c>
      <c r="D751" s="13" t="s">
        <v>175</v>
      </c>
      <c r="E751" s="28">
        <v>6</v>
      </c>
      <c r="F751" s="29">
        <f>Legend!H$2*2.34</f>
        <v>1.8719999999999999</v>
      </c>
      <c r="H751" s="26">
        <v>94.32</v>
      </c>
      <c r="J751" s="26"/>
      <c r="K751" s="26"/>
      <c r="L751" s="14">
        <f t="shared" si="104"/>
        <v>94.32</v>
      </c>
      <c r="M751" s="14">
        <f t="shared" si="110"/>
        <v>50.384615384615387</v>
      </c>
    </row>
    <row r="752" spans="1:13" ht="15" customHeight="1" x14ac:dyDescent="0.25">
      <c r="B752" s="27">
        <v>41364</v>
      </c>
      <c r="C752" s="13" t="s">
        <v>177</v>
      </c>
      <c r="D752" s="13" t="s">
        <v>175</v>
      </c>
      <c r="E752" s="28">
        <v>8</v>
      </c>
      <c r="F752" s="29">
        <f>Legend!H$2*3.12</f>
        <v>2.4960000000000004</v>
      </c>
      <c r="H752" s="26">
        <v>129</v>
      </c>
      <c r="J752" s="26"/>
      <c r="K752" s="26"/>
      <c r="L752" s="14">
        <f t="shared" si="104"/>
        <v>129</v>
      </c>
      <c r="M752" s="14">
        <f t="shared" si="110"/>
        <v>51.682692307692299</v>
      </c>
    </row>
    <row r="753" spans="1:13" ht="15.75" customHeight="1" x14ac:dyDescent="0.25">
      <c r="B753" s="27">
        <v>41364</v>
      </c>
      <c r="C753" s="13" t="s">
        <v>179</v>
      </c>
      <c r="D753" s="13" t="s">
        <v>187</v>
      </c>
      <c r="E753" s="28">
        <v>2</v>
      </c>
      <c r="F753" s="29">
        <f>Legend!H$2*0.39</f>
        <v>0.31200000000000006</v>
      </c>
      <c r="H753" s="26">
        <v>48</v>
      </c>
      <c r="J753" s="26"/>
      <c r="K753" s="26"/>
      <c r="L753" s="14">
        <f t="shared" si="104"/>
        <v>48</v>
      </c>
      <c r="M753" s="14">
        <f t="shared" si="110"/>
        <v>153.84615384615381</v>
      </c>
    </row>
    <row r="754" spans="1:13" ht="15" customHeight="1" x14ac:dyDescent="0.25">
      <c r="B754" s="27">
        <v>41364</v>
      </c>
      <c r="C754" s="13" t="s">
        <v>190</v>
      </c>
      <c r="D754" s="13" t="s">
        <v>187</v>
      </c>
      <c r="E754" s="28">
        <v>8</v>
      </c>
      <c r="F754" s="25">
        <f>Legend!H$2*1.56</f>
        <v>1.2480000000000002</v>
      </c>
      <c r="H754" s="26">
        <v>45.28</v>
      </c>
      <c r="L754" s="14">
        <f t="shared" si="104"/>
        <v>45.28</v>
      </c>
    </row>
    <row r="755" spans="1:13" ht="15.75" customHeight="1" x14ac:dyDescent="0.25">
      <c r="A755" s="13">
        <v>6472282</v>
      </c>
      <c r="B755" s="27">
        <v>41367</v>
      </c>
      <c r="C755" s="13" t="s">
        <v>170</v>
      </c>
      <c r="D755" s="13" t="s">
        <v>171</v>
      </c>
      <c r="E755" s="28">
        <v>32</v>
      </c>
      <c r="F755" s="25">
        <v>9.7200000000000006</v>
      </c>
      <c r="G755" s="26">
        <f t="shared" ref="G755:G763" si="111">F755*$G$2</f>
        <v>252.72000000000003</v>
      </c>
      <c r="H755" s="26">
        <v>115</v>
      </c>
      <c r="I755" s="26">
        <v>0</v>
      </c>
      <c r="J755" s="26">
        <f t="shared" ref="J755:J763" si="112">F755</f>
        <v>9.7200000000000006</v>
      </c>
      <c r="K755" s="26">
        <v>115</v>
      </c>
      <c r="L755" s="14">
        <f t="shared" si="104"/>
        <v>377.44000000000005</v>
      </c>
      <c r="M755" s="14">
        <f t="shared" ref="M755:M767" si="113">L755/F755</f>
        <v>38.831275720164612</v>
      </c>
    </row>
    <row r="756" spans="1:13" ht="15" customHeight="1" x14ac:dyDescent="0.25">
      <c r="A756" s="13">
        <v>6472282</v>
      </c>
      <c r="B756" s="27">
        <v>41367</v>
      </c>
      <c r="C756" s="13" t="s">
        <v>185</v>
      </c>
      <c r="D756" s="13" t="s">
        <v>169</v>
      </c>
      <c r="E756" s="28">
        <v>40</v>
      </c>
      <c r="F756" s="25">
        <v>4.6399999999999997</v>
      </c>
      <c r="G756" s="26">
        <f t="shared" si="111"/>
        <v>120.63999999999999</v>
      </c>
      <c r="H756" s="26">
        <v>115</v>
      </c>
      <c r="I756" s="26">
        <v>0</v>
      </c>
      <c r="J756" s="26">
        <f t="shared" si="112"/>
        <v>4.6399999999999997</v>
      </c>
      <c r="K756" s="26">
        <v>115</v>
      </c>
      <c r="L756" s="14">
        <f t="shared" si="104"/>
        <v>240.27999999999997</v>
      </c>
      <c r="M756" s="14">
        <f t="shared" si="113"/>
        <v>51.78448275862069</v>
      </c>
    </row>
    <row r="757" spans="1:13" ht="15.75" customHeight="1" x14ac:dyDescent="0.25">
      <c r="A757" s="13">
        <v>6472282</v>
      </c>
      <c r="B757" s="27">
        <v>41368</v>
      </c>
      <c r="C757" s="13" t="s">
        <v>173</v>
      </c>
      <c r="D757" s="13" t="s">
        <v>186</v>
      </c>
      <c r="E757" s="28">
        <v>30</v>
      </c>
      <c r="F757" s="25">
        <v>8.81</v>
      </c>
      <c r="G757" s="26">
        <f t="shared" si="111"/>
        <v>229.06</v>
      </c>
      <c r="H757" s="26">
        <v>115</v>
      </c>
      <c r="I757" s="26">
        <v>0</v>
      </c>
      <c r="J757" s="26">
        <f t="shared" si="112"/>
        <v>8.81</v>
      </c>
      <c r="K757" s="26">
        <v>115</v>
      </c>
      <c r="L757" s="14">
        <f t="shared" si="104"/>
        <v>352.87</v>
      </c>
      <c r="M757" s="14">
        <f t="shared" si="113"/>
        <v>40.053348467650395</v>
      </c>
    </row>
    <row r="758" spans="1:13" ht="15" customHeight="1" x14ac:dyDescent="0.25">
      <c r="A758" s="13">
        <v>6472282</v>
      </c>
      <c r="B758" s="27">
        <v>41376</v>
      </c>
      <c r="C758" s="13" t="s">
        <v>128</v>
      </c>
      <c r="D758" s="13" t="s">
        <v>186</v>
      </c>
      <c r="E758" s="28">
        <v>35</v>
      </c>
      <c r="F758" s="25">
        <v>9.43</v>
      </c>
      <c r="G758" s="26">
        <f t="shared" si="111"/>
        <v>245.18</v>
      </c>
      <c r="H758" s="26">
        <v>115</v>
      </c>
      <c r="I758" s="26">
        <v>0</v>
      </c>
      <c r="J758" s="26">
        <f t="shared" si="112"/>
        <v>9.43</v>
      </c>
      <c r="K758" s="26">
        <v>115</v>
      </c>
      <c r="L758" s="14">
        <f t="shared" si="104"/>
        <v>369.61</v>
      </c>
      <c r="M758" s="14">
        <f t="shared" si="113"/>
        <v>39.195121951219512</v>
      </c>
    </row>
    <row r="759" spans="1:13" ht="15" customHeight="1" x14ac:dyDescent="0.25">
      <c r="A759" s="13">
        <v>6472282</v>
      </c>
      <c r="B759" s="27">
        <v>41377</v>
      </c>
      <c r="C759" s="13" t="s">
        <v>185</v>
      </c>
      <c r="D759" s="13" t="s">
        <v>171</v>
      </c>
      <c r="E759" s="28">
        <v>32</v>
      </c>
      <c r="F759" s="25">
        <v>3.19</v>
      </c>
      <c r="G759" s="26">
        <f t="shared" si="111"/>
        <v>82.94</v>
      </c>
      <c r="H759" s="26">
        <v>115</v>
      </c>
      <c r="I759" s="26">
        <v>0</v>
      </c>
      <c r="J759" s="26">
        <f t="shared" si="112"/>
        <v>3.19</v>
      </c>
      <c r="K759" s="26">
        <v>115</v>
      </c>
      <c r="L759" s="14">
        <f t="shared" si="104"/>
        <v>201.13</v>
      </c>
      <c r="M759" s="14">
        <f t="shared" si="113"/>
        <v>63.050156739811911</v>
      </c>
    </row>
    <row r="760" spans="1:13" ht="15" customHeight="1" x14ac:dyDescent="0.25">
      <c r="A760" s="13">
        <v>6472282</v>
      </c>
      <c r="B760" s="27">
        <v>41379</v>
      </c>
      <c r="C760" s="13" t="s">
        <v>172</v>
      </c>
      <c r="D760" s="13" t="s">
        <v>169</v>
      </c>
      <c r="E760" s="28">
        <v>20</v>
      </c>
      <c r="F760" s="25">
        <v>3.52</v>
      </c>
      <c r="G760" s="26">
        <f t="shared" si="111"/>
        <v>91.52</v>
      </c>
      <c r="H760" s="26">
        <v>115</v>
      </c>
      <c r="I760" s="26">
        <v>0</v>
      </c>
      <c r="J760" s="26">
        <f t="shared" si="112"/>
        <v>3.52</v>
      </c>
      <c r="K760" s="26">
        <f>H760+I760</f>
        <v>115</v>
      </c>
      <c r="L760" s="14">
        <f t="shared" si="104"/>
        <v>210.04</v>
      </c>
      <c r="M760" s="14">
        <f t="shared" si="113"/>
        <v>59.67045454545454</v>
      </c>
    </row>
    <row r="761" spans="1:13" ht="15" customHeight="1" x14ac:dyDescent="0.25">
      <c r="A761" s="13">
        <v>6472282</v>
      </c>
      <c r="B761" s="27">
        <v>41388</v>
      </c>
      <c r="C761" s="13" t="s">
        <v>172</v>
      </c>
      <c r="D761" s="13" t="s">
        <v>169</v>
      </c>
      <c r="E761" s="28">
        <v>20</v>
      </c>
      <c r="F761" s="25">
        <v>5.0999999999999996</v>
      </c>
      <c r="G761" s="26">
        <f t="shared" si="111"/>
        <v>132.6</v>
      </c>
      <c r="H761" s="26">
        <v>115</v>
      </c>
      <c r="I761" s="26">
        <v>0</v>
      </c>
      <c r="J761" s="26">
        <f t="shared" si="112"/>
        <v>5.0999999999999996</v>
      </c>
      <c r="K761" s="26">
        <f>H761+I761</f>
        <v>115</v>
      </c>
      <c r="L761" s="14">
        <f t="shared" si="104"/>
        <v>252.7</v>
      </c>
      <c r="M761" s="14">
        <f t="shared" si="113"/>
        <v>49.549019607843135</v>
      </c>
    </row>
    <row r="762" spans="1:13" ht="15" customHeight="1" x14ac:dyDescent="0.25">
      <c r="A762" s="13">
        <v>6472282</v>
      </c>
      <c r="B762" s="27">
        <v>41391</v>
      </c>
      <c r="C762" s="13" t="s">
        <v>173</v>
      </c>
      <c r="D762" s="13" t="s">
        <v>186</v>
      </c>
      <c r="E762" s="28">
        <v>30</v>
      </c>
      <c r="F762" s="25">
        <v>4.08</v>
      </c>
      <c r="G762" s="26">
        <f t="shared" si="111"/>
        <v>106.08</v>
      </c>
      <c r="H762" s="26">
        <v>115</v>
      </c>
      <c r="I762" s="26">
        <v>0</v>
      </c>
      <c r="J762" s="26">
        <f t="shared" si="112"/>
        <v>4.08</v>
      </c>
      <c r="K762" s="26">
        <v>115</v>
      </c>
      <c r="L762" s="14">
        <f t="shared" si="104"/>
        <v>225.16</v>
      </c>
      <c r="M762" s="14">
        <f t="shared" si="113"/>
        <v>55.186274509803923</v>
      </c>
    </row>
    <row r="763" spans="1:13" ht="15" customHeight="1" x14ac:dyDescent="0.25">
      <c r="A763" s="13">
        <v>6472282</v>
      </c>
      <c r="B763" s="27">
        <v>41394</v>
      </c>
      <c r="C763" s="13" t="s">
        <v>194</v>
      </c>
      <c r="D763" s="13" t="s">
        <v>169</v>
      </c>
      <c r="E763" s="28">
        <v>40</v>
      </c>
      <c r="F763" s="25">
        <v>2.98</v>
      </c>
      <c r="G763" s="26">
        <f t="shared" si="111"/>
        <v>77.48</v>
      </c>
      <c r="H763" s="26">
        <v>115</v>
      </c>
      <c r="I763" s="26">
        <v>0</v>
      </c>
      <c r="J763" s="26">
        <f t="shared" si="112"/>
        <v>2.98</v>
      </c>
      <c r="K763" s="26">
        <v>115</v>
      </c>
      <c r="L763" s="14">
        <f t="shared" si="104"/>
        <v>195.46</v>
      </c>
      <c r="M763" s="14">
        <f t="shared" si="113"/>
        <v>65.590604026845639</v>
      </c>
    </row>
    <row r="764" spans="1:13" ht="15" customHeight="1" x14ac:dyDescent="0.25">
      <c r="B764" s="27">
        <v>41394</v>
      </c>
      <c r="C764" s="13" t="s">
        <v>174</v>
      </c>
      <c r="D764" s="13" t="s">
        <v>187</v>
      </c>
      <c r="E764" s="28">
        <v>6</v>
      </c>
      <c r="F764" s="29">
        <f>Legend!H$2*1.17</f>
        <v>0.93599999999999994</v>
      </c>
      <c r="H764" s="26">
        <v>70.680000000000007</v>
      </c>
      <c r="J764" s="26"/>
      <c r="K764" s="26"/>
      <c r="L764" s="14">
        <f t="shared" si="104"/>
        <v>70.680000000000007</v>
      </c>
      <c r="M764" s="14">
        <f t="shared" si="113"/>
        <v>75.512820512820525</v>
      </c>
    </row>
    <row r="765" spans="1:13" ht="15" customHeight="1" x14ac:dyDescent="0.25">
      <c r="B765" s="27">
        <v>41394</v>
      </c>
      <c r="C765" s="13" t="s">
        <v>176</v>
      </c>
      <c r="D765" s="13" t="s">
        <v>175</v>
      </c>
      <c r="E765" s="28">
        <v>6</v>
      </c>
      <c r="F765" s="29">
        <f>Legend!H$2*2.34</f>
        <v>1.8719999999999999</v>
      </c>
      <c r="H765" s="26">
        <v>94.32</v>
      </c>
      <c r="J765" s="26"/>
      <c r="K765" s="26"/>
      <c r="L765" s="14">
        <f t="shared" si="104"/>
        <v>94.32</v>
      </c>
      <c r="M765" s="14">
        <f t="shared" si="113"/>
        <v>50.384615384615387</v>
      </c>
    </row>
    <row r="766" spans="1:13" ht="15" customHeight="1" x14ac:dyDescent="0.25">
      <c r="B766" s="27">
        <v>41394</v>
      </c>
      <c r="C766" s="13" t="s">
        <v>177</v>
      </c>
      <c r="D766" s="13" t="s">
        <v>175</v>
      </c>
      <c r="E766" s="28">
        <v>8</v>
      </c>
      <c r="F766" s="29">
        <f>Legend!H$2*3.12</f>
        <v>2.4960000000000004</v>
      </c>
      <c r="H766" s="26">
        <v>129</v>
      </c>
      <c r="J766" s="26"/>
      <c r="K766" s="26"/>
      <c r="L766" s="14">
        <f t="shared" si="104"/>
        <v>129</v>
      </c>
      <c r="M766" s="14">
        <f t="shared" si="113"/>
        <v>51.682692307692299</v>
      </c>
    </row>
    <row r="767" spans="1:13" ht="15" customHeight="1" x14ac:dyDescent="0.25">
      <c r="B767" s="27">
        <v>41394</v>
      </c>
      <c r="C767" s="13" t="s">
        <v>179</v>
      </c>
      <c r="D767" s="13" t="s">
        <v>187</v>
      </c>
      <c r="E767" s="28">
        <v>2</v>
      </c>
      <c r="F767" s="29">
        <f>Legend!H$2*0.39</f>
        <v>0.31200000000000006</v>
      </c>
      <c r="H767" s="26">
        <v>48</v>
      </c>
      <c r="J767" s="26"/>
      <c r="K767" s="26"/>
      <c r="L767" s="14">
        <f t="shared" si="104"/>
        <v>48</v>
      </c>
      <c r="M767" s="14">
        <f t="shared" si="113"/>
        <v>153.84615384615381</v>
      </c>
    </row>
    <row r="768" spans="1:13" ht="15" customHeight="1" x14ac:dyDescent="0.25">
      <c r="B768" s="27">
        <v>41394</v>
      </c>
      <c r="C768" s="13" t="s">
        <v>190</v>
      </c>
      <c r="D768" s="13" t="s">
        <v>187</v>
      </c>
      <c r="E768" s="28">
        <v>8</v>
      </c>
      <c r="F768" s="25">
        <f>Legend!H$2*1.56</f>
        <v>1.2480000000000002</v>
      </c>
      <c r="H768" s="26">
        <v>45.28</v>
      </c>
      <c r="L768" s="14">
        <f t="shared" si="104"/>
        <v>45.28</v>
      </c>
    </row>
    <row r="769" spans="1:13" ht="15" customHeight="1" x14ac:dyDescent="0.25">
      <c r="A769" s="13">
        <v>6493410</v>
      </c>
      <c r="B769" s="27">
        <v>41395</v>
      </c>
      <c r="C769" s="13" t="s">
        <v>170</v>
      </c>
      <c r="D769" s="13" t="s">
        <v>171</v>
      </c>
      <c r="E769" s="28">
        <v>32</v>
      </c>
      <c r="F769" s="25">
        <v>9.66</v>
      </c>
      <c r="G769" s="26">
        <f t="shared" ref="G769:G776" si="114">F769*$G$2</f>
        <v>251.16</v>
      </c>
      <c r="H769" s="26">
        <v>115</v>
      </c>
      <c r="I769" s="26">
        <v>0</v>
      </c>
      <c r="J769" s="26">
        <f t="shared" ref="J769:J776" si="115">F769</f>
        <v>9.66</v>
      </c>
      <c r="K769" s="26">
        <v>115</v>
      </c>
      <c r="L769" s="14">
        <f t="shared" si="104"/>
        <v>375.82</v>
      </c>
      <c r="M769" s="14">
        <f t="shared" ref="M769:M780" si="116">L769/F769</f>
        <v>38.904761904761905</v>
      </c>
    </row>
    <row r="770" spans="1:13" ht="15" customHeight="1" x14ac:dyDescent="0.25">
      <c r="A770" s="13">
        <v>6493410</v>
      </c>
      <c r="B770" s="27">
        <v>41402</v>
      </c>
      <c r="C770" s="13" t="s">
        <v>128</v>
      </c>
      <c r="D770" s="13" t="s">
        <v>169</v>
      </c>
      <c r="E770" s="28">
        <v>20</v>
      </c>
      <c r="F770" s="25">
        <v>3.46</v>
      </c>
      <c r="G770" s="26">
        <f t="shared" si="114"/>
        <v>89.96</v>
      </c>
      <c r="H770" s="26">
        <v>115</v>
      </c>
      <c r="I770" s="26">
        <v>0</v>
      </c>
      <c r="J770" s="26">
        <f t="shared" si="115"/>
        <v>3.46</v>
      </c>
      <c r="K770" s="26">
        <f>H770+I770</f>
        <v>115</v>
      </c>
      <c r="L770" s="14">
        <f t="shared" si="104"/>
        <v>208.42</v>
      </c>
      <c r="M770" s="14">
        <f t="shared" si="116"/>
        <v>60.236994219653177</v>
      </c>
    </row>
    <row r="771" spans="1:13" ht="15" customHeight="1" x14ac:dyDescent="0.25">
      <c r="A771" s="13">
        <v>6493410</v>
      </c>
      <c r="B771" s="27">
        <v>41402</v>
      </c>
      <c r="C771" s="13" t="s">
        <v>128</v>
      </c>
      <c r="D771" s="13" t="s">
        <v>169</v>
      </c>
      <c r="E771" s="28">
        <v>20</v>
      </c>
      <c r="F771" s="25">
        <v>6.04</v>
      </c>
      <c r="G771" s="26">
        <f t="shared" si="114"/>
        <v>157.04</v>
      </c>
      <c r="H771" s="26">
        <v>115</v>
      </c>
      <c r="I771" s="26">
        <v>0</v>
      </c>
      <c r="J771" s="26">
        <f t="shared" si="115"/>
        <v>6.04</v>
      </c>
      <c r="K771" s="26">
        <f>H771+I771</f>
        <v>115</v>
      </c>
      <c r="L771" s="14">
        <f t="shared" si="104"/>
        <v>278.08</v>
      </c>
      <c r="M771" s="14">
        <f t="shared" si="116"/>
        <v>46.039735099337747</v>
      </c>
    </row>
    <row r="772" spans="1:13" ht="15" customHeight="1" x14ac:dyDescent="0.25">
      <c r="A772" s="13">
        <v>6493410</v>
      </c>
      <c r="B772" s="27">
        <v>41403</v>
      </c>
      <c r="C772" s="13" t="s">
        <v>110</v>
      </c>
      <c r="D772" s="13" t="s">
        <v>169</v>
      </c>
      <c r="E772" s="28">
        <v>40</v>
      </c>
      <c r="F772" s="25">
        <v>6.78</v>
      </c>
      <c r="G772" s="26">
        <f t="shared" si="114"/>
        <v>176.28</v>
      </c>
      <c r="H772" s="26">
        <v>115</v>
      </c>
      <c r="I772" s="26">
        <v>0</v>
      </c>
      <c r="J772" s="26">
        <f t="shared" si="115"/>
        <v>6.78</v>
      </c>
      <c r="K772" s="26">
        <v>115</v>
      </c>
      <c r="L772" s="14">
        <f t="shared" ref="L772:L835" si="117">G772+H772+I772+J772</f>
        <v>298.05999999999995</v>
      </c>
      <c r="M772" s="14">
        <f t="shared" si="116"/>
        <v>43.961651917404119</v>
      </c>
    </row>
    <row r="773" spans="1:13" ht="15" customHeight="1" x14ac:dyDescent="0.25">
      <c r="A773" s="13">
        <v>6493410</v>
      </c>
      <c r="B773" s="27">
        <v>41408</v>
      </c>
      <c r="C773" s="13" t="s">
        <v>128</v>
      </c>
      <c r="D773" s="13" t="s">
        <v>186</v>
      </c>
      <c r="E773" s="28">
        <v>35</v>
      </c>
      <c r="F773" s="25">
        <v>5.53</v>
      </c>
      <c r="G773" s="26">
        <f t="shared" si="114"/>
        <v>143.78</v>
      </c>
      <c r="H773" s="26">
        <v>115</v>
      </c>
      <c r="I773" s="26">
        <v>0</v>
      </c>
      <c r="J773" s="26">
        <f t="shared" si="115"/>
        <v>5.53</v>
      </c>
      <c r="K773" s="26">
        <v>115</v>
      </c>
      <c r="L773" s="14">
        <f t="shared" si="117"/>
        <v>264.30999999999995</v>
      </c>
      <c r="M773" s="14">
        <f t="shared" si="116"/>
        <v>47.795660036166353</v>
      </c>
    </row>
    <row r="774" spans="1:13" ht="15" customHeight="1" x14ac:dyDescent="0.25">
      <c r="A774" s="13">
        <v>6493410</v>
      </c>
      <c r="B774" s="27">
        <v>41409</v>
      </c>
      <c r="C774" s="13" t="s">
        <v>170</v>
      </c>
      <c r="D774" s="13" t="s">
        <v>171</v>
      </c>
      <c r="E774" s="28">
        <v>32</v>
      </c>
      <c r="F774" s="25">
        <v>9.89</v>
      </c>
      <c r="G774" s="26">
        <f t="shared" si="114"/>
        <v>257.14</v>
      </c>
      <c r="H774" s="26">
        <v>115</v>
      </c>
      <c r="I774" s="26">
        <v>0</v>
      </c>
      <c r="J774" s="26">
        <f t="shared" si="115"/>
        <v>9.89</v>
      </c>
      <c r="K774" s="26">
        <v>115</v>
      </c>
      <c r="L774" s="14">
        <f t="shared" si="117"/>
        <v>382.03</v>
      </c>
      <c r="M774" s="14">
        <f t="shared" si="116"/>
        <v>38.627906976744178</v>
      </c>
    </row>
    <row r="775" spans="1:13" ht="15.75" customHeight="1" x14ac:dyDescent="0.25">
      <c r="A775" s="13">
        <v>6493410</v>
      </c>
      <c r="B775" s="27">
        <v>41416</v>
      </c>
      <c r="C775" s="13" t="s">
        <v>185</v>
      </c>
      <c r="D775" s="13" t="s">
        <v>169</v>
      </c>
      <c r="E775" s="28">
        <v>40</v>
      </c>
      <c r="F775" s="25">
        <v>3.51</v>
      </c>
      <c r="G775" s="26">
        <f t="shared" si="114"/>
        <v>91.259999999999991</v>
      </c>
      <c r="H775" s="26">
        <v>115</v>
      </c>
      <c r="I775" s="26">
        <v>0</v>
      </c>
      <c r="J775" s="26">
        <f t="shared" si="115"/>
        <v>3.51</v>
      </c>
      <c r="K775" s="26">
        <v>115</v>
      </c>
      <c r="L775" s="14">
        <f t="shared" si="117"/>
        <v>209.76999999999998</v>
      </c>
      <c r="M775" s="14">
        <f t="shared" si="116"/>
        <v>59.763532763532758</v>
      </c>
    </row>
    <row r="776" spans="1:13" ht="15" customHeight="1" x14ac:dyDescent="0.25">
      <c r="A776" s="13">
        <v>6493410</v>
      </c>
      <c r="B776" s="27">
        <v>41424</v>
      </c>
      <c r="C776" s="13" t="s">
        <v>173</v>
      </c>
      <c r="D776" s="13" t="s">
        <v>186</v>
      </c>
      <c r="E776" s="28">
        <v>30</v>
      </c>
      <c r="F776" s="25">
        <v>8.3800000000000008</v>
      </c>
      <c r="G776" s="26">
        <f t="shared" si="114"/>
        <v>217.88000000000002</v>
      </c>
      <c r="H776" s="26">
        <v>115</v>
      </c>
      <c r="I776" s="26">
        <v>0</v>
      </c>
      <c r="J776" s="26">
        <f t="shared" si="115"/>
        <v>8.3800000000000008</v>
      </c>
      <c r="K776" s="26">
        <v>115</v>
      </c>
      <c r="L776" s="14">
        <f t="shared" si="117"/>
        <v>341.26</v>
      </c>
      <c r="M776" s="14">
        <f t="shared" si="116"/>
        <v>40.723150357995223</v>
      </c>
    </row>
    <row r="777" spans="1:13" ht="15" customHeight="1" x14ac:dyDescent="0.25">
      <c r="B777" s="27">
        <v>41425</v>
      </c>
      <c r="C777" s="13" t="s">
        <v>174</v>
      </c>
      <c r="D777" s="13" t="s">
        <v>187</v>
      </c>
      <c r="E777" s="28">
        <v>6</v>
      </c>
      <c r="F777" s="29">
        <f>Legend!H$2*1.17</f>
        <v>0.93599999999999994</v>
      </c>
      <c r="H777" s="26">
        <v>70.680000000000007</v>
      </c>
      <c r="J777" s="26"/>
      <c r="K777" s="26"/>
      <c r="L777" s="14">
        <f t="shared" si="117"/>
        <v>70.680000000000007</v>
      </c>
      <c r="M777" s="14">
        <f t="shared" si="116"/>
        <v>75.512820512820525</v>
      </c>
    </row>
    <row r="778" spans="1:13" ht="15" customHeight="1" x14ac:dyDescent="0.25">
      <c r="B778" s="27">
        <v>41425</v>
      </c>
      <c r="C778" s="13" t="s">
        <v>176</v>
      </c>
      <c r="D778" s="13" t="s">
        <v>175</v>
      </c>
      <c r="E778" s="28">
        <v>6</v>
      </c>
      <c r="F778" s="29">
        <f>Legend!H$2*2.34</f>
        <v>1.8719999999999999</v>
      </c>
      <c r="H778" s="26">
        <v>94.32</v>
      </c>
      <c r="J778" s="26"/>
      <c r="K778" s="26"/>
      <c r="L778" s="14">
        <f t="shared" si="117"/>
        <v>94.32</v>
      </c>
      <c r="M778" s="14">
        <f t="shared" si="116"/>
        <v>50.384615384615387</v>
      </c>
    </row>
    <row r="779" spans="1:13" ht="15" customHeight="1" x14ac:dyDescent="0.25">
      <c r="B779" s="27">
        <v>41425</v>
      </c>
      <c r="C779" s="13" t="s">
        <v>177</v>
      </c>
      <c r="D779" s="13" t="s">
        <v>175</v>
      </c>
      <c r="E779" s="28">
        <v>8</v>
      </c>
      <c r="F779" s="29">
        <f>Legend!H$2*3.12</f>
        <v>2.4960000000000004</v>
      </c>
      <c r="H779" s="26">
        <v>129</v>
      </c>
      <c r="J779" s="26"/>
      <c r="K779" s="26"/>
      <c r="L779" s="14">
        <f t="shared" si="117"/>
        <v>129</v>
      </c>
      <c r="M779" s="14">
        <f t="shared" si="116"/>
        <v>51.682692307692299</v>
      </c>
    </row>
    <row r="780" spans="1:13" ht="15" customHeight="1" x14ac:dyDescent="0.25">
      <c r="B780" s="27">
        <v>41425</v>
      </c>
      <c r="C780" s="13" t="s">
        <v>179</v>
      </c>
      <c r="D780" s="13" t="s">
        <v>187</v>
      </c>
      <c r="E780" s="28">
        <v>2</v>
      </c>
      <c r="F780" s="29">
        <f>Legend!H$2*0.39</f>
        <v>0.31200000000000006</v>
      </c>
      <c r="H780" s="26">
        <v>48</v>
      </c>
      <c r="J780" s="26"/>
      <c r="K780" s="26"/>
      <c r="L780" s="14">
        <f t="shared" si="117"/>
        <v>48</v>
      </c>
      <c r="M780" s="14">
        <f t="shared" si="116"/>
        <v>153.84615384615381</v>
      </c>
    </row>
    <row r="781" spans="1:13" ht="15.75" customHeight="1" x14ac:dyDescent="0.25">
      <c r="B781" s="27">
        <v>41425</v>
      </c>
      <c r="C781" s="13" t="s">
        <v>190</v>
      </c>
      <c r="D781" s="13" t="s">
        <v>187</v>
      </c>
      <c r="E781" s="28">
        <v>8</v>
      </c>
      <c r="F781" s="25">
        <f>Legend!H$2*1.56</f>
        <v>1.2480000000000002</v>
      </c>
      <c r="H781" s="26">
        <v>45.28</v>
      </c>
      <c r="L781" s="14">
        <f t="shared" si="117"/>
        <v>45.28</v>
      </c>
    </row>
    <row r="782" spans="1:13" ht="15" customHeight="1" x14ac:dyDescent="0.25">
      <c r="A782" s="13">
        <v>6513466</v>
      </c>
      <c r="B782" s="27">
        <v>41432</v>
      </c>
      <c r="C782" s="13" t="s">
        <v>194</v>
      </c>
      <c r="D782" s="13" t="s">
        <v>169</v>
      </c>
      <c r="E782" s="28">
        <v>40</v>
      </c>
      <c r="F782" s="25">
        <v>2.37</v>
      </c>
      <c r="G782" s="26">
        <f>F782*$G$2</f>
        <v>61.620000000000005</v>
      </c>
      <c r="H782" s="26">
        <v>115</v>
      </c>
      <c r="I782" s="26">
        <v>0</v>
      </c>
      <c r="J782" s="26">
        <f>F782</f>
        <v>2.37</v>
      </c>
      <c r="K782" s="26">
        <v>115</v>
      </c>
      <c r="L782" s="14">
        <f t="shared" si="117"/>
        <v>178.99</v>
      </c>
      <c r="M782" s="14">
        <f t="shared" ref="M782:M788" si="118">L782/F782</f>
        <v>75.523206751054857</v>
      </c>
    </row>
    <row r="783" spans="1:13" ht="15" customHeight="1" x14ac:dyDescent="0.25">
      <c r="A783" s="13">
        <v>6513466</v>
      </c>
      <c r="B783" s="27">
        <v>41436</v>
      </c>
      <c r="C783" s="13" t="s">
        <v>185</v>
      </c>
      <c r="D783" s="13" t="s">
        <v>169</v>
      </c>
      <c r="E783" s="28">
        <v>40</v>
      </c>
      <c r="F783" s="25">
        <v>3.88</v>
      </c>
      <c r="G783" s="26">
        <f>F783*$G$2</f>
        <v>100.88</v>
      </c>
      <c r="H783" s="26">
        <v>115</v>
      </c>
      <c r="I783" s="26">
        <v>0</v>
      </c>
      <c r="J783" s="26">
        <f>F783</f>
        <v>3.88</v>
      </c>
      <c r="K783" s="26">
        <v>115</v>
      </c>
      <c r="L783" s="14">
        <f t="shared" si="117"/>
        <v>219.76</v>
      </c>
      <c r="M783" s="14">
        <f t="shared" si="118"/>
        <v>56.639175257731956</v>
      </c>
    </row>
    <row r="784" spans="1:13" ht="15" customHeight="1" x14ac:dyDescent="0.25">
      <c r="A784" s="13">
        <v>6513466</v>
      </c>
      <c r="B784" s="27">
        <v>41451</v>
      </c>
      <c r="C784" s="13" t="s">
        <v>185</v>
      </c>
      <c r="D784" s="13" t="s">
        <v>169</v>
      </c>
      <c r="E784" s="28">
        <v>40</v>
      </c>
      <c r="F784" s="25">
        <v>4.2300000000000004</v>
      </c>
      <c r="G784" s="26">
        <f>F784*$G$2</f>
        <v>109.98000000000002</v>
      </c>
      <c r="H784" s="26">
        <v>115</v>
      </c>
      <c r="I784" s="26">
        <v>0</v>
      </c>
      <c r="J784" s="26">
        <f>F784</f>
        <v>4.2300000000000004</v>
      </c>
      <c r="K784" s="26">
        <v>115</v>
      </c>
      <c r="L784" s="14">
        <f t="shared" si="117"/>
        <v>229.21</v>
      </c>
      <c r="M784" s="14">
        <f t="shared" si="118"/>
        <v>54.186761229314421</v>
      </c>
    </row>
    <row r="785" spans="1:13" ht="15" customHeight="1" x14ac:dyDescent="0.25">
      <c r="B785" s="27">
        <v>41455</v>
      </c>
      <c r="C785" s="13" t="s">
        <v>174</v>
      </c>
      <c r="D785" s="13" t="s">
        <v>187</v>
      </c>
      <c r="E785" s="28">
        <v>6</v>
      </c>
      <c r="F785" s="29">
        <f>Legend!H$2*1.17</f>
        <v>0.93599999999999994</v>
      </c>
      <c r="H785" s="26">
        <v>70.680000000000007</v>
      </c>
      <c r="J785" s="26"/>
      <c r="K785" s="26"/>
      <c r="L785" s="14">
        <f t="shared" si="117"/>
        <v>70.680000000000007</v>
      </c>
      <c r="M785" s="14">
        <f t="shared" si="118"/>
        <v>75.512820512820525</v>
      </c>
    </row>
    <row r="786" spans="1:13" ht="15.75" customHeight="1" x14ac:dyDescent="0.25">
      <c r="B786" s="27">
        <v>41455</v>
      </c>
      <c r="C786" s="13" t="s">
        <v>176</v>
      </c>
      <c r="D786" s="13" t="s">
        <v>175</v>
      </c>
      <c r="E786" s="28">
        <v>6</v>
      </c>
      <c r="F786" s="29">
        <f>Legend!H$2*2.34</f>
        <v>1.8719999999999999</v>
      </c>
      <c r="H786" s="26">
        <v>94.32</v>
      </c>
      <c r="J786" s="26"/>
      <c r="K786" s="26"/>
      <c r="L786" s="14">
        <f t="shared" si="117"/>
        <v>94.32</v>
      </c>
      <c r="M786" s="14">
        <f t="shared" si="118"/>
        <v>50.384615384615387</v>
      </c>
    </row>
    <row r="787" spans="1:13" ht="15" customHeight="1" x14ac:dyDescent="0.25">
      <c r="B787" s="27">
        <v>41455</v>
      </c>
      <c r="C787" s="13" t="s">
        <v>177</v>
      </c>
      <c r="D787" s="13" t="s">
        <v>175</v>
      </c>
      <c r="E787" s="28">
        <v>8</v>
      </c>
      <c r="F787" s="29">
        <f>Legend!H$2*3.12</f>
        <v>2.4960000000000004</v>
      </c>
      <c r="H787" s="26">
        <v>129</v>
      </c>
      <c r="J787" s="26"/>
      <c r="K787" s="26"/>
      <c r="L787" s="14">
        <f t="shared" si="117"/>
        <v>129</v>
      </c>
      <c r="M787" s="14">
        <f t="shared" si="118"/>
        <v>51.682692307692299</v>
      </c>
    </row>
    <row r="788" spans="1:13" ht="15.75" customHeight="1" x14ac:dyDescent="0.25">
      <c r="B788" s="27">
        <v>41455</v>
      </c>
      <c r="C788" s="13" t="s">
        <v>179</v>
      </c>
      <c r="D788" s="13" t="s">
        <v>187</v>
      </c>
      <c r="E788" s="28">
        <v>2</v>
      </c>
      <c r="F788" s="29">
        <f>Legend!H$2*0.39</f>
        <v>0.31200000000000006</v>
      </c>
      <c r="H788" s="26">
        <v>48</v>
      </c>
      <c r="J788" s="26"/>
      <c r="K788" s="26"/>
      <c r="L788" s="14">
        <f t="shared" si="117"/>
        <v>48</v>
      </c>
      <c r="M788" s="14">
        <f t="shared" si="118"/>
        <v>153.84615384615381</v>
      </c>
    </row>
    <row r="789" spans="1:13" ht="15.75" customHeight="1" x14ac:dyDescent="0.25">
      <c r="B789" s="27">
        <v>41455</v>
      </c>
      <c r="C789" s="13" t="s">
        <v>190</v>
      </c>
      <c r="D789" s="13" t="s">
        <v>187</v>
      </c>
      <c r="E789" s="28">
        <v>8</v>
      </c>
      <c r="F789" s="25">
        <f>Legend!H$2*1.56</f>
        <v>1.2480000000000002</v>
      </c>
      <c r="H789" s="26">
        <v>45.28</v>
      </c>
      <c r="L789" s="14">
        <f t="shared" si="117"/>
        <v>45.28</v>
      </c>
    </row>
    <row r="790" spans="1:13" ht="15" customHeight="1" x14ac:dyDescent="0.25">
      <c r="A790" s="13">
        <v>6533710</v>
      </c>
      <c r="B790" s="27">
        <v>41457</v>
      </c>
      <c r="C790" s="13" t="s">
        <v>170</v>
      </c>
      <c r="D790" s="13" t="s">
        <v>171</v>
      </c>
      <c r="E790" s="28">
        <v>32</v>
      </c>
      <c r="F790" s="25">
        <v>11.55</v>
      </c>
      <c r="G790" s="26">
        <f t="shared" ref="G790:G796" si="119">F790*$G$2</f>
        <v>300.3</v>
      </c>
      <c r="H790" s="26">
        <v>115</v>
      </c>
      <c r="I790" s="26">
        <v>0</v>
      </c>
      <c r="J790" s="26">
        <f t="shared" ref="J790:J796" si="120">F790</f>
        <v>11.55</v>
      </c>
      <c r="K790" s="26">
        <v>115</v>
      </c>
      <c r="L790" s="14">
        <f t="shared" si="117"/>
        <v>426.85</v>
      </c>
      <c r="M790" s="14">
        <f t="shared" ref="M790:M800" si="121">L790/F790</f>
        <v>36.956709956709958</v>
      </c>
    </row>
    <row r="791" spans="1:13" ht="15" customHeight="1" x14ac:dyDescent="0.25">
      <c r="A791" s="13">
        <v>6533710</v>
      </c>
      <c r="B791" s="27">
        <v>41464</v>
      </c>
      <c r="C791" s="13" t="s">
        <v>185</v>
      </c>
      <c r="D791" s="13" t="s">
        <v>169</v>
      </c>
      <c r="E791" s="28">
        <v>40</v>
      </c>
      <c r="F791" s="25">
        <v>6.47</v>
      </c>
      <c r="G791" s="26">
        <f t="shared" si="119"/>
        <v>168.22</v>
      </c>
      <c r="H791" s="26">
        <v>115</v>
      </c>
      <c r="I791" s="26">
        <v>0</v>
      </c>
      <c r="J791" s="26">
        <f t="shared" si="120"/>
        <v>6.47</v>
      </c>
      <c r="K791" s="26">
        <v>115</v>
      </c>
      <c r="L791" s="14">
        <f t="shared" si="117"/>
        <v>289.69000000000005</v>
      </c>
      <c r="M791" s="14">
        <f t="shared" si="121"/>
        <v>44.774343122102017</v>
      </c>
    </row>
    <row r="792" spans="1:13" ht="15" customHeight="1" x14ac:dyDescent="0.25">
      <c r="A792" s="13">
        <v>6533710</v>
      </c>
      <c r="B792" s="27">
        <v>41464</v>
      </c>
      <c r="C792" s="13" t="s">
        <v>173</v>
      </c>
      <c r="D792" s="13" t="s">
        <v>186</v>
      </c>
      <c r="E792" s="28">
        <v>30</v>
      </c>
      <c r="F792" s="25">
        <v>7.54</v>
      </c>
      <c r="G792" s="26">
        <f t="shared" si="119"/>
        <v>196.04</v>
      </c>
      <c r="H792" s="26">
        <v>115</v>
      </c>
      <c r="I792" s="26">
        <v>0</v>
      </c>
      <c r="J792" s="26">
        <f t="shared" si="120"/>
        <v>7.54</v>
      </c>
      <c r="K792" s="26">
        <v>115</v>
      </c>
      <c r="L792" s="14">
        <f t="shared" si="117"/>
        <v>318.58</v>
      </c>
      <c r="M792" s="14">
        <f t="shared" si="121"/>
        <v>42.251989389920425</v>
      </c>
    </row>
    <row r="793" spans="1:13" ht="15" customHeight="1" x14ac:dyDescent="0.25">
      <c r="A793" s="13">
        <v>6533710</v>
      </c>
      <c r="B793" s="27">
        <v>41471</v>
      </c>
      <c r="C793" s="13" t="s">
        <v>110</v>
      </c>
      <c r="D793" s="13" t="s">
        <v>169</v>
      </c>
      <c r="E793" s="28">
        <v>40</v>
      </c>
      <c r="F793" s="25">
        <v>2.96</v>
      </c>
      <c r="G793" s="26">
        <f t="shared" si="119"/>
        <v>76.959999999999994</v>
      </c>
      <c r="H793" s="26">
        <v>115</v>
      </c>
      <c r="I793" s="26">
        <v>0</v>
      </c>
      <c r="J793" s="26">
        <f t="shared" si="120"/>
        <v>2.96</v>
      </c>
      <c r="K793" s="26">
        <v>115</v>
      </c>
      <c r="L793" s="14">
        <f t="shared" si="117"/>
        <v>194.92</v>
      </c>
      <c r="M793" s="14">
        <f t="shared" si="121"/>
        <v>65.851351351351354</v>
      </c>
    </row>
    <row r="794" spans="1:13" ht="15.75" customHeight="1" x14ac:dyDescent="0.25">
      <c r="A794" s="13">
        <v>6533710</v>
      </c>
      <c r="B794" s="27">
        <v>41472</v>
      </c>
      <c r="C794" s="13" t="s">
        <v>128</v>
      </c>
      <c r="D794" s="13" t="s">
        <v>186</v>
      </c>
      <c r="E794" s="28">
        <v>35</v>
      </c>
      <c r="F794" s="25">
        <v>9.98</v>
      </c>
      <c r="G794" s="26">
        <f t="shared" si="119"/>
        <v>259.48</v>
      </c>
      <c r="H794" s="26">
        <v>115</v>
      </c>
      <c r="I794" s="26">
        <v>0</v>
      </c>
      <c r="J794" s="26">
        <f t="shared" si="120"/>
        <v>9.98</v>
      </c>
      <c r="K794" s="26">
        <v>115</v>
      </c>
      <c r="L794" s="14">
        <f t="shared" si="117"/>
        <v>384.46000000000004</v>
      </c>
      <c r="M794" s="14">
        <f t="shared" si="121"/>
        <v>38.523046092184373</v>
      </c>
    </row>
    <row r="795" spans="1:13" ht="15" customHeight="1" x14ac:dyDescent="0.25">
      <c r="A795" s="13">
        <v>6553138</v>
      </c>
      <c r="B795" s="27">
        <v>41472</v>
      </c>
      <c r="C795" s="13" t="s">
        <v>110</v>
      </c>
      <c r="D795" s="13" t="s">
        <v>169</v>
      </c>
      <c r="E795" s="28">
        <v>40</v>
      </c>
      <c r="F795" s="25">
        <v>4.05</v>
      </c>
      <c r="G795" s="26">
        <f t="shared" si="119"/>
        <v>105.3</v>
      </c>
      <c r="H795" s="26">
        <v>115</v>
      </c>
      <c r="I795" s="26">
        <v>0</v>
      </c>
      <c r="J795" s="26">
        <f t="shared" si="120"/>
        <v>4.05</v>
      </c>
      <c r="K795" s="26">
        <v>115</v>
      </c>
      <c r="L795" s="14">
        <f t="shared" si="117"/>
        <v>224.35000000000002</v>
      </c>
      <c r="M795" s="14">
        <f t="shared" si="121"/>
        <v>55.395061728395071</v>
      </c>
    </row>
    <row r="796" spans="1:13" ht="15" customHeight="1" x14ac:dyDescent="0.25">
      <c r="A796" s="13">
        <v>6533710</v>
      </c>
      <c r="B796" s="27">
        <v>41481</v>
      </c>
      <c r="C796" s="13" t="s">
        <v>110</v>
      </c>
      <c r="D796" s="13" t="s">
        <v>169</v>
      </c>
      <c r="E796" s="28">
        <v>40</v>
      </c>
      <c r="F796" s="25">
        <v>1.3</v>
      </c>
      <c r="G796" s="26">
        <f t="shared" si="119"/>
        <v>33.800000000000004</v>
      </c>
      <c r="H796" s="26">
        <v>115</v>
      </c>
      <c r="I796" s="26">
        <v>0</v>
      </c>
      <c r="J796" s="26">
        <f t="shared" si="120"/>
        <v>1.3</v>
      </c>
      <c r="K796" s="26">
        <v>115</v>
      </c>
      <c r="L796" s="14">
        <f t="shared" si="117"/>
        <v>150.10000000000002</v>
      </c>
      <c r="M796" s="14">
        <f t="shared" si="121"/>
        <v>115.46153846153848</v>
      </c>
    </row>
    <row r="797" spans="1:13" ht="15" customHeight="1" x14ac:dyDescent="0.25">
      <c r="B797" s="27">
        <v>41486</v>
      </c>
      <c r="C797" s="13" t="s">
        <v>174</v>
      </c>
      <c r="D797" s="13" t="s">
        <v>187</v>
      </c>
      <c r="E797" s="28">
        <v>6</v>
      </c>
      <c r="F797" s="29">
        <f>Legend!H$2*1.17</f>
        <v>0.93599999999999994</v>
      </c>
      <c r="H797" s="26">
        <v>70.680000000000007</v>
      </c>
      <c r="J797" s="26"/>
      <c r="K797" s="26"/>
      <c r="L797" s="14">
        <f t="shared" si="117"/>
        <v>70.680000000000007</v>
      </c>
      <c r="M797" s="14">
        <f t="shared" si="121"/>
        <v>75.512820512820525</v>
      </c>
    </row>
    <row r="798" spans="1:13" ht="15" customHeight="1" x14ac:dyDescent="0.25">
      <c r="B798" s="27">
        <v>41486</v>
      </c>
      <c r="C798" s="13" t="s">
        <v>176</v>
      </c>
      <c r="D798" s="13" t="s">
        <v>175</v>
      </c>
      <c r="E798" s="28">
        <v>6</v>
      </c>
      <c r="F798" s="29">
        <f>Legend!H$2*2.34</f>
        <v>1.8719999999999999</v>
      </c>
      <c r="H798" s="26">
        <v>94.32</v>
      </c>
      <c r="J798" s="26"/>
      <c r="K798" s="26"/>
      <c r="L798" s="14">
        <f t="shared" si="117"/>
        <v>94.32</v>
      </c>
      <c r="M798" s="14">
        <f t="shared" si="121"/>
        <v>50.384615384615387</v>
      </c>
    </row>
    <row r="799" spans="1:13" ht="15.75" customHeight="1" x14ac:dyDescent="0.25">
      <c r="B799" s="27">
        <v>41486</v>
      </c>
      <c r="C799" s="13" t="s">
        <v>177</v>
      </c>
      <c r="D799" s="13" t="s">
        <v>175</v>
      </c>
      <c r="E799" s="28">
        <v>8</v>
      </c>
      <c r="F799" s="29">
        <f>Legend!H$2*3.12</f>
        <v>2.4960000000000004</v>
      </c>
      <c r="H799" s="26">
        <v>129</v>
      </c>
      <c r="J799" s="26"/>
      <c r="K799" s="26"/>
      <c r="L799" s="14">
        <f t="shared" si="117"/>
        <v>129</v>
      </c>
      <c r="M799" s="14">
        <f t="shared" si="121"/>
        <v>51.682692307692299</v>
      </c>
    </row>
    <row r="800" spans="1:13" ht="15" customHeight="1" x14ac:dyDescent="0.25">
      <c r="B800" s="27">
        <v>41486</v>
      </c>
      <c r="C800" s="13" t="s">
        <v>179</v>
      </c>
      <c r="D800" s="13" t="s">
        <v>187</v>
      </c>
      <c r="E800" s="28">
        <v>2</v>
      </c>
      <c r="F800" s="29">
        <f>Legend!H$2*0.39</f>
        <v>0.31200000000000006</v>
      </c>
      <c r="H800" s="26">
        <v>48</v>
      </c>
      <c r="J800" s="26"/>
      <c r="K800" s="26"/>
      <c r="L800" s="14">
        <f t="shared" si="117"/>
        <v>48</v>
      </c>
      <c r="M800" s="14">
        <f t="shared" si="121"/>
        <v>153.84615384615381</v>
      </c>
    </row>
    <row r="801" spans="1:13" ht="15" customHeight="1" x14ac:dyDescent="0.25">
      <c r="B801" s="27">
        <v>41486</v>
      </c>
      <c r="C801" s="13" t="s">
        <v>190</v>
      </c>
      <c r="D801" s="13" t="s">
        <v>187</v>
      </c>
      <c r="E801" s="28">
        <v>8</v>
      </c>
      <c r="F801" s="25">
        <f>Legend!H$2*1.56</f>
        <v>1.2480000000000002</v>
      </c>
      <c r="H801" s="26">
        <v>45.28</v>
      </c>
      <c r="L801" s="14">
        <f t="shared" si="117"/>
        <v>45.28</v>
      </c>
    </row>
    <row r="802" spans="1:13" ht="15" customHeight="1" x14ac:dyDescent="0.25">
      <c r="A802" s="13">
        <v>6553138</v>
      </c>
      <c r="B802" s="27">
        <v>41492</v>
      </c>
      <c r="C802" s="13" t="s">
        <v>110</v>
      </c>
      <c r="D802" s="13" t="s">
        <v>169</v>
      </c>
      <c r="E802" s="28">
        <v>40</v>
      </c>
      <c r="F802" s="25">
        <v>8.0500000000000007</v>
      </c>
      <c r="G802" s="26">
        <f t="shared" ref="G802:G810" si="122">F802*$G$2</f>
        <v>209.3</v>
      </c>
      <c r="H802" s="26">
        <v>115</v>
      </c>
      <c r="I802" s="26">
        <v>0</v>
      </c>
      <c r="J802" s="26">
        <f t="shared" ref="J802:J810" si="123">F802</f>
        <v>8.0500000000000007</v>
      </c>
      <c r="K802" s="26">
        <v>115</v>
      </c>
      <c r="L802" s="14">
        <f t="shared" si="117"/>
        <v>332.35</v>
      </c>
      <c r="M802" s="14">
        <f t="shared" ref="M802:M814" si="124">L802/F802</f>
        <v>41.285714285714285</v>
      </c>
    </row>
    <row r="803" spans="1:13" ht="15" customHeight="1" x14ac:dyDescent="0.25">
      <c r="A803" s="13">
        <v>6553138</v>
      </c>
      <c r="B803" s="27">
        <v>41503</v>
      </c>
      <c r="C803" s="13" t="s">
        <v>128</v>
      </c>
      <c r="D803" s="13" t="s">
        <v>169</v>
      </c>
      <c r="E803" s="28">
        <v>20</v>
      </c>
      <c r="F803" s="25">
        <v>7.54</v>
      </c>
      <c r="G803" s="26">
        <f t="shared" si="122"/>
        <v>196.04</v>
      </c>
      <c r="H803" s="26">
        <v>115</v>
      </c>
      <c r="I803" s="26">
        <v>0</v>
      </c>
      <c r="J803" s="26">
        <f t="shared" si="123"/>
        <v>7.54</v>
      </c>
      <c r="K803" s="26">
        <f>H803+I803</f>
        <v>115</v>
      </c>
      <c r="L803" s="14">
        <f t="shared" si="117"/>
        <v>318.58</v>
      </c>
      <c r="M803" s="14">
        <f t="shared" si="124"/>
        <v>42.251989389920425</v>
      </c>
    </row>
    <row r="804" spans="1:13" ht="15.75" customHeight="1" x14ac:dyDescent="0.25">
      <c r="A804" s="13">
        <v>6553138</v>
      </c>
      <c r="B804" s="27">
        <v>41506</v>
      </c>
      <c r="C804" s="13" t="s">
        <v>128</v>
      </c>
      <c r="D804" s="13" t="s">
        <v>169</v>
      </c>
      <c r="E804" s="28">
        <v>20</v>
      </c>
      <c r="F804" s="25">
        <v>5.46</v>
      </c>
      <c r="G804" s="26">
        <f t="shared" si="122"/>
        <v>141.96</v>
      </c>
      <c r="H804" s="26">
        <v>115</v>
      </c>
      <c r="I804" s="26">
        <v>0</v>
      </c>
      <c r="J804" s="26">
        <f t="shared" si="123"/>
        <v>5.46</v>
      </c>
      <c r="K804" s="26">
        <f>H804+I804</f>
        <v>115</v>
      </c>
      <c r="L804" s="14">
        <f t="shared" si="117"/>
        <v>262.42</v>
      </c>
      <c r="M804" s="14">
        <f t="shared" si="124"/>
        <v>48.062271062271066</v>
      </c>
    </row>
    <row r="805" spans="1:13" ht="15" customHeight="1" x14ac:dyDescent="0.25">
      <c r="A805" s="13">
        <v>6553138</v>
      </c>
      <c r="B805" s="27">
        <v>41506</v>
      </c>
      <c r="C805" s="13" t="s">
        <v>128</v>
      </c>
      <c r="D805" s="13" t="s">
        <v>169</v>
      </c>
      <c r="E805" s="28">
        <v>20</v>
      </c>
      <c r="F805" s="25">
        <v>2.95</v>
      </c>
      <c r="G805" s="26">
        <f t="shared" si="122"/>
        <v>76.7</v>
      </c>
      <c r="H805" s="26">
        <v>115</v>
      </c>
      <c r="I805" s="26">
        <v>0</v>
      </c>
      <c r="J805" s="26">
        <f t="shared" si="123"/>
        <v>2.95</v>
      </c>
      <c r="K805" s="26">
        <f>H805+I805</f>
        <v>115</v>
      </c>
      <c r="L805" s="14">
        <f t="shared" si="117"/>
        <v>194.64999999999998</v>
      </c>
      <c r="M805" s="14">
        <f t="shared" si="124"/>
        <v>65.983050847457619</v>
      </c>
    </row>
    <row r="806" spans="1:13" ht="15.75" customHeight="1" x14ac:dyDescent="0.25">
      <c r="A806" s="13">
        <v>6553138</v>
      </c>
      <c r="B806" s="27">
        <v>41506</v>
      </c>
      <c r="C806" s="13" t="s">
        <v>110</v>
      </c>
      <c r="D806" s="13" t="s">
        <v>169</v>
      </c>
      <c r="E806" s="28">
        <v>40</v>
      </c>
      <c r="F806" s="25">
        <v>4.1900000000000004</v>
      </c>
      <c r="G806" s="26">
        <f t="shared" si="122"/>
        <v>108.94000000000001</v>
      </c>
      <c r="H806" s="26">
        <v>115</v>
      </c>
      <c r="I806" s="26">
        <v>0</v>
      </c>
      <c r="J806" s="26">
        <f t="shared" si="123"/>
        <v>4.1900000000000004</v>
      </c>
      <c r="K806" s="26">
        <v>115</v>
      </c>
      <c r="L806" s="14">
        <f t="shared" si="117"/>
        <v>228.13</v>
      </c>
      <c r="M806" s="14">
        <f t="shared" si="124"/>
        <v>54.446300715990446</v>
      </c>
    </row>
    <row r="807" spans="1:13" ht="15" customHeight="1" x14ac:dyDescent="0.25">
      <c r="A807" s="13">
        <v>6553138</v>
      </c>
      <c r="B807" s="27">
        <v>41507</v>
      </c>
      <c r="C807" s="13" t="s">
        <v>170</v>
      </c>
      <c r="D807" s="13" t="s">
        <v>171</v>
      </c>
      <c r="E807" s="28">
        <v>32</v>
      </c>
      <c r="F807" s="25">
        <v>10.36</v>
      </c>
      <c r="G807" s="26">
        <f t="shared" si="122"/>
        <v>269.36</v>
      </c>
      <c r="H807" s="26">
        <v>115</v>
      </c>
      <c r="I807" s="26">
        <v>0</v>
      </c>
      <c r="J807" s="26">
        <f t="shared" si="123"/>
        <v>10.36</v>
      </c>
      <c r="K807" s="26">
        <v>115</v>
      </c>
      <c r="L807" s="14">
        <f t="shared" si="117"/>
        <v>394.72</v>
      </c>
      <c r="M807" s="14">
        <f t="shared" si="124"/>
        <v>38.100386100386103</v>
      </c>
    </row>
    <row r="808" spans="1:13" ht="15" customHeight="1" x14ac:dyDescent="0.25">
      <c r="A808" s="13">
        <v>6553138</v>
      </c>
      <c r="B808" s="27">
        <v>41508</v>
      </c>
      <c r="C808" s="13" t="s">
        <v>287</v>
      </c>
      <c r="D808" s="13" t="s">
        <v>186</v>
      </c>
      <c r="E808" s="28">
        <v>30</v>
      </c>
      <c r="F808" s="25">
        <v>1.96</v>
      </c>
      <c r="G808" s="26">
        <f t="shared" si="122"/>
        <v>50.96</v>
      </c>
      <c r="H808" s="26">
        <v>115</v>
      </c>
      <c r="I808" s="26">
        <v>0</v>
      </c>
      <c r="J808" s="26">
        <f t="shared" si="123"/>
        <v>1.96</v>
      </c>
      <c r="K808" s="26">
        <v>115</v>
      </c>
      <c r="L808" s="14">
        <f t="shared" si="117"/>
        <v>167.92000000000002</v>
      </c>
      <c r="M808" s="14">
        <f t="shared" si="124"/>
        <v>85.673469387755105</v>
      </c>
    </row>
    <row r="809" spans="1:13" ht="15" customHeight="1" x14ac:dyDescent="0.25">
      <c r="A809" s="13">
        <v>6553138</v>
      </c>
      <c r="B809" s="27">
        <v>41509</v>
      </c>
      <c r="C809" s="13" t="s">
        <v>173</v>
      </c>
      <c r="D809" s="13" t="s">
        <v>186</v>
      </c>
      <c r="E809" s="28">
        <v>30</v>
      </c>
      <c r="F809" s="25">
        <v>1.33</v>
      </c>
      <c r="G809" s="26">
        <f t="shared" si="122"/>
        <v>34.58</v>
      </c>
      <c r="H809" s="26">
        <v>115</v>
      </c>
      <c r="I809" s="26">
        <v>0</v>
      </c>
      <c r="J809" s="26">
        <f t="shared" si="123"/>
        <v>1.33</v>
      </c>
      <c r="K809" s="26">
        <v>115</v>
      </c>
      <c r="L809" s="14">
        <f t="shared" si="117"/>
        <v>150.91</v>
      </c>
      <c r="M809" s="14">
        <f t="shared" si="124"/>
        <v>113.46616541353383</v>
      </c>
    </row>
    <row r="810" spans="1:13" ht="15" customHeight="1" x14ac:dyDescent="0.25">
      <c r="A810" s="13">
        <v>6553138</v>
      </c>
      <c r="B810" s="27">
        <v>41509</v>
      </c>
      <c r="C810" s="13" t="s">
        <v>173</v>
      </c>
      <c r="D810" s="13" t="s">
        <v>186</v>
      </c>
      <c r="E810" s="28">
        <v>30</v>
      </c>
      <c r="F810" s="25">
        <v>8.2200000000000006</v>
      </c>
      <c r="G810" s="26">
        <f t="shared" si="122"/>
        <v>213.72000000000003</v>
      </c>
      <c r="H810" s="26">
        <v>115</v>
      </c>
      <c r="I810" s="26">
        <v>0</v>
      </c>
      <c r="J810" s="26">
        <f t="shared" si="123"/>
        <v>8.2200000000000006</v>
      </c>
      <c r="K810" s="26">
        <v>115</v>
      </c>
      <c r="L810" s="14">
        <f t="shared" si="117"/>
        <v>336.94000000000005</v>
      </c>
      <c r="M810" s="14">
        <f t="shared" si="124"/>
        <v>40.990267639902683</v>
      </c>
    </row>
    <row r="811" spans="1:13" ht="15" customHeight="1" x14ac:dyDescent="0.25">
      <c r="B811" s="27">
        <v>41517</v>
      </c>
      <c r="C811" s="13" t="s">
        <v>174</v>
      </c>
      <c r="D811" s="13" t="s">
        <v>187</v>
      </c>
      <c r="E811" s="28">
        <v>6</v>
      </c>
      <c r="F811" s="29">
        <f>Legend!H$2*1.17</f>
        <v>0.93599999999999994</v>
      </c>
      <c r="H811" s="26">
        <v>70.680000000000007</v>
      </c>
      <c r="J811" s="26"/>
      <c r="K811" s="26"/>
      <c r="L811" s="14">
        <f t="shared" si="117"/>
        <v>70.680000000000007</v>
      </c>
      <c r="M811" s="14">
        <f t="shared" si="124"/>
        <v>75.512820512820525</v>
      </c>
    </row>
    <row r="812" spans="1:13" ht="15" customHeight="1" x14ac:dyDescent="0.25">
      <c r="B812" s="27">
        <v>41517</v>
      </c>
      <c r="C812" s="13" t="s">
        <v>176</v>
      </c>
      <c r="D812" s="13" t="s">
        <v>175</v>
      </c>
      <c r="E812" s="28">
        <v>6</v>
      </c>
      <c r="F812" s="29">
        <f>Legend!H$2*2.34</f>
        <v>1.8719999999999999</v>
      </c>
      <c r="H812" s="26">
        <v>94.32</v>
      </c>
      <c r="J812" s="26"/>
      <c r="K812" s="26"/>
      <c r="L812" s="14">
        <f t="shared" si="117"/>
        <v>94.32</v>
      </c>
      <c r="M812" s="14">
        <f t="shared" si="124"/>
        <v>50.384615384615387</v>
      </c>
    </row>
    <row r="813" spans="1:13" ht="15" customHeight="1" x14ac:dyDescent="0.25">
      <c r="B813" s="27">
        <v>41517</v>
      </c>
      <c r="C813" s="13" t="s">
        <v>177</v>
      </c>
      <c r="D813" s="13" t="s">
        <v>175</v>
      </c>
      <c r="E813" s="28">
        <v>8</v>
      </c>
      <c r="F813" s="29">
        <f>Legend!H$2*3.12</f>
        <v>2.4960000000000004</v>
      </c>
      <c r="H813" s="26">
        <v>129</v>
      </c>
      <c r="J813" s="26"/>
      <c r="K813" s="26"/>
      <c r="L813" s="14">
        <f t="shared" si="117"/>
        <v>129</v>
      </c>
      <c r="M813" s="14">
        <f t="shared" si="124"/>
        <v>51.682692307692299</v>
      </c>
    </row>
    <row r="814" spans="1:13" ht="15" customHeight="1" x14ac:dyDescent="0.25">
      <c r="B814" s="27">
        <v>41517</v>
      </c>
      <c r="C814" s="13" t="s">
        <v>179</v>
      </c>
      <c r="D814" s="13" t="s">
        <v>187</v>
      </c>
      <c r="E814" s="28">
        <v>2</v>
      </c>
      <c r="F814" s="29">
        <f>Legend!H$2*0.39</f>
        <v>0.31200000000000006</v>
      </c>
      <c r="H814" s="26">
        <v>48</v>
      </c>
      <c r="J814" s="26"/>
      <c r="K814" s="26"/>
      <c r="L814" s="14">
        <f t="shared" si="117"/>
        <v>48</v>
      </c>
      <c r="M814" s="14">
        <f t="shared" si="124"/>
        <v>153.84615384615381</v>
      </c>
    </row>
    <row r="815" spans="1:13" ht="15" customHeight="1" x14ac:dyDescent="0.25">
      <c r="B815" s="27">
        <v>41517</v>
      </c>
      <c r="C815" s="13" t="s">
        <v>190</v>
      </c>
      <c r="D815" s="13" t="s">
        <v>187</v>
      </c>
      <c r="E815" s="28">
        <v>8</v>
      </c>
      <c r="F815" s="25">
        <f>Legend!H$2*1.56</f>
        <v>1.2480000000000002</v>
      </c>
      <c r="H815" s="26">
        <v>45.28</v>
      </c>
      <c r="L815" s="14">
        <f t="shared" si="117"/>
        <v>45.28</v>
      </c>
    </row>
    <row r="816" spans="1:13" ht="15" customHeight="1" x14ac:dyDescent="0.25">
      <c r="A816" s="13">
        <v>6571726</v>
      </c>
      <c r="B816" s="27">
        <v>41520</v>
      </c>
      <c r="C816" s="13" t="s">
        <v>185</v>
      </c>
      <c r="D816" s="13" t="s">
        <v>169</v>
      </c>
      <c r="E816" s="28">
        <v>40</v>
      </c>
      <c r="F816" s="25">
        <v>4.07</v>
      </c>
      <c r="G816" s="26">
        <f t="shared" ref="G816:G823" si="125">F816*$G$2</f>
        <v>105.82000000000001</v>
      </c>
      <c r="H816" s="26">
        <v>115</v>
      </c>
      <c r="I816" s="26">
        <v>0</v>
      </c>
      <c r="J816" s="26">
        <f t="shared" ref="J816:J823" si="126">F816</f>
        <v>4.07</v>
      </c>
      <c r="K816" s="26">
        <v>115</v>
      </c>
      <c r="L816" s="14">
        <f t="shared" si="117"/>
        <v>224.89</v>
      </c>
      <c r="M816" s="14">
        <f t="shared" ref="M816:M827" si="127">L816/F816</f>
        <v>55.255528255528247</v>
      </c>
    </row>
    <row r="817" spans="1:13" ht="15" customHeight="1" x14ac:dyDescent="0.25">
      <c r="A817" s="13">
        <v>6571726</v>
      </c>
      <c r="B817" s="27">
        <v>41527</v>
      </c>
      <c r="C817" s="13" t="s">
        <v>287</v>
      </c>
      <c r="D817" s="13" t="s">
        <v>186</v>
      </c>
      <c r="E817" s="28">
        <v>30</v>
      </c>
      <c r="F817" s="25">
        <v>1.51</v>
      </c>
      <c r="G817" s="26">
        <f t="shared" si="125"/>
        <v>39.26</v>
      </c>
      <c r="H817" s="26">
        <v>115</v>
      </c>
      <c r="I817" s="26">
        <v>0</v>
      </c>
      <c r="J817" s="26">
        <f t="shared" si="126"/>
        <v>1.51</v>
      </c>
      <c r="K817" s="26">
        <v>115</v>
      </c>
      <c r="L817" s="14">
        <f t="shared" si="117"/>
        <v>155.76999999999998</v>
      </c>
      <c r="M817" s="14">
        <f t="shared" si="127"/>
        <v>103.15894039735097</v>
      </c>
    </row>
    <row r="818" spans="1:13" ht="15" customHeight="1" x14ac:dyDescent="0.25">
      <c r="A818" s="13">
        <v>6571726</v>
      </c>
      <c r="B818" s="27">
        <v>41529</v>
      </c>
      <c r="C818" s="13" t="s">
        <v>128</v>
      </c>
      <c r="D818" s="13" t="s">
        <v>186</v>
      </c>
      <c r="E818" s="28">
        <v>35</v>
      </c>
      <c r="F818" s="25">
        <v>9.66</v>
      </c>
      <c r="G818" s="26">
        <f t="shared" si="125"/>
        <v>251.16</v>
      </c>
      <c r="H818" s="26">
        <v>115</v>
      </c>
      <c r="I818" s="26">
        <v>0</v>
      </c>
      <c r="J818" s="26">
        <f t="shared" si="126"/>
        <v>9.66</v>
      </c>
      <c r="K818" s="26">
        <v>115</v>
      </c>
      <c r="L818" s="14">
        <f t="shared" si="117"/>
        <v>375.82</v>
      </c>
      <c r="M818" s="14">
        <f t="shared" si="127"/>
        <v>38.904761904761905</v>
      </c>
    </row>
    <row r="819" spans="1:13" ht="15" customHeight="1" x14ac:dyDescent="0.25">
      <c r="A819" s="13">
        <v>6571726</v>
      </c>
      <c r="B819" s="27">
        <v>41531</v>
      </c>
      <c r="C819" s="13" t="s">
        <v>110</v>
      </c>
      <c r="D819" s="13" t="s">
        <v>169</v>
      </c>
      <c r="E819" s="28">
        <v>40</v>
      </c>
      <c r="F819" s="25">
        <v>2.98</v>
      </c>
      <c r="G819" s="26">
        <f t="shared" si="125"/>
        <v>77.48</v>
      </c>
      <c r="H819" s="26">
        <v>115</v>
      </c>
      <c r="I819" s="26">
        <v>0</v>
      </c>
      <c r="J819" s="26">
        <f t="shared" si="126"/>
        <v>2.98</v>
      </c>
      <c r="K819" s="26">
        <v>115</v>
      </c>
      <c r="L819" s="14">
        <f t="shared" si="117"/>
        <v>195.46</v>
      </c>
      <c r="M819" s="14">
        <f t="shared" si="127"/>
        <v>65.590604026845639</v>
      </c>
    </row>
    <row r="820" spans="1:13" ht="15" customHeight="1" x14ac:dyDescent="0.25">
      <c r="A820" s="13">
        <v>6571726</v>
      </c>
      <c r="B820" s="27">
        <v>41532</v>
      </c>
      <c r="C820" s="13" t="s">
        <v>185</v>
      </c>
      <c r="D820" s="13" t="s">
        <v>169</v>
      </c>
      <c r="E820" s="28">
        <v>40</v>
      </c>
      <c r="F820" s="25">
        <v>3.74</v>
      </c>
      <c r="G820" s="26">
        <f t="shared" si="125"/>
        <v>97.240000000000009</v>
      </c>
      <c r="H820" s="26">
        <v>115</v>
      </c>
      <c r="I820" s="26">
        <v>0</v>
      </c>
      <c r="J820" s="26">
        <f t="shared" si="126"/>
        <v>3.74</v>
      </c>
      <c r="K820" s="26">
        <v>115</v>
      </c>
      <c r="L820" s="14">
        <f t="shared" si="117"/>
        <v>215.98000000000002</v>
      </c>
      <c r="M820" s="14">
        <f t="shared" si="127"/>
        <v>57.748663101604279</v>
      </c>
    </row>
    <row r="821" spans="1:13" ht="15.75" customHeight="1" x14ac:dyDescent="0.25">
      <c r="A821" s="13">
        <v>6571726</v>
      </c>
      <c r="B821" s="27">
        <v>41535</v>
      </c>
      <c r="C821" s="13" t="s">
        <v>173</v>
      </c>
      <c r="D821" s="13" t="s">
        <v>186</v>
      </c>
      <c r="E821" s="28">
        <v>30</v>
      </c>
      <c r="F821" s="25">
        <v>7.6</v>
      </c>
      <c r="G821" s="26">
        <f t="shared" si="125"/>
        <v>197.6</v>
      </c>
      <c r="H821" s="26">
        <v>115</v>
      </c>
      <c r="I821" s="26">
        <v>0</v>
      </c>
      <c r="J821" s="26">
        <f t="shared" si="126"/>
        <v>7.6</v>
      </c>
      <c r="K821" s="26">
        <v>115</v>
      </c>
      <c r="L821" s="14">
        <f t="shared" si="117"/>
        <v>320.20000000000005</v>
      </c>
      <c r="M821" s="14">
        <f t="shared" si="127"/>
        <v>42.131578947368432</v>
      </c>
    </row>
    <row r="822" spans="1:13" ht="15" customHeight="1" x14ac:dyDescent="0.25">
      <c r="A822" s="13">
        <v>6571726</v>
      </c>
      <c r="B822" s="27">
        <v>41542</v>
      </c>
      <c r="C822" s="13" t="s">
        <v>170</v>
      </c>
      <c r="D822" s="13" t="s">
        <v>171</v>
      </c>
      <c r="E822" s="28">
        <v>32</v>
      </c>
      <c r="F822" s="25">
        <v>10.66</v>
      </c>
      <c r="G822" s="26">
        <f t="shared" si="125"/>
        <v>277.16000000000003</v>
      </c>
      <c r="H822" s="26">
        <v>115</v>
      </c>
      <c r="I822" s="26">
        <v>0</v>
      </c>
      <c r="J822" s="26">
        <f t="shared" si="126"/>
        <v>10.66</v>
      </c>
      <c r="K822" s="26">
        <v>115</v>
      </c>
      <c r="L822" s="14">
        <f t="shared" si="117"/>
        <v>402.82000000000005</v>
      </c>
      <c r="M822" s="14">
        <f t="shared" si="127"/>
        <v>37.787992495309574</v>
      </c>
    </row>
    <row r="823" spans="1:13" ht="15" customHeight="1" x14ac:dyDescent="0.25">
      <c r="A823" s="13">
        <v>6595313</v>
      </c>
      <c r="B823" s="27">
        <v>41544</v>
      </c>
      <c r="C823" s="13" t="s">
        <v>110</v>
      </c>
      <c r="D823" s="13" t="s">
        <v>169</v>
      </c>
      <c r="E823" s="28">
        <v>40</v>
      </c>
      <c r="F823" s="25">
        <v>4.91</v>
      </c>
      <c r="G823" s="26">
        <f t="shared" si="125"/>
        <v>127.66</v>
      </c>
      <c r="H823" s="26">
        <v>115</v>
      </c>
      <c r="I823" s="26">
        <v>0</v>
      </c>
      <c r="J823" s="26">
        <f t="shared" si="126"/>
        <v>4.91</v>
      </c>
      <c r="K823" s="26">
        <v>115</v>
      </c>
      <c r="L823" s="14">
        <f t="shared" si="117"/>
        <v>247.57</v>
      </c>
      <c r="M823" s="14">
        <f t="shared" si="127"/>
        <v>50.42158859470468</v>
      </c>
    </row>
    <row r="824" spans="1:13" ht="15" customHeight="1" x14ac:dyDescent="0.25">
      <c r="B824" s="27">
        <v>41547</v>
      </c>
      <c r="C824" s="13" t="s">
        <v>174</v>
      </c>
      <c r="D824" s="13" t="s">
        <v>187</v>
      </c>
      <c r="E824" s="28">
        <v>6</v>
      </c>
      <c r="F824" s="29">
        <f>Legend!H$2*1.17</f>
        <v>0.93599999999999994</v>
      </c>
      <c r="H824" s="26">
        <v>70.680000000000007</v>
      </c>
      <c r="J824" s="26"/>
      <c r="K824" s="26"/>
      <c r="L824" s="14">
        <f t="shared" si="117"/>
        <v>70.680000000000007</v>
      </c>
      <c r="M824" s="14">
        <f t="shared" si="127"/>
        <v>75.512820512820525</v>
      </c>
    </row>
    <row r="825" spans="1:13" ht="15.75" customHeight="1" x14ac:dyDescent="0.25">
      <c r="B825" s="27">
        <v>41547</v>
      </c>
      <c r="C825" s="13" t="s">
        <v>176</v>
      </c>
      <c r="D825" s="13" t="s">
        <v>175</v>
      </c>
      <c r="E825" s="28">
        <v>6</v>
      </c>
      <c r="F825" s="29">
        <f>Legend!H$2*2.34</f>
        <v>1.8719999999999999</v>
      </c>
      <c r="H825" s="26">
        <v>94.32</v>
      </c>
      <c r="J825" s="26"/>
      <c r="K825" s="26"/>
      <c r="L825" s="14">
        <f t="shared" si="117"/>
        <v>94.32</v>
      </c>
      <c r="M825" s="14">
        <f t="shared" si="127"/>
        <v>50.384615384615387</v>
      </c>
    </row>
    <row r="826" spans="1:13" ht="15" customHeight="1" x14ac:dyDescent="0.25">
      <c r="B826" s="27">
        <v>41547</v>
      </c>
      <c r="C826" s="13" t="s">
        <v>177</v>
      </c>
      <c r="D826" s="13" t="s">
        <v>175</v>
      </c>
      <c r="E826" s="28">
        <v>8</v>
      </c>
      <c r="F826" s="29">
        <f>Legend!H$2*3.12</f>
        <v>2.4960000000000004</v>
      </c>
      <c r="H826" s="26">
        <v>129</v>
      </c>
      <c r="J826" s="26"/>
      <c r="K826" s="26"/>
      <c r="L826" s="14">
        <f t="shared" si="117"/>
        <v>129</v>
      </c>
      <c r="M826" s="14">
        <f t="shared" si="127"/>
        <v>51.682692307692299</v>
      </c>
    </row>
    <row r="827" spans="1:13" ht="15" customHeight="1" x14ac:dyDescent="0.25">
      <c r="B827" s="27">
        <v>41547</v>
      </c>
      <c r="C827" s="13" t="s">
        <v>179</v>
      </c>
      <c r="D827" s="13" t="s">
        <v>187</v>
      </c>
      <c r="E827" s="28">
        <v>2</v>
      </c>
      <c r="F827" s="29">
        <f>Legend!H$2*0.39</f>
        <v>0.31200000000000006</v>
      </c>
      <c r="H827" s="26">
        <v>48</v>
      </c>
      <c r="J827" s="26"/>
      <c r="K827" s="26"/>
      <c r="L827" s="14">
        <f t="shared" si="117"/>
        <v>48</v>
      </c>
      <c r="M827" s="14">
        <f t="shared" si="127"/>
        <v>153.84615384615381</v>
      </c>
    </row>
    <row r="828" spans="1:13" ht="15" customHeight="1" x14ac:dyDescent="0.25">
      <c r="B828" s="27">
        <v>41547</v>
      </c>
      <c r="C828" s="13" t="s">
        <v>190</v>
      </c>
      <c r="D828" s="13" t="s">
        <v>187</v>
      </c>
      <c r="E828" s="28">
        <v>8</v>
      </c>
      <c r="F828" s="25">
        <f>Legend!H$2*1.56</f>
        <v>1.2480000000000002</v>
      </c>
      <c r="H828" s="26">
        <v>45.28</v>
      </c>
      <c r="L828" s="14">
        <f t="shared" si="117"/>
        <v>45.28</v>
      </c>
    </row>
    <row r="829" spans="1:13" ht="15" customHeight="1" x14ac:dyDescent="0.25">
      <c r="A829" s="13">
        <v>6595313</v>
      </c>
      <c r="B829" s="27">
        <v>41548</v>
      </c>
      <c r="C829" s="13" t="s">
        <v>194</v>
      </c>
      <c r="D829" s="13" t="s">
        <v>169</v>
      </c>
      <c r="E829" s="28">
        <v>40</v>
      </c>
      <c r="F829" s="25">
        <v>3.05</v>
      </c>
      <c r="G829" s="26">
        <f t="shared" ref="G829:G839" si="128">F829*$G$2</f>
        <v>79.3</v>
      </c>
      <c r="H829" s="26">
        <v>115</v>
      </c>
      <c r="I829" s="26">
        <v>0</v>
      </c>
      <c r="J829" s="26">
        <f t="shared" ref="J829:J839" si="129">F829</f>
        <v>3.05</v>
      </c>
      <c r="K829" s="26">
        <v>115</v>
      </c>
      <c r="L829" s="14">
        <f t="shared" si="117"/>
        <v>197.35000000000002</v>
      </c>
      <c r="M829" s="14">
        <f t="shared" ref="M829:M843" si="130">L829/F829</f>
        <v>64.704918032786892</v>
      </c>
    </row>
    <row r="830" spans="1:13" ht="15" customHeight="1" x14ac:dyDescent="0.25">
      <c r="A830" s="13">
        <v>6595313</v>
      </c>
      <c r="B830" s="27">
        <v>41548</v>
      </c>
      <c r="C830" s="13" t="s">
        <v>194</v>
      </c>
      <c r="D830" s="13" t="s">
        <v>169</v>
      </c>
      <c r="E830" s="28">
        <v>40</v>
      </c>
      <c r="F830" s="25">
        <v>3.12</v>
      </c>
      <c r="G830" s="26">
        <f t="shared" si="128"/>
        <v>81.12</v>
      </c>
      <c r="H830" s="26">
        <v>115</v>
      </c>
      <c r="I830" s="26">
        <v>0</v>
      </c>
      <c r="J830" s="26">
        <f t="shared" si="129"/>
        <v>3.12</v>
      </c>
      <c r="K830" s="26">
        <v>115</v>
      </c>
      <c r="L830" s="14">
        <f t="shared" si="117"/>
        <v>199.24</v>
      </c>
      <c r="M830" s="14">
        <f t="shared" si="130"/>
        <v>63.858974358974358</v>
      </c>
    </row>
    <row r="831" spans="1:13" ht="15" customHeight="1" x14ac:dyDescent="0.25">
      <c r="A831" s="13">
        <v>6595313</v>
      </c>
      <c r="B831" s="27">
        <v>41548</v>
      </c>
      <c r="C831" s="13" t="s">
        <v>110</v>
      </c>
      <c r="D831" s="13" t="s">
        <v>169</v>
      </c>
      <c r="E831" s="28">
        <v>40</v>
      </c>
      <c r="F831" s="25">
        <v>3.15</v>
      </c>
      <c r="G831" s="26">
        <f t="shared" si="128"/>
        <v>81.899999999999991</v>
      </c>
      <c r="H831" s="26">
        <v>115</v>
      </c>
      <c r="I831" s="26">
        <v>0</v>
      </c>
      <c r="J831" s="26">
        <f t="shared" si="129"/>
        <v>3.15</v>
      </c>
      <c r="K831" s="26">
        <v>115</v>
      </c>
      <c r="L831" s="14">
        <f t="shared" si="117"/>
        <v>200.04999999999998</v>
      </c>
      <c r="M831" s="14">
        <f t="shared" si="130"/>
        <v>63.507936507936506</v>
      </c>
    </row>
    <row r="832" spans="1:13" ht="15" customHeight="1" x14ac:dyDescent="0.25">
      <c r="A832" s="13">
        <v>6595313</v>
      </c>
      <c r="B832" s="27">
        <v>41551</v>
      </c>
      <c r="C832" s="13" t="s">
        <v>287</v>
      </c>
      <c r="D832" s="13" t="s">
        <v>186</v>
      </c>
      <c r="E832" s="28">
        <v>30</v>
      </c>
      <c r="F832" s="25">
        <v>3.75</v>
      </c>
      <c r="G832" s="26">
        <f t="shared" si="128"/>
        <v>97.5</v>
      </c>
      <c r="H832" s="26">
        <v>115</v>
      </c>
      <c r="I832" s="26">
        <v>0</v>
      </c>
      <c r="J832" s="26">
        <f t="shared" si="129"/>
        <v>3.75</v>
      </c>
      <c r="K832" s="26">
        <v>115</v>
      </c>
      <c r="L832" s="14">
        <f t="shared" si="117"/>
        <v>216.25</v>
      </c>
      <c r="M832" s="14">
        <f t="shared" si="130"/>
        <v>57.666666666666664</v>
      </c>
    </row>
    <row r="833" spans="1:13" ht="15.75" customHeight="1" x14ac:dyDescent="0.25">
      <c r="A833" s="13">
        <v>6595313</v>
      </c>
      <c r="B833" s="27">
        <v>41555</v>
      </c>
      <c r="C833" s="13" t="s">
        <v>173</v>
      </c>
      <c r="D833" s="13" t="s">
        <v>186</v>
      </c>
      <c r="E833" s="28">
        <v>30</v>
      </c>
      <c r="F833" s="25">
        <v>6.32</v>
      </c>
      <c r="G833" s="26">
        <f t="shared" si="128"/>
        <v>164.32</v>
      </c>
      <c r="H833" s="26">
        <v>115</v>
      </c>
      <c r="I833" s="26">
        <v>0</v>
      </c>
      <c r="J833" s="26">
        <f t="shared" si="129"/>
        <v>6.32</v>
      </c>
      <c r="K833" s="26">
        <v>115</v>
      </c>
      <c r="L833" s="14">
        <f t="shared" si="117"/>
        <v>285.64</v>
      </c>
      <c r="M833" s="14">
        <f t="shared" si="130"/>
        <v>45.196202531645568</v>
      </c>
    </row>
    <row r="834" spans="1:13" ht="15" customHeight="1" x14ac:dyDescent="0.25">
      <c r="A834" s="13">
        <v>6595313</v>
      </c>
      <c r="B834" s="27">
        <v>41558</v>
      </c>
      <c r="C834" s="13" t="s">
        <v>110</v>
      </c>
      <c r="D834" s="13" t="s">
        <v>169</v>
      </c>
      <c r="E834" s="28">
        <v>40</v>
      </c>
      <c r="F834" s="25">
        <v>4.7300000000000004</v>
      </c>
      <c r="G834" s="26">
        <f t="shared" si="128"/>
        <v>122.98000000000002</v>
      </c>
      <c r="H834" s="26">
        <v>115</v>
      </c>
      <c r="I834" s="26">
        <v>0</v>
      </c>
      <c r="J834" s="26">
        <f t="shared" si="129"/>
        <v>4.7300000000000004</v>
      </c>
      <c r="K834" s="26">
        <v>115</v>
      </c>
      <c r="L834" s="14">
        <f t="shared" si="117"/>
        <v>242.71</v>
      </c>
      <c r="M834" s="14">
        <f t="shared" si="130"/>
        <v>51.312896405919659</v>
      </c>
    </row>
    <row r="835" spans="1:13" ht="15" customHeight="1" x14ac:dyDescent="0.25">
      <c r="A835" s="13">
        <v>6595313</v>
      </c>
      <c r="B835" s="27">
        <v>41563</v>
      </c>
      <c r="C835" s="13" t="s">
        <v>128</v>
      </c>
      <c r="D835" s="13" t="s">
        <v>186</v>
      </c>
      <c r="E835" s="28">
        <v>35</v>
      </c>
      <c r="F835" s="25">
        <v>5.83</v>
      </c>
      <c r="G835" s="26">
        <f t="shared" si="128"/>
        <v>151.58000000000001</v>
      </c>
      <c r="H835" s="26">
        <v>115</v>
      </c>
      <c r="I835" s="26">
        <v>0</v>
      </c>
      <c r="J835" s="26">
        <f t="shared" si="129"/>
        <v>5.83</v>
      </c>
      <c r="K835" s="26">
        <v>115</v>
      </c>
      <c r="L835" s="14">
        <f t="shared" si="117"/>
        <v>272.41000000000003</v>
      </c>
      <c r="M835" s="14">
        <f t="shared" si="130"/>
        <v>46.725557461406524</v>
      </c>
    </row>
    <row r="836" spans="1:13" ht="15" customHeight="1" x14ac:dyDescent="0.25">
      <c r="A836" s="13">
        <v>6595313</v>
      </c>
      <c r="B836" s="27">
        <v>41563</v>
      </c>
      <c r="C836" s="13" t="s">
        <v>128</v>
      </c>
      <c r="D836" s="13" t="s">
        <v>169</v>
      </c>
      <c r="E836" s="28">
        <v>20</v>
      </c>
      <c r="F836" s="25">
        <v>8.06</v>
      </c>
      <c r="G836" s="26">
        <f t="shared" si="128"/>
        <v>209.56</v>
      </c>
      <c r="H836" s="26">
        <v>115</v>
      </c>
      <c r="I836" s="26">
        <v>0</v>
      </c>
      <c r="J836" s="26">
        <f t="shared" si="129"/>
        <v>8.06</v>
      </c>
      <c r="K836" s="26">
        <f>H836+I836</f>
        <v>115</v>
      </c>
      <c r="L836" s="14">
        <f t="shared" ref="L836:L899" si="131">G836+H836+I836+J836</f>
        <v>332.62</v>
      </c>
      <c r="M836" s="14">
        <f t="shared" si="130"/>
        <v>41.267990074441684</v>
      </c>
    </row>
    <row r="837" spans="1:13" ht="15" customHeight="1" x14ac:dyDescent="0.25">
      <c r="A837" s="13">
        <v>6595313</v>
      </c>
      <c r="B837" s="27">
        <v>41570</v>
      </c>
      <c r="C837" s="13" t="s">
        <v>170</v>
      </c>
      <c r="D837" s="13" t="s">
        <v>171</v>
      </c>
      <c r="E837" s="28">
        <v>32</v>
      </c>
      <c r="F837" s="25">
        <v>8.61</v>
      </c>
      <c r="G837" s="26">
        <f t="shared" si="128"/>
        <v>223.85999999999999</v>
      </c>
      <c r="H837" s="26">
        <v>115</v>
      </c>
      <c r="I837" s="26">
        <v>0</v>
      </c>
      <c r="J837" s="26">
        <f t="shared" si="129"/>
        <v>8.61</v>
      </c>
      <c r="K837" s="26">
        <v>115</v>
      </c>
      <c r="L837" s="14">
        <f t="shared" si="131"/>
        <v>347.47</v>
      </c>
      <c r="M837" s="14">
        <f t="shared" si="130"/>
        <v>40.356562137049949</v>
      </c>
    </row>
    <row r="838" spans="1:13" ht="15" customHeight="1" x14ac:dyDescent="0.25">
      <c r="A838" s="13">
        <v>6595313</v>
      </c>
      <c r="B838" s="27">
        <v>41570</v>
      </c>
      <c r="C838" s="13" t="s">
        <v>110</v>
      </c>
      <c r="D838" s="13" t="s">
        <v>169</v>
      </c>
      <c r="E838" s="28">
        <v>40</v>
      </c>
      <c r="F838" s="25">
        <v>4.62</v>
      </c>
      <c r="G838" s="26">
        <f t="shared" si="128"/>
        <v>120.12</v>
      </c>
      <c r="H838" s="26">
        <v>115</v>
      </c>
      <c r="I838" s="26">
        <v>0</v>
      </c>
      <c r="J838" s="26">
        <f t="shared" si="129"/>
        <v>4.62</v>
      </c>
      <c r="K838" s="26">
        <v>115</v>
      </c>
      <c r="L838" s="14">
        <f t="shared" si="131"/>
        <v>239.74</v>
      </c>
      <c r="M838" s="14">
        <f t="shared" si="130"/>
        <v>51.891774891774894</v>
      </c>
    </row>
    <row r="839" spans="1:13" ht="15.75" customHeight="1" x14ac:dyDescent="0.25">
      <c r="A839" s="13">
        <v>6595313</v>
      </c>
      <c r="B839" s="27">
        <v>41574</v>
      </c>
      <c r="C839" s="13" t="s">
        <v>173</v>
      </c>
      <c r="D839" s="13" t="s">
        <v>186</v>
      </c>
      <c r="E839" s="28">
        <v>30</v>
      </c>
      <c r="F839" s="25">
        <v>5.72</v>
      </c>
      <c r="G839" s="26">
        <f t="shared" si="128"/>
        <v>148.72</v>
      </c>
      <c r="H839" s="26">
        <v>115</v>
      </c>
      <c r="I839" s="26">
        <v>0</v>
      </c>
      <c r="J839" s="26">
        <f t="shared" si="129"/>
        <v>5.72</v>
      </c>
      <c r="K839" s="26">
        <v>115</v>
      </c>
      <c r="L839" s="14">
        <f t="shared" si="131"/>
        <v>269.44000000000005</v>
      </c>
      <c r="M839" s="14">
        <f t="shared" si="130"/>
        <v>47.104895104895114</v>
      </c>
    </row>
    <row r="840" spans="1:13" ht="15" customHeight="1" x14ac:dyDescent="0.25">
      <c r="B840" s="27">
        <v>41578</v>
      </c>
      <c r="C840" s="13" t="s">
        <v>174</v>
      </c>
      <c r="D840" s="13" t="s">
        <v>187</v>
      </c>
      <c r="E840" s="28">
        <v>6</v>
      </c>
      <c r="F840" s="29">
        <f>Legend!H$2*1.17</f>
        <v>0.93599999999999994</v>
      </c>
      <c r="H840" s="26">
        <v>70.680000000000007</v>
      </c>
      <c r="J840" s="26"/>
      <c r="K840" s="26"/>
      <c r="L840" s="14">
        <f t="shared" si="131"/>
        <v>70.680000000000007</v>
      </c>
      <c r="M840" s="14">
        <f t="shared" si="130"/>
        <v>75.512820512820525</v>
      </c>
    </row>
    <row r="841" spans="1:13" ht="15" customHeight="1" x14ac:dyDescent="0.25">
      <c r="B841" s="27">
        <v>41578</v>
      </c>
      <c r="C841" s="13" t="s">
        <v>176</v>
      </c>
      <c r="D841" s="13" t="s">
        <v>175</v>
      </c>
      <c r="E841" s="28">
        <v>6</v>
      </c>
      <c r="F841" s="29">
        <f>Legend!H$2*2.34</f>
        <v>1.8719999999999999</v>
      </c>
      <c r="H841" s="26">
        <v>94.32</v>
      </c>
      <c r="J841" s="26"/>
      <c r="K841" s="26"/>
      <c r="L841" s="14">
        <f t="shared" si="131"/>
        <v>94.32</v>
      </c>
      <c r="M841" s="14">
        <f t="shared" si="130"/>
        <v>50.384615384615387</v>
      </c>
    </row>
    <row r="842" spans="1:13" ht="15.75" customHeight="1" x14ac:dyDescent="0.25">
      <c r="B842" s="27">
        <v>41578</v>
      </c>
      <c r="C842" s="13" t="s">
        <v>177</v>
      </c>
      <c r="D842" s="13" t="s">
        <v>175</v>
      </c>
      <c r="E842" s="28">
        <v>8</v>
      </c>
      <c r="F842" s="29">
        <f>Legend!H$2*3.12</f>
        <v>2.4960000000000004</v>
      </c>
      <c r="H842" s="26">
        <v>129</v>
      </c>
      <c r="J842" s="26"/>
      <c r="K842" s="26"/>
      <c r="L842" s="14">
        <f t="shared" si="131"/>
        <v>129</v>
      </c>
      <c r="M842" s="14">
        <f t="shared" si="130"/>
        <v>51.682692307692299</v>
      </c>
    </row>
    <row r="843" spans="1:13" ht="15" customHeight="1" x14ac:dyDescent="0.25">
      <c r="B843" s="27">
        <v>41578</v>
      </c>
      <c r="C843" s="13" t="s">
        <v>179</v>
      </c>
      <c r="D843" s="13" t="s">
        <v>187</v>
      </c>
      <c r="E843" s="28">
        <v>2</v>
      </c>
      <c r="F843" s="29">
        <f>Legend!H$2*0.39</f>
        <v>0.31200000000000006</v>
      </c>
      <c r="H843" s="26">
        <v>51.68</v>
      </c>
      <c r="J843" s="26"/>
      <c r="K843" s="26"/>
      <c r="L843" s="14">
        <f t="shared" si="131"/>
        <v>51.68</v>
      </c>
      <c r="M843" s="14">
        <f t="shared" si="130"/>
        <v>165.64102564102561</v>
      </c>
    </row>
    <row r="844" spans="1:13" ht="15" customHeight="1" x14ac:dyDescent="0.25">
      <c r="B844" s="27">
        <v>41578</v>
      </c>
      <c r="C844" s="13" t="s">
        <v>190</v>
      </c>
      <c r="D844" s="13" t="s">
        <v>187</v>
      </c>
      <c r="E844" s="28">
        <v>8</v>
      </c>
      <c r="F844" s="25">
        <f>Legend!H$2*1.56</f>
        <v>1.2480000000000002</v>
      </c>
      <c r="H844" s="26">
        <v>45.28</v>
      </c>
      <c r="L844" s="14">
        <f t="shared" si="131"/>
        <v>45.28</v>
      </c>
    </row>
    <row r="845" spans="1:13" ht="15.75" customHeight="1" x14ac:dyDescent="0.25">
      <c r="A845" s="13">
        <v>6614507</v>
      </c>
      <c r="B845" s="27">
        <v>41583</v>
      </c>
      <c r="C845" s="13" t="s">
        <v>110</v>
      </c>
      <c r="D845" s="13" t="s">
        <v>169</v>
      </c>
      <c r="E845" s="28">
        <v>40</v>
      </c>
      <c r="F845" s="25">
        <v>2.36</v>
      </c>
      <c r="G845" s="26">
        <f t="shared" ref="G845:G852" si="132">F845*$G$2</f>
        <v>61.36</v>
      </c>
      <c r="H845" s="26">
        <v>115</v>
      </c>
      <c r="I845" s="26">
        <v>0</v>
      </c>
      <c r="J845" s="26">
        <f t="shared" ref="J845:J852" si="133">F845</f>
        <v>2.36</v>
      </c>
      <c r="K845" s="26">
        <v>115</v>
      </c>
      <c r="L845" s="14">
        <f t="shared" si="131"/>
        <v>178.72000000000003</v>
      </c>
      <c r="M845" s="14">
        <f t="shared" ref="M845:M857" si="134">L845/F845</f>
        <v>75.728813559322049</v>
      </c>
    </row>
    <row r="846" spans="1:13" ht="15" customHeight="1" x14ac:dyDescent="0.25">
      <c r="A846" s="13">
        <v>6614507</v>
      </c>
      <c r="B846" s="27">
        <v>41591</v>
      </c>
      <c r="C846" s="13" t="s">
        <v>128</v>
      </c>
      <c r="D846" s="13" t="s">
        <v>186</v>
      </c>
      <c r="E846" s="28">
        <v>35</v>
      </c>
      <c r="F846" s="25">
        <v>5.7</v>
      </c>
      <c r="G846" s="26">
        <f t="shared" si="132"/>
        <v>148.20000000000002</v>
      </c>
      <c r="H846" s="26">
        <v>115</v>
      </c>
      <c r="I846" s="26">
        <v>0</v>
      </c>
      <c r="J846" s="26">
        <f t="shared" si="133"/>
        <v>5.7</v>
      </c>
      <c r="K846" s="26">
        <v>115</v>
      </c>
      <c r="L846" s="14">
        <f t="shared" si="131"/>
        <v>268.90000000000003</v>
      </c>
      <c r="M846" s="14">
        <f t="shared" si="134"/>
        <v>47.175438596491233</v>
      </c>
    </row>
    <row r="847" spans="1:13" ht="15" customHeight="1" x14ac:dyDescent="0.25">
      <c r="A847" s="13">
        <v>6614507</v>
      </c>
      <c r="B847" s="27">
        <v>41592</v>
      </c>
      <c r="C847" s="13" t="s">
        <v>287</v>
      </c>
      <c r="D847" s="13" t="s">
        <v>186</v>
      </c>
      <c r="E847" s="28">
        <v>30</v>
      </c>
      <c r="F847" s="25">
        <v>8.58</v>
      </c>
      <c r="G847" s="26">
        <f t="shared" si="132"/>
        <v>223.08</v>
      </c>
      <c r="H847" s="26">
        <v>115</v>
      </c>
      <c r="I847" s="26">
        <v>0</v>
      </c>
      <c r="J847" s="26">
        <f t="shared" si="133"/>
        <v>8.58</v>
      </c>
      <c r="K847" s="26">
        <v>115</v>
      </c>
      <c r="L847" s="14">
        <f t="shared" si="131"/>
        <v>346.66</v>
      </c>
      <c r="M847" s="14">
        <f t="shared" si="134"/>
        <v>40.403263403263409</v>
      </c>
    </row>
    <row r="848" spans="1:13" ht="15.75" customHeight="1" x14ac:dyDescent="0.25">
      <c r="A848" s="13">
        <v>6614507</v>
      </c>
      <c r="B848" s="27">
        <v>41594</v>
      </c>
      <c r="C848" s="13" t="s">
        <v>173</v>
      </c>
      <c r="D848" s="13" t="s">
        <v>186</v>
      </c>
      <c r="E848" s="28">
        <v>30</v>
      </c>
      <c r="F848" s="25">
        <v>6.79</v>
      </c>
      <c r="G848" s="26">
        <f t="shared" si="132"/>
        <v>176.54</v>
      </c>
      <c r="H848" s="26">
        <v>115</v>
      </c>
      <c r="I848" s="26">
        <v>0</v>
      </c>
      <c r="J848" s="26">
        <f t="shared" si="133"/>
        <v>6.79</v>
      </c>
      <c r="K848" s="26">
        <v>115</v>
      </c>
      <c r="L848" s="14">
        <f t="shared" si="131"/>
        <v>298.33</v>
      </c>
      <c r="M848" s="14">
        <f t="shared" si="134"/>
        <v>43.93667157584683</v>
      </c>
    </row>
    <row r="849" spans="1:13" ht="15" customHeight="1" x14ac:dyDescent="0.25">
      <c r="A849" s="13">
        <v>6614507</v>
      </c>
      <c r="B849" s="27">
        <v>41598</v>
      </c>
      <c r="C849" s="13" t="s">
        <v>110</v>
      </c>
      <c r="D849" s="13" t="s">
        <v>169</v>
      </c>
      <c r="E849" s="28">
        <v>40</v>
      </c>
      <c r="F849" s="25">
        <v>3.77</v>
      </c>
      <c r="G849" s="26">
        <f t="shared" si="132"/>
        <v>98.02</v>
      </c>
      <c r="H849" s="26">
        <v>115</v>
      </c>
      <c r="I849" s="26">
        <v>0</v>
      </c>
      <c r="J849" s="26">
        <f t="shared" si="133"/>
        <v>3.77</v>
      </c>
      <c r="K849" s="26">
        <v>115</v>
      </c>
      <c r="L849" s="14">
        <f t="shared" si="131"/>
        <v>216.79</v>
      </c>
      <c r="M849" s="14">
        <f t="shared" si="134"/>
        <v>57.50397877984085</v>
      </c>
    </row>
    <row r="850" spans="1:13" ht="15" customHeight="1" x14ac:dyDescent="0.25">
      <c r="A850" s="13">
        <v>6614507</v>
      </c>
      <c r="B850" s="27">
        <v>41598</v>
      </c>
      <c r="C850" s="13" t="s">
        <v>110</v>
      </c>
      <c r="D850" s="13" t="s">
        <v>169</v>
      </c>
      <c r="E850" s="28">
        <v>40</v>
      </c>
      <c r="F850" s="25">
        <v>2.58</v>
      </c>
      <c r="G850" s="26">
        <f t="shared" si="132"/>
        <v>67.08</v>
      </c>
      <c r="H850" s="26">
        <v>115</v>
      </c>
      <c r="I850" s="26">
        <v>0</v>
      </c>
      <c r="J850" s="26">
        <f t="shared" si="133"/>
        <v>2.58</v>
      </c>
      <c r="K850" s="26">
        <v>115</v>
      </c>
      <c r="L850" s="14">
        <f t="shared" si="131"/>
        <v>184.66</v>
      </c>
      <c r="M850" s="14">
        <f t="shared" si="134"/>
        <v>71.573643410852711</v>
      </c>
    </row>
    <row r="851" spans="1:13" ht="15" customHeight="1" x14ac:dyDescent="0.25">
      <c r="A851" s="13">
        <v>6614507</v>
      </c>
      <c r="B851" s="27">
        <v>41598</v>
      </c>
      <c r="C851" s="13" t="s">
        <v>170</v>
      </c>
      <c r="D851" s="13" t="s">
        <v>171</v>
      </c>
      <c r="E851" s="28">
        <v>32</v>
      </c>
      <c r="F851" s="25">
        <v>2.44</v>
      </c>
      <c r="G851" s="26">
        <f t="shared" si="132"/>
        <v>63.44</v>
      </c>
      <c r="H851" s="26">
        <v>115</v>
      </c>
      <c r="I851" s="26">
        <v>0</v>
      </c>
      <c r="J851" s="26">
        <f t="shared" si="133"/>
        <v>2.44</v>
      </c>
      <c r="K851" s="26">
        <v>115</v>
      </c>
      <c r="L851" s="14">
        <f t="shared" si="131"/>
        <v>180.88</v>
      </c>
      <c r="M851" s="14">
        <f t="shared" si="134"/>
        <v>74.131147540983605</v>
      </c>
    </row>
    <row r="852" spans="1:13" ht="15" customHeight="1" x14ac:dyDescent="0.25">
      <c r="A852" s="13">
        <v>6614507</v>
      </c>
      <c r="B852" s="27">
        <v>41599</v>
      </c>
      <c r="C852" s="13" t="s">
        <v>170</v>
      </c>
      <c r="D852" s="13" t="s">
        <v>171</v>
      </c>
      <c r="E852" s="28">
        <v>32</v>
      </c>
      <c r="F852" s="25">
        <v>9.51</v>
      </c>
      <c r="G852" s="26">
        <f t="shared" si="132"/>
        <v>247.26</v>
      </c>
      <c r="H852" s="26">
        <v>115</v>
      </c>
      <c r="I852" s="26">
        <v>0</v>
      </c>
      <c r="J852" s="26">
        <f t="shared" si="133"/>
        <v>9.51</v>
      </c>
      <c r="K852" s="26">
        <v>115</v>
      </c>
      <c r="L852" s="14">
        <f t="shared" si="131"/>
        <v>371.77</v>
      </c>
      <c r="M852" s="14">
        <f t="shared" si="134"/>
        <v>39.092534174553101</v>
      </c>
    </row>
    <row r="853" spans="1:13" ht="15" customHeight="1" x14ac:dyDescent="0.25">
      <c r="A853" s="13">
        <v>5888848</v>
      </c>
      <c r="B853" s="27">
        <v>41608</v>
      </c>
      <c r="C853" s="13" t="s">
        <v>178</v>
      </c>
      <c r="D853" s="13" t="s">
        <v>186</v>
      </c>
      <c r="E853" s="28">
        <v>6</v>
      </c>
      <c r="F853" s="29">
        <v>0</v>
      </c>
      <c r="H853" s="26">
        <v>22.85</v>
      </c>
      <c r="J853" s="26"/>
      <c r="K853" s="26"/>
      <c r="L853" s="14">
        <f t="shared" si="131"/>
        <v>22.85</v>
      </c>
      <c r="M853" s="14" t="e">
        <f t="shared" si="134"/>
        <v>#DIV/0!</v>
      </c>
    </row>
    <row r="854" spans="1:13" ht="15.75" customHeight="1" x14ac:dyDescent="0.25">
      <c r="B854" s="27">
        <v>41608</v>
      </c>
      <c r="C854" s="13" t="s">
        <v>174</v>
      </c>
      <c r="D854" s="13" t="s">
        <v>187</v>
      </c>
      <c r="E854" s="28">
        <v>6</v>
      </c>
      <c r="F854" s="29">
        <f>Legend!H$2*1.17</f>
        <v>0.93599999999999994</v>
      </c>
      <c r="H854" s="26">
        <v>70.680000000000007</v>
      </c>
      <c r="J854" s="26"/>
      <c r="K854" s="26"/>
      <c r="L854" s="14">
        <f t="shared" si="131"/>
        <v>70.680000000000007</v>
      </c>
      <c r="M854" s="14">
        <f t="shared" si="134"/>
        <v>75.512820512820525</v>
      </c>
    </row>
    <row r="855" spans="1:13" ht="15" customHeight="1" x14ac:dyDescent="0.25">
      <c r="B855" s="27">
        <v>41608</v>
      </c>
      <c r="C855" s="13" t="s">
        <v>176</v>
      </c>
      <c r="D855" s="13" t="s">
        <v>175</v>
      </c>
      <c r="E855" s="28">
        <v>6</v>
      </c>
      <c r="F855" s="29">
        <f>Legend!H$2*2.34</f>
        <v>1.8719999999999999</v>
      </c>
      <c r="H855" s="26">
        <v>94.32</v>
      </c>
      <c r="J855" s="26"/>
      <c r="K855" s="26"/>
      <c r="L855" s="14">
        <f t="shared" si="131"/>
        <v>94.32</v>
      </c>
      <c r="M855" s="14">
        <f t="shared" si="134"/>
        <v>50.384615384615387</v>
      </c>
    </row>
    <row r="856" spans="1:13" ht="15" customHeight="1" x14ac:dyDescent="0.25">
      <c r="B856" s="27">
        <v>41608</v>
      </c>
      <c r="C856" s="13" t="s">
        <v>177</v>
      </c>
      <c r="D856" s="13" t="s">
        <v>175</v>
      </c>
      <c r="E856" s="28">
        <v>8</v>
      </c>
      <c r="F856" s="29">
        <f>Legend!H$2*3.12</f>
        <v>2.4960000000000004</v>
      </c>
      <c r="H856" s="26">
        <v>129</v>
      </c>
      <c r="J856" s="26"/>
      <c r="K856" s="26"/>
      <c r="L856" s="14">
        <f t="shared" si="131"/>
        <v>129</v>
      </c>
      <c r="M856" s="14">
        <f t="shared" si="134"/>
        <v>51.682692307692299</v>
      </c>
    </row>
    <row r="857" spans="1:13" ht="15" customHeight="1" x14ac:dyDescent="0.25">
      <c r="B857" s="27">
        <v>41608</v>
      </c>
      <c r="C857" s="13" t="s">
        <v>179</v>
      </c>
      <c r="D857" s="13" t="s">
        <v>187</v>
      </c>
      <c r="E857" s="28">
        <v>2</v>
      </c>
      <c r="F857" s="29">
        <f>Legend!H$2*0.39</f>
        <v>0.31200000000000006</v>
      </c>
      <c r="H857" s="26">
        <v>48</v>
      </c>
      <c r="J857" s="26"/>
      <c r="K857" s="26"/>
      <c r="L857" s="14">
        <f t="shared" si="131"/>
        <v>48</v>
      </c>
      <c r="M857" s="14">
        <f t="shared" si="134"/>
        <v>153.84615384615381</v>
      </c>
    </row>
    <row r="858" spans="1:13" ht="15" customHeight="1" x14ac:dyDescent="0.25">
      <c r="B858" s="27">
        <v>41608</v>
      </c>
      <c r="C858" s="13" t="s">
        <v>190</v>
      </c>
      <c r="D858" s="13" t="s">
        <v>187</v>
      </c>
      <c r="E858" s="28">
        <v>8</v>
      </c>
      <c r="F858" s="25">
        <f>Legend!H$2*1.56</f>
        <v>1.2480000000000002</v>
      </c>
      <c r="H858" s="26">
        <v>45.28</v>
      </c>
      <c r="L858" s="14">
        <f t="shared" si="131"/>
        <v>45.28</v>
      </c>
    </row>
    <row r="859" spans="1:13" ht="15" customHeight="1" x14ac:dyDescent="0.25">
      <c r="A859" s="13">
        <v>6628966</v>
      </c>
      <c r="B859" s="27">
        <v>41611</v>
      </c>
      <c r="C859" s="13" t="s">
        <v>128</v>
      </c>
      <c r="D859" s="13" t="s">
        <v>169</v>
      </c>
      <c r="E859" s="28">
        <v>20</v>
      </c>
      <c r="F859" s="25">
        <v>3.7</v>
      </c>
      <c r="G859" s="26">
        <f>F859*$G$2</f>
        <v>96.2</v>
      </c>
      <c r="H859" s="26">
        <v>115</v>
      </c>
      <c r="I859" s="26">
        <v>0</v>
      </c>
      <c r="J859" s="26">
        <f>F859</f>
        <v>3.7</v>
      </c>
      <c r="K859" s="26">
        <f>H859+I859</f>
        <v>115</v>
      </c>
      <c r="L859" s="14">
        <f t="shared" si="131"/>
        <v>214.89999999999998</v>
      </c>
      <c r="M859" s="14">
        <f t="shared" ref="M859:M867" si="135">L859/F859</f>
        <v>58.081081081081074</v>
      </c>
    </row>
    <row r="860" spans="1:13" ht="15" customHeight="1" x14ac:dyDescent="0.25">
      <c r="A860" s="13">
        <v>6628966</v>
      </c>
      <c r="B860" s="27">
        <v>41611</v>
      </c>
      <c r="C860" s="13" t="s">
        <v>128</v>
      </c>
      <c r="D860" s="13" t="s">
        <v>169</v>
      </c>
      <c r="E860" s="28">
        <v>20</v>
      </c>
      <c r="F860" s="25">
        <v>11.11</v>
      </c>
      <c r="G860" s="26">
        <f>F860*$G$2</f>
        <v>288.86</v>
      </c>
      <c r="H860" s="26">
        <v>115</v>
      </c>
      <c r="I860" s="26">
        <v>0</v>
      </c>
      <c r="J860" s="26">
        <f>F860</f>
        <v>11.11</v>
      </c>
      <c r="K860" s="26">
        <f>H860+I860</f>
        <v>115</v>
      </c>
      <c r="L860" s="14">
        <f t="shared" si="131"/>
        <v>414.97</v>
      </c>
      <c r="M860" s="14">
        <f t="shared" si="135"/>
        <v>37.351035103510355</v>
      </c>
    </row>
    <row r="861" spans="1:13" ht="15.75" customHeight="1" x14ac:dyDescent="0.25">
      <c r="A861" s="13">
        <v>5908368</v>
      </c>
      <c r="B861" s="27">
        <v>41615</v>
      </c>
      <c r="C861" s="13" t="s">
        <v>178</v>
      </c>
      <c r="D861" s="13" t="s">
        <v>186</v>
      </c>
      <c r="E861" s="28">
        <v>6</v>
      </c>
      <c r="F861" s="29">
        <v>0</v>
      </c>
      <c r="H861" s="26">
        <v>36</v>
      </c>
      <c r="J861" s="26"/>
      <c r="K861" s="26"/>
      <c r="L861" s="14">
        <f t="shared" si="131"/>
        <v>36</v>
      </c>
      <c r="M861" s="14" t="e">
        <f t="shared" si="135"/>
        <v>#DIV/0!</v>
      </c>
    </row>
    <row r="862" spans="1:13" ht="15" customHeight="1" x14ac:dyDescent="0.25">
      <c r="A862" s="13">
        <v>6628966</v>
      </c>
      <c r="B862" s="27">
        <v>41620</v>
      </c>
      <c r="C862" s="13" t="s">
        <v>173</v>
      </c>
      <c r="D862" s="13" t="s">
        <v>186</v>
      </c>
      <c r="E862" s="28">
        <v>30</v>
      </c>
      <c r="F862" s="25">
        <v>5.5</v>
      </c>
      <c r="G862" s="26">
        <f>F862*$G$2</f>
        <v>143</v>
      </c>
      <c r="H862" s="26">
        <v>115</v>
      </c>
      <c r="I862" s="26">
        <v>0</v>
      </c>
      <c r="J862" s="26">
        <f>F862</f>
        <v>5.5</v>
      </c>
      <c r="K862" s="26">
        <v>115</v>
      </c>
      <c r="L862" s="14">
        <f t="shared" si="131"/>
        <v>263.5</v>
      </c>
      <c r="M862" s="14">
        <f t="shared" si="135"/>
        <v>47.909090909090907</v>
      </c>
    </row>
    <row r="863" spans="1:13" ht="15" customHeight="1" x14ac:dyDescent="0.25">
      <c r="A863" s="13">
        <v>6628966</v>
      </c>
      <c r="B863" s="27">
        <v>41621</v>
      </c>
      <c r="C863" s="13" t="s">
        <v>110</v>
      </c>
      <c r="D863" s="13" t="s">
        <v>169</v>
      </c>
      <c r="E863" s="28">
        <v>40</v>
      </c>
      <c r="F863" s="25">
        <v>4.42</v>
      </c>
      <c r="G863" s="26">
        <f>F863*$G$2</f>
        <v>114.92</v>
      </c>
      <c r="H863" s="26">
        <v>115</v>
      </c>
      <c r="I863" s="26">
        <v>0</v>
      </c>
      <c r="J863" s="26">
        <f>F863</f>
        <v>4.42</v>
      </c>
      <c r="K863" s="26">
        <v>115</v>
      </c>
      <c r="L863" s="14">
        <f t="shared" si="131"/>
        <v>234.34</v>
      </c>
      <c r="M863" s="14">
        <f t="shared" si="135"/>
        <v>53.018099547511312</v>
      </c>
    </row>
    <row r="864" spans="1:13" ht="15.75" customHeight="1" x14ac:dyDescent="0.25">
      <c r="B864" s="27">
        <v>41639</v>
      </c>
      <c r="C864" s="13" t="s">
        <v>174</v>
      </c>
      <c r="D864" s="13" t="s">
        <v>187</v>
      </c>
      <c r="E864" s="28">
        <v>6</v>
      </c>
      <c r="F864" s="29">
        <f>Legend!H$2*1.17</f>
        <v>0.93599999999999994</v>
      </c>
      <c r="H864" s="26">
        <v>70.680000000000007</v>
      </c>
      <c r="J864" s="26"/>
      <c r="K864" s="26"/>
      <c r="L864" s="14">
        <f t="shared" si="131"/>
        <v>70.680000000000007</v>
      </c>
      <c r="M864" s="14">
        <f t="shared" si="135"/>
        <v>75.512820512820525</v>
      </c>
    </row>
    <row r="865" spans="1:13" ht="15" customHeight="1" x14ac:dyDescent="0.25">
      <c r="B865" s="27">
        <v>41639</v>
      </c>
      <c r="C865" s="13" t="s">
        <v>176</v>
      </c>
      <c r="D865" s="13" t="s">
        <v>175</v>
      </c>
      <c r="E865" s="28">
        <v>6</v>
      </c>
      <c r="F865" s="29">
        <f>Legend!H$2*2.34</f>
        <v>1.8719999999999999</v>
      </c>
      <c r="H865" s="26">
        <v>94.32</v>
      </c>
      <c r="J865" s="26"/>
      <c r="K865" s="26"/>
      <c r="L865" s="14">
        <f t="shared" si="131"/>
        <v>94.32</v>
      </c>
      <c r="M865" s="14">
        <f t="shared" si="135"/>
        <v>50.384615384615387</v>
      </c>
    </row>
    <row r="866" spans="1:13" ht="15" customHeight="1" x14ac:dyDescent="0.25">
      <c r="B866" s="27">
        <v>41639</v>
      </c>
      <c r="C866" s="13" t="s">
        <v>177</v>
      </c>
      <c r="D866" s="13" t="s">
        <v>175</v>
      </c>
      <c r="E866" s="28">
        <v>8</v>
      </c>
      <c r="F866" s="29">
        <f>Legend!H$2*3.12</f>
        <v>2.4960000000000004</v>
      </c>
      <c r="H866" s="26">
        <v>129</v>
      </c>
      <c r="J866" s="26"/>
      <c r="K866" s="26"/>
      <c r="L866" s="14">
        <f t="shared" si="131"/>
        <v>129</v>
      </c>
      <c r="M866" s="14">
        <f t="shared" si="135"/>
        <v>51.682692307692299</v>
      </c>
    </row>
    <row r="867" spans="1:13" ht="15.75" customHeight="1" x14ac:dyDescent="0.25">
      <c r="B867" s="27">
        <v>41639</v>
      </c>
      <c r="C867" s="13" t="s">
        <v>179</v>
      </c>
      <c r="D867" s="13" t="s">
        <v>187</v>
      </c>
      <c r="E867" s="28">
        <v>2</v>
      </c>
      <c r="F867" s="29">
        <f>Legend!H$2*0.39</f>
        <v>0.31200000000000006</v>
      </c>
      <c r="H867" s="26">
        <v>48</v>
      </c>
      <c r="J867" s="26"/>
      <c r="K867" s="26"/>
      <c r="L867" s="14">
        <f t="shared" si="131"/>
        <v>48</v>
      </c>
      <c r="M867" s="14">
        <f t="shared" si="135"/>
        <v>153.84615384615381</v>
      </c>
    </row>
    <row r="868" spans="1:13" ht="15" customHeight="1" x14ac:dyDescent="0.25">
      <c r="B868" s="27">
        <v>41639</v>
      </c>
      <c r="C868" s="13" t="s">
        <v>190</v>
      </c>
      <c r="D868" s="13" t="s">
        <v>187</v>
      </c>
      <c r="E868" s="28">
        <v>8</v>
      </c>
      <c r="F868" s="25">
        <f>Legend!H$2*1.56</f>
        <v>1.2480000000000002</v>
      </c>
      <c r="H868" s="26">
        <v>45.28</v>
      </c>
      <c r="L868" s="14">
        <f t="shared" si="131"/>
        <v>45.28</v>
      </c>
    </row>
    <row r="869" spans="1:13" ht="15" customHeight="1" x14ac:dyDescent="0.25">
      <c r="A869" s="13">
        <v>6647015</v>
      </c>
      <c r="B869" s="27">
        <v>41642</v>
      </c>
      <c r="C869" s="13" t="s">
        <v>170</v>
      </c>
      <c r="D869" s="13" t="s">
        <v>171</v>
      </c>
      <c r="E869" s="28">
        <v>32</v>
      </c>
      <c r="F869" s="25">
        <v>6.57</v>
      </c>
      <c r="G869" s="26">
        <f t="shared" ref="G869:G878" si="136">F869*$G$2</f>
        <v>170.82</v>
      </c>
      <c r="H869" s="26">
        <v>115</v>
      </c>
      <c r="I869" s="26">
        <v>0</v>
      </c>
      <c r="J869" s="26">
        <f t="shared" ref="J869:J878" si="137">F869</f>
        <v>6.57</v>
      </c>
      <c r="K869" s="26">
        <v>115</v>
      </c>
      <c r="L869" s="14">
        <f t="shared" si="131"/>
        <v>292.39</v>
      </c>
      <c r="M869" s="14">
        <f t="shared" ref="M869:M882" si="138">L869/F869</f>
        <v>44.503805175038046</v>
      </c>
    </row>
    <row r="870" spans="1:13" ht="15" customHeight="1" x14ac:dyDescent="0.25">
      <c r="A870" s="13">
        <v>6647015</v>
      </c>
      <c r="B870" s="27">
        <v>41646</v>
      </c>
      <c r="C870" s="13" t="s">
        <v>128</v>
      </c>
      <c r="D870" s="13" t="s">
        <v>186</v>
      </c>
      <c r="E870" s="28">
        <v>35</v>
      </c>
      <c r="F870" s="25">
        <v>3.15</v>
      </c>
      <c r="G870" s="26">
        <f t="shared" si="136"/>
        <v>81.899999999999991</v>
      </c>
      <c r="H870" s="26">
        <v>115</v>
      </c>
      <c r="I870" s="26">
        <v>0</v>
      </c>
      <c r="J870" s="26">
        <f t="shared" si="137"/>
        <v>3.15</v>
      </c>
      <c r="K870" s="26">
        <v>115</v>
      </c>
      <c r="L870" s="14">
        <f t="shared" si="131"/>
        <v>200.04999999999998</v>
      </c>
      <c r="M870" s="14">
        <f t="shared" si="138"/>
        <v>63.507936507936506</v>
      </c>
    </row>
    <row r="871" spans="1:13" ht="15.75" customHeight="1" x14ac:dyDescent="0.25">
      <c r="A871" s="13">
        <v>6647015</v>
      </c>
      <c r="B871" s="27">
        <v>41650</v>
      </c>
      <c r="C871" s="13" t="s">
        <v>304</v>
      </c>
      <c r="D871" s="13" t="s">
        <v>186</v>
      </c>
      <c r="E871" s="28">
        <v>30</v>
      </c>
      <c r="F871" s="25">
        <v>5.0999999999999996</v>
      </c>
      <c r="G871" s="26">
        <f t="shared" si="136"/>
        <v>132.6</v>
      </c>
      <c r="H871" s="26">
        <v>115</v>
      </c>
      <c r="I871" s="26">
        <v>0</v>
      </c>
      <c r="J871" s="26">
        <f t="shared" si="137"/>
        <v>5.0999999999999996</v>
      </c>
      <c r="K871" s="26">
        <v>115</v>
      </c>
      <c r="L871" s="14">
        <f t="shared" si="131"/>
        <v>252.7</v>
      </c>
      <c r="M871" s="14">
        <f t="shared" si="138"/>
        <v>49.549019607843135</v>
      </c>
    </row>
    <row r="872" spans="1:13" ht="15" customHeight="1" x14ac:dyDescent="0.25">
      <c r="A872" s="13">
        <v>6647015</v>
      </c>
      <c r="B872" s="27">
        <v>41653</v>
      </c>
      <c r="C872" s="13" t="s">
        <v>110</v>
      </c>
      <c r="D872" s="13" t="s">
        <v>169</v>
      </c>
      <c r="E872" s="28">
        <v>40</v>
      </c>
      <c r="F872" s="25">
        <v>7.5</v>
      </c>
      <c r="G872" s="26">
        <f t="shared" si="136"/>
        <v>195</v>
      </c>
      <c r="H872" s="26">
        <v>115</v>
      </c>
      <c r="I872" s="26">
        <v>0</v>
      </c>
      <c r="J872" s="26">
        <f t="shared" si="137"/>
        <v>7.5</v>
      </c>
      <c r="K872" s="26">
        <v>115</v>
      </c>
      <c r="L872" s="14">
        <f t="shared" si="131"/>
        <v>317.5</v>
      </c>
      <c r="M872" s="14">
        <f t="shared" si="138"/>
        <v>42.333333333333336</v>
      </c>
    </row>
    <row r="873" spans="1:13" ht="15" customHeight="1" x14ac:dyDescent="0.25">
      <c r="A873" s="13">
        <v>6647015</v>
      </c>
      <c r="B873" s="27">
        <v>41654</v>
      </c>
      <c r="C873" s="13" t="s">
        <v>194</v>
      </c>
      <c r="D873" s="13" t="s">
        <v>169</v>
      </c>
      <c r="E873" s="28">
        <v>40</v>
      </c>
      <c r="F873" s="25">
        <v>2.3199999999999998</v>
      </c>
      <c r="G873" s="26">
        <f t="shared" si="136"/>
        <v>60.319999999999993</v>
      </c>
      <c r="H873" s="26">
        <v>115</v>
      </c>
      <c r="I873" s="26">
        <v>0</v>
      </c>
      <c r="J873" s="26">
        <f t="shared" si="137"/>
        <v>2.3199999999999998</v>
      </c>
      <c r="K873" s="26">
        <v>115</v>
      </c>
      <c r="L873" s="14">
        <f t="shared" si="131"/>
        <v>177.64</v>
      </c>
      <c r="M873" s="14">
        <f t="shared" si="138"/>
        <v>76.568965517241381</v>
      </c>
    </row>
    <row r="874" spans="1:13" ht="15.75" customHeight="1" x14ac:dyDescent="0.25">
      <c r="A874" s="13">
        <v>6647015</v>
      </c>
      <c r="B874" s="27">
        <v>41654</v>
      </c>
      <c r="C874" s="13" t="s">
        <v>128</v>
      </c>
      <c r="D874" s="13" t="s">
        <v>169</v>
      </c>
      <c r="E874" s="28">
        <v>20</v>
      </c>
      <c r="F874" s="25">
        <v>2</v>
      </c>
      <c r="G874" s="26">
        <f t="shared" si="136"/>
        <v>52</v>
      </c>
      <c r="H874" s="26">
        <v>115</v>
      </c>
      <c r="I874" s="26">
        <v>0</v>
      </c>
      <c r="J874" s="26">
        <f t="shared" si="137"/>
        <v>2</v>
      </c>
      <c r="K874" s="26">
        <f>H874+I874</f>
        <v>115</v>
      </c>
      <c r="L874" s="14">
        <f t="shared" si="131"/>
        <v>169</v>
      </c>
      <c r="M874" s="14">
        <f t="shared" si="138"/>
        <v>84.5</v>
      </c>
    </row>
    <row r="875" spans="1:13" ht="15" customHeight="1" x14ac:dyDescent="0.25">
      <c r="A875" s="13">
        <v>6647015</v>
      </c>
      <c r="B875" s="27">
        <v>41660</v>
      </c>
      <c r="C875" s="13" t="s">
        <v>287</v>
      </c>
      <c r="D875" s="13" t="s">
        <v>186</v>
      </c>
      <c r="E875" s="28">
        <v>30</v>
      </c>
      <c r="F875" s="25">
        <v>1.56</v>
      </c>
      <c r="G875" s="26">
        <f t="shared" si="136"/>
        <v>40.56</v>
      </c>
      <c r="H875" s="26">
        <v>115</v>
      </c>
      <c r="I875" s="26">
        <v>0</v>
      </c>
      <c r="J875" s="26">
        <f t="shared" si="137"/>
        <v>1.56</v>
      </c>
      <c r="K875" s="26">
        <v>115</v>
      </c>
      <c r="L875" s="14">
        <f t="shared" si="131"/>
        <v>157.12</v>
      </c>
      <c r="M875" s="14">
        <f t="shared" si="138"/>
        <v>100.71794871794872</v>
      </c>
    </row>
    <row r="876" spans="1:13" ht="15" customHeight="1" x14ac:dyDescent="0.25">
      <c r="A876" s="13">
        <v>6647015</v>
      </c>
      <c r="B876" s="27">
        <v>41668</v>
      </c>
      <c r="C876" s="13" t="s">
        <v>185</v>
      </c>
      <c r="D876" s="13" t="s">
        <v>169</v>
      </c>
      <c r="E876" s="28">
        <v>40</v>
      </c>
      <c r="F876" s="25">
        <v>3.27</v>
      </c>
      <c r="G876" s="26">
        <f t="shared" si="136"/>
        <v>85.02</v>
      </c>
      <c r="H876" s="26">
        <v>115</v>
      </c>
      <c r="I876" s="26">
        <v>0</v>
      </c>
      <c r="J876" s="26">
        <f t="shared" si="137"/>
        <v>3.27</v>
      </c>
      <c r="K876" s="26">
        <v>115</v>
      </c>
      <c r="L876" s="14">
        <f t="shared" si="131"/>
        <v>203.29</v>
      </c>
      <c r="M876" s="14">
        <f t="shared" si="138"/>
        <v>62.168195718654431</v>
      </c>
    </row>
    <row r="877" spans="1:13" ht="15" customHeight="1" x14ac:dyDescent="0.25">
      <c r="A877" s="13">
        <v>6647015</v>
      </c>
      <c r="B877" s="27">
        <v>41668</v>
      </c>
      <c r="C877" s="13" t="s">
        <v>170</v>
      </c>
      <c r="D877" s="13" t="s">
        <v>171</v>
      </c>
      <c r="E877" s="28">
        <v>32</v>
      </c>
      <c r="F877" s="25">
        <v>6.37</v>
      </c>
      <c r="G877" s="26">
        <f t="shared" si="136"/>
        <v>165.62</v>
      </c>
      <c r="H877" s="26">
        <v>115</v>
      </c>
      <c r="I877" s="26">
        <v>0</v>
      </c>
      <c r="J877" s="26">
        <f t="shared" si="137"/>
        <v>6.37</v>
      </c>
      <c r="K877" s="26">
        <v>115</v>
      </c>
      <c r="L877" s="14">
        <f t="shared" si="131"/>
        <v>286.99</v>
      </c>
      <c r="M877" s="14">
        <f t="shared" si="138"/>
        <v>45.053375196232338</v>
      </c>
    </row>
    <row r="878" spans="1:13" ht="15" customHeight="1" x14ac:dyDescent="0.25">
      <c r="A878" s="13">
        <v>6647015</v>
      </c>
      <c r="B878" s="27">
        <v>41669</v>
      </c>
      <c r="C878" s="13" t="s">
        <v>173</v>
      </c>
      <c r="D878" s="13" t="s">
        <v>186</v>
      </c>
      <c r="E878" s="28">
        <v>30</v>
      </c>
      <c r="F878" s="25">
        <v>5.01</v>
      </c>
      <c r="G878" s="26">
        <f t="shared" si="136"/>
        <v>130.26</v>
      </c>
      <c r="H878" s="26">
        <v>115</v>
      </c>
      <c r="I878" s="26">
        <v>0</v>
      </c>
      <c r="J878" s="26">
        <f t="shared" si="137"/>
        <v>5.01</v>
      </c>
      <c r="K878" s="26">
        <v>115</v>
      </c>
      <c r="L878" s="14">
        <f t="shared" si="131"/>
        <v>250.26999999999998</v>
      </c>
      <c r="M878" s="14">
        <f t="shared" si="138"/>
        <v>49.954091816367267</v>
      </c>
    </row>
    <row r="879" spans="1:13" ht="15" customHeight="1" x14ac:dyDescent="0.25">
      <c r="B879" s="27">
        <v>41670</v>
      </c>
      <c r="C879" s="13" t="s">
        <v>174</v>
      </c>
      <c r="D879" s="13" t="s">
        <v>187</v>
      </c>
      <c r="E879" s="28">
        <v>6</v>
      </c>
      <c r="F879" s="29">
        <f>Legend!H$2*1.17</f>
        <v>0.93599999999999994</v>
      </c>
      <c r="H879" s="26">
        <v>70.680000000000007</v>
      </c>
      <c r="J879" s="26"/>
      <c r="K879" s="26"/>
      <c r="L879" s="14">
        <f t="shared" si="131"/>
        <v>70.680000000000007</v>
      </c>
      <c r="M879" s="14">
        <f t="shared" si="138"/>
        <v>75.512820512820525</v>
      </c>
    </row>
    <row r="880" spans="1:13" ht="15" customHeight="1" x14ac:dyDescent="0.25">
      <c r="B880" s="27">
        <v>41670</v>
      </c>
      <c r="C880" s="13" t="s">
        <v>176</v>
      </c>
      <c r="D880" s="13" t="s">
        <v>175</v>
      </c>
      <c r="E880" s="28">
        <v>6</v>
      </c>
      <c r="F880" s="29">
        <f>Legend!H$2*2.34</f>
        <v>1.8719999999999999</v>
      </c>
      <c r="H880" s="26">
        <v>94.32</v>
      </c>
      <c r="J880" s="26"/>
      <c r="K880" s="26"/>
      <c r="L880" s="14">
        <f t="shared" si="131"/>
        <v>94.32</v>
      </c>
      <c r="M880" s="14">
        <f t="shared" si="138"/>
        <v>50.384615384615387</v>
      </c>
    </row>
    <row r="881" spans="1:13" ht="15" customHeight="1" x14ac:dyDescent="0.25">
      <c r="B881" s="27">
        <v>41670</v>
      </c>
      <c r="C881" s="13" t="s">
        <v>177</v>
      </c>
      <c r="D881" s="13" t="s">
        <v>175</v>
      </c>
      <c r="E881" s="28">
        <v>8</v>
      </c>
      <c r="F881" s="29">
        <f>Legend!H$2*3.12</f>
        <v>2.4960000000000004</v>
      </c>
      <c r="H881" s="26">
        <v>129</v>
      </c>
      <c r="J881" s="26"/>
      <c r="K881" s="26"/>
      <c r="L881" s="14">
        <f t="shared" si="131"/>
        <v>129</v>
      </c>
      <c r="M881" s="14">
        <f t="shared" si="138"/>
        <v>51.682692307692299</v>
      </c>
    </row>
    <row r="882" spans="1:13" ht="15" customHeight="1" x14ac:dyDescent="0.25">
      <c r="B882" s="27">
        <v>41670</v>
      </c>
      <c r="C882" s="13" t="s">
        <v>179</v>
      </c>
      <c r="D882" s="13" t="s">
        <v>187</v>
      </c>
      <c r="E882" s="28">
        <v>2</v>
      </c>
      <c r="F882" s="29">
        <f>Legend!H$2*0.39</f>
        <v>0.31200000000000006</v>
      </c>
      <c r="H882" s="26">
        <v>48</v>
      </c>
      <c r="J882" s="26"/>
      <c r="K882" s="26"/>
      <c r="L882" s="14">
        <f t="shared" si="131"/>
        <v>48</v>
      </c>
      <c r="M882" s="14">
        <f t="shared" si="138"/>
        <v>153.84615384615381</v>
      </c>
    </row>
    <row r="883" spans="1:13" ht="15" customHeight="1" x14ac:dyDescent="0.25">
      <c r="B883" s="27">
        <v>41670</v>
      </c>
      <c r="C883" s="13" t="s">
        <v>190</v>
      </c>
      <c r="D883" s="13" t="s">
        <v>187</v>
      </c>
      <c r="E883" s="28">
        <v>8</v>
      </c>
      <c r="F883" s="25">
        <f>Legend!H$2*1.56</f>
        <v>1.2480000000000002</v>
      </c>
      <c r="H883" s="26">
        <v>45.28</v>
      </c>
      <c r="L883" s="14">
        <f t="shared" si="131"/>
        <v>45.28</v>
      </c>
    </row>
    <row r="884" spans="1:13" ht="15.75" customHeight="1" x14ac:dyDescent="0.25">
      <c r="A884" s="13">
        <v>5918599</v>
      </c>
      <c r="B884" s="27">
        <v>41670</v>
      </c>
      <c r="C884" s="13" t="s">
        <v>178</v>
      </c>
      <c r="D884" s="13" t="s">
        <v>186</v>
      </c>
      <c r="E884" s="28">
        <v>6</v>
      </c>
      <c r="F884" s="29">
        <v>0</v>
      </c>
      <c r="H884" s="26">
        <v>36</v>
      </c>
      <c r="J884" s="26"/>
      <c r="K884" s="26"/>
      <c r="L884" s="14">
        <f t="shared" si="131"/>
        <v>36</v>
      </c>
      <c r="M884" s="14" t="e">
        <f t="shared" ref="M884:M893" si="139">L884/F884</f>
        <v>#DIV/0!</v>
      </c>
    </row>
    <row r="885" spans="1:13" ht="15" customHeight="1" x14ac:dyDescent="0.25">
      <c r="A885" s="13">
        <v>6664133</v>
      </c>
      <c r="B885" s="27">
        <v>41681</v>
      </c>
      <c r="C885" s="13" t="s">
        <v>185</v>
      </c>
      <c r="D885" s="13" t="s">
        <v>169</v>
      </c>
      <c r="E885" s="28">
        <v>40</v>
      </c>
      <c r="F885" s="25">
        <v>4.18</v>
      </c>
      <c r="G885" s="26">
        <f>F885*$G$2</f>
        <v>108.67999999999999</v>
      </c>
      <c r="H885" s="26">
        <v>115</v>
      </c>
      <c r="I885" s="26">
        <v>0</v>
      </c>
      <c r="J885" s="26">
        <f>F885</f>
        <v>4.18</v>
      </c>
      <c r="K885" s="26">
        <v>115</v>
      </c>
      <c r="L885" s="14">
        <f t="shared" si="131"/>
        <v>227.86</v>
      </c>
      <c r="M885" s="14">
        <f t="shared" si="139"/>
        <v>54.511961722488046</v>
      </c>
    </row>
    <row r="886" spans="1:13" ht="15" customHeight="1" x14ac:dyDescent="0.25">
      <c r="A886" s="13">
        <v>6664133</v>
      </c>
      <c r="B886" s="27">
        <v>41695</v>
      </c>
      <c r="C886" s="13" t="s">
        <v>185</v>
      </c>
      <c r="D886" s="13" t="s">
        <v>169</v>
      </c>
      <c r="E886" s="28">
        <v>40</v>
      </c>
      <c r="F886" s="25">
        <v>4.82</v>
      </c>
      <c r="G886" s="26">
        <f>F886*$G$2</f>
        <v>125.32000000000001</v>
      </c>
      <c r="H886" s="26">
        <v>115</v>
      </c>
      <c r="I886" s="26">
        <v>0</v>
      </c>
      <c r="J886" s="26">
        <f>F886</f>
        <v>4.82</v>
      </c>
      <c r="K886" s="26">
        <v>115</v>
      </c>
      <c r="L886" s="14">
        <f t="shared" si="131"/>
        <v>245.14</v>
      </c>
      <c r="M886" s="14">
        <f t="shared" si="139"/>
        <v>50.85892116182572</v>
      </c>
    </row>
    <row r="887" spans="1:13" ht="15.75" customHeight="1" x14ac:dyDescent="0.25">
      <c r="A887" s="13">
        <v>6664133</v>
      </c>
      <c r="B887" s="27">
        <v>41695</v>
      </c>
      <c r="C887" s="13" t="s">
        <v>170</v>
      </c>
      <c r="D887" s="13" t="s">
        <v>171</v>
      </c>
      <c r="E887" s="28">
        <v>32</v>
      </c>
      <c r="F887" s="25">
        <v>8.09</v>
      </c>
      <c r="G887" s="26">
        <f>F887*$G$2</f>
        <v>210.34</v>
      </c>
      <c r="H887" s="26">
        <v>115</v>
      </c>
      <c r="I887" s="26">
        <v>0</v>
      </c>
      <c r="J887" s="26">
        <f>F887</f>
        <v>8.09</v>
      </c>
      <c r="K887" s="26">
        <v>115</v>
      </c>
      <c r="L887" s="14">
        <f t="shared" si="131"/>
        <v>333.43</v>
      </c>
      <c r="M887" s="14">
        <f t="shared" si="139"/>
        <v>41.215080346106305</v>
      </c>
    </row>
    <row r="888" spans="1:13" ht="15" customHeight="1" x14ac:dyDescent="0.25">
      <c r="A888" s="13">
        <v>6664133</v>
      </c>
      <c r="B888" s="27">
        <v>41696</v>
      </c>
      <c r="C888" s="13" t="s">
        <v>194</v>
      </c>
      <c r="D888" s="13" t="s">
        <v>169</v>
      </c>
      <c r="E888" s="28">
        <v>40</v>
      </c>
      <c r="F888" s="25">
        <v>1.88</v>
      </c>
      <c r="G888" s="26">
        <f>F888*$G$2</f>
        <v>48.879999999999995</v>
      </c>
      <c r="H888" s="26">
        <v>115</v>
      </c>
      <c r="I888" s="26">
        <v>0</v>
      </c>
      <c r="J888" s="26">
        <f>F888</f>
        <v>1.88</v>
      </c>
      <c r="K888" s="26">
        <v>115</v>
      </c>
      <c r="L888" s="14">
        <f t="shared" si="131"/>
        <v>165.76</v>
      </c>
      <c r="M888" s="14">
        <f t="shared" si="139"/>
        <v>88.170212765957444</v>
      </c>
    </row>
    <row r="889" spans="1:13" ht="15" customHeight="1" x14ac:dyDescent="0.25">
      <c r="A889" s="13">
        <v>6664133</v>
      </c>
      <c r="B889" s="27">
        <v>41696</v>
      </c>
      <c r="C889" s="13" t="s">
        <v>173</v>
      </c>
      <c r="D889" s="13" t="s">
        <v>186</v>
      </c>
      <c r="E889" s="28">
        <v>30</v>
      </c>
      <c r="F889" s="25">
        <v>6.62</v>
      </c>
      <c r="G889" s="26">
        <f>F889*$G$2</f>
        <v>172.12</v>
      </c>
      <c r="H889" s="26">
        <v>115</v>
      </c>
      <c r="I889" s="26">
        <v>0</v>
      </c>
      <c r="J889" s="26">
        <f>F889</f>
        <v>6.62</v>
      </c>
      <c r="K889" s="26">
        <v>115</v>
      </c>
      <c r="L889" s="14">
        <f t="shared" si="131"/>
        <v>293.74</v>
      </c>
      <c r="M889" s="14">
        <f t="shared" si="139"/>
        <v>44.371601208459218</v>
      </c>
    </row>
    <row r="890" spans="1:13" ht="15" customHeight="1" x14ac:dyDescent="0.25">
      <c r="B890" s="27">
        <v>41698</v>
      </c>
      <c r="C890" s="13" t="s">
        <v>174</v>
      </c>
      <c r="D890" s="13" t="s">
        <v>187</v>
      </c>
      <c r="E890" s="28">
        <v>6</v>
      </c>
      <c r="F890" s="29">
        <f>Legend!H$2*1.17</f>
        <v>0.93599999999999994</v>
      </c>
      <c r="H890" s="26">
        <v>70.680000000000007</v>
      </c>
      <c r="J890" s="26"/>
      <c r="K890" s="26"/>
      <c r="L890" s="14">
        <f t="shared" si="131"/>
        <v>70.680000000000007</v>
      </c>
      <c r="M890" s="14">
        <f t="shared" si="139"/>
        <v>75.512820512820525</v>
      </c>
    </row>
    <row r="891" spans="1:13" ht="15" customHeight="1" x14ac:dyDescent="0.25">
      <c r="B891" s="27">
        <v>41698</v>
      </c>
      <c r="C891" s="13" t="s">
        <v>176</v>
      </c>
      <c r="D891" s="13" t="s">
        <v>175</v>
      </c>
      <c r="E891" s="28">
        <v>6</v>
      </c>
      <c r="F891" s="29">
        <f>Legend!H$2*2.34</f>
        <v>1.8719999999999999</v>
      </c>
      <c r="H891" s="26">
        <v>94.32</v>
      </c>
      <c r="J891" s="26"/>
      <c r="K891" s="26"/>
      <c r="L891" s="14">
        <f t="shared" si="131"/>
        <v>94.32</v>
      </c>
      <c r="M891" s="14">
        <f t="shared" si="139"/>
        <v>50.384615384615387</v>
      </c>
    </row>
    <row r="892" spans="1:13" ht="15" customHeight="1" x14ac:dyDescent="0.25">
      <c r="B892" s="27">
        <v>41698</v>
      </c>
      <c r="C892" s="13" t="s">
        <v>177</v>
      </c>
      <c r="D892" s="13" t="s">
        <v>175</v>
      </c>
      <c r="E892" s="28">
        <v>8</v>
      </c>
      <c r="F892" s="29">
        <f>Legend!H$2*3.12</f>
        <v>2.4960000000000004</v>
      </c>
      <c r="H892" s="26">
        <v>129</v>
      </c>
      <c r="J892" s="26"/>
      <c r="K892" s="26"/>
      <c r="L892" s="14">
        <f t="shared" si="131"/>
        <v>129</v>
      </c>
      <c r="M892" s="14">
        <f t="shared" si="139"/>
        <v>51.682692307692299</v>
      </c>
    </row>
    <row r="893" spans="1:13" ht="15" customHeight="1" x14ac:dyDescent="0.25">
      <c r="B893" s="27">
        <v>41698</v>
      </c>
      <c r="C893" s="13" t="s">
        <v>179</v>
      </c>
      <c r="D893" s="13" t="s">
        <v>187</v>
      </c>
      <c r="E893" s="28">
        <v>2</v>
      </c>
      <c r="F893" s="29">
        <f>Legend!H$2*0.39</f>
        <v>0.31200000000000006</v>
      </c>
      <c r="H893" s="26">
        <v>48</v>
      </c>
      <c r="J893" s="26"/>
      <c r="K893" s="26"/>
      <c r="L893" s="14">
        <f t="shared" si="131"/>
        <v>48</v>
      </c>
      <c r="M893" s="14">
        <f t="shared" si="139"/>
        <v>153.84615384615381</v>
      </c>
    </row>
    <row r="894" spans="1:13" ht="15.75" customHeight="1" x14ac:dyDescent="0.25">
      <c r="B894" s="27">
        <v>41698</v>
      </c>
      <c r="C894" s="13" t="s">
        <v>190</v>
      </c>
      <c r="D894" s="13" t="s">
        <v>187</v>
      </c>
      <c r="E894" s="28">
        <v>8</v>
      </c>
      <c r="F894" s="25">
        <f>Legend!H$2*1.56</f>
        <v>1.2480000000000002</v>
      </c>
      <c r="H894" s="26">
        <v>45.28</v>
      </c>
      <c r="L894" s="14">
        <f t="shared" si="131"/>
        <v>45.28</v>
      </c>
    </row>
    <row r="895" spans="1:13" ht="15" customHeight="1" x14ac:dyDescent="0.25">
      <c r="A895" s="13">
        <v>6683924</v>
      </c>
      <c r="B895" s="27">
        <v>41703</v>
      </c>
      <c r="C895" s="13" t="s">
        <v>128</v>
      </c>
      <c r="D895" s="13" t="s">
        <v>186</v>
      </c>
      <c r="E895" s="28">
        <v>35</v>
      </c>
      <c r="F895" s="25">
        <v>6.23</v>
      </c>
      <c r="G895" s="26">
        <f t="shared" ref="G895:G900" si="140">F895*$G$2</f>
        <v>161.98000000000002</v>
      </c>
      <c r="H895" s="26">
        <v>115</v>
      </c>
      <c r="I895" s="26">
        <v>0</v>
      </c>
      <c r="J895" s="26">
        <f t="shared" ref="J895:J900" si="141">F895</f>
        <v>6.23</v>
      </c>
      <c r="K895" s="26">
        <v>115</v>
      </c>
      <c r="L895" s="14">
        <f t="shared" si="131"/>
        <v>283.21000000000004</v>
      </c>
      <c r="M895" s="14">
        <f t="shared" ref="M895:M905" si="142">L895/F895</f>
        <v>45.459069020866778</v>
      </c>
    </row>
    <row r="896" spans="1:13" ht="15" customHeight="1" x14ac:dyDescent="0.25">
      <c r="A896" s="13">
        <v>6683924</v>
      </c>
      <c r="B896" s="27">
        <v>41705</v>
      </c>
      <c r="C896" s="13" t="s">
        <v>185</v>
      </c>
      <c r="D896" s="13" t="s">
        <v>169</v>
      </c>
      <c r="E896" s="28">
        <v>40</v>
      </c>
      <c r="F896" s="25">
        <v>2.0099999999999998</v>
      </c>
      <c r="G896" s="26">
        <f t="shared" si="140"/>
        <v>52.259999999999991</v>
      </c>
      <c r="H896" s="26">
        <v>115</v>
      </c>
      <c r="I896" s="26">
        <v>0</v>
      </c>
      <c r="J896" s="26">
        <f t="shared" si="141"/>
        <v>2.0099999999999998</v>
      </c>
      <c r="K896" s="26">
        <v>115</v>
      </c>
      <c r="L896" s="14">
        <f t="shared" si="131"/>
        <v>169.26999999999998</v>
      </c>
      <c r="M896" s="14">
        <f t="shared" si="142"/>
        <v>84.2139303482587</v>
      </c>
    </row>
    <row r="897" spans="1:13" ht="15.75" customHeight="1" x14ac:dyDescent="0.25">
      <c r="A897" s="13">
        <v>6683924</v>
      </c>
      <c r="B897" s="27">
        <v>41717</v>
      </c>
      <c r="C897" s="13" t="s">
        <v>185</v>
      </c>
      <c r="D897" s="13" t="s">
        <v>169</v>
      </c>
      <c r="E897" s="28">
        <v>40</v>
      </c>
      <c r="F897" s="25">
        <v>4.25</v>
      </c>
      <c r="G897" s="26">
        <f t="shared" si="140"/>
        <v>110.5</v>
      </c>
      <c r="H897" s="26">
        <v>115</v>
      </c>
      <c r="I897" s="26">
        <v>0</v>
      </c>
      <c r="J897" s="26">
        <f t="shared" si="141"/>
        <v>4.25</v>
      </c>
      <c r="K897" s="26">
        <v>115</v>
      </c>
      <c r="L897" s="14">
        <f t="shared" si="131"/>
        <v>229.75</v>
      </c>
      <c r="M897" s="14">
        <f t="shared" si="142"/>
        <v>54.058823529411768</v>
      </c>
    </row>
    <row r="898" spans="1:13" ht="15" customHeight="1" x14ac:dyDescent="0.25">
      <c r="A898" s="13">
        <v>6683924</v>
      </c>
      <c r="B898" s="27">
        <v>41724</v>
      </c>
      <c r="C898" s="13" t="s">
        <v>170</v>
      </c>
      <c r="D898" s="13" t="s">
        <v>171</v>
      </c>
      <c r="E898" s="28">
        <v>32</v>
      </c>
      <c r="F898" s="25">
        <v>7.7</v>
      </c>
      <c r="G898" s="26">
        <f t="shared" si="140"/>
        <v>200.20000000000002</v>
      </c>
      <c r="H898" s="26">
        <v>115</v>
      </c>
      <c r="I898" s="26">
        <v>0</v>
      </c>
      <c r="J898" s="26">
        <f t="shared" si="141"/>
        <v>7.7</v>
      </c>
      <c r="K898" s="26">
        <v>115</v>
      </c>
      <c r="L898" s="14">
        <f t="shared" si="131"/>
        <v>322.90000000000003</v>
      </c>
      <c r="M898" s="14">
        <f t="shared" si="142"/>
        <v>41.935064935064936</v>
      </c>
    </row>
    <row r="899" spans="1:13" ht="15" customHeight="1" x14ac:dyDescent="0.25">
      <c r="A899" s="13">
        <v>6683924</v>
      </c>
      <c r="B899" s="27">
        <v>41724</v>
      </c>
      <c r="C899" s="13" t="s">
        <v>173</v>
      </c>
      <c r="D899" s="13" t="s">
        <v>186</v>
      </c>
      <c r="E899" s="28">
        <v>30</v>
      </c>
      <c r="F899" s="25">
        <v>6.36</v>
      </c>
      <c r="G899" s="26">
        <f t="shared" si="140"/>
        <v>165.36</v>
      </c>
      <c r="H899" s="26">
        <v>115</v>
      </c>
      <c r="I899" s="26">
        <v>0</v>
      </c>
      <c r="J899" s="26">
        <f t="shared" si="141"/>
        <v>6.36</v>
      </c>
      <c r="K899" s="26">
        <v>115</v>
      </c>
      <c r="L899" s="14">
        <f t="shared" si="131"/>
        <v>286.72000000000003</v>
      </c>
      <c r="M899" s="14">
        <f t="shared" si="142"/>
        <v>45.081761006289312</v>
      </c>
    </row>
    <row r="900" spans="1:13" ht="15" customHeight="1" x14ac:dyDescent="0.25">
      <c r="A900" s="13">
        <v>6683924</v>
      </c>
      <c r="B900" s="27">
        <v>41726</v>
      </c>
      <c r="C900" s="13" t="s">
        <v>287</v>
      </c>
      <c r="D900" s="13" t="s">
        <v>171</v>
      </c>
      <c r="E900" s="28">
        <v>32</v>
      </c>
      <c r="F900" s="25">
        <v>8.7200000000000006</v>
      </c>
      <c r="G900" s="26">
        <f t="shared" si="140"/>
        <v>226.72000000000003</v>
      </c>
      <c r="H900" s="26">
        <v>115</v>
      </c>
      <c r="I900" s="26">
        <v>0</v>
      </c>
      <c r="J900" s="26">
        <f t="shared" si="141"/>
        <v>8.7200000000000006</v>
      </c>
      <c r="K900" s="26">
        <v>115</v>
      </c>
      <c r="L900" s="14">
        <f t="shared" ref="L900:L941" si="143">G900+H900+I900+J900</f>
        <v>350.44000000000005</v>
      </c>
      <c r="M900" s="14">
        <f t="shared" si="142"/>
        <v>40.188073394495419</v>
      </c>
    </row>
    <row r="901" spans="1:13" ht="15" customHeight="1" x14ac:dyDescent="0.25">
      <c r="A901" s="13">
        <v>593814</v>
      </c>
      <c r="B901" s="27">
        <v>41726</v>
      </c>
      <c r="C901" s="13" t="s">
        <v>178</v>
      </c>
      <c r="D901" s="13" t="s">
        <v>186</v>
      </c>
      <c r="E901" s="28">
        <v>6</v>
      </c>
      <c r="F901" s="29">
        <v>0</v>
      </c>
      <c r="H901" s="26">
        <v>36</v>
      </c>
      <c r="J901" s="26"/>
      <c r="K901" s="26"/>
      <c r="L901" s="14">
        <f t="shared" si="143"/>
        <v>36</v>
      </c>
      <c r="M901" s="14" t="e">
        <f t="shared" si="142"/>
        <v>#DIV/0!</v>
      </c>
    </row>
    <row r="902" spans="1:13" ht="15.75" customHeight="1" x14ac:dyDescent="0.25">
      <c r="B902" s="27">
        <v>41729</v>
      </c>
      <c r="C902" s="13" t="s">
        <v>174</v>
      </c>
      <c r="D902" s="13" t="s">
        <v>187</v>
      </c>
      <c r="E902" s="28">
        <v>6</v>
      </c>
      <c r="F902" s="29">
        <f>Legend!H$2*1.17</f>
        <v>0.93599999999999994</v>
      </c>
      <c r="H902" s="26">
        <v>70.680000000000007</v>
      </c>
      <c r="J902" s="26"/>
      <c r="K902" s="26"/>
      <c r="L902" s="14">
        <f t="shared" si="143"/>
        <v>70.680000000000007</v>
      </c>
      <c r="M902" s="14">
        <f t="shared" si="142"/>
        <v>75.512820512820525</v>
      </c>
    </row>
    <row r="903" spans="1:13" ht="15" customHeight="1" x14ac:dyDescent="0.25">
      <c r="B903" s="27">
        <v>41729</v>
      </c>
      <c r="C903" s="13" t="s">
        <v>176</v>
      </c>
      <c r="D903" s="13" t="s">
        <v>175</v>
      </c>
      <c r="E903" s="28">
        <v>6</v>
      </c>
      <c r="F903" s="29">
        <f>Legend!H$2*2.34</f>
        <v>1.8719999999999999</v>
      </c>
      <c r="H903" s="26">
        <v>94.32</v>
      </c>
      <c r="J903" s="26"/>
      <c r="K903" s="26"/>
      <c r="L903" s="14">
        <f t="shared" si="143"/>
        <v>94.32</v>
      </c>
      <c r="M903" s="14">
        <f t="shared" si="142"/>
        <v>50.384615384615387</v>
      </c>
    </row>
    <row r="904" spans="1:13" ht="15" customHeight="1" x14ac:dyDescent="0.25">
      <c r="B904" s="27">
        <v>41729</v>
      </c>
      <c r="C904" s="13" t="s">
        <v>177</v>
      </c>
      <c r="D904" s="13" t="s">
        <v>175</v>
      </c>
      <c r="E904" s="28">
        <v>8</v>
      </c>
      <c r="F904" s="29">
        <f>Legend!H$2*3.12</f>
        <v>2.4960000000000004</v>
      </c>
      <c r="H904" s="26">
        <v>129</v>
      </c>
      <c r="J904" s="26"/>
      <c r="K904" s="26"/>
      <c r="L904" s="14">
        <f t="shared" si="143"/>
        <v>129</v>
      </c>
      <c r="M904" s="14">
        <f t="shared" si="142"/>
        <v>51.682692307692299</v>
      </c>
    </row>
    <row r="905" spans="1:13" ht="15" customHeight="1" x14ac:dyDescent="0.25">
      <c r="B905" s="27">
        <v>41729</v>
      </c>
      <c r="C905" s="13" t="s">
        <v>179</v>
      </c>
      <c r="D905" s="13" t="s">
        <v>187</v>
      </c>
      <c r="E905" s="28">
        <v>2</v>
      </c>
      <c r="F905" s="29">
        <f>Legend!H$2*0.39</f>
        <v>0.31200000000000006</v>
      </c>
      <c r="H905" s="26">
        <v>48</v>
      </c>
      <c r="J905" s="26"/>
      <c r="K905" s="26"/>
      <c r="L905" s="14">
        <f t="shared" si="143"/>
        <v>48</v>
      </c>
      <c r="M905" s="14">
        <f t="shared" si="142"/>
        <v>153.84615384615381</v>
      </c>
    </row>
    <row r="906" spans="1:13" ht="15" customHeight="1" x14ac:dyDescent="0.25">
      <c r="B906" s="27">
        <v>41729</v>
      </c>
      <c r="C906" s="13" t="s">
        <v>190</v>
      </c>
      <c r="D906" s="13" t="s">
        <v>187</v>
      </c>
      <c r="E906" s="28">
        <v>8</v>
      </c>
      <c r="F906" s="25">
        <f>Legend!H$2*1.56</f>
        <v>1.2480000000000002</v>
      </c>
      <c r="H906" s="26">
        <v>45.28</v>
      </c>
      <c r="L906" s="14">
        <f t="shared" si="143"/>
        <v>45.28</v>
      </c>
    </row>
    <row r="907" spans="1:13" ht="15" customHeight="1" x14ac:dyDescent="0.25">
      <c r="A907" s="13">
        <v>6704266</v>
      </c>
      <c r="B907" s="27">
        <v>41738</v>
      </c>
      <c r="C907" s="13" t="s">
        <v>128</v>
      </c>
      <c r="D907" s="13" t="s">
        <v>169</v>
      </c>
      <c r="E907" s="28">
        <v>20</v>
      </c>
      <c r="F907" s="25">
        <v>11.27</v>
      </c>
      <c r="G907" s="26">
        <f t="shared" ref="G907:G913" si="144">F907*$G$2</f>
        <v>293.02</v>
      </c>
      <c r="H907" s="26">
        <v>115</v>
      </c>
      <c r="I907" s="26">
        <v>0</v>
      </c>
      <c r="J907" s="26">
        <f t="shared" ref="J907:J913" si="145">F907</f>
        <v>11.27</v>
      </c>
      <c r="K907" s="26">
        <f>H907+I907</f>
        <v>115</v>
      </c>
      <c r="L907" s="14">
        <f t="shared" si="143"/>
        <v>419.28999999999996</v>
      </c>
      <c r="M907" s="14">
        <f t="shared" ref="M907:M917" si="146">L907/F907</f>
        <v>37.204081632653057</v>
      </c>
    </row>
    <row r="908" spans="1:13" ht="15" customHeight="1" x14ac:dyDescent="0.25">
      <c r="A908" s="13">
        <v>6704266</v>
      </c>
      <c r="B908" s="27">
        <v>41738</v>
      </c>
      <c r="C908" s="13" t="s">
        <v>128</v>
      </c>
      <c r="D908" s="13" t="s">
        <v>169</v>
      </c>
      <c r="E908" s="28">
        <v>20</v>
      </c>
      <c r="F908" s="25">
        <v>11.14</v>
      </c>
      <c r="G908" s="26">
        <f t="shared" si="144"/>
        <v>289.64</v>
      </c>
      <c r="H908" s="26">
        <v>115</v>
      </c>
      <c r="I908" s="26">
        <v>0</v>
      </c>
      <c r="J908" s="26">
        <f t="shared" si="145"/>
        <v>11.14</v>
      </c>
      <c r="K908" s="26">
        <f>H908+I908</f>
        <v>115</v>
      </c>
      <c r="L908" s="14">
        <f t="shared" si="143"/>
        <v>415.78</v>
      </c>
      <c r="M908" s="14">
        <f t="shared" si="146"/>
        <v>37.32315978456014</v>
      </c>
    </row>
    <row r="909" spans="1:13" ht="15.75" customHeight="1" x14ac:dyDescent="0.25">
      <c r="A909" s="13">
        <v>6704266</v>
      </c>
      <c r="B909" s="27">
        <v>41738</v>
      </c>
      <c r="C909" s="13" t="s">
        <v>110</v>
      </c>
      <c r="D909" s="13" t="s">
        <v>169</v>
      </c>
      <c r="E909" s="28">
        <v>40</v>
      </c>
      <c r="F909" s="25">
        <v>5.7</v>
      </c>
      <c r="G909" s="26">
        <f t="shared" si="144"/>
        <v>148.20000000000002</v>
      </c>
      <c r="H909" s="26">
        <v>115</v>
      </c>
      <c r="I909" s="26">
        <v>0</v>
      </c>
      <c r="J909" s="26">
        <f t="shared" si="145"/>
        <v>5.7</v>
      </c>
      <c r="K909" s="26">
        <v>115</v>
      </c>
      <c r="L909" s="14">
        <f t="shared" si="143"/>
        <v>268.90000000000003</v>
      </c>
      <c r="M909" s="14">
        <f t="shared" si="146"/>
        <v>47.175438596491233</v>
      </c>
    </row>
    <row r="910" spans="1:13" ht="15" customHeight="1" x14ac:dyDescent="0.25">
      <c r="A910" s="13">
        <v>6704266</v>
      </c>
      <c r="B910" s="27">
        <v>41745</v>
      </c>
      <c r="C910" s="13" t="s">
        <v>173</v>
      </c>
      <c r="D910" s="13" t="s">
        <v>186</v>
      </c>
      <c r="E910" s="28">
        <v>30</v>
      </c>
      <c r="F910" s="25">
        <v>5.59</v>
      </c>
      <c r="G910" s="26">
        <f t="shared" si="144"/>
        <v>145.34</v>
      </c>
      <c r="H910" s="26">
        <v>115</v>
      </c>
      <c r="I910" s="26">
        <v>0</v>
      </c>
      <c r="J910" s="26">
        <f t="shared" si="145"/>
        <v>5.59</v>
      </c>
      <c r="K910" s="26">
        <v>115</v>
      </c>
      <c r="L910" s="14">
        <f t="shared" si="143"/>
        <v>265.93</v>
      </c>
      <c r="M910" s="14">
        <f t="shared" si="146"/>
        <v>47.572450805008948</v>
      </c>
    </row>
    <row r="911" spans="1:13" x14ac:dyDescent="0.25">
      <c r="A911" s="13">
        <v>6704266</v>
      </c>
      <c r="B911" s="27">
        <v>41747</v>
      </c>
      <c r="C911" s="13" t="s">
        <v>128</v>
      </c>
      <c r="D911" s="13" t="s">
        <v>186</v>
      </c>
      <c r="E911" s="28">
        <v>35</v>
      </c>
      <c r="F911" s="25">
        <v>8.65</v>
      </c>
      <c r="G911" s="26">
        <f t="shared" si="144"/>
        <v>224.9</v>
      </c>
      <c r="H911" s="26">
        <v>115</v>
      </c>
      <c r="I911" s="26">
        <v>0</v>
      </c>
      <c r="J911" s="26">
        <f t="shared" si="145"/>
        <v>8.65</v>
      </c>
      <c r="K911" s="26">
        <v>115</v>
      </c>
      <c r="L911" s="14">
        <f t="shared" si="143"/>
        <v>348.54999999999995</v>
      </c>
      <c r="M911" s="14">
        <f t="shared" si="146"/>
        <v>40.294797687861262</v>
      </c>
    </row>
    <row r="912" spans="1:13" ht="15" customHeight="1" x14ac:dyDescent="0.25">
      <c r="A912" s="13">
        <v>6704266</v>
      </c>
      <c r="B912" s="27">
        <v>41751</v>
      </c>
      <c r="C912" s="13" t="s">
        <v>185</v>
      </c>
      <c r="D912" s="13" t="s">
        <v>169</v>
      </c>
      <c r="E912" s="28">
        <v>40</v>
      </c>
      <c r="F912" s="25">
        <v>2.91</v>
      </c>
      <c r="G912" s="26">
        <f t="shared" si="144"/>
        <v>75.66</v>
      </c>
      <c r="H912" s="26">
        <v>115</v>
      </c>
      <c r="I912" s="26">
        <v>0</v>
      </c>
      <c r="J912" s="26">
        <f t="shared" si="145"/>
        <v>2.91</v>
      </c>
      <c r="K912" s="26">
        <v>115</v>
      </c>
      <c r="L912" s="14">
        <f t="shared" si="143"/>
        <v>193.57</v>
      </c>
      <c r="M912" s="14">
        <f t="shared" si="146"/>
        <v>66.518900343642599</v>
      </c>
    </row>
    <row r="913" spans="1:13" ht="15" customHeight="1" x14ac:dyDescent="0.25">
      <c r="A913" s="13">
        <v>6704266</v>
      </c>
      <c r="B913" s="27">
        <v>41751</v>
      </c>
      <c r="C913" s="13" t="s">
        <v>194</v>
      </c>
      <c r="D913" s="13" t="s">
        <v>169</v>
      </c>
      <c r="E913" s="28">
        <v>40</v>
      </c>
      <c r="F913" s="25">
        <v>3.33</v>
      </c>
      <c r="G913" s="26">
        <f t="shared" si="144"/>
        <v>86.58</v>
      </c>
      <c r="H913" s="26">
        <v>115</v>
      </c>
      <c r="I913" s="26">
        <v>0</v>
      </c>
      <c r="J913" s="26">
        <f t="shared" si="145"/>
        <v>3.33</v>
      </c>
      <c r="K913" s="26">
        <v>115</v>
      </c>
      <c r="L913" s="14">
        <f t="shared" si="143"/>
        <v>204.91</v>
      </c>
      <c r="M913" s="14">
        <f t="shared" si="146"/>
        <v>61.534534534534529</v>
      </c>
    </row>
    <row r="914" spans="1:13" ht="15.75" customHeight="1" x14ac:dyDescent="0.25">
      <c r="B914" s="27">
        <v>41759</v>
      </c>
      <c r="C914" s="13" t="s">
        <v>174</v>
      </c>
      <c r="D914" s="13" t="s">
        <v>187</v>
      </c>
      <c r="E914" s="28">
        <v>6</v>
      </c>
      <c r="F914" s="29">
        <f>Legend!H$2*1.17</f>
        <v>0.93599999999999994</v>
      </c>
      <c r="H914" s="26">
        <v>70.680000000000007</v>
      </c>
      <c r="J914" s="26"/>
      <c r="K914" s="26"/>
      <c r="L914" s="14">
        <f t="shared" si="143"/>
        <v>70.680000000000007</v>
      </c>
      <c r="M914" s="14">
        <f t="shared" si="146"/>
        <v>75.512820512820525</v>
      </c>
    </row>
    <row r="915" spans="1:13" ht="15" customHeight="1" x14ac:dyDescent="0.25">
      <c r="B915" s="27">
        <v>41759</v>
      </c>
      <c r="C915" s="13" t="s">
        <v>176</v>
      </c>
      <c r="D915" s="13" t="s">
        <v>175</v>
      </c>
      <c r="E915" s="28">
        <v>6</v>
      </c>
      <c r="F915" s="29">
        <f>Legend!H$2*2.34</f>
        <v>1.8719999999999999</v>
      </c>
      <c r="H915" s="26">
        <v>94.32</v>
      </c>
      <c r="J915" s="26"/>
      <c r="K915" s="26"/>
      <c r="L915" s="14">
        <f t="shared" si="143"/>
        <v>94.32</v>
      </c>
      <c r="M915" s="14">
        <f t="shared" si="146"/>
        <v>50.384615384615387</v>
      </c>
    </row>
    <row r="916" spans="1:13" ht="15" customHeight="1" x14ac:dyDescent="0.25">
      <c r="B916" s="27">
        <v>41759</v>
      </c>
      <c r="C916" s="13" t="s">
        <v>177</v>
      </c>
      <c r="D916" s="13" t="s">
        <v>175</v>
      </c>
      <c r="E916" s="28">
        <v>8</v>
      </c>
      <c r="F916" s="29">
        <f>Legend!H$2*3.12</f>
        <v>2.4960000000000004</v>
      </c>
      <c r="H916" s="26">
        <v>129</v>
      </c>
      <c r="J916" s="26"/>
      <c r="K916" s="26"/>
      <c r="L916" s="14">
        <f t="shared" si="143"/>
        <v>129</v>
      </c>
      <c r="M916" s="14">
        <f t="shared" si="146"/>
        <v>51.682692307692299</v>
      </c>
    </row>
    <row r="917" spans="1:13" ht="15" customHeight="1" x14ac:dyDescent="0.25">
      <c r="B917" s="27">
        <v>41759</v>
      </c>
      <c r="C917" s="13" t="s">
        <v>179</v>
      </c>
      <c r="D917" s="13" t="s">
        <v>187</v>
      </c>
      <c r="E917" s="28">
        <v>2</v>
      </c>
      <c r="F917" s="29">
        <f>Legend!H$2*0.39</f>
        <v>0.31200000000000006</v>
      </c>
      <c r="H917" s="26">
        <v>48</v>
      </c>
      <c r="J917" s="26"/>
      <c r="K917" s="26"/>
      <c r="L917" s="14">
        <f t="shared" si="143"/>
        <v>48</v>
      </c>
      <c r="M917" s="14">
        <f t="shared" si="146"/>
        <v>153.84615384615381</v>
      </c>
    </row>
    <row r="918" spans="1:13" ht="15" customHeight="1" x14ac:dyDescent="0.25">
      <c r="B918" s="27">
        <v>41759</v>
      </c>
      <c r="C918" s="13" t="s">
        <v>190</v>
      </c>
      <c r="D918" s="13" t="s">
        <v>187</v>
      </c>
      <c r="E918" s="28">
        <v>8</v>
      </c>
      <c r="F918" s="25">
        <f>Legend!H$2*1.56</f>
        <v>1.2480000000000002</v>
      </c>
      <c r="H918" s="26">
        <v>45.28</v>
      </c>
      <c r="L918" s="14">
        <f t="shared" si="143"/>
        <v>45.28</v>
      </c>
    </row>
    <row r="919" spans="1:13" ht="15" customHeight="1" x14ac:dyDescent="0.25">
      <c r="A919" s="13">
        <v>6704266</v>
      </c>
      <c r="B919" s="27">
        <v>41759</v>
      </c>
      <c r="C919" s="13" t="s">
        <v>170</v>
      </c>
      <c r="D919" s="13" t="s">
        <v>171</v>
      </c>
      <c r="E919" s="28">
        <v>32</v>
      </c>
      <c r="F919" s="25">
        <v>10.35</v>
      </c>
      <c r="G919" s="26">
        <f>F919*$G$2</f>
        <v>269.09999999999997</v>
      </c>
      <c r="H919" s="26">
        <v>115</v>
      </c>
      <c r="I919" s="26">
        <v>0</v>
      </c>
      <c r="J919" s="26">
        <f>F919</f>
        <v>10.35</v>
      </c>
      <c r="K919" s="26">
        <v>115</v>
      </c>
      <c r="L919" s="14">
        <f t="shared" si="143"/>
        <v>394.45</v>
      </c>
      <c r="M919" s="14">
        <f t="shared" ref="M919:M927" si="147">L919/F919</f>
        <v>38.111111111111114</v>
      </c>
    </row>
    <row r="920" spans="1:13" ht="15" customHeight="1" x14ac:dyDescent="0.25">
      <c r="B920" s="27">
        <v>41768</v>
      </c>
      <c r="C920" s="13" t="s">
        <v>176</v>
      </c>
      <c r="D920" s="13" t="s">
        <v>175</v>
      </c>
      <c r="E920" s="28">
        <v>6</v>
      </c>
      <c r="F920" s="29">
        <v>0.9</v>
      </c>
      <c r="H920" s="26">
        <v>54</v>
      </c>
      <c r="J920" s="26"/>
      <c r="K920" s="26"/>
      <c r="L920" s="14">
        <f t="shared" si="143"/>
        <v>54</v>
      </c>
      <c r="M920" s="14">
        <f t="shared" si="147"/>
        <v>60</v>
      </c>
    </row>
    <row r="921" spans="1:13" ht="15" customHeight="1" x14ac:dyDescent="0.25">
      <c r="A921" s="13">
        <v>6723827</v>
      </c>
      <c r="B921" s="27">
        <v>41772</v>
      </c>
      <c r="C921" s="13" t="s">
        <v>128</v>
      </c>
      <c r="D921" s="13" t="s">
        <v>169</v>
      </c>
      <c r="E921" s="28">
        <v>20</v>
      </c>
      <c r="F921" s="25">
        <v>8.08</v>
      </c>
      <c r="G921" s="26">
        <f>F921*$G$2</f>
        <v>210.08</v>
      </c>
      <c r="H921" s="26">
        <v>115</v>
      </c>
      <c r="I921" s="26">
        <v>0</v>
      </c>
      <c r="J921" s="26">
        <f>F921</f>
        <v>8.08</v>
      </c>
      <c r="K921" s="26">
        <f>H921+I921</f>
        <v>115</v>
      </c>
      <c r="L921" s="14">
        <f t="shared" si="143"/>
        <v>333.16</v>
      </c>
      <c r="M921" s="14">
        <f t="shared" si="147"/>
        <v>41.232673267326739</v>
      </c>
    </row>
    <row r="922" spans="1:13" ht="15.75" customHeight="1" x14ac:dyDescent="0.25">
      <c r="A922" s="13">
        <v>6723827</v>
      </c>
      <c r="B922" s="27">
        <v>41772</v>
      </c>
      <c r="C922" s="13" t="s">
        <v>110</v>
      </c>
      <c r="D922" s="13" t="s">
        <v>169</v>
      </c>
      <c r="E922" s="28">
        <v>40</v>
      </c>
      <c r="F922" s="25">
        <v>7.25</v>
      </c>
      <c r="G922" s="26">
        <f>F922*$G$2</f>
        <v>188.5</v>
      </c>
      <c r="H922" s="26">
        <v>115</v>
      </c>
      <c r="I922" s="26">
        <v>0</v>
      </c>
      <c r="J922" s="26">
        <f>F922</f>
        <v>7.25</v>
      </c>
      <c r="K922" s="26">
        <v>115</v>
      </c>
      <c r="L922" s="14">
        <f t="shared" si="143"/>
        <v>310.75</v>
      </c>
      <c r="M922" s="14">
        <f t="shared" si="147"/>
        <v>42.862068965517238</v>
      </c>
    </row>
    <row r="923" spans="1:13" ht="15" customHeight="1" x14ac:dyDescent="0.25">
      <c r="A923" s="13">
        <v>6723827</v>
      </c>
      <c r="B923" s="27">
        <v>41773</v>
      </c>
      <c r="C923" s="13" t="s">
        <v>329</v>
      </c>
      <c r="D923" s="13" t="s">
        <v>186</v>
      </c>
      <c r="E923" s="28">
        <v>30</v>
      </c>
      <c r="F923" s="25">
        <v>7.23</v>
      </c>
      <c r="G923" s="26">
        <f>F923*$G$2</f>
        <v>187.98000000000002</v>
      </c>
      <c r="H923" s="26">
        <v>115</v>
      </c>
      <c r="I923" s="26">
        <v>0</v>
      </c>
      <c r="J923" s="26">
        <f>F923</f>
        <v>7.23</v>
      </c>
      <c r="K923" s="26">
        <v>115</v>
      </c>
      <c r="L923" s="14">
        <f t="shared" si="143"/>
        <v>310.21000000000004</v>
      </c>
      <c r="M923" s="14">
        <f t="shared" si="147"/>
        <v>42.905947441217151</v>
      </c>
    </row>
    <row r="924" spans="1:13" ht="15" customHeight="1" x14ac:dyDescent="0.25">
      <c r="B924" s="27">
        <v>41790</v>
      </c>
      <c r="C924" s="13" t="s">
        <v>174</v>
      </c>
      <c r="D924" s="13" t="s">
        <v>187</v>
      </c>
      <c r="E924" s="28">
        <v>6</v>
      </c>
      <c r="F924" s="29">
        <f>Legend!H$2*1.17</f>
        <v>0.93599999999999994</v>
      </c>
      <c r="H924" s="26">
        <v>70.680000000000007</v>
      </c>
      <c r="J924" s="26"/>
      <c r="K924" s="26"/>
      <c r="L924" s="14">
        <f t="shared" si="143"/>
        <v>70.680000000000007</v>
      </c>
      <c r="M924" s="14">
        <f t="shared" si="147"/>
        <v>75.512820512820525</v>
      </c>
    </row>
    <row r="925" spans="1:13" ht="15" customHeight="1" x14ac:dyDescent="0.25">
      <c r="B925" s="27">
        <v>41790</v>
      </c>
      <c r="C925" s="13" t="s">
        <v>176</v>
      </c>
      <c r="D925" s="13" t="s">
        <v>175</v>
      </c>
      <c r="E925" s="28">
        <v>6</v>
      </c>
      <c r="F925" s="29">
        <f>Legend!H$2*2.34</f>
        <v>1.8719999999999999</v>
      </c>
      <c r="H925" s="26">
        <v>94.32</v>
      </c>
      <c r="J925" s="26"/>
      <c r="K925" s="26"/>
      <c r="L925" s="14">
        <f t="shared" si="143"/>
        <v>94.32</v>
      </c>
      <c r="M925" s="14">
        <f t="shared" si="147"/>
        <v>50.384615384615387</v>
      </c>
    </row>
    <row r="926" spans="1:13" ht="15.75" customHeight="1" x14ac:dyDescent="0.25">
      <c r="B926" s="27">
        <v>41790</v>
      </c>
      <c r="C926" s="13" t="s">
        <v>177</v>
      </c>
      <c r="D926" s="13" t="s">
        <v>175</v>
      </c>
      <c r="E926" s="28">
        <v>8</v>
      </c>
      <c r="F926" s="29">
        <f>Legend!H$2*3.12</f>
        <v>2.4960000000000004</v>
      </c>
      <c r="H926" s="26">
        <v>129</v>
      </c>
      <c r="J926" s="26"/>
      <c r="K926" s="26"/>
      <c r="L926" s="14">
        <f t="shared" si="143"/>
        <v>129</v>
      </c>
      <c r="M926" s="14">
        <f t="shared" si="147"/>
        <v>51.682692307692299</v>
      </c>
    </row>
    <row r="927" spans="1:13" ht="15" customHeight="1" x14ac:dyDescent="0.25">
      <c r="B927" s="27">
        <v>41790</v>
      </c>
      <c r="C927" s="13" t="s">
        <v>179</v>
      </c>
      <c r="D927" s="13" t="s">
        <v>187</v>
      </c>
      <c r="E927" s="28">
        <v>2</v>
      </c>
      <c r="F927" s="29">
        <f>Legend!H$2*0.39</f>
        <v>0.31200000000000006</v>
      </c>
      <c r="H927" s="26">
        <v>48</v>
      </c>
      <c r="J927" s="26"/>
      <c r="K927" s="26"/>
      <c r="L927" s="14">
        <f t="shared" si="143"/>
        <v>48</v>
      </c>
      <c r="M927" s="14">
        <f t="shared" si="147"/>
        <v>153.84615384615381</v>
      </c>
    </row>
    <row r="928" spans="1:13" ht="15" customHeight="1" x14ac:dyDescent="0.25">
      <c r="B928" s="27">
        <v>41790</v>
      </c>
      <c r="C928" s="13" t="s">
        <v>190</v>
      </c>
      <c r="D928" s="13" t="s">
        <v>187</v>
      </c>
      <c r="E928" s="28">
        <v>8</v>
      </c>
      <c r="F928" s="25">
        <f>Legend!H$2*1.56</f>
        <v>1.2480000000000002</v>
      </c>
      <c r="H928" s="26">
        <v>45.28</v>
      </c>
      <c r="L928" s="14">
        <f t="shared" si="143"/>
        <v>45.28</v>
      </c>
    </row>
    <row r="929" spans="1:13" ht="15" customHeight="1" x14ac:dyDescent="0.25">
      <c r="A929" s="13">
        <v>6743223</v>
      </c>
      <c r="B929" s="27">
        <v>41793</v>
      </c>
      <c r="C929" s="13" t="s">
        <v>194</v>
      </c>
      <c r="D929" s="13" t="s">
        <v>169</v>
      </c>
      <c r="E929" s="28">
        <v>40</v>
      </c>
      <c r="F929" s="25">
        <v>2.71</v>
      </c>
      <c r="G929" s="26">
        <f t="shared" ref="G929:G936" si="148">F929*$G$2</f>
        <v>70.459999999999994</v>
      </c>
      <c r="H929" s="26">
        <v>115</v>
      </c>
      <c r="I929" s="26">
        <v>0</v>
      </c>
      <c r="J929" s="26">
        <f t="shared" ref="J929:J936" si="149">F929</f>
        <v>2.71</v>
      </c>
      <c r="K929" s="26">
        <v>115</v>
      </c>
      <c r="L929" s="14">
        <f t="shared" si="143"/>
        <v>188.17</v>
      </c>
      <c r="M929" s="14">
        <f t="shared" ref="M929:M940" si="150">L929/F929</f>
        <v>69.435424354243537</v>
      </c>
    </row>
    <row r="930" spans="1:13" ht="15" customHeight="1" x14ac:dyDescent="0.25">
      <c r="A930" s="13">
        <v>6743223</v>
      </c>
      <c r="B930" s="27">
        <v>41800</v>
      </c>
      <c r="C930" s="13" t="s">
        <v>185</v>
      </c>
      <c r="D930" s="13" t="s">
        <v>169</v>
      </c>
      <c r="E930" s="28">
        <v>40</v>
      </c>
      <c r="F930" s="25">
        <v>6.75</v>
      </c>
      <c r="G930" s="26">
        <f t="shared" si="148"/>
        <v>175.5</v>
      </c>
      <c r="H930" s="26">
        <v>115</v>
      </c>
      <c r="I930" s="26">
        <v>0</v>
      </c>
      <c r="J930" s="26">
        <f t="shared" si="149"/>
        <v>6.75</v>
      </c>
      <c r="K930" s="26">
        <v>115</v>
      </c>
      <c r="L930" s="14">
        <f t="shared" si="143"/>
        <v>297.25</v>
      </c>
      <c r="M930" s="14">
        <f t="shared" si="150"/>
        <v>44.037037037037038</v>
      </c>
    </row>
    <row r="931" spans="1:13" ht="15.75" customHeight="1" x14ac:dyDescent="0.25">
      <c r="A931" s="13">
        <v>6743223</v>
      </c>
      <c r="B931" s="27">
        <v>41800</v>
      </c>
      <c r="C931" s="13" t="s">
        <v>287</v>
      </c>
      <c r="D931" s="13" t="s">
        <v>171</v>
      </c>
      <c r="E931" s="28">
        <v>32</v>
      </c>
      <c r="F931" s="25">
        <v>9.9700000000000006</v>
      </c>
      <c r="G931" s="26">
        <f t="shared" si="148"/>
        <v>259.22000000000003</v>
      </c>
      <c r="H931" s="26">
        <v>115</v>
      </c>
      <c r="I931" s="26">
        <v>0</v>
      </c>
      <c r="J931" s="26">
        <f t="shared" si="149"/>
        <v>9.9700000000000006</v>
      </c>
      <c r="K931" s="26">
        <v>115</v>
      </c>
      <c r="L931" s="14">
        <f t="shared" si="143"/>
        <v>384.19000000000005</v>
      </c>
      <c r="M931" s="14">
        <f t="shared" si="150"/>
        <v>38.534603811434309</v>
      </c>
    </row>
    <row r="932" spans="1:13" ht="15" customHeight="1" x14ac:dyDescent="0.25">
      <c r="A932" s="13">
        <v>6743223</v>
      </c>
      <c r="B932" s="27">
        <v>41805</v>
      </c>
      <c r="C932" s="13" t="s">
        <v>173</v>
      </c>
      <c r="D932" s="13" t="s">
        <v>186</v>
      </c>
      <c r="E932" s="28">
        <v>30</v>
      </c>
      <c r="F932" s="25">
        <v>1.45</v>
      </c>
      <c r="G932" s="26">
        <f t="shared" si="148"/>
        <v>37.699999999999996</v>
      </c>
      <c r="H932" s="26">
        <v>115</v>
      </c>
      <c r="I932" s="26">
        <v>0</v>
      </c>
      <c r="J932" s="26">
        <f t="shared" si="149"/>
        <v>1.45</v>
      </c>
      <c r="K932" s="26">
        <v>115</v>
      </c>
      <c r="L932" s="14">
        <f t="shared" si="143"/>
        <v>154.14999999999998</v>
      </c>
      <c r="M932" s="14">
        <f t="shared" si="150"/>
        <v>106.31034482758619</v>
      </c>
    </row>
    <row r="933" spans="1:13" ht="15" customHeight="1" x14ac:dyDescent="0.25">
      <c r="A933" s="13">
        <v>6743223</v>
      </c>
      <c r="B933" s="27">
        <v>41809</v>
      </c>
      <c r="C933" s="13" t="s">
        <v>173</v>
      </c>
      <c r="D933" s="13" t="s">
        <v>186</v>
      </c>
      <c r="E933" s="28">
        <v>30</v>
      </c>
      <c r="F933" s="25">
        <v>7.74</v>
      </c>
      <c r="G933" s="26">
        <f t="shared" si="148"/>
        <v>201.24</v>
      </c>
      <c r="H933" s="26">
        <v>115</v>
      </c>
      <c r="I933" s="26">
        <v>0</v>
      </c>
      <c r="J933" s="26">
        <f t="shared" si="149"/>
        <v>7.74</v>
      </c>
      <c r="K933" s="26">
        <v>115</v>
      </c>
      <c r="L933" s="14">
        <f t="shared" si="143"/>
        <v>323.98</v>
      </c>
      <c r="M933" s="14">
        <f t="shared" si="150"/>
        <v>41.857881136950908</v>
      </c>
    </row>
    <row r="934" spans="1:13" ht="15" customHeight="1" x14ac:dyDescent="0.25">
      <c r="A934" s="13">
        <v>6743223</v>
      </c>
      <c r="B934" s="27">
        <v>41813</v>
      </c>
      <c r="C934" s="13" t="s">
        <v>128</v>
      </c>
      <c r="D934" s="13" t="s">
        <v>186</v>
      </c>
      <c r="E934" s="28">
        <v>35</v>
      </c>
      <c r="F934" s="25">
        <v>9.42</v>
      </c>
      <c r="G934" s="26">
        <f t="shared" si="148"/>
        <v>244.92</v>
      </c>
      <c r="H934" s="26">
        <v>115</v>
      </c>
      <c r="I934" s="26">
        <v>0</v>
      </c>
      <c r="J934" s="26">
        <f t="shared" si="149"/>
        <v>9.42</v>
      </c>
      <c r="K934" s="26">
        <v>115</v>
      </c>
      <c r="L934" s="14">
        <f t="shared" si="143"/>
        <v>369.34</v>
      </c>
      <c r="M934" s="14">
        <f t="shared" si="150"/>
        <v>39.208067940552013</v>
      </c>
    </row>
    <row r="935" spans="1:13" x14ac:dyDescent="0.25">
      <c r="A935" s="13">
        <v>6743223</v>
      </c>
      <c r="B935" s="27">
        <v>41813</v>
      </c>
      <c r="C935" s="13" t="s">
        <v>185</v>
      </c>
      <c r="D935" s="13" t="s">
        <v>169</v>
      </c>
      <c r="E935" s="28">
        <v>40</v>
      </c>
      <c r="F935" s="25">
        <v>3.62</v>
      </c>
      <c r="G935" s="26">
        <f t="shared" si="148"/>
        <v>94.12</v>
      </c>
      <c r="H935" s="26">
        <v>115</v>
      </c>
      <c r="I935" s="26">
        <v>0</v>
      </c>
      <c r="J935" s="26">
        <f t="shared" si="149"/>
        <v>3.62</v>
      </c>
      <c r="K935" s="26">
        <v>115</v>
      </c>
      <c r="L935" s="14">
        <f t="shared" si="143"/>
        <v>212.74</v>
      </c>
      <c r="M935" s="14">
        <f t="shared" si="150"/>
        <v>58.767955801104975</v>
      </c>
    </row>
    <row r="936" spans="1:13" ht="15" customHeight="1" x14ac:dyDescent="0.25">
      <c r="A936" s="13">
        <v>6743223</v>
      </c>
      <c r="B936" s="27">
        <v>41815</v>
      </c>
      <c r="C936" s="13" t="s">
        <v>170</v>
      </c>
      <c r="D936" s="13" t="s">
        <v>171</v>
      </c>
      <c r="E936" s="28">
        <v>32</v>
      </c>
      <c r="F936" s="25">
        <v>11.95</v>
      </c>
      <c r="G936" s="26">
        <f t="shared" si="148"/>
        <v>310.7</v>
      </c>
      <c r="H936" s="26">
        <v>115</v>
      </c>
      <c r="I936" s="26">
        <v>0</v>
      </c>
      <c r="J936" s="26">
        <f t="shared" si="149"/>
        <v>11.95</v>
      </c>
      <c r="K936" s="26">
        <v>115</v>
      </c>
      <c r="L936" s="14">
        <f t="shared" si="143"/>
        <v>437.65</v>
      </c>
      <c r="M936" s="14">
        <f t="shared" si="150"/>
        <v>36.623430962343093</v>
      </c>
    </row>
    <row r="937" spans="1:13" ht="15" customHeight="1" x14ac:dyDescent="0.25">
      <c r="B937" s="27">
        <v>41820</v>
      </c>
      <c r="C937" s="13" t="s">
        <v>174</v>
      </c>
      <c r="D937" s="13" t="s">
        <v>187</v>
      </c>
      <c r="E937" s="28">
        <v>6</v>
      </c>
      <c r="F937" s="29">
        <f>Legend!H$2*1.17</f>
        <v>0.93599999999999994</v>
      </c>
      <c r="H937" s="26">
        <v>70.680000000000007</v>
      </c>
      <c r="J937" s="26"/>
      <c r="K937" s="26"/>
      <c r="L937" s="14">
        <f t="shared" si="143"/>
        <v>70.680000000000007</v>
      </c>
      <c r="M937" s="14">
        <f t="shared" si="150"/>
        <v>75.512820512820525</v>
      </c>
    </row>
    <row r="938" spans="1:13" ht="15" customHeight="1" x14ac:dyDescent="0.25">
      <c r="B938" s="27">
        <v>41820</v>
      </c>
      <c r="C938" s="13" t="s">
        <v>176</v>
      </c>
      <c r="D938" s="13" t="s">
        <v>175</v>
      </c>
      <c r="E938" s="28">
        <v>6</v>
      </c>
      <c r="F938" s="29">
        <f>Legend!H$2*2.34</f>
        <v>1.8719999999999999</v>
      </c>
      <c r="H938" s="26">
        <v>94.32</v>
      </c>
      <c r="J938" s="26"/>
      <c r="K938" s="26"/>
      <c r="L938" s="14">
        <f t="shared" si="143"/>
        <v>94.32</v>
      </c>
      <c r="M938" s="14">
        <f t="shared" si="150"/>
        <v>50.384615384615387</v>
      </c>
    </row>
    <row r="939" spans="1:13" ht="15" customHeight="1" x14ac:dyDescent="0.25">
      <c r="B939" s="27">
        <v>41820</v>
      </c>
      <c r="C939" s="13" t="s">
        <v>177</v>
      </c>
      <c r="D939" s="13" t="s">
        <v>175</v>
      </c>
      <c r="E939" s="28">
        <v>8</v>
      </c>
      <c r="F939" s="29">
        <f>Legend!H$2*3.12</f>
        <v>2.4960000000000004</v>
      </c>
      <c r="H939" s="26">
        <v>129</v>
      </c>
      <c r="J939" s="26"/>
      <c r="K939" s="26"/>
      <c r="L939" s="14">
        <f t="shared" si="143"/>
        <v>129</v>
      </c>
      <c r="M939" s="14">
        <f t="shared" si="150"/>
        <v>51.682692307692299</v>
      </c>
    </row>
    <row r="940" spans="1:13" ht="15" customHeight="1" x14ac:dyDescent="0.25">
      <c r="B940" s="27">
        <v>41820</v>
      </c>
      <c r="C940" s="13" t="s">
        <v>179</v>
      </c>
      <c r="D940" s="13" t="s">
        <v>187</v>
      </c>
      <c r="E940" s="28">
        <v>2</v>
      </c>
      <c r="F940" s="29">
        <f>Legend!H$2*0.39</f>
        <v>0.31200000000000006</v>
      </c>
      <c r="H940" s="26">
        <v>48</v>
      </c>
      <c r="J940" s="26"/>
      <c r="K940" s="26"/>
      <c r="L940" s="14">
        <f t="shared" si="143"/>
        <v>48</v>
      </c>
      <c r="M940" s="14">
        <f t="shared" si="150"/>
        <v>153.84615384615381</v>
      </c>
    </row>
    <row r="941" spans="1:13" ht="15" customHeight="1" x14ac:dyDescent="0.25">
      <c r="B941" s="27">
        <v>41820</v>
      </c>
      <c r="C941" s="13" t="s">
        <v>190</v>
      </c>
      <c r="D941" s="13" t="s">
        <v>187</v>
      </c>
      <c r="E941" s="28">
        <v>8</v>
      </c>
      <c r="F941" s="25">
        <f>Legend!H$2*1.56</f>
        <v>1.2480000000000002</v>
      </c>
      <c r="H941" s="26">
        <v>45.28</v>
      </c>
      <c r="L941" s="14">
        <f t="shared" si="143"/>
        <v>45.28</v>
      </c>
    </row>
  </sheetData>
  <autoFilter ref="A3:M894">
    <sortState ref="A4:M946">
      <sortCondition ref="B3:B894"/>
    </sortState>
  </autoFilter>
  <pageMargins left="0.7" right="0.7" top="0.75" bottom="0.75" header="0.3" footer="0.3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1" workbookViewId="0">
      <selection activeCell="C54" sqref="C54"/>
    </sheetView>
  </sheetViews>
  <sheetFormatPr defaultColWidth="8.85546875" defaultRowHeight="12.75" x14ac:dyDescent="0.2"/>
  <cols>
    <col min="1" max="1" width="10.140625" style="23" bestFit="1" customWidth="1"/>
    <col min="2" max="2" width="15.7109375" style="23" customWidth="1"/>
    <col min="3" max="3" width="19.42578125" style="23" customWidth="1"/>
    <col min="4" max="4" width="14" style="23" customWidth="1"/>
    <col min="5" max="5" width="12" style="23" customWidth="1"/>
    <col min="6" max="6" width="14.42578125" style="23" customWidth="1"/>
    <col min="7" max="16384" width="8.85546875" style="23"/>
  </cols>
  <sheetData>
    <row r="1" spans="1:7" x14ac:dyDescent="0.2">
      <c r="A1" s="23" t="s">
        <v>135</v>
      </c>
      <c r="B1" s="23" t="s">
        <v>29</v>
      </c>
      <c r="C1" s="23" t="s">
        <v>136</v>
      </c>
      <c r="D1" s="23" t="s">
        <v>137</v>
      </c>
      <c r="E1" s="23" t="s">
        <v>138</v>
      </c>
      <c r="F1" s="23" t="s">
        <v>244</v>
      </c>
      <c r="G1" s="23" t="s">
        <v>245</v>
      </c>
    </row>
    <row r="2" spans="1:7" x14ac:dyDescent="0.2">
      <c r="A2" s="24">
        <v>41120</v>
      </c>
      <c r="B2" s="23" t="s">
        <v>80</v>
      </c>
      <c r="C2" s="23" t="s">
        <v>139</v>
      </c>
      <c r="D2" s="23">
        <v>200</v>
      </c>
      <c r="E2" s="23">
        <v>30</v>
      </c>
      <c r="F2" s="23">
        <f t="shared" ref="F2:F32" si="0">D2*E2</f>
        <v>6000</v>
      </c>
      <c r="G2" s="23">
        <f>F2/2000</f>
        <v>3</v>
      </c>
    </row>
    <row r="3" spans="1:7" x14ac:dyDescent="0.2">
      <c r="C3" s="23" t="s">
        <v>140</v>
      </c>
      <c r="D3" s="23">
        <v>350</v>
      </c>
      <c r="E3" s="23">
        <v>10</v>
      </c>
      <c r="F3" s="23">
        <f t="shared" si="0"/>
        <v>3500</v>
      </c>
      <c r="G3" s="23">
        <f t="shared" ref="G3:G32" si="1">F3/2000</f>
        <v>1.75</v>
      </c>
    </row>
    <row r="4" spans="1:7" x14ac:dyDescent="0.2">
      <c r="C4" s="23" t="s">
        <v>141</v>
      </c>
      <c r="D4" s="23">
        <v>4</v>
      </c>
      <c r="E4" s="23">
        <v>150</v>
      </c>
      <c r="F4" s="23">
        <f t="shared" si="0"/>
        <v>600</v>
      </c>
      <c r="G4" s="23">
        <f t="shared" si="1"/>
        <v>0.3</v>
      </c>
    </row>
    <row r="5" spans="1:7" x14ac:dyDescent="0.2">
      <c r="C5" s="23" t="s">
        <v>142</v>
      </c>
      <c r="D5" s="23">
        <v>40</v>
      </c>
      <c r="E5" s="23">
        <v>45</v>
      </c>
      <c r="F5" s="23">
        <f t="shared" si="0"/>
        <v>1800</v>
      </c>
      <c r="G5" s="23">
        <f t="shared" si="1"/>
        <v>0.9</v>
      </c>
    </row>
    <row r="6" spans="1:7" x14ac:dyDescent="0.2">
      <c r="C6" s="23" t="s">
        <v>143</v>
      </c>
      <c r="D6" s="23">
        <v>80</v>
      </c>
      <c r="E6" s="23">
        <v>45</v>
      </c>
      <c r="F6" s="23">
        <f t="shared" si="0"/>
        <v>3600</v>
      </c>
      <c r="G6" s="23">
        <f t="shared" si="1"/>
        <v>1.8</v>
      </c>
    </row>
    <row r="7" spans="1:7" x14ac:dyDescent="0.2">
      <c r="C7" s="23" t="s">
        <v>144</v>
      </c>
      <c r="D7" s="23">
        <v>50</v>
      </c>
      <c r="E7" s="23">
        <v>30</v>
      </c>
      <c r="F7" s="23">
        <f t="shared" si="0"/>
        <v>1500</v>
      </c>
      <c r="G7" s="23">
        <f t="shared" si="1"/>
        <v>0.75</v>
      </c>
    </row>
    <row r="8" spans="1:7" x14ac:dyDescent="0.2">
      <c r="A8" s="24">
        <v>41130</v>
      </c>
      <c r="B8" s="23" t="s">
        <v>145</v>
      </c>
      <c r="C8" s="23" t="s">
        <v>144</v>
      </c>
      <c r="D8" s="23">
        <v>52</v>
      </c>
      <c r="E8" s="23">
        <v>30</v>
      </c>
      <c r="F8" s="23">
        <f t="shared" si="0"/>
        <v>1560</v>
      </c>
      <c r="G8" s="23">
        <f t="shared" si="1"/>
        <v>0.78</v>
      </c>
    </row>
    <row r="9" spans="1:7" x14ac:dyDescent="0.2">
      <c r="C9" s="23" t="s">
        <v>146</v>
      </c>
      <c r="D9" s="23">
        <v>3</v>
      </c>
      <c r="E9" s="23">
        <v>50</v>
      </c>
      <c r="F9" s="23">
        <f t="shared" si="0"/>
        <v>150</v>
      </c>
      <c r="G9" s="23">
        <f t="shared" si="1"/>
        <v>7.4999999999999997E-2</v>
      </c>
    </row>
    <row r="10" spans="1:7" x14ac:dyDescent="0.2">
      <c r="C10" s="23" t="s">
        <v>147</v>
      </c>
      <c r="D10" s="23">
        <v>2</v>
      </c>
      <c r="E10" s="23">
        <v>150</v>
      </c>
      <c r="F10" s="23">
        <f t="shared" si="0"/>
        <v>300</v>
      </c>
      <c r="G10" s="23">
        <f t="shared" si="1"/>
        <v>0.15</v>
      </c>
    </row>
    <row r="11" spans="1:7" x14ac:dyDescent="0.2">
      <c r="C11" s="23" t="s">
        <v>148</v>
      </c>
      <c r="D11" s="23">
        <v>1</v>
      </c>
      <c r="E11" s="23">
        <v>150</v>
      </c>
      <c r="F11" s="23">
        <f t="shared" si="0"/>
        <v>150</v>
      </c>
      <c r="G11" s="23">
        <f t="shared" si="1"/>
        <v>7.4999999999999997E-2</v>
      </c>
    </row>
    <row r="12" spans="1:7" x14ac:dyDescent="0.2">
      <c r="C12" s="23" t="s">
        <v>143</v>
      </c>
      <c r="D12" s="23">
        <v>12</v>
      </c>
      <c r="E12" s="23">
        <v>45</v>
      </c>
      <c r="F12" s="23">
        <f t="shared" si="0"/>
        <v>540</v>
      </c>
      <c r="G12" s="23">
        <f t="shared" si="1"/>
        <v>0.27</v>
      </c>
    </row>
    <row r="13" spans="1:7" x14ac:dyDescent="0.2">
      <c r="A13" s="24">
        <v>41131</v>
      </c>
      <c r="B13" s="23" t="s">
        <v>80</v>
      </c>
      <c r="C13" s="23" t="s">
        <v>149</v>
      </c>
      <c r="D13" s="23">
        <v>20</v>
      </c>
      <c r="E13" s="23">
        <v>30</v>
      </c>
      <c r="F13" s="23">
        <f t="shared" si="0"/>
        <v>600</v>
      </c>
      <c r="G13" s="23">
        <f t="shared" si="1"/>
        <v>0.3</v>
      </c>
    </row>
    <row r="14" spans="1:7" x14ac:dyDescent="0.2">
      <c r="A14" s="24"/>
      <c r="C14" s="23" t="s">
        <v>148</v>
      </c>
      <c r="D14" s="23">
        <v>11</v>
      </c>
      <c r="E14" s="23">
        <v>150</v>
      </c>
      <c r="F14" s="23">
        <f t="shared" si="0"/>
        <v>1650</v>
      </c>
      <c r="G14" s="23">
        <f t="shared" si="1"/>
        <v>0.82499999999999996</v>
      </c>
    </row>
    <row r="15" spans="1:7" x14ac:dyDescent="0.2">
      <c r="A15" s="24">
        <v>41134</v>
      </c>
      <c r="B15" s="23" t="s">
        <v>145</v>
      </c>
      <c r="C15" s="23" t="s">
        <v>148</v>
      </c>
      <c r="D15" s="23">
        <v>10</v>
      </c>
      <c r="E15" s="23">
        <v>150</v>
      </c>
      <c r="F15" s="23">
        <f t="shared" si="0"/>
        <v>1500</v>
      </c>
      <c r="G15" s="23">
        <f t="shared" si="1"/>
        <v>0.75</v>
      </c>
    </row>
    <row r="16" spans="1:7" x14ac:dyDescent="0.2">
      <c r="A16" s="24">
        <v>44061</v>
      </c>
      <c r="B16" s="23" t="s">
        <v>80</v>
      </c>
      <c r="C16" s="23" t="s">
        <v>150</v>
      </c>
      <c r="D16" s="23">
        <v>30</v>
      </c>
      <c r="E16" s="23">
        <v>200</v>
      </c>
      <c r="F16" s="23">
        <f t="shared" si="0"/>
        <v>6000</v>
      </c>
      <c r="G16" s="23">
        <f t="shared" si="1"/>
        <v>3</v>
      </c>
    </row>
    <row r="17" spans="1:7" x14ac:dyDescent="0.2">
      <c r="A17" s="24">
        <v>41158</v>
      </c>
      <c r="B17" s="23" t="s">
        <v>80</v>
      </c>
      <c r="C17" s="23" t="s">
        <v>141</v>
      </c>
      <c r="D17" s="23">
        <v>28</v>
      </c>
      <c r="E17" s="23">
        <v>150</v>
      </c>
      <c r="F17" s="23">
        <f t="shared" si="0"/>
        <v>4200</v>
      </c>
      <c r="G17" s="23">
        <f t="shared" si="1"/>
        <v>2.1</v>
      </c>
    </row>
    <row r="18" spans="1:7" x14ac:dyDescent="0.2">
      <c r="A18" s="24">
        <v>41206</v>
      </c>
      <c r="B18" s="23" t="s">
        <v>145</v>
      </c>
      <c r="C18" s="23" t="s">
        <v>151</v>
      </c>
      <c r="D18" s="23">
        <v>10000</v>
      </c>
      <c r="E18" s="23">
        <v>8</v>
      </c>
      <c r="F18" s="23">
        <f t="shared" si="0"/>
        <v>80000</v>
      </c>
      <c r="G18" s="23">
        <f t="shared" si="1"/>
        <v>40</v>
      </c>
    </row>
    <row r="19" spans="1:7" x14ac:dyDescent="0.2">
      <c r="A19" s="24">
        <v>41211</v>
      </c>
      <c r="B19" s="23" t="s">
        <v>145</v>
      </c>
      <c r="C19" s="23" t="s">
        <v>152</v>
      </c>
      <c r="D19" s="23">
        <v>40</v>
      </c>
      <c r="E19" s="23">
        <v>20</v>
      </c>
      <c r="F19" s="23">
        <f t="shared" si="0"/>
        <v>800</v>
      </c>
      <c r="G19" s="23">
        <f t="shared" si="1"/>
        <v>0.4</v>
      </c>
    </row>
    <row r="20" spans="1:7" x14ac:dyDescent="0.2">
      <c r="A20" s="24">
        <v>41233</v>
      </c>
      <c r="B20" s="23" t="s">
        <v>80</v>
      </c>
      <c r="C20" s="23" t="s">
        <v>153</v>
      </c>
      <c r="D20" s="23">
        <v>200</v>
      </c>
      <c r="E20" s="23">
        <v>1</v>
      </c>
      <c r="F20" s="23">
        <f t="shared" si="0"/>
        <v>200</v>
      </c>
      <c r="G20" s="23">
        <f t="shared" si="1"/>
        <v>0.1</v>
      </c>
    </row>
    <row r="21" spans="1:7" x14ac:dyDescent="0.2">
      <c r="A21" s="24">
        <v>41248</v>
      </c>
      <c r="B21" s="23" t="s">
        <v>80</v>
      </c>
      <c r="C21" s="23" t="s">
        <v>154</v>
      </c>
      <c r="D21" s="23">
        <v>1</v>
      </c>
      <c r="E21" s="23">
        <v>500</v>
      </c>
      <c r="F21" s="23">
        <f t="shared" si="0"/>
        <v>500</v>
      </c>
      <c r="G21" s="23">
        <f t="shared" si="1"/>
        <v>0.25</v>
      </c>
    </row>
    <row r="22" spans="1:7" x14ac:dyDescent="0.2">
      <c r="C22" s="23" t="s">
        <v>155</v>
      </c>
      <c r="D22" s="23">
        <v>2</v>
      </c>
      <c r="E22" s="23">
        <v>100</v>
      </c>
      <c r="F22" s="23">
        <f t="shared" si="0"/>
        <v>200</v>
      </c>
      <c r="G22" s="23">
        <f t="shared" si="1"/>
        <v>0.1</v>
      </c>
    </row>
    <row r="23" spans="1:7" x14ac:dyDescent="0.2">
      <c r="A23" s="24">
        <v>41415</v>
      </c>
      <c r="B23" s="23" t="s">
        <v>80</v>
      </c>
      <c r="C23" s="23" t="s">
        <v>156</v>
      </c>
      <c r="D23" s="23">
        <v>500</v>
      </c>
      <c r="E23" s="23">
        <v>1</v>
      </c>
      <c r="F23" s="23">
        <f t="shared" si="0"/>
        <v>500</v>
      </c>
      <c r="G23" s="23">
        <f t="shared" si="1"/>
        <v>0.25</v>
      </c>
    </row>
    <row r="24" spans="1:7" x14ac:dyDescent="0.2">
      <c r="A24" s="24">
        <v>41495</v>
      </c>
      <c r="B24" s="23" t="s">
        <v>80</v>
      </c>
      <c r="C24" s="23" t="s">
        <v>263</v>
      </c>
      <c r="D24" s="23">
        <v>84</v>
      </c>
      <c r="E24" s="23">
        <v>70</v>
      </c>
      <c r="F24" s="23">
        <f t="shared" si="0"/>
        <v>5880</v>
      </c>
      <c r="G24" s="23">
        <f t="shared" si="1"/>
        <v>2.94</v>
      </c>
    </row>
    <row r="25" spans="1:7" x14ac:dyDescent="0.2">
      <c r="C25" s="23" t="s">
        <v>264</v>
      </c>
      <c r="D25" s="23">
        <v>144</v>
      </c>
      <c r="E25" s="23">
        <v>15</v>
      </c>
      <c r="F25" s="23">
        <f t="shared" si="0"/>
        <v>2160</v>
      </c>
      <c r="G25" s="23">
        <f t="shared" si="1"/>
        <v>1.08</v>
      </c>
    </row>
    <row r="26" spans="1:7" x14ac:dyDescent="0.2">
      <c r="C26" s="23" t="s">
        <v>265</v>
      </c>
      <c r="D26" s="23">
        <v>122</v>
      </c>
      <c r="E26" s="23">
        <v>15</v>
      </c>
      <c r="F26" s="23">
        <f t="shared" si="0"/>
        <v>1830</v>
      </c>
      <c r="G26" s="23">
        <f t="shared" si="1"/>
        <v>0.91500000000000004</v>
      </c>
    </row>
    <row r="27" spans="1:7" x14ac:dyDescent="0.2">
      <c r="C27" s="23" t="s">
        <v>266</v>
      </c>
      <c r="D27" s="23">
        <v>25</v>
      </c>
      <c r="E27" s="23">
        <v>30</v>
      </c>
      <c r="F27" s="23">
        <f t="shared" si="0"/>
        <v>750</v>
      </c>
      <c r="G27" s="23">
        <f t="shared" si="1"/>
        <v>0.375</v>
      </c>
    </row>
    <row r="28" spans="1:7" x14ac:dyDescent="0.2">
      <c r="C28" s="23" t="s">
        <v>267</v>
      </c>
      <c r="D28" s="23">
        <v>24</v>
      </c>
      <c r="E28" s="23">
        <v>30</v>
      </c>
      <c r="F28" s="23">
        <f t="shared" si="0"/>
        <v>720</v>
      </c>
      <c r="G28" s="23">
        <f t="shared" si="1"/>
        <v>0.36</v>
      </c>
    </row>
    <row r="29" spans="1:7" x14ac:dyDescent="0.2">
      <c r="C29" s="23" t="s">
        <v>268</v>
      </c>
      <c r="D29" s="23">
        <v>12</v>
      </c>
      <c r="E29" s="23">
        <v>70</v>
      </c>
      <c r="F29" s="23">
        <f t="shared" si="0"/>
        <v>840</v>
      </c>
      <c r="G29" s="23">
        <f t="shared" si="1"/>
        <v>0.42</v>
      </c>
    </row>
    <row r="30" spans="1:7" x14ac:dyDescent="0.2">
      <c r="C30" s="23" t="s">
        <v>269</v>
      </c>
      <c r="D30" s="23">
        <v>12</v>
      </c>
      <c r="E30" s="23">
        <v>12</v>
      </c>
      <c r="F30" s="23">
        <f t="shared" si="0"/>
        <v>144</v>
      </c>
      <c r="G30" s="23">
        <f t="shared" si="1"/>
        <v>7.1999999999999995E-2</v>
      </c>
    </row>
    <row r="31" spans="1:7" x14ac:dyDescent="0.2">
      <c r="C31" s="23" t="s">
        <v>270</v>
      </c>
      <c r="D31" s="23">
        <v>10</v>
      </c>
      <c r="E31" s="23">
        <v>50</v>
      </c>
      <c r="F31" s="23">
        <f t="shared" si="0"/>
        <v>500</v>
      </c>
      <c r="G31" s="23">
        <f t="shared" si="1"/>
        <v>0.25</v>
      </c>
    </row>
    <row r="32" spans="1:7" x14ac:dyDescent="0.2">
      <c r="C32" s="23" t="s">
        <v>271</v>
      </c>
      <c r="D32" s="23">
        <v>10</v>
      </c>
      <c r="E32" s="23">
        <v>45</v>
      </c>
      <c r="F32" s="23">
        <f t="shared" si="0"/>
        <v>450</v>
      </c>
      <c r="G32" s="23">
        <f t="shared" si="1"/>
        <v>0.22500000000000001</v>
      </c>
    </row>
    <row r="33" spans="1:7" x14ac:dyDescent="0.2">
      <c r="A33" s="24">
        <v>41646</v>
      </c>
      <c r="B33" s="23" t="s">
        <v>80</v>
      </c>
      <c r="C33" s="23" t="s">
        <v>263</v>
      </c>
      <c r="D33" s="23">
        <v>110</v>
      </c>
      <c r="E33" s="23">
        <v>70</v>
      </c>
      <c r="F33" s="23">
        <f>D33*E33</f>
        <v>7700</v>
      </c>
      <c r="G33" s="23">
        <f>F33/2000</f>
        <v>3.85</v>
      </c>
    </row>
    <row r="34" spans="1:7" x14ac:dyDescent="0.2">
      <c r="C34" s="23" t="s">
        <v>265</v>
      </c>
      <c r="D34" s="23">
        <v>186</v>
      </c>
      <c r="E34" s="23">
        <v>15</v>
      </c>
      <c r="F34" s="23">
        <f>D34*E34</f>
        <v>2790</v>
      </c>
      <c r="G34" s="23">
        <f>F34/2000</f>
        <v>1.395</v>
      </c>
    </row>
    <row r="35" spans="1:7" x14ac:dyDescent="0.2">
      <c r="C35" s="23" t="s">
        <v>269</v>
      </c>
      <c r="D35" s="23">
        <v>5</v>
      </c>
      <c r="E35" s="23">
        <v>12</v>
      </c>
      <c r="F35" s="23">
        <f>D35*E35</f>
        <v>60</v>
      </c>
      <c r="G35" s="23">
        <f>F35/2000</f>
        <v>0.03</v>
      </c>
    </row>
    <row r="36" spans="1:7" x14ac:dyDescent="0.2">
      <c r="A36" s="24">
        <v>41683</v>
      </c>
      <c r="B36" s="23" t="s">
        <v>80</v>
      </c>
      <c r="C36" s="23" t="s">
        <v>150</v>
      </c>
      <c r="D36" s="23">
        <v>1</v>
      </c>
      <c r="E36" s="23">
        <v>400</v>
      </c>
      <c r="F36" s="23">
        <f t="shared" ref="F36:F41" si="2">D36*E36</f>
        <v>400</v>
      </c>
      <c r="G36" s="23">
        <f t="shared" ref="G36:G41" si="3">F36/2000</f>
        <v>0.2</v>
      </c>
    </row>
    <row r="37" spans="1:7" x14ac:dyDescent="0.2">
      <c r="C37" s="23" t="s">
        <v>142</v>
      </c>
      <c r="D37" s="23">
        <v>20</v>
      </c>
      <c r="E37" s="23">
        <v>45</v>
      </c>
      <c r="F37" s="23">
        <f t="shared" si="2"/>
        <v>900</v>
      </c>
      <c r="G37" s="23">
        <f t="shared" si="3"/>
        <v>0.45</v>
      </c>
    </row>
    <row r="38" spans="1:7" x14ac:dyDescent="0.2">
      <c r="C38" s="23" t="s">
        <v>302</v>
      </c>
      <c r="D38" s="23">
        <v>2</v>
      </c>
      <c r="E38" s="23">
        <v>200</v>
      </c>
      <c r="F38" s="23">
        <f t="shared" si="2"/>
        <v>400</v>
      </c>
      <c r="G38" s="23">
        <f t="shared" si="3"/>
        <v>0.2</v>
      </c>
    </row>
    <row r="39" spans="1:7" x14ac:dyDescent="0.2">
      <c r="A39" s="24">
        <v>41864</v>
      </c>
      <c r="B39" s="23" t="s">
        <v>80</v>
      </c>
      <c r="C39" s="23" t="s">
        <v>322</v>
      </c>
      <c r="D39" s="23">
        <v>5</v>
      </c>
      <c r="E39" s="23">
        <v>300</v>
      </c>
      <c r="F39" s="23">
        <f t="shared" si="2"/>
        <v>1500</v>
      </c>
      <c r="G39" s="23">
        <f t="shared" si="3"/>
        <v>0.75</v>
      </c>
    </row>
    <row r="40" spans="1:7" x14ac:dyDescent="0.2">
      <c r="A40" s="24"/>
      <c r="C40" s="23" t="s">
        <v>323</v>
      </c>
      <c r="D40" s="23">
        <v>1</v>
      </c>
      <c r="E40" s="23">
        <v>200</v>
      </c>
      <c r="F40" s="23">
        <f t="shared" si="2"/>
        <v>200</v>
      </c>
      <c r="G40" s="23">
        <f t="shared" si="3"/>
        <v>0.1</v>
      </c>
    </row>
    <row r="41" spans="1:7" x14ac:dyDescent="0.2">
      <c r="A41" s="24"/>
      <c r="C41" s="23" t="s">
        <v>324</v>
      </c>
      <c r="D41" s="23">
        <v>20</v>
      </c>
      <c r="E41" s="23">
        <v>30</v>
      </c>
      <c r="F41" s="23">
        <f t="shared" si="2"/>
        <v>600</v>
      </c>
      <c r="G41" s="23">
        <f t="shared" si="3"/>
        <v>0.3</v>
      </c>
    </row>
    <row r="42" spans="1:7" x14ac:dyDescent="0.2">
      <c r="A42" s="24">
        <v>41920</v>
      </c>
      <c r="B42" s="23" t="s">
        <v>80</v>
      </c>
      <c r="C42" s="23" t="s">
        <v>332</v>
      </c>
      <c r="D42" s="23">
        <v>30</v>
      </c>
      <c r="E42" s="23">
        <v>30</v>
      </c>
      <c r="F42" s="23">
        <f t="shared" ref="F42:F51" si="4">D42*E42</f>
        <v>900</v>
      </c>
      <c r="G42" s="23">
        <f t="shared" ref="G42:G51" si="5">F42/2000</f>
        <v>0.45</v>
      </c>
    </row>
    <row r="43" spans="1:7" x14ac:dyDescent="0.2">
      <c r="A43" s="24">
        <v>41892</v>
      </c>
      <c r="B43" s="23" t="s">
        <v>80</v>
      </c>
      <c r="C43" s="23" t="s">
        <v>143</v>
      </c>
      <c r="D43" s="23">
        <v>60</v>
      </c>
      <c r="E43" s="23">
        <v>15</v>
      </c>
      <c r="F43" s="23">
        <f t="shared" si="4"/>
        <v>900</v>
      </c>
      <c r="G43" s="23">
        <f t="shared" si="5"/>
        <v>0.45</v>
      </c>
    </row>
    <row r="44" spans="1:7" x14ac:dyDescent="0.2">
      <c r="C44" s="23" t="s">
        <v>333</v>
      </c>
      <c r="D44" s="23">
        <v>10</v>
      </c>
      <c r="E44" s="23">
        <v>100</v>
      </c>
      <c r="F44" s="23">
        <f t="shared" si="4"/>
        <v>1000</v>
      </c>
      <c r="G44" s="23">
        <f t="shared" si="5"/>
        <v>0.5</v>
      </c>
    </row>
    <row r="45" spans="1:7" x14ac:dyDescent="0.2">
      <c r="C45" s="23" t="s">
        <v>334</v>
      </c>
      <c r="D45" s="23">
        <v>20</v>
      </c>
      <c r="E45" s="23">
        <v>10</v>
      </c>
      <c r="F45" s="23">
        <f t="shared" si="4"/>
        <v>200</v>
      </c>
      <c r="G45" s="23">
        <f t="shared" si="5"/>
        <v>0.1</v>
      </c>
    </row>
    <row r="46" spans="1:7" x14ac:dyDescent="0.2">
      <c r="C46" s="23" t="s">
        <v>152</v>
      </c>
      <c r="D46" s="23">
        <v>8</v>
      </c>
      <c r="E46" s="23">
        <v>30</v>
      </c>
      <c r="F46" s="23">
        <f t="shared" si="4"/>
        <v>240</v>
      </c>
      <c r="G46" s="23">
        <f t="shared" si="5"/>
        <v>0.12</v>
      </c>
    </row>
    <row r="47" spans="1:7" x14ac:dyDescent="0.2">
      <c r="A47" s="24">
        <v>41873</v>
      </c>
      <c r="B47" s="23" t="s">
        <v>80</v>
      </c>
      <c r="C47" s="23" t="s">
        <v>336</v>
      </c>
      <c r="D47" s="23">
        <v>35</v>
      </c>
      <c r="E47" s="23">
        <v>150</v>
      </c>
      <c r="F47" s="23">
        <f t="shared" si="4"/>
        <v>5250</v>
      </c>
      <c r="G47" s="23">
        <f t="shared" si="5"/>
        <v>2.625</v>
      </c>
    </row>
    <row r="48" spans="1:7" x14ac:dyDescent="0.2">
      <c r="C48" s="23" t="s">
        <v>324</v>
      </c>
      <c r="D48" s="23">
        <v>60</v>
      </c>
      <c r="E48" s="23">
        <v>30</v>
      </c>
      <c r="F48" s="23">
        <f t="shared" si="4"/>
        <v>1800</v>
      </c>
      <c r="G48" s="23">
        <f t="shared" si="5"/>
        <v>0.9</v>
      </c>
    </row>
    <row r="49" spans="3:7" x14ac:dyDescent="0.2">
      <c r="C49" s="23" t="s">
        <v>335</v>
      </c>
      <c r="D49" s="23">
        <v>2</v>
      </c>
      <c r="E49" s="23">
        <v>400</v>
      </c>
      <c r="F49" s="23">
        <f t="shared" si="4"/>
        <v>800</v>
      </c>
      <c r="G49" s="23">
        <f t="shared" si="5"/>
        <v>0.4</v>
      </c>
    </row>
    <row r="50" spans="3:7" x14ac:dyDescent="0.2">
      <c r="C50" s="23" t="s">
        <v>337</v>
      </c>
      <c r="D50" s="23">
        <v>1</v>
      </c>
      <c r="E50" s="23">
        <v>300</v>
      </c>
      <c r="F50" s="23">
        <f t="shared" si="4"/>
        <v>300</v>
      </c>
      <c r="G50" s="23">
        <f t="shared" si="5"/>
        <v>0.15</v>
      </c>
    </row>
    <row r="51" spans="3:7" x14ac:dyDescent="0.2">
      <c r="C51" s="23" t="s">
        <v>338</v>
      </c>
      <c r="D51" s="23">
        <v>3</v>
      </c>
      <c r="E51" s="23">
        <v>40</v>
      </c>
      <c r="F51" s="23">
        <f t="shared" si="4"/>
        <v>120</v>
      </c>
      <c r="G51" s="23">
        <f t="shared" si="5"/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3" sqref="G3"/>
    </sheetView>
  </sheetViews>
  <sheetFormatPr defaultColWidth="8.85546875" defaultRowHeight="15" x14ac:dyDescent="0.25"/>
  <cols>
    <col min="1" max="1" width="21.7109375" customWidth="1"/>
    <col min="2" max="2" width="13.42578125" customWidth="1"/>
    <col min="3" max="4" width="11.42578125" customWidth="1"/>
    <col min="5" max="6" width="11.28515625" customWidth="1"/>
    <col min="7" max="7" width="13.42578125" customWidth="1"/>
    <col min="8" max="8" width="10.42578125" customWidth="1"/>
    <col min="9" max="9" width="14.42578125" customWidth="1"/>
    <col min="10" max="10" width="10.42578125" customWidth="1"/>
    <col min="11" max="11" width="9.7109375" customWidth="1"/>
  </cols>
  <sheetData>
    <row r="1" spans="1:11" s="33" customFormat="1" ht="45" x14ac:dyDescent="0.25">
      <c r="A1" s="39" t="s">
        <v>228</v>
      </c>
      <c r="B1" s="39" t="s">
        <v>246</v>
      </c>
      <c r="C1" s="39" t="s">
        <v>243</v>
      </c>
      <c r="D1" s="39" t="s">
        <v>247</v>
      </c>
      <c r="E1" s="39" t="s">
        <v>242</v>
      </c>
      <c r="F1" s="39" t="s">
        <v>248</v>
      </c>
      <c r="G1" s="39" t="s">
        <v>249</v>
      </c>
      <c r="H1" s="39" t="s">
        <v>250</v>
      </c>
      <c r="I1" s="39" t="s">
        <v>254</v>
      </c>
      <c r="J1" s="39" t="s">
        <v>16</v>
      </c>
      <c r="K1" s="39" t="s">
        <v>11</v>
      </c>
    </row>
    <row r="2" spans="1:11" s="33" customFormat="1" x14ac:dyDescent="0.25">
      <c r="A2" s="39" t="s">
        <v>325</v>
      </c>
      <c r="B2" s="38">
        <f>'fiscal trash pivot tables'!$B$16</f>
        <v>584.54800000000012</v>
      </c>
      <c r="C2" s="67">
        <f>'fiscal trash pivot tables'!$C$16</f>
        <v>28375.450000000004</v>
      </c>
      <c r="D2" s="69">
        <f>'Fiscal recycling pivot tables'!$B$171</f>
        <v>338.12970000000007</v>
      </c>
      <c r="E2" s="39">
        <f>'Fiscal recycling pivot tables'!$C$171</f>
        <v>16282.061500000002</v>
      </c>
      <c r="F2" s="39">
        <f>78678/2000</f>
        <v>39.338999999999999</v>
      </c>
      <c r="G2" s="38">
        <f>D2+F2</f>
        <v>377.46870000000007</v>
      </c>
      <c r="H2" s="39">
        <v>13.9</v>
      </c>
      <c r="I2" s="38">
        <f>SUM(G2:H2)</f>
        <v>391.36870000000005</v>
      </c>
      <c r="J2" s="4">
        <f>G2/(B2+G2)</f>
        <v>0.39237229457659106</v>
      </c>
      <c r="K2" s="4">
        <f>I2/(B2+I2)</f>
        <v>0.40102674746727868</v>
      </c>
    </row>
    <row r="3" spans="1:11" s="33" customFormat="1" x14ac:dyDescent="0.25">
      <c r="A3" s="39" t="s">
        <v>326</v>
      </c>
      <c r="B3" s="38">
        <f>'fiscal trash pivot tables'!$F$16</f>
        <v>487.49</v>
      </c>
      <c r="C3" s="67">
        <f>'fiscal trash pivot tables'!$G$16</f>
        <v>25111.079999999998</v>
      </c>
      <c r="D3" s="38">
        <f>'Fiscal recycling pivot tables'!$F$192</f>
        <v>315.63680000000011</v>
      </c>
      <c r="E3" s="39">
        <f>'Fiscal recycling pivot tables'!$G$192</f>
        <v>17068.939999999995</v>
      </c>
      <c r="F3" s="39">
        <f>74010/2000</f>
        <v>37.005000000000003</v>
      </c>
      <c r="G3" s="38">
        <f>D3+F3</f>
        <v>352.6418000000001</v>
      </c>
      <c r="H3" s="39">
        <v>57.9</v>
      </c>
      <c r="I3" s="38">
        <f>SUM(G3:H3)</f>
        <v>410.54180000000008</v>
      </c>
      <c r="J3" s="4">
        <f>G3/(B3+G3)</f>
        <v>0.41974580655082933</v>
      </c>
      <c r="K3" s="4">
        <f>I3/(B3+I3)</f>
        <v>0.45715730779244124</v>
      </c>
    </row>
    <row r="4" spans="1:11" s="33" customFormat="1" x14ac:dyDescent="0.25">
      <c r="A4" s="39" t="s">
        <v>327</v>
      </c>
      <c r="B4" s="38">
        <f>'fiscal trash pivot tables'!$J$16</f>
        <v>681.72</v>
      </c>
      <c r="C4" s="67">
        <f>'fiscal trash pivot tables'!$K$16</f>
        <v>41683.279999999999</v>
      </c>
      <c r="D4" s="38">
        <f>'Fiscal recycling pivot tables'!$J$146</f>
        <v>250.52950000000001</v>
      </c>
      <c r="E4" s="39">
        <f>'Fiscal recycling pivot tables'!$K$146</f>
        <v>16213.640000000001</v>
      </c>
      <c r="F4" s="39">
        <f>63727/2000</f>
        <v>31.863499999999998</v>
      </c>
      <c r="G4" s="38">
        <f>D4+F4</f>
        <v>282.39300000000003</v>
      </c>
      <c r="H4" s="39"/>
      <c r="I4" s="38">
        <f>SUM(G4:H4)</f>
        <v>282.39300000000003</v>
      </c>
      <c r="J4" s="4">
        <f>G4/(B4+G4)</f>
        <v>0.29290446244371771</v>
      </c>
      <c r="K4" s="4">
        <f>I4/(B4+I4)</f>
        <v>0.29290446244371771</v>
      </c>
    </row>
    <row r="5" spans="1:11" s="33" customFormat="1" x14ac:dyDescent="0.25">
      <c r="A5" s="39" t="s">
        <v>328</v>
      </c>
      <c r="B5" s="38">
        <f>'fiscal trash pivot tables'!$N$16</f>
        <v>769.5100000000001</v>
      </c>
      <c r="C5" s="67">
        <f>'fiscal trash pivot tables'!$O$16</f>
        <v>51526.299999999996</v>
      </c>
      <c r="D5" s="38">
        <f>'Fiscal recycling pivot tables'!$N$70</f>
        <v>138.99449999999999</v>
      </c>
      <c r="E5" s="39">
        <f>'Fiscal recycling pivot tables'!$O$70</f>
        <v>10157.080000000004</v>
      </c>
      <c r="F5" s="39">
        <v>2.2000000000000002</v>
      </c>
      <c r="G5" s="38">
        <f>D5+F5</f>
        <v>141.19449999999998</v>
      </c>
      <c r="H5" s="39"/>
      <c r="I5" s="38">
        <f>SUM(G5:H5)</f>
        <v>141.19449999999998</v>
      </c>
      <c r="J5" s="4">
        <f>G5/(B5+G5)</f>
        <v>0.15503876394593413</v>
      </c>
      <c r="K5" s="4">
        <f>I5/(B5+I5)</f>
        <v>0.15503876394593413</v>
      </c>
    </row>
    <row r="6" spans="1:11" s="33" customFormat="1" x14ac:dyDescent="0.25">
      <c r="A6" s="39"/>
      <c r="B6" s="38"/>
      <c r="C6" s="67"/>
      <c r="D6" s="38"/>
      <c r="E6" s="39"/>
      <c r="F6" s="39"/>
      <c r="G6" s="38"/>
      <c r="H6" s="39"/>
      <c r="I6" s="38"/>
      <c r="J6" s="4"/>
      <c r="K6" s="4"/>
    </row>
    <row r="7" spans="1:11" s="33" customFormat="1" x14ac:dyDescent="0.25">
      <c r="A7" s="39"/>
      <c r="B7" s="38"/>
      <c r="C7" s="67"/>
      <c r="D7" s="38"/>
      <c r="E7" s="39"/>
      <c r="F7" s="39"/>
      <c r="G7" s="38"/>
      <c r="H7" s="39"/>
      <c r="I7" s="38"/>
      <c r="J7" s="4"/>
      <c r="K7" s="4"/>
    </row>
    <row r="8" spans="1:11" s="33" customForma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1" x14ac:dyDescent="0.25">
      <c r="C9" s="65"/>
    </row>
    <row r="11" spans="1:11" ht="26.25" x14ac:dyDescent="0.25">
      <c r="A11" s="41" t="s">
        <v>251</v>
      </c>
    </row>
    <row r="12" spans="1:11" ht="90" x14ac:dyDescent="0.25">
      <c r="A12" s="40" t="s">
        <v>255</v>
      </c>
    </row>
    <row r="13" spans="1:11" ht="51.75" x14ac:dyDescent="0.25">
      <c r="A13" s="40" t="s">
        <v>21</v>
      </c>
    </row>
    <row r="14" spans="1:11" ht="39" x14ac:dyDescent="0.25">
      <c r="A14" s="40" t="s">
        <v>17</v>
      </c>
    </row>
    <row r="15" spans="1:11" ht="26.25" x14ac:dyDescent="0.25">
      <c r="A15" s="40" t="s">
        <v>25</v>
      </c>
    </row>
    <row r="16" spans="1:11" ht="26.25" x14ac:dyDescent="0.25">
      <c r="A16" s="40" t="s">
        <v>9</v>
      </c>
    </row>
    <row r="17" spans="1:1" ht="39" x14ac:dyDescent="0.25">
      <c r="A17" s="40" t="s">
        <v>252</v>
      </c>
    </row>
    <row r="18" spans="1:1" ht="26.25" x14ac:dyDescent="0.25">
      <c r="A18" s="40" t="s">
        <v>253</v>
      </c>
    </row>
    <row r="19" spans="1:1" ht="64.5" x14ac:dyDescent="0.25">
      <c r="A19" s="40" t="s">
        <v>256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2"/>
  <sheetViews>
    <sheetView zoomScale="60" zoomScaleNormal="60" workbookViewId="0">
      <selection activeCell="A4" sqref="A4"/>
    </sheetView>
  </sheetViews>
  <sheetFormatPr defaultColWidth="8.85546875" defaultRowHeight="15" x14ac:dyDescent="0.25"/>
  <cols>
    <col min="1" max="1" width="29.28515625" customWidth="1"/>
    <col min="2" max="2" width="24.7109375" customWidth="1"/>
    <col min="3" max="3" width="22.28515625" customWidth="1"/>
    <col min="4" max="4" width="15.5703125" customWidth="1"/>
    <col min="5" max="5" width="29.5703125" customWidth="1"/>
    <col min="6" max="6" width="24.7109375" customWidth="1"/>
    <col min="7" max="7" width="22.28515625" customWidth="1"/>
    <col min="8" max="8" width="11.28515625" bestFit="1" customWidth="1"/>
    <col min="9" max="9" width="26.7109375" customWidth="1"/>
    <col min="10" max="10" width="24.7109375" customWidth="1"/>
    <col min="11" max="11" width="22.28515625" customWidth="1"/>
    <col min="12" max="12" width="15.42578125" customWidth="1"/>
    <col min="13" max="13" width="19.7109375" customWidth="1"/>
    <col min="14" max="14" width="24.7109375" customWidth="1"/>
    <col min="15" max="15" width="22.28515625" customWidth="1"/>
    <col min="16" max="16" width="9" customWidth="1"/>
    <col min="17" max="17" width="10.42578125" bestFit="1" customWidth="1"/>
    <col min="18" max="18" width="7" customWidth="1"/>
    <col min="19" max="19" width="14.42578125" bestFit="1" customWidth="1"/>
    <col min="20" max="20" width="12.28515625" bestFit="1" customWidth="1"/>
    <col min="21" max="21" width="9.42578125" customWidth="1"/>
    <col min="22" max="22" width="8.140625" customWidth="1"/>
    <col min="23" max="23" width="24.140625" customWidth="1"/>
    <col min="24" max="24" width="8.42578125" customWidth="1"/>
    <col min="25" max="25" width="6" customWidth="1"/>
    <col min="26" max="26" width="16.42578125" customWidth="1"/>
    <col min="27" max="27" width="12.28515625" customWidth="1"/>
    <col min="28" max="29" width="7" customWidth="1"/>
    <col min="30" max="30" width="6.140625" customWidth="1"/>
    <col min="31" max="31" width="7" customWidth="1"/>
    <col min="32" max="32" width="10.140625" customWidth="1"/>
    <col min="33" max="33" width="12.42578125" customWidth="1"/>
    <col min="34" max="34" width="13.28515625" customWidth="1"/>
    <col min="35" max="35" width="29" bestFit="1" customWidth="1"/>
    <col min="36" max="36" width="6" customWidth="1"/>
    <col min="37" max="37" width="12.42578125" customWidth="1"/>
    <col min="38" max="38" width="11.28515625" customWidth="1"/>
    <col min="39" max="39" width="6" customWidth="1"/>
    <col min="40" max="40" width="12.42578125" bestFit="1" customWidth="1"/>
    <col min="41" max="41" width="11.28515625" bestFit="1" customWidth="1"/>
  </cols>
  <sheetData>
    <row r="2" spans="1:15" x14ac:dyDescent="0.25">
      <c r="A2" t="s">
        <v>325</v>
      </c>
      <c r="E2" t="s">
        <v>326</v>
      </c>
      <c r="I2" t="s">
        <v>327</v>
      </c>
      <c r="M2" t="s">
        <v>328</v>
      </c>
    </row>
    <row r="3" spans="1:15" x14ac:dyDescent="0.25">
      <c r="B3" s="36" t="s">
        <v>272</v>
      </c>
      <c r="E3" s="36" t="s">
        <v>195</v>
      </c>
      <c r="F3" t="s">
        <v>229</v>
      </c>
      <c r="G3" t="s">
        <v>241</v>
      </c>
      <c r="I3" s="36" t="s">
        <v>195</v>
      </c>
      <c r="J3" t="s">
        <v>229</v>
      </c>
      <c r="K3" t="s">
        <v>241</v>
      </c>
      <c r="M3" s="36" t="s">
        <v>195</v>
      </c>
      <c r="N3" t="s">
        <v>229</v>
      </c>
      <c r="O3" t="s">
        <v>241</v>
      </c>
    </row>
    <row r="4" spans="1:15" x14ac:dyDescent="0.25">
      <c r="A4" s="36" t="s">
        <v>195</v>
      </c>
      <c r="B4" t="s">
        <v>229</v>
      </c>
      <c r="C4" t="s">
        <v>241</v>
      </c>
      <c r="E4" s="32">
        <v>41095</v>
      </c>
      <c r="F4" s="6">
        <v>4.4050000000000002</v>
      </c>
      <c r="G4" s="6">
        <v>427.45</v>
      </c>
      <c r="I4" s="32">
        <v>40749</v>
      </c>
      <c r="J4" s="6">
        <v>3.8</v>
      </c>
      <c r="K4" s="6">
        <v>220</v>
      </c>
      <c r="L4" s="6"/>
      <c r="M4" s="32">
        <v>40389</v>
      </c>
      <c r="N4" s="6">
        <v>8.4799999999999986</v>
      </c>
      <c r="O4" s="6">
        <v>306.51</v>
      </c>
    </row>
    <row r="5" spans="1:15" x14ac:dyDescent="0.25">
      <c r="A5" s="63">
        <v>41457</v>
      </c>
      <c r="B5" s="6">
        <v>1.3620000000000001</v>
      </c>
      <c r="C5" s="6"/>
      <c r="E5" s="37" t="s">
        <v>236</v>
      </c>
      <c r="F5" s="6">
        <v>0.27</v>
      </c>
      <c r="G5" s="6">
        <v>16.2</v>
      </c>
      <c r="I5" s="37" t="s">
        <v>50</v>
      </c>
      <c r="J5" s="6">
        <v>3.8</v>
      </c>
      <c r="K5" s="6">
        <v>220</v>
      </c>
      <c r="L5" s="6"/>
      <c r="M5" s="37" t="s">
        <v>236</v>
      </c>
      <c r="N5" s="6">
        <v>4.92</v>
      </c>
      <c r="O5" s="6"/>
    </row>
    <row r="6" spans="1:15" x14ac:dyDescent="0.25">
      <c r="A6" s="37" t="s">
        <v>3</v>
      </c>
      <c r="B6" s="6">
        <v>1.3620000000000001</v>
      </c>
      <c r="C6" s="6"/>
      <c r="E6" s="37" t="s">
        <v>70</v>
      </c>
      <c r="F6" s="6">
        <v>0.03</v>
      </c>
      <c r="G6" s="6">
        <v>0.75</v>
      </c>
      <c r="I6" s="32">
        <v>40754</v>
      </c>
      <c r="J6" s="6">
        <v>5.5</v>
      </c>
      <c r="K6" s="6">
        <v>479.95</v>
      </c>
      <c r="L6" s="6"/>
      <c r="M6" s="37" t="s">
        <v>70</v>
      </c>
      <c r="N6" s="6">
        <v>2.27</v>
      </c>
      <c r="O6" s="6"/>
    </row>
    <row r="7" spans="1:15" x14ac:dyDescent="0.25">
      <c r="A7" s="63">
        <v>41466</v>
      </c>
      <c r="B7" s="6">
        <v>2.19</v>
      </c>
      <c r="C7" s="6"/>
      <c r="E7" s="37" t="s">
        <v>69</v>
      </c>
      <c r="F7" s="6">
        <v>4.1050000000000004</v>
      </c>
      <c r="G7" s="6">
        <v>410.5</v>
      </c>
      <c r="I7" s="37" t="s">
        <v>70</v>
      </c>
      <c r="J7" s="6">
        <v>1.1000000000000001</v>
      </c>
      <c r="K7" s="6">
        <v>51.15</v>
      </c>
      <c r="L7" s="6"/>
      <c r="M7" s="37" t="s">
        <v>69</v>
      </c>
      <c r="N7" s="6">
        <v>1</v>
      </c>
      <c r="O7" s="6">
        <v>306.51</v>
      </c>
    </row>
    <row r="8" spans="1:15" x14ac:dyDescent="0.25">
      <c r="A8" s="37" t="s">
        <v>108</v>
      </c>
      <c r="B8" s="6">
        <v>2.19</v>
      </c>
      <c r="C8" s="6"/>
      <c r="E8" s="32">
        <v>41101</v>
      </c>
      <c r="F8" s="6">
        <v>5.05</v>
      </c>
      <c r="G8" s="6"/>
      <c r="I8" s="37" t="s">
        <v>69</v>
      </c>
      <c r="J8" s="6">
        <v>0.57999999999999996</v>
      </c>
      <c r="K8" s="6">
        <v>63.8</v>
      </c>
      <c r="L8" s="6"/>
      <c r="M8" s="37" t="s">
        <v>231</v>
      </c>
      <c r="N8" s="6">
        <v>0.28999999999999998</v>
      </c>
      <c r="O8" s="6"/>
    </row>
    <row r="9" spans="1:15" x14ac:dyDescent="0.25">
      <c r="A9" s="63">
        <v>41483</v>
      </c>
      <c r="B9" s="6">
        <v>0.16800000000000001</v>
      </c>
      <c r="C9" s="6"/>
      <c r="E9" s="37" t="s">
        <v>58</v>
      </c>
      <c r="F9" s="6">
        <v>5.05</v>
      </c>
      <c r="G9" s="6"/>
      <c r="I9" s="37" t="s">
        <v>50</v>
      </c>
      <c r="J9" s="6">
        <v>3.65</v>
      </c>
      <c r="K9" s="6">
        <v>365</v>
      </c>
      <c r="L9" s="6"/>
      <c r="M9" s="32">
        <v>40420</v>
      </c>
      <c r="N9" s="6">
        <v>6.85</v>
      </c>
      <c r="O9" s="6">
        <v>319.48</v>
      </c>
    </row>
    <row r="10" spans="1:15" x14ac:dyDescent="0.25">
      <c r="A10" s="37" t="s">
        <v>58</v>
      </c>
      <c r="B10" s="6">
        <v>0.16800000000000001</v>
      </c>
      <c r="C10" s="6"/>
      <c r="E10" s="32">
        <v>41118</v>
      </c>
      <c r="F10" s="6">
        <v>4.6399999999999997</v>
      </c>
      <c r="G10" s="6">
        <v>116</v>
      </c>
      <c r="I10" s="37" t="s">
        <v>231</v>
      </c>
      <c r="J10" s="6">
        <v>0.17</v>
      </c>
      <c r="K10" s="6">
        <v>0</v>
      </c>
      <c r="L10" s="6"/>
      <c r="M10" s="37" t="s">
        <v>70</v>
      </c>
      <c r="N10" s="6">
        <v>3.94</v>
      </c>
      <c r="O10" s="6"/>
    </row>
    <row r="11" spans="1:15" x14ac:dyDescent="0.25">
      <c r="A11" s="63">
        <v>41485</v>
      </c>
      <c r="B11" s="6">
        <v>17.633600000000001</v>
      </c>
      <c r="C11" s="6">
        <v>182.96</v>
      </c>
      <c r="E11" s="37" t="s">
        <v>50</v>
      </c>
      <c r="F11" s="6">
        <v>4.6399999999999997</v>
      </c>
      <c r="G11" s="6">
        <v>116</v>
      </c>
      <c r="I11" s="32">
        <v>40765</v>
      </c>
      <c r="J11" s="6">
        <v>3.7</v>
      </c>
      <c r="K11" s="6">
        <v>370</v>
      </c>
      <c r="L11" s="6"/>
      <c r="M11" s="37" t="s">
        <v>69</v>
      </c>
      <c r="N11" s="6">
        <v>2.2200000000000002</v>
      </c>
      <c r="O11" s="6">
        <v>319.48</v>
      </c>
    </row>
    <row r="12" spans="1:15" x14ac:dyDescent="0.25">
      <c r="A12" s="37" t="s">
        <v>50</v>
      </c>
      <c r="B12" s="6">
        <v>15.633600000000001</v>
      </c>
      <c r="C12" s="6">
        <v>182.96</v>
      </c>
      <c r="E12" s="32">
        <v>41120</v>
      </c>
      <c r="F12" s="6">
        <v>2.6644999999999999</v>
      </c>
      <c r="G12" s="6"/>
      <c r="I12" s="37" t="s">
        <v>50</v>
      </c>
      <c r="J12" s="6">
        <v>3.7</v>
      </c>
      <c r="K12" s="6">
        <v>370</v>
      </c>
      <c r="L12" s="6"/>
      <c r="M12" s="37" t="s">
        <v>231</v>
      </c>
      <c r="N12" s="6">
        <v>0.69</v>
      </c>
      <c r="O12" s="6"/>
    </row>
    <row r="13" spans="1:15" x14ac:dyDescent="0.25">
      <c r="A13" s="37" t="s">
        <v>108</v>
      </c>
      <c r="B13" s="6">
        <v>2</v>
      </c>
      <c r="C13" s="6"/>
      <c r="E13" s="37" t="s">
        <v>50</v>
      </c>
      <c r="F13" s="6">
        <v>2.6644999999999999</v>
      </c>
      <c r="G13" s="6"/>
      <c r="I13" s="32">
        <v>40784</v>
      </c>
      <c r="J13" s="6">
        <v>4.1100000000000003</v>
      </c>
      <c r="K13" s="6">
        <v>411</v>
      </c>
      <c r="L13" s="6"/>
      <c r="M13" s="32">
        <v>40451</v>
      </c>
      <c r="N13" s="6">
        <v>16.36</v>
      </c>
      <c r="O13" s="6">
        <v>879.01</v>
      </c>
    </row>
    <row r="14" spans="1:15" x14ac:dyDescent="0.25">
      <c r="A14" s="63">
        <v>41492</v>
      </c>
      <c r="B14" s="6">
        <v>1.3819999999999999</v>
      </c>
      <c r="C14" s="6"/>
      <c r="E14" s="32">
        <v>41127</v>
      </c>
      <c r="F14" s="6">
        <v>4.26</v>
      </c>
      <c r="G14" s="6">
        <v>586.79999999999995</v>
      </c>
      <c r="I14" s="37" t="s">
        <v>50</v>
      </c>
      <c r="J14" s="6">
        <v>4.1100000000000003</v>
      </c>
      <c r="K14" s="6">
        <v>411</v>
      </c>
      <c r="L14" s="6"/>
      <c r="M14" s="37" t="s">
        <v>236</v>
      </c>
      <c r="N14" s="6">
        <v>3.7</v>
      </c>
      <c r="O14" s="6">
        <v>55.5</v>
      </c>
    </row>
    <row r="15" spans="1:15" x14ac:dyDescent="0.25">
      <c r="A15" s="37" t="s">
        <v>3</v>
      </c>
      <c r="B15" s="6">
        <v>1.3819999999999999</v>
      </c>
      <c r="C15" s="6"/>
      <c r="E15" s="37" t="s">
        <v>77</v>
      </c>
      <c r="F15" s="6">
        <v>4.26</v>
      </c>
      <c r="G15" s="6">
        <v>586.79999999999995</v>
      </c>
      <c r="I15" s="32">
        <v>40785</v>
      </c>
      <c r="J15" s="6">
        <v>8.7180000000000017</v>
      </c>
      <c r="K15" s="6">
        <v>593.57999999999993</v>
      </c>
      <c r="L15" s="6"/>
      <c r="M15" s="37" t="s">
        <v>237</v>
      </c>
      <c r="N15" s="6">
        <v>0.42</v>
      </c>
      <c r="O15" s="6">
        <v>0</v>
      </c>
    </row>
    <row r="16" spans="1:15" x14ac:dyDescent="0.25">
      <c r="A16" s="63">
        <v>41499</v>
      </c>
      <c r="B16" s="6">
        <v>8.81</v>
      </c>
      <c r="C16" s="6">
        <v>460.8</v>
      </c>
      <c r="E16" s="32">
        <v>41131</v>
      </c>
      <c r="F16" s="6">
        <v>2.25</v>
      </c>
      <c r="G16" s="6"/>
      <c r="I16" s="37" t="s">
        <v>236</v>
      </c>
      <c r="J16" s="6">
        <v>5.0225</v>
      </c>
      <c r="K16" s="6">
        <v>326.45999999999998</v>
      </c>
      <c r="L16" s="6"/>
      <c r="M16" s="37" t="s">
        <v>70</v>
      </c>
      <c r="N16" s="6">
        <v>3.71</v>
      </c>
      <c r="O16" s="6">
        <v>116.87</v>
      </c>
    </row>
    <row r="17" spans="1:15" x14ac:dyDescent="0.25">
      <c r="A17" s="37" t="s">
        <v>77</v>
      </c>
      <c r="B17" s="6">
        <v>2.94</v>
      </c>
      <c r="C17" s="6">
        <v>319.8</v>
      </c>
      <c r="E17" s="37" t="s">
        <v>3</v>
      </c>
      <c r="F17" s="6">
        <v>2.25</v>
      </c>
      <c r="G17" s="6"/>
      <c r="I17" s="37" t="s">
        <v>70</v>
      </c>
      <c r="J17" s="6">
        <v>0.2525</v>
      </c>
      <c r="K17" s="6">
        <v>12.5</v>
      </c>
      <c r="L17" s="6"/>
      <c r="M17" s="37" t="s">
        <v>69</v>
      </c>
      <c r="N17" s="6">
        <v>8.0299999999999994</v>
      </c>
      <c r="O17" s="6">
        <v>706.64</v>
      </c>
    </row>
    <row r="18" spans="1:15" x14ac:dyDescent="0.25">
      <c r="A18" s="37" t="s">
        <v>50</v>
      </c>
      <c r="B18" s="6">
        <v>5.87</v>
      </c>
      <c r="C18" s="6">
        <v>141</v>
      </c>
      <c r="E18" s="32">
        <v>41134</v>
      </c>
      <c r="F18" s="6">
        <v>2.19</v>
      </c>
      <c r="G18" s="6">
        <v>54.75</v>
      </c>
      <c r="I18" s="37" t="s">
        <v>69</v>
      </c>
      <c r="J18" s="6">
        <v>2.1949999999999998</v>
      </c>
      <c r="K18" s="6">
        <v>254.62</v>
      </c>
      <c r="L18" s="6"/>
      <c r="M18" s="37" t="s">
        <v>231</v>
      </c>
      <c r="N18" s="6">
        <v>0.5</v>
      </c>
      <c r="O18" s="6">
        <v>0</v>
      </c>
    </row>
    <row r="19" spans="1:15" x14ac:dyDescent="0.25">
      <c r="A19" s="63">
        <v>41501</v>
      </c>
      <c r="B19" s="6">
        <v>3.08</v>
      </c>
      <c r="C19" s="6"/>
      <c r="E19" s="37" t="s">
        <v>50</v>
      </c>
      <c r="F19" s="6">
        <v>2.19</v>
      </c>
      <c r="G19" s="6">
        <v>54.75</v>
      </c>
      <c r="I19" s="37" t="s">
        <v>50</v>
      </c>
      <c r="J19" s="6">
        <v>1.2230000000000001</v>
      </c>
      <c r="K19" s="6"/>
      <c r="L19" s="6"/>
      <c r="M19" s="32">
        <v>40481</v>
      </c>
      <c r="N19" s="6">
        <v>13.915000000000001</v>
      </c>
      <c r="O19" s="6">
        <v>780.92000000000007</v>
      </c>
    </row>
    <row r="20" spans="1:15" x14ac:dyDescent="0.25">
      <c r="A20" s="37" t="s">
        <v>50</v>
      </c>
      <c r="B20" s="6">
        <v>3.08</v>
      </c>
      <c r="C20" s="6"/>
      <c r="E20" s="32">
        <v>41135</v>
      </c>
      <c r="F20" s="6">
        <v>5.03</v>
      </c>
      <c r="G20" s="6"/>
      <c r="I20" s="37" t="s">
        <v>231</v>
      </c>
      <c r="J20" s="6">
        <v>2.5000000000000001E-2</v>
      </c>
      <c r="K20" s="6">
        <v>0</v>
      </c>
      <c r="L20" s="6"/>
      <c r="M20" s="37" t="s">
        <v>236</v>
      </c>
      <c r="N20" s="6">
        <v>6.3650000000000002</v>
      </c>
      <c r="O20" s="6">
        <v>318.25</v>
      </c>
    </row>
    <row r="21" spans="1:15" x14ac:dyDescent="0.25">
      <c r="A21" s="63">
        <v>41508</v>
      </c>
      <c r="B21" s="6">
        <v>2.91</v>
      </c>
      <c r="C21" s="6"/>
      <c r="E21" s="37" t="s">
        <v>58</v>
      </c>
      <c r="F21" s="6">
        <v>5.03</v>
      </c>
      <c r="G21" s="6"/>
      <c r="I21" s="32">
        <v>40803</v>
      </c>
      <c r="J21" s="6">
        <v>5.1749999999999998</v>
      </c>
      <c r="K21" s="6">
        <v>644.38</v>
      </c>
      <c r="L21" s="6"/>
      <c r="M21" s="37" t="s">
        <v>70</v>
      </c>
      <c r="N21" s="6">
        <v>2.74</v>
      </c>
      <c r="O21" s="6">
        <v>102.75</v>
      </c>
    </row>
    <row r="22" spans="1:15" x14ac:dyDescent="0.25">
      <c r="A22" s="37" t="s">
        <v>108</v>
      </c>
      <c r="B22" s="6">
        <v>2.91</v>
      </c>
      <c r="C22" s="6"/>
      <c r="E22" s="32">
        <v>41136</v>
      </c>
      <c r="F22" s="6">
        <v>4.7699999999999996</v>
      </c>
      <c r="G22" s="6">
        <v>119.25</v>
      </c>
      <c r="I22" s="37" t="s">
        <v>70</v>
      </c>
      <c r="J22" s="6">
        <v>0.1</v>
      </c>
      <c r="K22" s="6">
        <v>10</v>
      </c>
      <c r="L22" s="6"/>
      <c r="M22" s="37" t="s">
        <v>69</v>
      </c>
      <c r="N22" s="6">
        <v>4.09</v>
      </c>
      <c r="O22" s="6">
        <v>359.92</v>
      </c>
    </row>
    <row r="23" spans="1:15" x14ac:dyDescent="0.25">
      <c r="A23" s="63">
        <v>41509</v>
      </c>
      <c r="B23" s="6">
        <v>0</v>
      </c>
      <c r="C23" s="6">
        <v>747.13</v>
      </c>
      <c r="E23" s="37" t="s">
        <v>50</v>
      </c>
      <c r="F23" s="6">
        <v>4.7699999999999996</v>
      </c>
      <c r="G23" s="6">
        <v>119.25</v>
      </c>
      <c r="I23" s="37" t="s">
        <v>69</v>
      </c>
      <c r="J23" s="6">
        <v>5.0750000000000002</v>
      </c>
      <c r="K23" s="6">
        <v>634.38</v>
      </c>
      <c r="L23" s="6"/>
      <c r="M23" s="37" t="s">
        <v>231</v>
      </c>
      <c r="N23" s="6">
        <v>0.72</v>
      </c>
      <c r="O23" s="6">
        <v>0</v>
      </c>
    </row>
    <row r="24" spans="1:15" x14ac:dyDescent="0.25">
      <c r="A24" s="37" t="s">
        <v>69</v>
      </c>
      <c r="B24" s="6">
        <v>0</v>
      </c>
      <c r="C24" s="6">
        <v>747.13</v>
      </c>
      <c r="E24" s="32">
        <v>41145</v>
      </c>
      <c r="F24" s="6">
        <v>5.8849999999999998</v>
      </c>
      <c r="G24" s="6">
        <v>317.51</v>
      </c>
      <c r="I24" s="32">
        <v>40806</v>
      </c>
      <c r="J24" s="6">
        <v>4.0199999999999996</v>
      </c>
      <c r="K24" s="6">
        <v>402</v>
      </c>
      <c r="L24" s="6"/>
      <c r="M24" s="32">
        <v>40512</v>
      </c>
      <c r="N24" s="6">
        <v>8.08</v>
      </c>
      <c r="O24" s="6">
        <v>341.53999999999996</v>
      </c>
    </row>
    <row r="25" spans="1:15" x14ac:dyDescent="0.25">
      <c r="A25" s="63">
        <v>41512</v>
      </c>
      <c r="B25" s="6">
        <v>4.2329999999999997</v>
      </c>
      <c r="C25" s="6"/>
      <c r="E25" s="37" t="s">
        <v>71</v>
      </c>
      <c r="F25" s="6">
        <v>0.2</v>
      </c>
      <c r="G25" s="6">
        <v>-20</v>
      </c>
      <c r="I25" s="37" t="s">
        <v>50</v>
      </c>
      <c r="J25" s="6">
        <v>4.0199999999999996</v>
      </c>
      <c r="K25" s="6">
        <v>402</v>
      </c>
      <c r="L25" s="6"/>
      <c r="M25" s="37" t="s">
        <v>236</v>
      </c>
      <c r="N25" s="6">
        <v>4.41</v>
      </c>
      <c r="O25" s="6">
        <v>176.4</v>
      </c>
    </row>
    <row r="26" spans="1:15" x14ac:dyDescent="0.25">
      <c r="A26" s="37" t="s">
        <v>43</v>
      </c>
      <c r="B26" s="6">
        <v>4.2329999999999997</v>
      </c>
      <c r="C26" s="6"/>
      <c r="E26" s="37" t="s">
        <v>70</v>
      </c>
      <c r="F26" s="6">
        <v>2.7174999999999998</v>
      </c>
      <c r="G26" s="6">
        <v>40.76</v>
      </c>
      <c r="I26" s="32">
        <v>40816</v>
      </c>
      <c r="J26" s="6">
        <v>1.218</v>
      </c>
      <c r="K26" s="6"/>
      <c r="L26" s="6"/>
      <c r="M26" s="37" t="s">
        <v>70</v>
      </c>
      <c r="N26" s="6">
        <v>2.75</v>
      </c>
      <c r="O26" s="6">
        <v>111.38</v>
      </c>
    </row>
    <row r="27" spans="1:15" x14ac:dyDescent="0.25">
      <c r="A27" s="63">
        <v>41513</v>
      </c>
      <c r="B27" s="6"/>
      <c r="C27" s="6">
        <v>0</v>
      </c>
      <c r="E27" s="37" t="s">
        <v>69</v>
      </c>
      <c r="F27" s="6">
        <v>2.9674999999999998</v>
      </c>
      <c r="G27" s="6">
        <v>296.75</v>
      </c>
      <c r="I27" s="37" t="s">
        <v>50</v>
      </c>
      <c r="J27" s="6">
        <v>1.218</v>
      </c>
      <c r="K27" s="6"/>
      <c r="L27" s="6"/>
      <c r="M27" s="37" t="s">
        <v>69</v>
      </c>
      <c r="N27" s="6">
        <v>0.64</v>
      </c>
      <c r="O27" s="6">
        <v>53.76</v>
      </c>
    </row>
    <row r="28" spans="1:15" x14ac:dyDescent="0.25">
      <c r="A28" s="37" t="s">
        <v>50</v>
      </c>
      <c r="B28" s="6"/>
      <c r="C28" s="6">
        <v>0</v>
      </c>
      <c r="E28" s="32">
        <v>41150</v>
      </c>
      <c r="F28" s="6">
        <v>4.5964999999999998</v>
      </c>
      <c r="G28" s="6">
        <v>538.54999999999995</v>
      </c>
      <c r="I28" s="32">
        <v>40823</v>
      </c>
      <c r="J28" s="6">
        <v>4.47</v>
      </c>
      <c r="K28" s="6"/>
      <c r="L28" s="6"/>
      <c r="M28" s="37" t="s">
        <v>231</v>
      </c>
      <c r="N28" s="6">
        <v>0.28000000000000003</v>
      </c>
      <c r="O28" s="6">
        <v>0</v>
      </c>
    </row>
    <row r="29" spans="1:15" x14ac:dyDescent="0.25">
      <c r="A29" s="63">
        <v>41514</v>
      </c>
      <c r="B29" s="6">
        <v>0.16800000000000001</v>
      </c>
      <c r="C29" s="6"/>
      <c r="E29" s="37" t="s">
        <v>83</v>
      </c>
      <c r="F29" s="6">
        <v>4.8000000000000001E-2</v>
      </c>
      <c r="G29" s="6">
        <v>268.8</v>
      </c>
      <c r="I29" s="37" t="s">
        <v>58</v>
      </c>
      <c r="J29" s="6">
        <v>4.47</v>
      </c>
      <c r="K29" s="6"/>
      <c r="L29" s="6"/>
      <c r="M29" s="32">
        <v>40519</v>
      </c>
      <c r="N29" s="6">
        <v>0.34150000000000003</v>
      </c>
      <c r="O29" s="6"/>
    </row>
    <row r="30" spans="1:15" x14ac:dyDescent="0.25">
      <c r="A30" s="37" t="s">
        <v>58</v>
      </c>
      <c r="B30" s="6">
        <v>0.16800000000000001</v>
      </c>
      <c r="C30" s="6"/>
      <c r="E30" s="37" t="s">
        <v>85</v>
      </c>
      <c r="F30" s="6">
        <v>0.32850000000000001</v>
      </c>
      <c r="G30" s="6">
        <v>164.25</v>
      </c>
      <c r="I30" s="32">
        <v>40830</v>
      </c>
      <c r="J30" s="6">
        <v>4.46</v>
      </c>
      <c r="K30" s="6">
        <v>446</v>
      </c>
      <c r="L30" s="6"/>
      <c r="M30" s="37" t="s">
        <v>3</v>
      </c>
      <c r="N30" s="6">
        <v>0.34150000000000003</v>
      </c>
      <c r="O30" s="6"/>
    </row>
    <row r="31" spans="1:15" x14ac:dyDescent="0.25">
      <c r="A31" s="63">
        <v>41516</v>
      </c>
      <c r="B31" s="6">
        <v>8.6736000000000004</v>
      </c>
      <c r="C31" s="6"/>
      <c r="E31" s="37" t="s">
        <v>50</v>
      </c>
      <c r="F31" s="6">
        <v>4.22</v>
      </c>
      <c r="G31" s="6">
        <v>105.5</v>
      </c>
      <c r="I31" s="37" t="s">
        <v>50</v>
      </c>
      <c r="J31" s="6">
        <v>4.46</v>
      </c>
      <c r="K31" s="6">
        <v>446</v>
      </c>
      <c r="L31" s="6"/>
      <c r="M31" s="32">
        <v>40542</v>
      </c>
      <c r="N31" s="6">
        <v>15.265000000000002</v>
      </c>
      <c r="O31" s="6">
        <v>556.04</v>
      </c>
    </row>
    <row r="32" spans="1:15" x14ac:dyDescent="0.25">
      <c r="A32" s="37" t="s">
        <v>50</v>
      </c>
      <c r="B32" s="6">
        <v>8.6736000000000004</v>
      </c>
      <c r="C32" s="6"/>
      <c r="E32" s="32">
        <v>41151</v>
      </c>
      <c r="F32" s="6">
        <v>2.6644999999999999</v>
      </c>
      <c r="G32" s="6"/>
      <c r="I32" s="32">
        <v>40834</v>
      </c>
      <c r="J32" s="6">
        <v>6.39</v>
      </c>
      <c r="K32" s="6">
        <v>795.63</v>
      </c>
      <c r="L32" s="6"/>
      <c r="M32" s="37" t="s">
        <v>236</v>
      </c>
      <c r="N32" s="6">
        <v>3.71</v>
      </c>
      <c r="O32" s="6">
        <v>111.3</v>
      </c>
    </row>
    <row r="33" spans="1:15" x14ac:dyDescent="0.25">
      <c r="A33" s="63">
        <v>41521</v>
      </c>
      <c r="B33" s="6">
        <v>5.21</v>
      </c>
      <c r="C33" s="6">
        <v>384.79999999999995</v>
      </c>
      <c r="E33" s="37" t="s">
        <v>50</v>
      </c>
      <c r="F33" s="6">
        <v>2.6644999999999999</v>
      </c>
      <c r="G33" s="6"/>
      <c r="I33" s="37" t="s">
        <v>70</v>
      </c>
      <c r="J33" s="6">
        <v>0.125</v>
      </c>
      <c r="K33" s="6">
        <v>12.5</v>
      </c>
      <c r="L33" s="6"/>
      <c r="M33" s="37" t="s">
        <v>237</v>
      </c>
      <c r="N33" s="6">
        <v>1.27</v>
      </c>
      <c r="O33" s="6">
        <v>0</v>
      </c>
    </row>
    <row r="34" spans="1:15" x14ac:dyDescent="0.25">
      <c r="A34" s="37" t="s">
        <v>258</v>
      </c>
      <c r="B34" s="6">
        <v>0.74</v>
      </c>
      <c r="C34" s="6">
        <v>146.5</v>
      </c>
      <c r="E34" s="32">
        <v>41158</v>
      </c>
      <c r="F34" s="6">
        <v>3.35</v>
      </c>
      <c r="G34" s="6">
        <v>473.25</v>
      </c>
      <c r="I34" s="37" t="s">
        <v>69</v>
      </c>
      <c r="J34" s="6">
        <v>6.2649999999999997</v>
      </c>
      <c r="K34" s="6">
        <v>783.13</v>
      </c>
      <c r="L34" s="6"/>
      <c r="M34" s="37" t="s">
        <v>70</v>
      </c>
      <c r="N34" s="6">
        <v>2.0150000000000001</v>
      </c>
      <c r="O34" s="6">
        <v>81.61</v>
      </c>
    </row>
    <row r="35" spans="1:15" x14ac:dyDescent="0.25">
      <c r="A35" s="37" t="s">
        <v>50</v>
      </c>
      <c r="B35" s="6">
        <v>4.47</v>
      </c>
      <c r="C35" s="6">
        <v>87.1</v>
      </c>
      <c r="E35" s="37" t="s">
        <v>77</v>
      </c>
      <c r="F35" s="6">
        <v>3.35</v>
      </c>
      <c r="G35" s="6">
        <v>473.25</v>
      </c>
      <c r="I35" s="32">
        <v>40835</v>
      </c>
      <c r="J35" s="6">
        <v>1.04</v>
      </c>
      <c r="K35" s="6">
        <v>104</v>
      </c>
      <c r="L35" s="6"/>
      <c r="M35" s="37" t="s">
        <v>69</v>
      </c>
      <c r="N35" s="6">
        <v>3.12</v>
      </c>
      <c r="O35" s="6">
        <v>249.6</v>
      </c>
    </row>
    <row r="36" spans="1:15" x14ac:dyDescent="0.25">
      <c r="A36" s="37" t="s">
        <v>260</v>
      </c>
      <c r="B36" s="6"/>
      <c r="C36" s="6">
        <v>151.19999999999999</v>
      </c>
      <c r="E36" s="32">
        <v>41165</v>
      </c>
      <c r="F36" s="6">
        <v>6.8179999999999996</v>
      </c>
      <c r="G36" s="6">
        <v>272.74</v>
      </c>
      <c r="I36" s="37" t="s">
        <v>50</v>
      </c>
      <c r="J36" s="6">
        <v>1.04</v>
      </c>
      <c r="K36" s="6">
        <v>104</v>
      </c>
      <c r="L36" s="6"/>
      <c r="M36" s="37" t="s">
        <v>231</v>
      </c>
      <c r="N36" s="6">
        <v>0.38</v>
      </c>
      <c r="O36" s="6">
        <v>0</v>
      </c>
    </row>
    <row r="37" spans="1:15" x14ac:dyDescent="0.25">
      <c r="A37" s="63">
        <v>41542</v>
      </c>
      <c r="B37" s="6">
        <v>1.587</v>
      </c>
      <c r="C37" s="6"/>
      <c r="E37" s="37" t="s">
        <v>58</v>
      </c>
      <c r="F37" s="6">
        <v>0.16800000000000001</v>
      </c>
      <c r="G37" s="6"/>
      <c r="I37" s="32">
        <v>40840</v>
      </c>
      <c r="J37" s="6">
        <v>4.33</v>
      </c>
      <c r="K37" s="6">
        <v>433</v>
      </c>
      <c r="L37" s="6"/>
      <c r="M37" s="37" t="s">
        <v>240</v>
      </c>
      <c r="N37" s="6">
        <v>4.7699999999999996</v>
      </c>
      <c r="O37" s="6">
        <v>113.53</v>
      </c>
    </row>
    <row r="38" spans="1:15" x14ac:dyDescent="0.25">
      <c r="A38" s="37" t="s">
        <v>3</v>
      </c>
      <c r="B38" s="6">
        <v>1.587</v>
      </c>
      <c r="C38" s="6"/>
      <c r="E38" s="37" t="s">
        <v>237</v>
      </c>
      <c r="F38" s="6">
        <v>3.8325</v>
      </c>
      <c r="G38" s="6">
        <v>19.16</v>
      </c>
      <c r="I38" s="37" t="s">
        <v>50</v>
      </c>
      <c r="J38" s="6">
        <v>4.33</v>
      </c>
      <c r="K38" s="6">
        <v>433</v>
      </c>
      <c r="L38" s="6"/>
      <c r="M38" s="32">
        <v>40543</v>
      </c>
      <c r="N38" s="6">
        <v>6.7530000000000001</v>
      </c>
      <c r="O38" s="6">
        <v>3160</v>
      </c>
    </row>
    <row r="39" spans="1:15" x14ac:dyDescent="0.25">
      <c r="A39" s="63">
        <v>41545</v>
      </c>
      <c r="B39" s="6">
        <v>0.16800000000000001</v>
      </c>
      <c r="C39" s="6"/>
      <c r="E39" s="37" t="s">
        <v>69</v>
      </c>
      <c r="F39" s="6">
        <v>2.8174999999999999</v>
      </c>
      <c r="G39" s="6">
        <v>253.58</v>
      </c>
      <c r="I39" s="32">
        <v>40846</v>
      </c>
      <c r="J39" s="6">
        <v>1.4059999999999999</v>
      </c>
      <c r="K39" s="6"/>
      <c r="L39" s="6"/>
      <c r="M39" s="37" t="s">
        <v>43</v>
      </c>
      <c r="N39" s="6">
        <v>0.433</v>
      </c>
      <c r="O39" s="6"/>
    </row>
    <row r="40" spans="1:15" x14ac:dyDescent="0.25">
      <c r="A40" s="37" t="s">
        <v>58</v>
      </c>
      <c r="B40" s="6">
        <v>0.16800000000000001</v>
      </c>
      <c r="C40" s="6"/>
      <c r="E40" s="32">
        <v>41177</v>
      </c>
      <c r="F40" s="6">
        <v>0</v>
      </c>
      <c r="G40" s="6">
        <v>-680</v>
      </c>
      <c r="I40" s="37" t="s">
        <v>50</v>
      </c>
      <c r="J40" s="6">
        <v>1.4059999999999999</v>
      </c>
      <c r="K40" s="6"/>
      <c r="L40" s="6"/>
      <c r="M40" s="37" t="s">
        <v>46</v>
      </c>
      <c r="N40" s="6">
        <v>6.32</v>
      </c>
      <c r="O40" s="6">
        <v>3160</v>
      </c>
    </row>
    <row r="41" spans="1:15" x14ac:dyDescent="0.25">
      <c r="A41" s="63">
        <v>41547</v>
      </c>
      <c r="B41" s="6">
        <v>8.6736000000000004</v>
      </c>
      <c r="C41" s="6"/>
      <c r="E41" s="37" t="s">
        <v>88</v>
      </c>
      <c r="F41" s="6">
        <v>0</v>
      </c>
      <c r="G41" s="6">
        <v>-680</v>
      </c>
      <c r="I41" s="32">
        <v>40850</v>
      </c>
      <c r="J41" s="6">
        <v>2.66</v>
      </c>
      <c r="K41" s="6">
        <v>159.6</v>
      </c>
      <c r="L41" s="6"/>
      <c r="M41" s="32">
        <v>40573</v>
      </c>
      <c r="N41" s="6">
        <v>4.13</v>
      </c>
      <c r="O41" s="6">
        <v>157.96</v>
      </c>
    </row>
    <row r="42" spans="1:15" x14ac:dyDescent="0.25">
      <c r="A42" s="37" t="s">
        <v>50</v>
      </c>
      <c r="B42" s="6">
        <v>8.6736000000000004</v>
      </c>
      <c r="C42" s="6"/>
      <c r="E42" s="32">
        <v>41180</v>
      </c>
      <c r="F42" s="6">
        <v>4.42</v>
      </c>
      <c r="G42" s="6">
        <v>110.5</v>
      </c>
      <c r="I42" s="37" t="s">
        <v>50</v>
      </c>
      <c r="J42" s="6">
        <v>2.66</v>
      </c>
      <c r="K42" s="6">
        <v>159.6</v>
      </c>
      <c r="L42" s="6"/>
      <c r="M42" s="37" t="s">
        <v>70</v>
      </c>
      <c r="N42" s="6">
        <v>3.9</v>
      </c>
      <c r="O42" s="6">
        <v>157.96</v>
      </c>
    </row>
    <row r="43" spans="1:15" x14ac:dyDescent="0.25">
      <c r="A43" s="63">
        <v>41563</v>
      </c>
      <c r="B43" s="6">
        <v>2.04</v>
      </c>
      <c r="C43" s="6"/>
      <c r="E43" s="37" t="s">
        <v>50</v>
      </c>
      <c r="F43" s="6">
        <v>4.42</v>
      </c>
      <c r="G43" s="6">
        <v>110.5</v>
      </c>
      <c r="I43" s="32">
        <v>40864</v>
      </c>
      <c r="J43" s="6">
        <v>4.29</v>
      </c>
      <c r="K43" s="6">
        <v>217.76</v>
      </c>
      <c r="L43" s="6"/>
      <c r="M43" s="37" t="s">
        <v>231</v>
      </c>
      <c r="N43" s="6">
        <v>0.23</v>
      </c>
      <c r="O43" s="6">
        <v>0</v>
      </c>
    </row>
    <row r="44" spans="1:15" x14ac:dyDescent="0.25">
      <c r="A44" s="37" t="s">
        <v>108</v>
      </c>
      <c r="B44" s="6">
        <v>2.04</v>
      </c>
      <c r="C44" s="6"/>
      <c r="E44" s="32">
        <v>41182</v>
      </c>
      <c r="F44" s="6">
        <v>2.6644999999999999</v>
      </c>
      <c r="G44" s="6"/>
      <c r="I44" s="37" t="s">
        <v>236</v>
      </c>
      <c r="J44" s="6">
        <v>2.2925</v>
      </c>
      <c r="K44" s="6">
        <v>114.63</v>
      </c>
      <c r="L44" s="6"/>
      <c r="M44" s="32">
        <v>40602</v>
      </c>
      <c r="N44" s="6">
        <v>14.795</v>
      </c>
      <c r="O44" s="6">
        <v>779.88</v>
      </c>
    </row>
    <row r="45" spans="1:15" x14ac:dyDescent="0.25">
      <c r="A45" s="63">
        <v>41564</v>
      </c>
      <c r="B45" s="6">
        <v>4.46</v>
      </c>
      <c r="C45" s="6">
        <v>86.71</v>
      </c>
      <c r="E45" s="37" t="s">
        <v>50</v>
      </c>
      <c r="F45" s="6">
        <v>2.6644999999999999</v>
      </c>
      <c r="G45" s="6"/>
      <c r="I45" s="37" t="s">
        <v>70</v>
      </c>
      <c r="J45" s="6">
        <v>6.5000000000000002E-2</v>
      </c>
      <c r="K45" s="6">
        <v>6.5</v>
      </c>
      <c r="L45" s="6"/>
      <c r="M45" s="37" t="s">
        <v>236</v>
      </c>
      <c r="N45" s="6">
        <v>6.5549999999999997</v>
      </c>
      <c r="O45" s="6">
        <v>229.43</v>
      </c>
    </row>
    <row r="46" spans="1:15" x14ac:dyDescent="0.25">
      <c r="A46" s="37" t="s">
        <v>50</v>
      </c>
      <c r="B46" s="6">
        <v>4.46</v>
      </c>
      <c r="C46" s="6">
        <v>86.71</v>
      </c>
      <c r="E46" s="32">
        <v>41184</v>
      </c>
      <c r="F46" s="6">
        <v>3.61</v>
      </c>
      <c r="G46" s="6">
        <v>433.7</v>
      </c>
      <c r="I46" s="37" t="s">
        <v>69</v>
      </c>
      <c r="J46" s="6">
        <v>1.9325000000000001</v>
      </c>
      <c r="K46" s="6">
        <v>96.63</v>
      </c>
      <c r="L46" s="6"/>
      <c r="M46" s="37" t="s">
        <v>70</v>
      </c>
      <c r="N46" s="6">
        <v>1.9350000000000001</v>
      </c>
      <c r="O46" s="6">
        <v>78.37</v>
      </c>
    </row>
    <row r="47" spans="1:15" x14ac:dyDescent="0.25">
      <c r="A47" s="63">
        <v>41570</v>
      </c>
      <c r="B47" s="6">
        <v>13.71</v>
      </c>
      <c r="C47" s="6">
        <v>908.2</v>
      </c>
      <c r="E47" s="37" t="s">
        <v>77</v>
      </c>
      <c r="F47" s="6">
        <v>3.61</v>
      </c>
      <c r="G47" s="6">
        <v>433.7</v>
      </c>
      <c r="I47" s="32">
        <v>40865</v>
      </c>
      <c r="J47" s="6">
        <v>3.32</v>
      </c>
      <c r="K47" s="6">
        <v>199.2</v>
      </c>
      <c r="L47" s="6"/>
      <c r="M47" s="37" t="s">
        <v>69</v>
      </c>
      <c r="N47" s="6">
        <v>5.62</v>
      </c>
      <c r="O47" s="6">
        <v>472.08</v>
      </c>
    </row>
    <row r="48" spans="1:15" x14ac:dyDescent="0.25">
      <c r="A48" s="37" t="s">
        <v>69</v>
      </c>
      <c r="B48" s="6">
        <v>7.64</v>
      </c>
      <c r="C48" s="6">
        <v>759.5</v>
      </c>
      <c r="E48" s="32">
        <v>41185</v>
      </c>
      <c r="F48" s="6">
        <v>5.9675000000000002</v>
      </c>
      <c r="G48" s="6">
        <v>286.29999999999995</v>
      </c>
      <c r="I48" s="37" t="s">
        <v>50</v>
      </c>
      <c r="J48" s="6">
        <v>3.32</v>
      </c>
      <c r="K48" s="6">
        <v>199.2</v>
      </c>
      <c r="L48" s="6"/>
      <c r="M48" s="37" t="s">
        <v>231</v>
      </c>
      <c r="N48" s="6">
        <v>0.68500000000000005</v>
      </c>
      <c r="O48" s="6">
        <v>0</v>
      </c>
    </row>
    <row r="49" spans="1:15" x14ac:dyDescent="0.25">
      <c r="A49" s="37" t="s">
        <v>50</v>
      </c>
      <c r="B49" s="6">
        <v>6.07</v>
      </c>
      <c r="C49" s="6">
        <v>148.69999999999999</v>
      </c>
      <c r="E49" s="37" t="s">
        <v>236</v>
      </c>
      <c r="F49" s="6">
        <v>1.9624999999999999</v>
      </c>
      <c r="G49" s="6">
        <v>117.75</v>
      </c>
      <c r="I49" s="32">
        <v>40869</v>
      </c>
      <c r="J49" s="6">
        <v>4.82</v>
      </c>
      <c r="K49" s="6"/>
      <c r="L49" s="6"/>
      <c r="M49" s="32">
        <v>40632</v>
      </c>
      <c r="N49" s="6">
        <v>11.84</v>
      </c>
      <c r="O49" s="6">
        <v>609.25</v>
      </c>
    </row>
    <row r="50" spans="1:15" x14ac:dyDescent="0.25">
      <c r="A50" s="63">
        <v>41575</v>
      </c>
      <c r="B50" s="6">
        <v>0.16800000000000001</v>
      </c>
      <c r="C50" s="6"/>
      <c r="E50" s="37" t="s">
        <v>237</v>
      </c>
      <c r="F50" s="6">
        <v>1.72</v>
      </c>
      <c r="G50" s="6">
        <v>8.6</v>
      </c>
      <c r="I50" s="37" t="s">
        <v>58</v>
      </c>
      <c r="J50" s="6">
        <v>4.82</v>
      </c>
      <c r="K50" s="6"/>
      <c r="L50" s="6"/>
      <c r="M50" s="37" t="s">
        <v>236</v>
      </c>
      <c r="N50" s="6">
        <v>2.7549999999999999</v>
      </c>
      <c r="O50" s="6">
        <v>96.43</v>
      </c>
    </row>
    <row r="51" spans="1:15" x14ac:dyDescent="0.25">
      <c r="A51" s="37" t="s">
        <v>58</v>
      </c>
      <c r="B51" s="6">
        <v>0.16800000000000001</v>
      </c>
      <c r="C51" s="6"/>
      <c r="E51" s="37" t="s">
        <v>69</v>
      </c>
      <c r="F51" s="6">
        <v>2.2850000000000001</v>
      </c>
      <c r="G51" s="6">
        <v>159.94999999999999</v>
      </c>
      <c r="I51" s="32">
        <v>40877</v>
      </c>
      <c r="J51" s="6">
        <v>1.589</v>
      </c>
      <c r="K51" s="6"/>
      <c r="L51" s="6"/>
      <c r="M51" s="37" t="s">
        <v>70</v>
      </c>
      <c r="N51" s="6">
        <v>4.21</v>
      </c>
      <c r="O51" s="6">
        <v>170.52</v>
      </c>
    </row>
    <row r="52" spans="1:15" x14ac:dyDescent="0.25">
      <c r="A52" s="63">
        <v>41577</v>
      </c>
      <c r="B52" s="6">
        <v>9.4136000000000006</v>
      </c>
      <c r="C52" s="6">
        <v>108.5</v>
      </c>
      <c r="E52" s="32">
        <v>41186</v>
      </c>
      <c r="F52" s="6">
        <v>3.5925000000000002</v>
      </c>
      <c r="G52" s="6">
        <v>77</v>
      </c>
      <c r="I52" s="37" t="s">
        <v>50</v>
      </c>
      <c r="J52" s="6">
        <v>1.589</v>
      </c>
      <c r="K52" s="6"/>
      <c r="L52" s="6"/>
      <c r="M52" s="37" t="s">
        <v>69</v>
      </c>
      <c r="N52" s="6">
        <v>4.0750000000000002</v>
      </c>
      <c r="O52" s="6">
        <v>342.3</v>
      </c>
    </row>
    <row r="53" spans="1:15" x14ac:dyDescent="0.25">
      <c r="A53" s="37" t="s">
        <v>258</v>
      </c>
      <c r="B53" s="6">
        <v>0.74</v>
      </c>
      <c r="C53" s="6">
        <v>108.5</v>
      </c>
      <c r="E53" s="37" t="s">
        <v>71</v>
      </c>
      <c r="F53" s="6">
        <v>0.10249999999999999</v>
      </c>
      <c r="G53" s="6">
        <v>-10.25</v>
      </c>
      <c r="I53" s="32">
        <v>40890</v>
      </c>
      <c r="J53" s="6">
        <v>3.34</v>
      </c>
      <c r="K53" s="6">
        <v>150.30000000000001</v>
      </c>
      <c r="L53" s="6"/>
      <c r="M53" s="37" t="s">
        <v>231</v>
      </c>
      <c r="N53" s="6">
        <v>0.8</v>
      </c>
      <c r="O53" s="6">
        <v>0</v>
      </c>
    </row>
    <row r="54" spans="1:15" x14ac:dyDescent="0.25">
      <c r="A54" s="37" t="s">
        <v>50</v>
      </c>
      <c r="B54" s="6">
        <v>8.6736000000000004</v>
      </c>
      <c r="C54" s="6"/>
      <c r="E54" s="37" t="s">
        <v>50</v>
      </c>
      <c r="F54" s="6">
        <v>3.49</v>
      </c>
      <c r="G54" s="6">
        <v>87.25</v>
      </c>
      <c r="I54" s="37" t="s">
        <v>50</v>
      </c>
      <c r="J54" s="6">
        <v>3.34</v>
      </c>
      <c r="K54" s="6">
        <v>150.30000000000001</v>
      </c>
      <c r="L54" s="6"/>
      <c r="M54" s="32">
        <v>40663</v>
      </c>
      <c r="N54" s="6">
        <v>10.324999999999999</v>
      </c>
      <c r="O54" s="6">
        <v>600.12</v>
      </c>
    </row>
    <row r="55" spans="1:15" x14ac:dyDescent="0.25">
      <c r="A55" s="63">
        <v>41583</v>
      </c>
      <c r="B55" s="6">
        <v>0.83399999999999996</v>
      </c>
      <c r="C55" s="6">
        <v>248.82</v>
      </c>
      <c r="E55" s="32">
        <v>41194</v>
      </c>
      <c r="F55" s="6">
        <v>3.6130000000000004</v>
      </c>
      <c r="G55" s="6">
        <v>1304.1899999999998</v>
      </c>
      <c r="I55" s="32">
        <v>40907</v>
      </c>
      <c r="J55" s="6">
        <v>1.0149999999999999</v>
      </c>
      <c r="K55" s="6"/>
      <c r="L55" s="6"/>
      <c r="M55" s="37" t="s">
        <v>236</v>
      </c>
      <c r="N55" s="6">
        <v>3.0350000000000001</v>
      </c>
      <c r="O55" s="6">
        <v>209.18</v>
      </c>
    </row>
    <row r="56" spans="1:15" x14ac:dyDescent="0.25">
      <c r="A56" s="37" t="s">
        <v>132</v>
      </c>
      <c r="B56" s="6">
        <v>4.4999999999999997E-3</v>
      </c>
      <c r="C56" s="6">
        <v>1.8</v>
      </c>
      <c r="E56" s="37" t="s">
        <v>83</v>
      </c>
      <c r="F56" s="6">
        <v>0.11849999999999999</v>
      </c>
      <c r="G56" s="6">
        <v>699.15</v>
      </c>
      <c r="I56" s="37" t="s">
        <v>50</v>
      </c>
      <c r="J56" s="6">
        <v>1.0149999999999999</v>
      </c>
      <c r="K56" s="6"/>
      <c r="L56" s="6"/>
      <c r="M56" s="37" t="s">
        <v>70</v>
      </c>
      <c r="N56" s="6">
        <v>3.62</v>
      </c>
      <c r="O56" s="6">
        <v>146.62</v>
      </c>
    </row>
    <row r="57" spans="1:15" x14ac:dyDescent="0.25">
      <c r="A57" s="37" t="s">
        <v>133</v>
      </c>
      <c r="B57" s="6">
        <v>0.2</v>
      </c>
      <c r="C57" s="6">
        <v>140</v>
      </c>
      <c r="E57" s="37" t="s">
        <v>95</v>
      </c>
      <c r="F57" s="6">
        <v>6.9000000000000006E-2</v>
      </c>
      <c r="G57" s="6">
        <v>75.900000000000006</v>
      </c>
      <c r="I57" s="32">
        <v>40908</v>
      </c>
      <c r="J57" s="6">
        <v>40.326000000000001</v>
      </c>
      <c r="K57" s="6">
        <v>5690</v>
      </c>
      <c r="L57" s="6"/>
      <c r="M57" s="37" t="s">
        <v>69</v>
      </c>
      <c r="N57" s="6">
        <v>2.5449999999999999</v>
      </c>
      <c r="O57" s="6">
        <v>244.32</v>
      </c>
    </row>
    <row r="58" spans="1:15" x14ac:dyDescent="0.25">
      <c r="A58" s="37" t="s">
        <v>77</v>
      </c>
      <c r="B58" s="6">
        <v>0.62949999999999995</v>
      </c>
      <c r="C58" s="6">
        <v>107.02</v>
      </c>
      <c r="E58" s="37" t="s">
        <v>96</v>
      </c>
      <c r="F58" s="6">
        <v>3.15E-2</v>
      </c>
      <c r="G58" s="6">
        <v>22.05</v>
      </c>
      <c r="I58" s="37" t="s">
        <v>43</v>
      </c>
      <c r="J58" s="6">
        <v>0.77100000000000002</v>
      </c>
      <c r="K58" s="6"/>
      <c r="L58" s="6"/>
      <c r="M58" s="37" t="s">
        <v>231</v>
      </c>
      <c r="N58" s="6">
        <v>1.125</v>
      </c>
      <c r="O58" s="6">
        <v>0</v>
      </c>
    </row>
    <row r="59" spans="1:15" x14ac:dyDescent="0.25">
      <c r="A59" s="63">
        <v>41589</v>
      </c>
      <c r="B59" s="6">
        <v>3.84</v>
      </c>
      <c r="C59" s="6">
        <v>530.4</v>
      </c>
      <c r="E59" s="37" t="s">
        <v>93</v>
      </c>
      <c r="F59" s="6">
        <v>1.4E-2</v>
      </c>
      <c r="G59" s="6">
        <v>14</v>
      </c>
      <c r="I59" s="37" t="s">
        <v>46</v>
      </c>
      <c r="J59" s="6">
        <v>11.38</v>
      </c>
      <c r="K59" s="6">
        <v>5690</v>
      </c>
      <c r="L59" s="6"/>
      <c r="M59" s="32">
        <v>40693</v>
      </c>
      <c r="N59" s="6">
        <v>6.47</v>
      </c>
      <c r="O59" s="6">
        <v>372.36</v>
      </c>
    </row>
    <row r="60" spans="1:15" x14ac:dyDescent="0.25">
      <c r="A60" s="37" t="s">
        <v>77</v>
      </c>
      <c r="B60" s="6">
        <v>3.84</v>
      </c>
      <c r="C60" s="6">
        <v>530.4</v>
      </c>
      <c r="E60" s="37" t="s">
        <v>92</v>
      </c>
      <c r="F60" s="6">
        <v>0.17749999999999999</v>
      </c>
      <c r="G60" s="6">
        <v>181.05</v>
      </c>
      <c r="I60" s="37" t="s">
        <v>344</v>
      </c>
      <c r="J60" s="6">
        <v>19.425000000000001</v>
      </c>
      <c r="K60" s="6"/>
      <c r="L60" s="6"/>
      <c r="M60" s="37" t="s">
        <v>236</v>
      </c>
      <c r="N60" s="6">
        <v>1.425</v>
      </c>
      <c r="O60" s="6">
        <v>42.08</v>
      </c>
    </row>
    <row r="61" spans="1:15" x14ac:dyDescent="0.25">
      <c r="A61" s="63">
        <v>41590</v>
      </c>
      <c r="B61" s="6"/>
      <c r="C61" s="6">
        <v>496.05</v>
      </c>
      <c r="E61" s="37" t="s">
        <v>94</v>
      </c>
      <c r="F61" s="6">
        <v>8.4500000000000006E-2</v>
      </c>
      <c r="G61" s="6">
        <v>238.29</v>
      </c>
      <c r="I61" s="37" t="s">
        <v>345</v>
      </c>
      <c r="J61" s="6">
        <v>8.75</v>
      </c>
      <c r="K61" s="6"/>
      <c r="L61" s="6"/>
      <c r="M61" s="37" t="s">
        <v>70</v>
      </c>
      <c r="N61" s="6">
        <v>2.5099999999999998</v>
      </c>
      <c r="O61" s="6">
        <v>105.42</v>
      </c>
    </row>
    <row r="62" spans="1:15" x14ac:dyDescent="0.25">
      <c r="A62" s="37" t="s">
        <v>291</v>
      </c>
      <c r="B62" s="6"/>
      <c r="C62" s="6">
        <v>496.05</v>
      </c>
      <c r="E62" s="37" t="s">
        <v>58</v>
      </c>
      <c r="F62" s="6">
        <v>0.16800000000000001</v>
      </c>
      <c r="G62" s="6"/>
      <c r="I62" s="32">
        <v>40911</v>
      </c>
      <c r="J62" s="6">
        <v>2.1465000000000001</v>
      </c>
      <c r="K62" s="6"/>
      <c r="L62" s="6"/>
      <c r="M62" s="37" t="s">
        <v>69</v>
      </c>
      <c r="N62" s="6">
        <v>1.75</v>
      </c>
      <c r="O62" s="6">
        <v>182</v>
      </c>
    </row>
    <row r="63" spans="1:15" x14ac:dyDescent="0.25">
      <c r="A63" s="63">
        <v>41592</v>
      </c>
      <c r="B63" s="6">
        <v>0.67349999999999999</v>
      </c>
      <c r="C63" s="6"/>
      <c r="E63" s="37" t="s">
        <v>50</v>
      </c>
      <c r="F63" s="6">
        <v>2.95</v>
      </c>
      <c r="G63" s="6">
        <v>73.75</v>
      </c>
      <c r="I63" s="37" t="s">
        <v>3</v>
      </c>
      <c r="J63" s="6">
        <v>2.1465000000000001</v>
      </c>
      <c r="K63" s="6"/>
      <c r="L63" s="6"/>
      <c r="M63" s="37" t="s">
        <v>231</v>
      </c>
      <c r="N63" s="6">
        <v>0.36</v>
      </c>
      <c r="O63" s="6">
        <v>25.6</v>
      </c>
    </row>
    <row r="64" spans="1:15" x14ac:dyDescent="0.25">
      <c r="A64" s="37" t="s">
        <v>3</v>
      </c>
      <c r="B64" s="6">
        <v>0.67349999999999999</v>
      </c>
      <c r="C64" s="6"/>
      <c r="E64" s="32">
        <v>41206</v>
      </c>
      <c r="F64" s="6">
        <v>5.0709999999999997</v>
      </c>
      <c r="G64" s="6"/>
      <c r="I64" s="32">
        <v>40912</v>
      </c>
      <c r="J64" s="6">
        <v>6.99</v>
      </c>
      <c r="K64" s="6">
        <v>174.76</v>
      </c>
      <c r="L64" s="6"/>
      <c r="M64" s="37" t="s">
        <v>240</v>
      </c>
      <c r="N64" s="6">
        <v>0.42499999999999999</v>
      </c>
      <c r="O64" s="6">
        <v>17.260000000000002</v>
      </c>
    </row>
    <row r="65" spans="1:15" x14ac:dyDescent="0.25">
      <c r="A65" s="63">
        <v>41599</v>
      </c>
      <c r="B65" s="6">
        <v>1.97</v>
      </c>
      <c r="C65" s="6"/>
      <c r="E65" s="37" t="s">
        <v>3</v>
      </c>
      <c r="F65" s="6">
        <v>5.0709999999999997</v>
      </c>
      <c r="G65" s="6"/>
      <c r="I65" s="37" t="s">
        <v>236</v>
      </c>
      <c r="J65" s="6">
        <v>3.59</v>
      </c>
      <c r="K65" s="6">
        <v>71.8</v>
      </c>
      <c r="L65" s="6"/>
      <c r="M65" s="32">
        <v>40724</v>
      </c>
      <c r="N65" s="6">
        <v>15.39</v>
      </c>
      <c r="O65" s="6">
        <v>1294.01</v>
      </c>
    </row>
    <row r="66" spans="1:15" x14ac:dyDescent="0.25">
      <c r="A66" s="37" t="s">
        <v>108</v>
      </c>
      <c r="B66" s="6">
        <v>1.97</v>
      </c>
      <c r="C66" s="6"/>
      <c r="E66" s="32">
        <v>41212</v>
      </c>
      <c r="F66" s="6">
        <v>2.6644999999999999</v>
      </c>
      <c r="G66" s="6"/>
      <c r="I66" s="37" t="s">
        <v>237</v>
      </c>
      <c r="J66" s="6">
        <v>0.43</v>
      </c>
      <c r="K66" s="6">
        <v>2.15</v>
      </c>
      <c r="L66" s="6"/>
      <c r="M66" s="37" t="s">
        <v>70</v>
      </c>
      <c r="N66" s="6">
        <v>2.2050000000000001</v>
      </c>
      <c r="O66" s="6">
        <v>92.61</v>
      </c>
    </row>
    <row r="67" spans="1:15" x14ac:dyDescent="0.25">
      <c r="A67" s="63">
        <v>41600</v>
      </c>
      <c r="B67" s="6">
        <v>0.74</v>
      </c>
      <c r="C67" s="6">
        <v>135</v>
      </c>
      <c r="E67" s="37" t="s">
        <v>50</v>
      </c>
      <c r="F67" s="6">
        <v>2.6644999999999999</v>
      </c>
      <c r="G67" s="6"/>
      <c r="I67" s="37" t="s">
        <v>70</v>
      </c>
      <c r="J67" s="6">
        <v>0.29249999999999998</v>
      </c>
      <c r="K67" s="6">
        <v>20.48</v>
      </c>
      <c r="L67" s="6"/>
      <c r="M67" s="37" t="s">
        <v>69</v>
      </c>
      <c r="N67" s="6">
        <v>10.86</v>
      </c>
      <c r="O67" s="6">
        <v>1129.44</v>
      </c>
    </row>
    <row r="68" spans="1:15" x14ac:dyDescent="0.25">
      <c r="A68" s="37" t="s">
        <v>258</v>
      </c>
      <c r="B68" s="6">
        <v>0.74</v>
      </c>
      <c r="C68" s="6">
        <v>135</v>
      </c>
      <c r="E68" s="32">
        <v>41214</v>
      </c>
      <c r="F68" s="6">
        <v>0.8</v>
      </c>
      <c r="G68" s="6">
        <v>20</v>
      </c>
      <c r="I68" s="37" t="s">
        <v>69</v>
      </c>
      <c r="J68" s="6">
        <v>2.6775000000000002</v>
      </c>
      <c r="K68" s="6">
        <v>80.33</v>
      </c>
      <c r="L68" s="6"/>
      <c r="M68" s="37" t="s">
        <v>231</v>
      </c>
      <c r="N68" s="6">
        <v>0.48</v>
      </c>
      <c r="O68" s="6">
        <v>0</v>
      </c>
    </row>
    <row r="69" spans="1:15" x14ac:dyDescent="0.25">
      <c r="A69" s="63">
        <v>41606</v>
      </c>
      <c r="B69" s="6">
        <v>0.16800000000000001</v>
      </c>
      <c r="C69" s="6"/>
      <c r="E69" s="37" t="s">
        <v>50</v>
      </c>
      <c r="F69" s="6">
        <v>0.8</v>
      </c>
      <c r="G69" s="6">
        <v>20</v>
      </c>
      <c r="I69" s="32">
        <v>40924</v>
      </c>
      <c r="J69" s="6">
        <v>4.4000000000000004</v>
      </c>
      <c r="K69" s="6">
        <v>198</v>
      </c>
      <c r="L69" s="6"/>
      <c r="M69" s="37" t="s">
        <v>240</v>
      </c>
      <c r="N69" s="6">
        <v>1.845</v>
      </c>
      <c r="O69" s="6">
        <v>71.959999999999994</v>
      </c>
    </row>
    <row r="70" spans="1:15" x14ac:dyDescent="0.25">
      <c r="A70" s="37" t="s">
        <v>58</v>
      </c>
      <c r="B70" s="6">
        <v>0.16800000000000001</v>
      </c>
      <c r="C70" s="6"/>
      <c r="E70" s="32">
        <v>41219</v>
      </c>
      <c r="F70" s="6">
        <v>11.2155</v>
      </c>
      <c r="G70" s="6">
        <v>524.56999999999994</v>
      </c>
      <c r="I70" s="37" t="s">
        <v>50</v>
      </c>
      <c r="J70" s="6">
        <v>4.4000000000000004</v>
      </c>
      <c r="K70" s="6">
        <v>198</v>
      </c>
      <c r="L70" s="6"/>
      <c r="M70" s="32" t="s">
        <v>198</v>
      </c>
      <c r="N70" s="6">
        <v>138.99449999999999</v>
      </c>
      <c r="O70" s="6">
        <v>10157.080000000004</v>
      </c>
    </row>
    <row r="71" spans="1:15" x14ac:dyDescent="0.25">
      <c r="A71" s="63">
        <v>41608</v>
      </c>
      <c r="B71" s="6">
        <v>8.6736000000000004</v>
      </c>
      <c r="C71" s="6"/>
      <c r="E71" s="37" t="s">
        <v>236</v>
      </c>
      <c r="F71" s="6">
        <v>1.6825000000000001</v>
      </c>
      <c r="G71" s="6">
        <v>100.95</v>
      </c>
      <c r="I71" s="32">
        <v>40926</v>
      </c>
      <c r="J71" s="6">
        <v>5.94</v>
      </c>
      <c r="K71" s="6"/>
      <c r="L71" s="6"/>
    </row>
    <row r="72" spans="1:15" x14ac:dyDescent="0.25">
      <c r="A72" s="37" t="s">
        <v>50</v>
      </c>
      <c r="B72" s="6">
        <v>8.6736000000000004</v>
      </c>
      <c r="C72" s="6"/>
      <c r="E72" s="37" t="s">
        <v>58</v>
      </c>
      <c r="F72" s="6">
        <v>0.16800000000000001</v>
      </c>
      <c r="G72" s="6"/>
      <c r="I72" s="37" t="s">
        <v>58</v>
      </c>
      <c r="J72" s="6">
        <v>5.94</v>
      </c>
      <c r="K72" s="6"/>
      <c r="L72" s="6"/>
    </row>
    <row r="73" spans="1:15" x14ac:dyDescent="0.25">
      <c r="A73" s="63">
        <v>41610</v>
      </c>
      <c r="B73" s="6">
        <v>0.72099999999999997</v>
      </c>
      <c r="C73" s="6">
        <v>659.98</v>
      </c>
      <c r="E73" s="37" t="s">
        <v>237</v>
      </c>
      <c r="F73" s="6">
        <v>0.2175</v>
      </c>
      <c r="G73" s="6">
        <v>1.0900000000000001</v>
      </c>
      <c r="I73" s="32">
        <v>40938</v>
      </c>
      <c r="J73" s="6">
        <v>7.7335000000000012</v>
      </c>
      <c r="K73" s="6">
        <v>262.01</v>
      </c>
      <c r="L73" s="6"/>
    </row>
    <row r="74" spans="1:15" x14ac:dyDescent="0.25">
      <c r="A74" s="37" t="s">
        <v>298</v>
      </c>
      <c r="B74" s="6">
        <v>3.0000000000000001E-3</v>
      </c>
      <c r="C74" s="6">
        <v>5.52</v>
      </c>
      <c r="E74" s="37" t="s">
        <v>69</v>
      </c>
      <c r="F74" s="6">
        <v>4.3075000000000001</v>
      </c>
      <c r="G74" s="6">
        <v>301.52999999999997</v>
      </c>
      <c r="I74" s="37" t="s">
        <v>236</v>
      </c>
      <c r="J74" s="6">
        <v>0.9</v>
      </c>
      <c r="K74" s="6">
        <v>45</v>
      </c>
      <c r="L74" s="6"/>
    </row>
    <row r="75" spans="1:15" x14ac:dyDescent="0.25">
      <c r="A75" s="37" t="s">
        <v>297</v>
      </c>
      <c r="B75" s="6">
        <v>0.54</v>
      </c>
      <c r="C75" s="6">
        <v>518.4</v>
      </c>
      <c r="E75" s="37" t="s">
        <v>50</v>
      </c>
      <c r="F75" s="6">
        <v>4.84</v>
      </c>
      <c r="G75" s="6">
        <v>121</v>
      </c>
      <c r="I75" s="37" t="s">
        <v>70</v>
      </c>
      <c r="J75" s="6">
        <v>0.42</v>
      </c>
      <c r="K75" s="6">
        <v>25.2</v>
      </c>
      <c r="L75" s="6"/>
    </row>
    <row r="76" spans="1:15" x14ac:dyDescent="0.25">
      <c r="A76" s="37" t="s">
        <v>295</v>
      </c>
      <c r="B76" s="6">
        <v>4.0000000000000001E-3</v>
      </c>
      <c r="C76" s="6">
        <v>1.8</v>
      </c>
      <c r="E76" s="32">
        <v>41225</v>
      </c>
      <c r="F76" s="6">
        <v>1.925</v>
      </c>
      <c r="G76" s="6">
        <v>-192.5</v>
      </c>
      <c r="I76" s="37" t="s">
        <v>69</v>
      </c>
      <c r="J76" s="6">
        <v>2.74</v>
      </c>
      <c r="K76" s="6">
        <v>191.81</v>
      </c>
      <c r="L76" s="6"/>
    </row>
    <row r="77" spans="1:15" x14ac:dyDescent="0.25">
      <c r="A77" s="37" t="s">
        <v>66</v>
      </c>
      <c r="B77" s="6">
        <v>9.7000000000000003E-2</v>
      </c>
      <c r="C77" s="6">
        <v>93.12</v>
      </c>
      <c r="E77" s="37" t="s">
        <v>1</v>
      </c>
      <c r="F77" s="6">
        <v>1.925</v>
      </c>
      <c r="G77" s="6">
        <v>-192.5</v>
      </c>
      <c r="I77" s="37" t="s">
        <v>50</v>
      </c>
      <c r="J77" s="6">
        <v>3.6735000000000002</v>
      </c>
      <c r="K77" s="6"/>
      <c r="L77" s="6"/>
    </row>
    <row r="78" spans="1:15" x14ac:dyDescent="0.25">
      <c r="A78" s="37" t="s">
        <v>133</v>
      </c>
      <c r="B78" s="6">
        <v>5.8500000000000003E-2</v>
      </c>
      <c r="C78" s="6">
        <v>37.44</v>
      </c>
      <c r="E78" s="32">
        <v>41226</v>
      </c>
      <c r="F78" s="6">
        <v>1.6</v>
      </c>
      <c r="G78" s="6">
        <v>44</v>
      </c>
      <c r="I78" s="32">
        <v>40940</v>
      </c>
      <c r="J78" s="6">
        <v>4.1100000000000003</v>
      </c>
      <c r="K78" s="6">
        <v>246.6</v>
      </c>
      <c r="L78" s="6"/>
    </row>
    <row r="79" spans="1:15" x14ac:dyDescent="0.25">
      <c r="A79" s="37" t="s">
        <v>77</v>
      </c>
      <c r="B79" s="6">
        <v>1.8499999999999999E-2</v>
      </c>
      <c r="C79" s="6">
        <v>3.7</v>
      </c>
      <c r="E79" s="37" t="s">
        <v>77</v>
      </c>
      <c r="F79" s="6">
        <v>1.6</v>
      </c>
      <c r="G79" s="6">
        <v>44</v>
      </c>
      <c r="I79" s="37" t="s">
        <v>50</v>
      </c>
      <c r="J79" s="6">
        <v>4.1100000000000003</v>
      </c>
      <c r="K79" s="6">
        <v>246.6</v>
      </c>
      <c r="L79" s="6"/>
    </row>
    <row r="80" spans="1:15" x14ac:dyDescent="0.25">
      <c r="A80" s="63">
        <v>41617</v>
      </c>
      <c r="B80" s="6">
        <v>7.6425000000000001</v>
      </c>
      <c r="C80" s="6">
        <v>718.44</v>
      </c>
      <c r="E80" s="32">
        <v>41243</v>
      </c>
      <c r="F80" s="6">
        <v>2.6644999999999999</v>
      </c>
      <c r="G80" s="6"/>
      <c r="I80" s="32">
        <v>40941</v>
      </c>
      <c r="J80" s="6">
        <v>3.52</v>
      </c>
      <c r="K80" s="6">
        <v>211.2</v>
      </c>
      <c r="L80" s="6"/>
    </row>
    <row r="81" spans="1:12" x14ac:dyDescent="0.25">
      <c r="A81" s="37" t="s">
        <v>70</v>
      </c>
      <c r="B81" s="6">
        <v>1.3125</v>
      </c>
      <c r="C81" s="6">
        <v>106.11</v>
      </c>
      <c r="E81" s="37" t="s">
        <v>50</v>
      </c>
      <c r="F81" s="6">
        <v>2.6644999999999999</v>
      </c>
      <c r="G81" s="6"/>
      <c r="I81" s="37" t="s">
        <v>50</v>
      </c>
      <c r="J81" s="6">
        <v>3.52</v>
      </c>
      <c r="K81" s="6">
        <v>211.2</v>
      </c>
      <c r="L81" s="6"/>
    </row>
    <row r="82" spans="1:12" x14ac:dyDescent="0.25">
      <c r="A82" s="37" t="s">
        <v>69</v>
      </c>
      <c r="B82" s="6">
        <v>6.33</v>
      </c>
      <c r="C82" s="6">
        <v>612.33000000000004</v>
      </c>
      <c r="E82" s="32">
        <v>41246</v>
      </c>
      <c r="F82" s="6">
        <v>9.620000000000001</v>
      </c>
      <c r="G82" s="6">
        <v>156.75</v>
      </c>
      <c r="I82" s="32">
        <v>40942</v>
      </c>
      <c r="J82" s="6">
        <v>0.97000000000000008</v>
      </c>
      <c r="K82" s="6">
        <v>581</v>
      </c>
      <c r="L82" s="6"/>
    </row>
    <row r="83" spans="1:12" x14ac:dyDescent="0.25">
      <c r="A83" s="63">
        <v>41618</v>
      </c>
      <c r="B83" s="6">
        <v>4.8099999999999996</v>
      </c>
      <c r="C83" s="6">
        <v>100.19</v>
      </c>
      <c r="E83" s="37" t="s">
        <v>50</v>
      </c>
      <c r="F83" s="6">
        <v>4.87</v>
      </c>
      <c r="G83" s="6">
        <v>121.75</v>
      </c>
      <c r="I83" s="37" t="s">
        <v>66</v>
      </c>
      <c r="J83" s="6">
        <v>0.81</v>
      </c>
      <c r="K83" s="6">
        <v>405</v>
      </c>
      <c r="L83" s="6"/>
    </row>
    <row r="84" spans="1:12" x14ac:dyDescent="0.25">
      <c r="A84" s="37" t="s">
        <v>50</v>
      </c>
      <c r="B84" s="6">
        <v>4.8099999999999996</v>
      </c>
      <c r="C84" s="6">
        <v>100.19</v>
      </c>
      <c r="E84" s="37" t="s">
        <v>1</v>
      </c>
      <c r="F84" s="6">
        <v>4.75</v>
      </c>
      <c r="G84" s="6">
        <v>35</v>
      </c>
      <c r="I84" s="37" t="s">
        <v>68</v>
      </c>
      <c r="J84" s="6">
        <v>0.16</v>
      </c>
      <c r="K84" s="6">
        <v>176</v>
      </c>
      <c r="L84" s="6"/>
    </row>
    <row r="85" spans="1:12" x14ac:dyDescent="0.25">
      <c r="A85" s="63">
        <v>41621</v>
      </c>
      <c r="B85" s="6">
        <v>0.48099999999999998</v>
      </c>
      <c r="C85" s="6">
        <v>75</v>
      </c>
      <c r="E85" s="32">
        <v>41247</v>
      </c>
      <c r="F85" s="6">
        <v>0.35</v>
      </c>
      <c r="G85" s="6">
        <v>-35</v>
      </c>
      <c r="I85" s="32">
        <v>40954</v>
      </c>
      <c r="J85" s="6">
        <v>4.5500000000000007</v>
      </c>
      <c r="K85" s="6">
        <v>338.8</v>
      </c>
      <c r="L85" s="6"/>
    </row>
    <row r="86" spans="1:12" x14ac:dyDescent="0.25">
      <c r="A86" s="37" t="s">
        <v>258</v>
      </c>
      <c r="B86" s="6">
        <v>0.48099999999999998</v>
      </c>
      <c r="C86" s="6">
        <v>75</v>
      </c>
      <c r="E86" s="37" t="s">
        <v>1</v>
      </c>
      <c r="F86" s="6">
        <v>0.35</v>
      </c>
      <c r="G86" s="6">
        <v>-35</v>
      </c>
      <c r="I86" s="37" t="s">
        <v>236</v>
      </c>
      <c r="J86" s="6">
        <v>0.38</v>
      </c>
      <c r="K86" s="6">
        <v>30.4</v>
      </c>
      <c r="L86" s="6"/>
    </row>
    <row r="87" spans="1:12" x14ac:dyDescent="0.25">
      <c r="A87" s="63">
        <v>41636</v>
      </c>
      <c r="B87" s="6">
        <v>0.16800000000000001</v>
      </c>
      <c r="C87" s="6"/>
      <c r="E87" s="32">
        <v>41249</v>
      </c>
      <c r="F87" s="6">
        <v>0.16800000000000001</v>
      </c>
      <c r="G87" s="6"/>
      <c r="I87" s="37" t="s">
        <v>71</v>
      </c>
      <c r="J87" s="6">
        <v>0.70250000000000001</v>
      </c>
      <c r="K87" s="6">
        <v>-35.15</v>
      </c>
      <c r="L87" s="6"/>
    </row>
    <row r="88" spans="1:12" x14ac:dyDescent="0.25">
      <c r="A88" s="37" t="s">
        <v>58</v>
      </c>
      <c r="B88" s="6">
        <v>0.16800000000000001</v>
      </c>
      <c r="C88" s="6"/>
      <c r="E88" s="37" t="s">
        <v>58</v>
      </c>
      <c r="F88" s="6">
        <v>0.16800000000000001</v>
      </c>
      <c r="G88" s="6"/>
      <c r="I88" s="37" t="s">
        <v>72</v>
      </c>
      <c r="J88" s="6">
        <v>0.02</v>
      </c>
      <c r="K88" s="6">
        <v>2</v>
      </c>
      <c r="L88" s="6"/>
    </row>
    <row r="89" spans="1:12" x14ac:dyDescent="0.25">
      <c r="A89" s="63">
        <v>41638</v>
      </c>
      <c r="B89" s="6">
        <v>8.6736000000000004</v>
      </c>
      <c r="C89" s="6"/>
      <c r="E89" s="32">
        <v>41254</v>
      </c>
      <c r="F89" s="6">
        <v>1.72</v>
      </c>
      <c r="G89" s="6"/>
      <c r="I89" s="37" t="s">
        <v>70</v>
      </c>
      <c r="J89" s="6">
        <v>0.08</v>
      </c>
      <c r="K89" s="6">
        <v>4.8</v>
      </c>
      <c r="L89" s="6"/>
    </row>
    <row r="90" spans="1:12" x14ac:dyDescent="0.25">
      <c r="A90" s="37" t="s">
        <v>50</v>
      </c>
      <c r="B90" s="6">
        <v>8.6736000000000004</v>
      </c>
      <c r="C90" s="6"/>
      <c r="E90" s="37" t="s">
        <v>108</v>
      </c>
      <c r="F90" s="6">
        <v>1.72</v>
      </c>
      <c r="G90" s="6"/>
      <c r="I90" s="37" t="s">
        <v>69</v>
      </c>
      <c r="J90" s="6">
        <v>3.3675000000000002</v>
      </c>
      <c r="K90" s="6">
        <v>336.75</v>
      </c>
      <c r="L90" s="6"/>
    </row>
    <row r="91" spans="1:12" x14ac:dyDescent="0.25">
      <c r="A91" s="63">
        <v>41639</v>
      </c>
      <c r="B91" s="6">
        <v>54.282499999999999</v>
      </c>
      <c r="C91" s="6">
        <v>3640</v>
      </c>
      <c r="E91" s="32">
        <v>41260</v>
      </c>
      <c r="F91" s="6">
        <v>5.6349999999999998</v>
      </c>
      <c r="G91" s="6">
        <v>418.6</v>
      </c>
      <c r="I91" s="32">
        <v>40966</v>
      </c>
      <c r="J91" s="6">
        <v>3.86</v>
      </c>
      <c r="K91" s="6">
        <v>231.6</v>
      </c>
      <c r="L91" s="6"/>
    </row>
    <row r="92" spans="1:12" x14ac:dyDescent="0.25">
      <c r="A92" s="37" t="s">
        <v>46</v>
      </c>
      <c r="B92" s="6">
        <v>10.6</v>
      </c>
      <c r="C92" s="6">
        <v>3640</v>
      </c>
      <c r="E92" s="37" t="s">
        <v>236</v>
      </c>
      <c r="F92" s="6">
        <v>1.2350000000000001</v>
      </c>
      <c r="G92" s="6">
        <v>74.099999999999994</v>
      </c>
      <c r="I92" s="37" t="s">
        <v>50</v>
      </c>
      <c r="J92" s="6">
        <v>3.86</v>
      </c>
      <c r="K92" s="6">
        <v>231.6</v>
      </c>
      <c r="L92" s="6"/>
    </row>
    <row r="93" spans="1:12" x14ac:dyDescent="0.25">
      <c r="A93" s="37" t="s">
        <v>344</v>
      </c>
      <c r="B93" s="6">
        <v>19.425000000000001</v>
      </c>
      <c r="C93" s="6"/>
      <c r="E93" s="37" t="s">
        <v>237</v>
      </c>
      <c r="F93" s="6">
        <v>0.1</v>
      </c>
      <c r="G93" s="6">
        <v>0.5</v>
      </c>
      <c r="I93" s="32">
        <v>40967</v>
      </c>
      <c r="J93" s="6">
        <v>8.4834999999999994</v>
      </c>
      <c r="K93" s="6"/>
      <c r="L93" s="6"/>
    </row>
    <row r="94" spans="1:12" x14ac:dyDescent="0.25">
      <c r="A94" s="37" t="s">
        <v>69</v>
      </c>
      <c r="B94" s="6">
        <v>15.5075</v>
      </c>
      <c r="C94" s="6">
        <v>0</v>
      </c>
      <c r="E94" s="37" t="s">
        <v>69</v>
      </c>
      <c r="F94" s="6">
        <v>4.3</v>
      </c>
      <c r="G94" s="6">
        <v>344</v>
      </c>
      <c r="I94" s="37" t="s">
        <v>58</v>
      </c>
      <c r="J94" s="6">
        <v>4.8099999999999996</v>
      </c>
      <c r="K94" s="6"/>
      <c r="L94" s="6"/>
    </row>
    <row r="95" spans="1:12" x14ac:dyDescent="0.25">
      <c r="A95" s="37" t="s">
        <v>345</v>
      </c>
      <c r="B95" s="6">
        <v>8.75</v>
      </c>
      <c r="C95" s="6"/>
      <c r="E95" s="32">
        <v>41270</v>
      </c>
      <c r="F95" s="6">
        <v>3.96</v>
      </c>
      <c r="G95" s="6">
        <v>99</v>
      </c>
      <c r="I95" s="37" t="s">
        <v>50</v>
      </c>
      <c r="J95" s="6">
        <v>3.6735000000000002</v>
      </c>
      <c r="K95" s="6"/>
      <c r="L95" s="6"/>
    </row>
    <row r="96" spans="1:12" x14ac:dyDescent="0.25">
      <c r="A96" s="63">
        <v>41655</v>
      </c>
      <c r="B96" s="6">
        <v>7.9924999999999997</v>
      </c>
      <c r="C96" s="6">
        <v>237.48</v>
      </c>
      <c r="E96" s="37" t="s">
        <v>50</v>
      </c>
      <c r="F96" s="6">
        <v>3.96</v>
      </c>
      <c r="G96" s="6">
        <v>99</v>
      </c>
      <c r="I96" s="32">
        <v>40968</v>
      </c>
      <c r="J96" s="6">
        <v>10.469999999999999</v>
      </c>
      <c r="K96" s="6">
        <v>941.77</v>
      </c>
      <c r="L96" s="6"/>
    </row>
    <row r="97" spans="1:12" x14ac:dyDescent="0.25">
      <c r="A97" s="37" t="s">
        <v>3</v>
      </c>
      <c r="B97" s="6">
        <v>1.0874999999999999</v>
      </c>
      <c r="C97" s="6"/>
      <c r="E97" s="32">
        <v>41274</v>
      </c>
      <c r="F97" s="6">
        <v>41.274999999999999</v>
      </c>
      <c r="G97" s="6">
        <v>5300</v>
      </c>
      <c r="I97" s="37" t="s">
        <v>236</v>
      </c>
      <c r="J97" s="6">
        <v>2.5274999999999999</v>
      </c>
      <c r="K97" s="6">
        <v>202.2</v>
      </c>
      <c r="L97" s="6"/>
    </row>
    <row r="98" spans="1:12" x14ac:dyDescent="0.25">
      <c r="A98" s="37" t="s">
        <v>258</v>
      </c>
      <c r="B98" s="6">
        <v>0.55500000000000005</v>
      </c>
      <c r="C98" s="6">
        <v>78</v>
      </c>
      <c r="E98" s="37" t="s">
        <v>43</v>
      </c>
      <c r="F98" s="6">
        <v>0</v>
      </c>
      <c r="G98" s="6"/>
      <c r="I98" s="37" t="s">
        <v>71</v>
      </c>
      <c r="J98" s="6">
        <v>0.28249999999999997</v>
      </c>
      <c r="K98" s="6">
        <v>-14.13</v>
      </c>
      <c r="L98" s="6"/>
    </row>
    <row r="99" spans="1:12" x14ac:dyDescent="0.25">
      <c r="A99" s="37" t="s">
        <v>50</v>
      </c>
      <c r="B99" s="6">
        <v>6.35</v>
      </c>
      <c r="C99" s="6">
        <v>159.47999999999999</v>
      </c>
      <c r="E99" s="37" t="s">
        <v>46</v>
      </c>
      <c r="F99" s="6">
        <v>10.6</v>
      </c>
      <c r="G99" s="6">
        <v>5300</v>
      </c>
      <c r="I99" s="37" t="s">
        <v>72</v>
      </c>
      <c r="J99" s="6">
        <v>0.09</v>
      </c>
      <c r="K99" s="6">
        <v>9</v>
      </c>
      <c r="L99" s="6"/>
    </row>
    <row r="100" spans="1:12" x14ac:dyDescent="0.25">
      <c r="A100" s="63">
        <v>41656</v>
      </c>
      <c r="B100" s="6">
        <v>4.45</v>
      </c>
      <c r="C100" s="6">
        <v>88.33</v>
      </c>
      <c r="E100" s="37" t="s">
        <v>50</v>
      </c>
      <c r="F100" s="6">
        <v>2.5</v>
      </c>
      <c r="G100" s="6"/>
      <c r="I100" s="37" t="s">
        <v>70</v>
      </c>
      <c r="J100" s="6">
        <v>0.3075</v>
      </c>
      <c r="K100" s="6">
        <v>18.45</v>
      </c>
      <c r="L100" s="6"/>
    </row>
    <row r="101" spans="1:12" x14ac:dyDescent="0.25">
      <c r="A101" s="37" t="s">
        <v>50</v>
      </c>
      <c r="B101" s="6">
        <v>4.45</v>
      </c>
      <c r="C101" s="6">
        <v>88.33</v>
      </c>
      <c r="E101" s="37" t="s">
        <v>344</v>
      </c>
      <c r="F101" s="6">
        <v>19.425000000000001</v>
      </c>
      <c r="G101" s="6"/>
      <c r="I101" s="37" t="s">
        <v>69</v>
      </c>
      <c r="J101" s="6">
        <v>7.2625000000000002</v>
      </c>
      <c r="K101" s="6">
        <v>726.25</v>
      </c>
      <c r="L101" s="6"/>
    </row>
    <row r="102" spans="1:12" x14ac:dyDescent="0.25">
      <c r="A102" s="63">
        <v>41667</v>
      </c>
      <c r="B102" s="6">
        <v>1.5879999999999999</v>
      </c>
      <c r="C102" s="6"/>
      <c r="E102" s="37" t="s">
        <v>345</v>
      </c>
      <c r="F102" s="6">
        <v>8.75</v>
      </c>
      <c r="G102" s="6"/>
      <c r="I102" s="32">
        <v>40976</v>
      </c>
      <c r="J102" s="6">
        <v>1.84</v>
      </c>
      <c r="K102" s="6">
        <v>151.82999999999998</v>
      </c>
      <c r="L102" s="6"/>
    </row>
    <row r="103" spans="1:12" x14ac:dyDescent="0.25">
      <c r="A103" s="37" t="s">
        <v>58</v>
      </c>
      <c r="B103" s="6">
        <v>0.16800000000000001</v>
      </c>
      <c r="C103" s="6"/>
      <c r="E103" s="32">
        <v>41277</v>
      </c>
      <c r="F103" s="6">
        <v>5.39</v>
      </c>
      <c r="G103" s="6">
        <v>924.95</v>
      </c>
      <c r="I103" s="37" t="s">
        <v>236</v>
      </c>
      <c r="J103" s="6">
        <v>0.91749999999999998</v>
      </c>
      <c r="K103" s="6">
        <v>73.400000000000006</v>
      </c>
      <c r="L103" s="6"/>
    </row>
    <row r="104" spans="1:12" x14ac:dyDescent="0.25">
      <c r="A104" s="37" t="s">
        <v>108</v>
      </c>
      <c r="B104" s="6">
        <v>1.42</v>
      </c>
      <c r="C104" s="6"/>
      <c r="E104" s="37" t="s">
        <v>77</v>
      </c>
      <c r="F104" s="6">
        <v>5.39</v>
      </c>
      <c r="G104" s="6">
        <v>924.95</v>
      </c>
      <c r="I104" s="37" t="s">
        <v>71</v>
      </c>
      <c r="J104" s="6">
        <v>0.20250000000000001</v>
      </c>
      <c r="K104" s="6">
        <v>10.130000000000001</v>
      </c>
      <c r="L104" s="6"/>
    </row>
    <row r="105" spans="1:12" x14ac:dyDescent="0.25">
      <c r="A105" s="63">
        <v>41669</v>
      </c>
      <c r="B105" s="6">
        <v>8.6736000000000004</v>
      </c>
      <c r="C105" s="6"/>
      <c r="E105" s="32">
        <v>41282</v>
      </c>
      <c r="F105" s="6">
        <v>6.31</v>
      </c>
      <c r="G105" s="6">
        <v>157.75</v>
      </c>
      <c r="I105" s="37" t="s">
        <v>70</v>
      </c>
      <c r="J105" s="6">
        <v>9.2499999999999999E-2</v>
      </c>
      <c r="K105" s="6">
        <v>5.55</v>
      </c>
      <c r="L105" s="6"/>
    </row>
    <row r="106" spans="1:12" x14ac:dyDescent="0.25">
      <c r="A106" s="37" t="s">
        <v>50</v>
      </c>
      <c r="B106" s="6">
        <v>8.6736000000000004</v>
      </c>
      <c r="C106" s="6"/>
      <c r="E106" s="37" t="s">
        <v>50</v>
      </c>
      <c r="F106" s="6">
        <v>6.31</v>
      </c>
      <c r="G106" s="6">
        <v>157.75</v>
      </c>
      <c r="I106" s="37" t="s">
        <v>69</v>
      </c>
      <c r="J106" s="6">
        <v>0.62749999999999995</v>
      </c>
      <c r="K106" s="6">
        <v>62.75</v>
      </c>
      <c r="L106" s="6"/>
    </row>
    <row r="107" spans="1:12" x14ac:dyDescent="0.25">
      <c r="A107" s="63">
        <v>41682</v>
      </c>
      <c r="B107" s="6">
        <v>8.5510000000000002</v>
      </c>
      <c r="C107" s="6">
        <v>839.72149999999999</v>
      </c>
      <c r="E107" s="32">
        <v>41286</v>
      </c>
      <c r="F107" s="6">
        <v>0.55500000000000005</v>
      </c>
      <c r="G107" s="6">
        <v>72</v>
      </c>
      <c r="I107" s="32">
        <v>40992</v>
      </c>
      <c r="J107" s="6">
        <v>3.32</v>
      </c>
      <c r="K107" s="6">
        <v>116.2</v>
      </c>
      <c r="L107" s="6"/>
    </row>
    <row r="108" spans="1:12" x14ac:dyDescent="0.25">
      <c r="A108" s="37" t="s">
        <v>70</v>
      </c>
      <c r="B108" s="6">
        <v>0.38</v>
      </c>
      <c r="C108" s="6">
        <v>30.78</v>
      </c>
      <c r="E108" s="37" t="s">
        <v>258</v>
      </c>
      <c r="F108" s="6">
        <v>0.55500000000000005</v>
      </c>
      <c r="G108" s="6">
        <v>72</v>
      </c>
      <c r="I108" s="37" t="s">
        <v>50</v>
      </c>
      <c r="J108" s="6">
        <v>3.32</v>
      </c>
      <c r="K108" s="6">
        <v>116.2</v>
      </c>
      <c r="L108" s="6"/>
    </row>
    <row r="109" spans="1:12" x14ac:dyDescent="0.25">
      <c r="A109" s="37" t="s">
        <v>69</v>
      </c>
      <c r="B109" s="6">
        <v>8.1709999999999994</v>
      </c>
      <c r="C109" s="6">
        <v>808.94150000000002</v>
      </c>
      <c r="E109" s="32">
        <v>41290</v>
      </c>
      <c r="F109" s="6">
        <v>5.2949999999999999</v>
      </c>
      <c r="G109" s="6">
        <v>394.04999999999995</v>
      </c>
      <c r="I109" s="32">
        <v>40998</v>
      </c>
      <c r="J109" s="6">
        <v>3.6735000000000002</v>
      </c>
      <c r="K109" s="6"/>
      <c r="L109" s="6"/>
    </row>
    <row r="110" spans="1:12" x14ac:dyDescent="0.25">
      <c r="A110" s="63">
        <v>41695</v>
      </c>
      <c r="B110" s="6">
        <v>2.0499999999999998</v>
      </c>
      <c r="C110" s="6"/>
      <c r="E110" s="37" t="s">
        <v>236</v>
      </c>
      <c r="F110" s="6">
        <v>1.4775</v>
      </c>
      <c r="G110" s="6">
        <v>88.65</v>
      </c>
      <c r="I110" s="37" t="s">
        <v>50</v>
      </c>
      <c r="J110" s="6">
        <v>3.6735000000000002</v>
      </c>
      <c r="K110" s="6"/>
      <c r="L110" s="6"/>
    </row>
    <row r="111" spans="1:12" x14ac:dyDescent="0.25">
      <c r="A111" s="37" t="s">
        <v>108</v>
      </c>
      <c r="B111" s="6">
        <v>2.0499999999999998</v>
      </c>
      <c r="C111" s="6"/>
      <c r="E111" s="37" t="s">
        <v>69</v>
      </c>
      <c r="F111" s="6">
        <v>3.8174999999999999</v>
      </c>
      <c r="G111" s="6">
        <v>305.39999999999998</v>
      </c>
      <c r="I111" s="32">
        <v>41005</v>
      </c>
      <c r="J111" s="6">
        <v>13.015000000000001</v>
      </c>
      <c r="K111" s="6">
        <v>548.29999999999995</v>
      </c>
      <c r="L111" s="6"/>
    </row>
    <row r="112" spans="1:12" x14ac:dyDescent="0.25">
      <c r="A112" s="63">
        <v>41696</v>
      </c>
      <c r="B112" s="6">
        <v>0.74</v>
      </c>
      <c r="C112" s="6">
        <v>95</v>
      </c>
      <c r="E112" s="32">
        <v>41291</v>
      </c>
      <c r="F112" s="6">
        <v>2.21</v>
      </c>
      <c r="G112" s="6"/>
      <c r="I112" s="37" t="s">
        <v>236</v>
      </c>
      <c r="J112" s="6">
        <v>2.48</v>
      </c>
      <c r="K112" s="6">
        <v>198.4</v>
      </c>
      <c r="L112" s="6"/>
    </row>
    <row r="113" spans="1:12" x14ac:dyDescent="0.25">
      <c r="A113" s="37" t="s">
        <v>258</v>
      </c>
      <c r="B113" s="6">
        <v>0.74</v>
      </c>
      <c r="C113" s="6">
        <v>95</v>
      </c>
      <c r="E113" s="37" t="s">
        <v>108</v>
      </c>
      <c r="F113" s="6">
        <v>2.21</v>
      </c>
      <c r="G113" s="6"/>
      <c r="I113" s="37" t="s">
        <v>58</v>
      </c>
      <c r="J113" s="6">
        <v>4.93</v>
      </c>
      <c r="K113" s="6"/>
      <c r="L113" s="6"/>
    </row>
    <row r="114" spans="1:12" x14ac:dyDescent="0.25">
      <c r="A114" s="63">
        <v>41698</v>
      </c>
      <c r="B114" s="6">
        <v>8.8415999999999997</v>
      </c>
      <c r="C114" s="6"/>
      <c r="E114" s="32">
        <v>41302</v>
      </c>
      <c r="F114" s="6">
        <v>0.16800000000000001</v>
      </c>
      <c r="G114" s="6"/>
      <c r="I114" s="37" t="s">
        <v>72</v>
      </c>
      <c r="J114" s="6">
        <v>0.04</v>
      </c>
      <c r="K114" s="6">
        <v>4</v>
      </c>
      <c r="L114" s="6"/>
    </row>
    <row r="115" spans="1:12" x14ac:dyDescent="0.25">
      <c r="A115" s="37" t="s">
        <v>58</v>
      </c>
      <c r="B115" s="6">
        <v>0.16800000000000001</v>
      </c>
      <c r="C115" s="6"/>
      <c r="E115" s="37" t="s">
        <v>58</v>
      </c>
      <c r="F115" s="6">
        <v>0.16800000000000001</v>
      </c>
      <c r="G115" s="6"/>
      <c r="I115" s="37" t="s">
        <v>69</v>
      </c>
      <c r="J115" s="6">
        <v>2.3249999999999997</v>
      </c>
      <c r="K115" s="6">
        <v>232.5</v>
      </c>
      <c r="L115" s="6"/>
    </row>
    <row r="116" spans="1:12" x14ac:dyDescent="0.25">
      <c r="A116" s="37" t="s">
        <v>50</v>
      </c>
      <c r="B116" s="6">
        <v>8.6736000000000004</v>
      </c>
      <c r="C116" s="6"/>
      <c r="E116" s="32">
        <v>41304</v>
      </c>
      <c r="F116" s="6">
        <v>2.5</v>
      </c>
      <c r="G116" s="6"/>
      <c r="I116" s="37" t="s">
        <v>50</v>
      </c>
      <c r="J116" s="6">
        <v>3.24</v>
      </c>
      <c r="K116" s="6">
        <v>113.4</v>
      </c>
      <c r="L116" s="6"/>
    </row>
    <row r="117" spans="1:12" x14ac:dyDescent="0.25">
      <c r="A117" s="63">
        <v>41704</v>
      </c>
      <c r="B117" s="6">
        <v>3.2</v>
      </c>
      <c r="C117" s="6">
        <v>412</v>
      </c>
      <c r="E117" s="37" t="s">
        <v>50</v>
      </c>
      <c r="F117" s="6">
        <v>2.5</v>
      </c>
      <c r="G117" s="6"/>
      <c r="I117" s="32">
        <v>41022</v>
      </c>
      <c r="J117" s="6">
        <v>2.59</v>
      </c>
      <c r="K117" s="6">
        <v>88.84</v>
      </c>
      <c r="L117" s="6"/>
    </row>
    <row r="118" spans="1:12" x14ac:dyDescent="0.25">
      <c r="A118" s="37" t="s">
        <v>77</v>
      </c>
      <c r="B118" s="6">
        <v>3.2</v>
      </c>
      <c r="C118" s="6">
        <v>412</v>
      </c>
      <c r="E118" s="32">
        <v>41311</v>
      </c>
      <c r="F118" s="6">
        <v>2.31</v>
      </c>
      <c r="G118" s="6">
        <v>247.35</v>
      </c>
      <c r="I118" s="37" t="s">
        <v>50</v>
      </c>
      <c r="J118" s="6">
        <v>2.59</v>
      </c>
      <c r="K118" s="6">
        <v>88.84</v>
      </c>
      <c r="L118" s="6"/>
    </row>
    <row r="119" spans="1:12" x14ac:dyDescent="0.25">
      <c r="A119" s="63">
        <v>41716</v>
      </c>
      <c r="B119" s="6">
        <v>0.66300000000000003</v>
      </c>
      <c r="C119" s="6">
        <v>111.15</v>
      </c>
      <c r="E119" s="37" t="s">
        <v>77</v>
      </c>
      <c r="F119" s="6">
        <v>2.31</v>
      </c>
      <c r="G119" s="6">
        <v>247.35</v>
      </c>
      <c r="I119" s="32">
        <v>41029</v>
      </c>
      <c r="J119" s="6">
        <v>2.6644999999999999</v>
      </c>
      <c r="K119" s="6"/>
      <c r="L119" s="6"/>
    </row>
    <row r="120" spans="1:12" x14ac:dyDescent="0.25">
      <c r="A120" s="37" t="s">
        <v>93</v>
      </c>
      <c r="B120" s="6">
        <v>2.3E-2</v>
      </c>
      <c r="C120" s="6">
        <v>20.239999999999998</v>
      </c>
      <c r="E120" s="32">
        <v>41312</v>
      </c>
      <c r="F120" s="6">
        <v>3.5</v>
      </c>
      <c r="G120" s="6"/>
      <c r="I120" s="37" t="s">
        <v>50</v>
      </c>
      <c r="J120" s="6">
        <v>2.6644999999999999</v>
      </c>
      <c r="K120" s="6"/>
      <c r="L120" s="6"/>
    </row>
    <row r="121" spans="1:12" x14ac:dyDescent="0.25">
      <c r="A121" s="37" t="s">
        <v>306</v>
      </c>
      <c r="B121" s="6">
        <v>2.5000000000000001E-3</v>
      </c>
      <c r="C121" s="6">
        <v>0.75</v>
      </c>
      <c r="E121" s="37" t="s">
        <v>50</v>
      </c>
      <c r="F121" s="6">
        <v>3.5</v>
      </c>
      <c r="G121" s="6"/>
      <c r="I121" s="32">
        <v>41034</v>
      </c>
      <c r="J121" s="6">
        <v>5</v>
      </c>
      <c r="K121" s="6"/>
      <c r="L121" s="6"/>
    </row>
    <row r="122" spans="1:12" x14ac:dyDescent="0.25">
      <c r="A122" s="37" t="s">
        <v>307</v>
      </c>
      <c r="B122" s="6">
        <v>1.95E-2</v>
      </c>
      <c r="C122" s="6">
        <v>14.82</v>
      </c>
      <c r="E122" s="32">
        <v>41313</v>
      </c>
      <c r="F122" s="6">
        <v>2.66</v>
      </c>
      <c r="G122" s="6">
        <v>45.34</v>
      </c>
      <c r="I122" s="37" t="s">
        <v>50</v>
      </c>
      <c r="J122" s="6">
        <v>5</v>
      </c>
      <c r="K122" s="6"/>
      <c r="L122" s="6"/>
    </row>
    <row r="123" spans="1:12" x14ac:dyDescent="0.25">
      <c r="A123" s="37" t="s">
        <v>308</v>
      </c>
      <c r="B123" s="6">
        <v>3.0000000000000001E-3</v>
      </c>
      <c r="C123" s="6">
        <v>3.24</v>
      </c>
      <c r="E123" s="37" t="s">
        <v>50</v>
      </c>
      <c r="F123" s="6">
        <v>2.66</v>
      </c>
      <c r="G123" s="6">
        <v>45.34</v>
      </c>
      <c r="I123" s="32">
        <v>41036</v>
      </c>
      <c r="J123" s="6">
        <v>2.8424999999999998</v>
      </c>
      <c r="K123" s="6">
        <v>210.85</v>
      </c>
      <c r="L123" s="6"/>
    </row>
    <row r="124" spans="1:12" x14ac:dyDescent="0.25">
      <c r="A124" s="37" t="s">
        <v>258</v>
      </c>
      <c r="B124" s="6">
        <v>0.55500000000000005</v>
      </c>
      <c r="C124" s="6">
        <v>61</v>
      </c>
      <c r="E124" s="32">
        <v>41320</v>
      </c>
      <c r="F124" s="6">
        <v>2.2250000000000001</v>
      </c>
      <c r="G124" s="6"/>
      <c r="I124" s="37" t="s">
        <v>236</v>
      </c>
      <c r="J124" s="6">
        <v>0.64249999999999996</v>
      </c>
      <c r="K124" s="6">
        <v>38.549999999999997</v>
      </c>
      <c r="L124" s="6"/>
    </row>
    <row r="125" spans="1:12" x14ac:dyDescent="0.25">
      <c r="A125" s="37" t="s">
        <v>77</v>
      </c>
      <c r="B125" s="6">
        <v>0.06</v>
      </c>
      <c r="C125" s="6">
        <v>11.1</v>
      </c>
      <c r="E125" s="37" t="s">
        <v>3</v>
      </c>
      <c r="F125" s="6">
        <v>2.2250000000000001</v>
      </c>
      <c r="G125" s="6"/>
      <c r="I125" s="37" t="s">
        <v>70</v>
      </c>
      <c r="J125" s="6">
        <v>9.2499999999999999E-2</v>
      </c>
      <c r="K125" s="6">
        <v>3.7</v>
      </c>
      <c r="L125" s="6"/>
    </row>
    <row r="126" spans="1:12" x14ac:dyDescent="0.25">
      <c r="A126" s="63">
        <v>41726</v>
      </c>
      <c r="B126" s="6">
        <v>17.421599999999998</v>
      </c>
      <c r="C126" s="6">
        <v>913.4899999999999</v>
      </c>
      <c r="E126" s="32">
        <v>41323</v>
      </c>
      <c r="F126" s="6">
        <v>2.42</v>
      </c>
      <c r="G126" s="6"/>
      <c r="I126" s="37" t="s">
        <v>69</v>
      </c>
      <c r="J126" s="6">
        <v>2.1074999999999999</v>
      </c>
      <c r="K126" s="6">
        <v>168.6</v>
      </c>
      <c r="L126" s="6"/>
    </row>
    <row r="127" spans="1:12" x14ac:dyDescent="0.25">
      <c r="A127" s="37" t="s">
        <v>58</v>
      </c>
      <c r="B127" s="6">
        <v>0.16800000000000001</v>
      </c>
      <c r="C127" s="6"/>
      <c r="E127" s="37" t="s">
        <v>108</v>
      </c>
      <c r="F127" s="6">
        <v>2.42</v>
      </c>
      <c r="G127" s="6"/>
      <c r="I127" s="32">
        <v>41037</v>
      </c>
      <c r="J127" s="6">
        <v>5.05</v>
      </c>
      <c r="K127" s="6"/>
      <c r="L127" s="6"/>
    </row>
    <row r="128" spans="1:12" x14ac:dyDescent="0.25">
      <c r="A128" s="37" t="s">
        <v>70</v>
      </c>
      <c r="B128" s="6">
        <v>0.12</v>
      </c>
      <c r="C128" s="6">
        <v>10.799999999999999</v>
      </c>
      <c r="E128" s="32">
        <v>41333</v>
      </c>
      <c r="F128" s="6">
        <v>12.254100000000001</v>
      </c>
      <c r="G128" s="6"/>
      <c r="I128" s="37" t="s">
        <v>58</v>
      </c>
      <c r="J128" s="6">
        <v>5.05</v>
      </c>
      <c r="K128" s="6"/>
      <c r="L128" s="6"/>
    </row>
    <row r="129" spans="1:14" x14ac:dyDescent="0.25">
      <c r="A129" s="37" t="s">
        <v>310</v>
      </c>
      <c r="B129" s="6">
        <v>0.35</v>
      </c>
      <c r="C129" s="6">
        <v>17.324999999999999</v>
      </c>
      <c r="E129" s="37" t="s">
        <v>3</v>
      </c>
      <c r="F129" s="6">
        <v>0.91249999999999998</v>
      </c>
      <c r="G129" s="6"/>
      <c r="I129" s="32">
        <v>41058</v>
      </c>
      <c r="J129" s="6">
        <v>3.88</v>
      </c>
      <c r="K129" s="6">
        <v>135.80000000000001</v>
      </c>
      <c r="L129" s="6"/>
    </row>
    <row r="130" spans="1:14" x14ac:dyDescent="0.25">
      <c r="A130" s="37" t="s">
        <v>69</v>
      </c>
      <c r="B130" s="6">
        <v>8.11</v>
      </c>
      <c r="C130" s="6">
        <v>885.3649999999999</v>
      </c>
      <c r="E130" s="37" t="s">
        <v>58</v>
      </c>
      <c r="F130" s="6">
        <v>0.16800000000000001</v>
      </c>
      <c r="G130" s="6"/>
      <c r="I130" s="37" t="s">
        <v>50</v>
      </c>
      <c r="J130" s="6">
        <v>3.88</v>
      </c>
      <c r="K130" s="6">
        <v>135.80000000000001</v>
      </c>
      <c r="L130" s="6"/>
    </row>
    <row r="131" spans="1:14" x14ac:dyDescent="0.25">
      <c r="A131" s="37" t="s">
        <v>50</v>
      </c>
      <c r="B131" s="6">
        <v>8.6736000000000004</v>
      </c>
      <c r="C131" s="6"/>
      <c r="E131" s="37" t="s">
        <v>50</v>
      </c>
      <c r="F131" s="6">
        <v>11.1736</v>
      </c>
      <c r="G131" s="6"/>
      <c r="I131" s="32">
        <v>41059</v>
      </c>
      <c r="J131" s="6">
        <v>2.6644999999999999</v>
      </c>
      <c r="K131" s="6"/>
      <c r="L131" s="6"/>
    </row>
    <row r="132" spans="1:14" x14ac:dyDescent="0.25">
      <c r="A132" s="63">
        <v>41729</v>
      </c>
      <c r="B132" s="6">
        <v>5.9</v>
      </c>
      <c r="C132" s="6"/>
      <c r="E132" s="32">
        <v>41339</v>
      </c>
      <c r="F132" s="6">
        <v>4.37</v>
      </c>
      <c r="G132" s="6">
        <v>129.13</v>
      </c>
      <c r="I132" s="37" t="s">
        <v>50</v>
      </c>
      <c r="J132" s="6">
        <v>2.6644999999999999</v>
      </c>
      <c r="K132" s="6"/>
      <c r="L132" s="6"/>
    </row>
    <row r="133" spans="1:14" x14ac:dyDescent="0.25">
      <c r="A133" s="37" t="s">
        <v>69</v>
      </c>
      <c r="B133" s="6">
        <v>5.9</v>
      </c>
      <c r="C133" s="6"/>
      <c r="E133" s="37" t="s">
        <v>50</v>
      </c>
      <c r="F133" s="6">
        <v>4.37</v>
      </c>
      <c r="G133" s="6">
        <v>129.13</v>
      </c>
      <c r="I133" s="32">
        <v>41066</v>
      </c>
      <c r="J133" s="6">
        <v>2.5</v>
      </c>
      <c r="K133" s="6"/>
      <c r="L133" s="6"/>
    </row>
    <row r="134" spans="1:14" x14ac:dyDescent="0.25">
      <c r="A134" s="63">
        <v>41737</v>
      </c>
      <c r="B134" s="6">
        <v>7.84</v>
      </c>
      <c r="C134" s="6">
        <v>135.99</v>
      </c>
      <c r="E134" s="32">
        <v>41351</v>
      </c>
      <c r="F134" s="6">
        <v>1.58</v>
      </c>
      <c r="G134" s="6">
        <v>151.80000000000001</v>
      </c>
      <c r="I134" s="37" t="s">
        <v>3</v>
      </c>
      <c r="J134" s="6">
        <v>2.5</v>
      </c>
      <c r="K134" s="6"/>
      <c r="L134" s="6"/>
    </row>
    <row r="135" spans="1:14" x14ac:dyDescent="0.25">
      <c r="A135" s="37" t="s">
        <v>50</v>
      </c>
      <c r="B135" s="6">
        <v>5.74</v>
      </c>
      <c r="C135" s="6">
        <v>135.99</v>
      </c>
      <c r="E135" s="37" t="s">
        <v>77</v>
      </c>
      <c r="F135" s="6">
        <v>1.58</v>
      </c>
      <c r="G135" s="6">
        <v>151.80000000000001</v>
      </c>
      <c r="I135" s="32">
        <v>41067</v>
      </c>
      <c r="J135" s="6">
        <v>4.4349999999999996</v>
      </c>
      <c r="K135" s="6">
        <v>353.43</v>
      </c>
      <c r="L135" s="6"/>
    </row>
    <row r="136" spans="1:14" x14ac:dyDescent="0.25">
      <c r="A136" s="37" t="s">
        <v>108</v>
      </c>
      <c r="B136" s="6">
        <v>2.1</v>
      </c>
      <c r="C136" s="6"/>
      <c r="E136" s="32">
        <v>41352</v>
      </c>
      <c r="F136" s="6">
        <v>1.79</v>
      </c>
      <c r="G136" s="6">
        <v>195.9</v>
      </c>
      <c r="I136" s="37" t="s">
        <v>70</v>
      </c>
      <c r="J136" s="6">
        <v>2.75E-2</v>
      </c>
      <c r="K136" s="6">
        <v>0.83</v>
      </c>
      <c r="L136" s="6"/>
    </row>
    <row r="137" spans="1:14" x14ac:dyDescent="0.25">
      <c r="A137" s="63">
        <v>41752</v>
      </c>
      <c r="B137" s="6"/>
      <c r="C137" s="6">
        <v>830.7</v>
      </c>
      <c r="E137" s="37" t="s">
        <v>77</v>
      </c>
      <c r="F137" s="6">
        <v>1.79</v>
      </c>
      <c r="G137" s="6">
        <v>195.9</v>
      </c>
      <c r="I137" s="37" t="s">
        <v>69</v>
      </c>
      <c r="J137" s="6">
        <v>4.4074999999999998</v>
      </c>
      <c r="K137" s="6">
        <v>352.6</v>
      </c>
      <c r="L137" s="6"/>
    </row>
    <row r="138" spans="1:14" x14ac:dyDescent="0.25">
      <c r="A138" s="37" t="s">
        <v>291</v>
      </c>
      <c r="B138" s="6"/>
      <c r="C138" s="6">
        <v>830.7</v>
      </c>
      <c r="E138" s="32">
        <v>41363</v>
      </c>
      <c r="F138" s="6">
        <v>13.5136</v>
      </c>
      <c r="G138" s="6">
        <v>152.16</v>
      </c>
      <c r="I138" s="32">
        <v>41069</v>
      </c>
      <c r="J138" s="6">
        <v>4.9000000000000004</v>
      </c>
      <c r="K138" s="6"/>
      <c r="L138" s="6"/>
      <c r="M138" s="32"/>
      <c r="N138" s="6"/>
    </row>
    <row r="139" spans="1:14" x14ac:dyDescent="0.25">
      <c r="A139" s="63">
        <v>41757</v>
      </c>
      <c r="B139" s="6">
        <v>9.5815999999999999</v>
      </c>
      <c r="C139" s="6">
        <v>143</v>
      </c>
      <c r="E139" s="37" t="s">
        <v>50</v>
      </c>
      <c r="F139" s="6">
        <v>13.5136</v>
      </c>
      <c r="G139" s="6">
        <v>152.16</v>
      </c>
      <c r="I139" s="37" t="s">
        <v>58</v>
      </c>
      <c r="J139" s="6">
        <v>4.9000000000000004</v>
      </c>
      <c r="K139" s="6"/>
      <c r="L139" s="6"/>
      <c r="M139" s="32"/>
      <c r="N139" s="6"/>
    </row>
    <row r="140" spans="1:14" x14ac:dyDescent="0.25">
      <c r="A140" s="37" t="s">
        <v>58</v>
      </c>
      <c r="B140" s="6">
        <v>0.16800000000000001</v>
      </c>
      <c r="C140" s="6"/>
      <c r="E140" s="32">
        <v>41366</v>
      </c>
      <c r="F140" s="6">
        <v>7.5674999999999999</v>
      </c>
      <c r="G140" s="6">
        <v>697.56000000000006</v>
      </c>
      <c r="I140" s="32">
        <v>41073</v>
      </c>
      <c r="J140" s="6">
        <v>2.3694999999999999</v>
      </c>
      <c r="K140" s="6"/>
      <c r="L140" s="6"/>
      <c r="M140" s="32"/>
      <c r="N140" s="6"/>
    </row>
    <row r="141" spans="1:14" x14ac:dyDescent="0.25">
      <c r="A141" s="37" t="s">
        <v>258</v>
      </c>
      <c r="B141" s="6">
        <v>0.74</v>
      </c>
      <c r="C141" s="6">
        <v>143</v>
      </c>
      <c r="E141" s="37" t="s">
        <v>236</v>
      </c>
      <c r="F141" s="6">
        <v>9.35E-2</v>
      </c>
      <c r="G141" s="6">
        <v>4.6500000000000004</v>
      </c>
      <c r="I141" s="37" t="s">
        <v>3</v>
      </c>
      <c r="J141" s="6">
        <v>2.3694999999999999</v>
      </c>
      <c r="K141" s="6"/>
      <c r="L141" s="6"/>
      <c r="M141" s="32"/>
      <c r="N141" s="6"/>
    </row>
    <row r="142" spans="1:14" x14ac:dyDescent="0.25">
      <c r="A142" s="37" t="s">
        <v>50</v>
      </c>
      <c r="B142" s="6">
        <v>8.6736000000000004</v>
      </c>
      <c r="C142" s="6"/>
      <c r="E142" s="37" t="s">
        <v>124</v>
      </c>
      <c r="F142" s="6">
        <v>0.70299999999999996</v>
      </c>
      <c r="G142" s="6">
        <v>4.6500000000000004</v>
      </c>
      <c r="I142" s="32">
        <v>41088</v>
      </c>
      <c r="J142" s="6">
        <v>4.25</v>
      </c>
      <c r="K142" s="6">
        <v>106.25</v>
      </c>
      <c r="L142" s="6"/>
      <c r="M142" s="32"/>
      <c r="N142" s="6"/>
    </row>
    <row r="143" spans="1:14" x14ac:dyDescent="0.25">
      <c r="A143" s="63">
        <v>41779</v>
      </c>
      <c r="B143" s="6">
        <v>1.4315</v>
      </c>
      <c r="C143" s="6"/>
      <c r="E143" s="37" t="s">
        <v>70</v>
      </c>
      <c r="F143" s="6">
        <v>0.224</v>
      </c>
      <c r="G143" s="6">
        <v>20.16</v>
      </c>
      <c r="I143" s="37" t="s">
        <v>50</v>
      </c>
      <c r="J143" s="6">
        <v>4.25</v>
      </c>
      <c r="K143" s="6">
        <v>106.25</v>
      </c>
      <c r="L143" s="6"/>
      <c r="M143" s="32"/>
      <c r="N143" s="6"/>
    </row>
    <row r="144" spans="1:14" x14ac:dyDescent="0.25">
      <c r="A144" s="37" t="s">
        <v>3</v>
      </c>
      <c r="B144" s="6">
        <v>1.4315</v>
      </c>
      <c r="C144" s="6"/>
      <c r="E144" s="37" t="s">
        <v>69</v>
      </c>
      <c r="F144" s="6">
        <v>6.0960000000000001</v>
      </c>
      <c r="G144" s="6">
        <v>668.1</v>
      </c>
      <c r="I144" s="32">
        <v>41090</v>
      </c>
      <c r="J144" s="6">
        <v>2.6644999999999999</v>
      </c>
      <c r="K144" s="6"/>
      <c r="L144" s="6"/>
      <c r="M144" s="32"/>
      <c r="N144" s="6"/>
    </row>
    <row r="145" spans="1:14" x14ac:dyDescent="0.25">
      <c r="A145" s="63">
        <v>41780</v>
      </c>
      <c r="B145" s="6">
        <v>2.58</v>
      </c>
      <c r="C145" s="6"/>
      <c r="E145" s="37" t="s">
        <v>258</v>
      </c>
      <c r="F145" s="6">
        <v>0.45100000000000001</v>
      </c>
      <c r="G145" s="6"/>
      <c r="I145" s="37" t="s">
        <v>50</v>
      </c>
      <c r="J145" s="6">
        <v>2.6644999999999999</v>
      </c>
      <c r="K145" s="6"/>
      <c r="L145" s="6"/>
      <c r="M145" s="32"/>
      <c r="N145" s="6"/>
    </row>
    <row r="146" spans="1:14" x14ac:dyDescent="0.25">
      <c r="A146" s="37" t="s">
        <v>108</v>
      </c>
      <c r="B146" s="6">
        <v>2.58</v>
      </c>
      <c r="C146" s="6"/>
      <c r="E146" s="32">
        <v>41373</v>
      </c>
      <c r="F146" s="6">
        <v>5.66</v>
      </c>
      <c r="G146" s="6">
        <v>576</v>
      </c>
      <c r="I146" s="32" t="s">
        <v>198</v>
      </c>
      <c r="J146" s="6">
        <v>250.52950000000001</v>
      </c>
      <c r="K146" s="6">
        <v>16213.640000000001</v>
      </c>
      <c r="L146" s="6"/>
      <c r="M146" s="32"/>
      <c r="N146" s="6"/>
    </row>
    <row r="147" spans="1:14" x14ac:dyDescent="0.25">
      <c r="A147" s="63">
        <v>41782</v>
      </c>
      <c r="B147" s="6">
        <v>7.15</v>
      </c>
      <c r="C147" s="6">
        <v>204.14</v>
      </c>
      <c r="E147" s="37" t="s">
        <v>77</v>
      </c>
      <c r="F147" s="6">
        <v>3.78</v>
      </c>
      <c r="G147" s="6">
        <v>576</v>
      </c>
      <c r="L147" s="6"/>
      <c r="M147" s="32"/>
      <c r="N147" s="6"/>
    </row>
    <row r="148" spans="1:14" x14ac:dyDescent="0.25">
      <c r="A148" s="37" t="s">
        <v>50</v>
      </c>
      <c r="B148" s="6">
        <v>7.15</v>
      </c>
      <c r="C148" s="6">
        <v>204.14</v>
      </c>
      <c r="E148" s="37" t="s">
        <v>108</v>
      </c>
      <c r="F148" s="6">
        <v>1.88</v>
      </c>
      <c r="G148" s="6"/>
      <c r="L148" s="6"/>
      <c r="M148" s="32"/>
      <c r="N148" s="6"/>
    </row>
    <row r="149" spans="1:14" x14ac:dyDescent="0.25">
      <c r="A149" s="63">
        <v>41787</v>
      </c>
      <c r="B149" s="6">
        <v>8.8415999999999997</v>
      </c>
      <c r="C149" s="6"/>
      <c r="E149" s="32">
        <v>41375</v>
      </c>
      <c r="F149" s="6">
        <v>2.77</v>
      </c>
      <c r="G149" s="6">
        <v>50.73</v>
      </c>
      <c r="L149" s="6"/>
      <c r="M149" s="32"/>
      <c r="N149" s="6"/>
    </row>
    <row r="150" spans="1:14" x14ac:dyDescent="0.25">
      <c r="A150" s="37" t="s">
        <v>58</v>
      </c>
      <c r="B150" s="6">
        <v>0.16800000000000001</v>
      </c>
      <c r="C150" s="6"/>
      <c r="E150" s="37" t="s">
        <v>50</v>
      </c>
      <c r="F150" s="6">
        <v>2.77</v>
      </c>
      <c r="G150" s="6">
        <v>50.73</v>
      </c>
      <c r="M150" s="32"/>
      <c r="N150" s="6"/>
    </row>
    <row r="151" spans="1:14" x14ac:dyDescent="0.25">
      <c r="A151" s="37" t="s">
        <v>50</v>
      </c>
      <c r="B151" s="6">
        <v>8.6736000000000004</v>
      </c>
      <c r="C151" s="6"/>
      <c r="E151" s="32">
        <v>41389</v>
      </c>
      <c r="F151" s="6">
        <v>5.16</v>
      </c>
      <c r="G151" s="6">
        <v>167.84</v>
      </c>
      <c r="M151" s="32"/>
      <c r="N151" s="6"/>
    </row>
    <row r="152" spans="1:14" x14ac:dyDescent="0.25">
      <c r="A152" s="63">
        <v>41788</v>
      </c>
      <c r="B152" s="6">
        <v>5.25</v>
      </c>
      <c r="C152" s="6">
        <v>738.75</v>
      </c>
      <c r="E152" s="37" t="s">
        <v>50</v>
      </c>
      <c r="F152" s="6">
        <v>5.16</v>
      </c>
      <c r="G152" s="6">
        <v>167.84</v>
      </c>
      <c r="M152" s="32"/>
      <c r="N152" s="6"/>
    </row>
    <row r="153" spans="1:14" x14ac:dyDescent="0.25">
      <c r="A153" s="37" t="s">
        <v>77</v>
      </c>
      <c r="B153" s="6">
        <v>5.25</v>
      </c>
      <c r="C153" s="6">
        <v>738.75</v>
      </c>
      <c r="E153" s="32">
        <v>41394</v>
      </c>
      <c r="F153" s="6">
        <v>4.74</v>
      </c>
      <c r="G153" s="6"/>
      <c r="M153" s="32"/>
      <c r="N153" s="6"/>
    </row>
    <row r="154" spans="1:14" x14ac:dyDescent="0.25">
      <c r="A154" s="63">
        <v>41796</v>
      </c>
      <c r="B154" s="6">
        <v>5.71</v>
      </c>
      <c r="C154" s="6">
        <v>326.12</v>
      </c>
      <c r="E154" s="37" t="s">
        <v>50</v>
      </c>
      <c r="F154" s="6">
        <v>2.37</v>
      </c>
      <c r="G154" s="6"/>
      <c r="M154" s="32"/>
      <c r="N154" s="6"/>
    </row>
    <row r="155" spans="1:14" x14ac:dyDescent="0.25">
      <c r="A155" s="37" t="s">
        <v>50</v>
      </c>
      <c r="B155" s="6">
        <v>5.71</v>
      </c>
      <c r="C155" s="6">
        <v>326.12</v>
      </c>
      <c r="E155" s="37" t="s">
        <v>108</v>
      </c>
      <c r="F155" s="6">
        <v>2.37</v>
      </c>
      <c r="G155" s="6"/>
      <c r="M155" s="32"/>
      <c r="N155" s="6"/>
    </row>
    <row r="156" spans="1:14" x14ac:dyDescent="0.25">
      <c r="A156" s="63">
        <v>41808</v>
      </c>
      <c r="B156" s="6">
        <v>0.81100000000000005</v>
      </c>
      <c r="C156" s="6">
        <v>1182.5</v>
      </c>
      <c r="E156" s="32">
        <v>41412</v>
      </c>
      <c r="F156" s="6">
        <v>1.92</v>
      </c>
      <c r="G156" s="6"/>
      <c r="M156" s="32"/>
      <c r="N156" s="6"/>
    </row>
    <row r="157" spans="1:14" x14ac:dyDescent="0.25">
      <c r="A157" s="37" t="s">
        <v>315</v>
      </c>
      <c r="B157" s="6">
        <v>0.47649999999999998</v>
      </c>
      <c r="C157" s="6">
        <v>800.52</v>
      </c>
      <c r="E157" s="37" t="s">
        <v>108</v>
      </c>
      <c r="F157" s="6">
        <v>1.92</v>
      </c>
      <c r="G157" s="6"/>
      <c r="M157" s="32"/>
      <c r="N157" s="6"/>
    </row>
    <row r="158" spans="1:14" x14ac:dyDescent="0.25">
      <c r="A158" s="37" t="s">
        <v>313</v>
      </c>
      <c r="B158" s="6">
        <v>5.7000000000000002E-2</v>
      </c>
      <c r="C158" s="6">
        <v>68.399999999999991</v>
      </c>
      <c r="E158" s="32">
        <v>41415</v>
      </c>
      <c r="F158" s="6">
        <v>11.3</v>
      </c>
      <c r="G158" s="6">
        <v>684.9</v>
      </c>
      <c r="M158" s="32"/>
      <c r="N158" s="6"/>
    </row>
    <row r="159" spans="1:14" x14ac:dyDescent="0.25">
      <c r="A159" s="37" t="s">
        <v>312</v>
      </c>
      <c r="B159" s="6">
        <v>0.11550000000000001</v>
      </c>
      <c r="C159" s="6">
        <v>133.97999999999999</v>
      </c>
      <c r="E159" s="37" t="s">
        <v>77</v>
      </c>
      <c r="F159" s="6">
        <v>3.5</v>
      </c>
      <c r="G159" s="6">
        <v>415</v>
      </c>
      <c r="M159" s="32"/>
      <c r="N159" s="6"/>
    </row>
    <row r="160" spans="1:14" x14ac:dyDescent="0.25">
      <c r="A160" s="37" t="s">
        <v>306</v>
      </c>
      <c r="B160" s="6">
        <v>0.14899999999999999</v>
      </c>
      <c r="C160" s="6">
        <v>134.1</v>
      </c>
      <c r="E160" s="37" t="s">
        <v>50</v>
      </c>
      <c r="F160" s="6">
        <v>7.8</v>
      </c>
      <c r="G160" s="6">
        <v>269.89999999999998</v>
      </c>
      <c r="M160" s="32"/>
      <c r="N160" s="6"/>
    </row>
    <row r="161" spans="1:7" x14ac:dyDescent="0.25">
      <c r="A161" s="37" t="s">
        <v>314</v>
      </c>
      <c r="B161" s="6">
        <v>1.2999999999999999E-2</v>
      </c>
      <c r="C161" s="6">
        <v>45.5</v>
      </c>
      <c r="E161" s="32">
        <v>41424</v>
      </c>
      <c r="F161" s="6">
        <v>7.8</v>
      </c>
      <c r="G161" s="6"/>
    </row>
    <row r="162" spans="1:7" x14ac:dyDescent="0.25">
      <c r="A162" s="63">
        <v>41809</v>
      </c>
      <c r="B162" s="6">
        <v>7.91</v>
      </c>
      <c r="C162" s="6">
        <v>540.71</v>
      </c>
      <c r="E162" s="37" t="s">
        <v>50</v>
      </c>
      <c r="F162" s="6">
        <v>7.8</v>
      </c>
      <c r="G162" s="6"/>
    </row>
    <row r="163" spans="1:7" x14ac:dyDescent="0.25">
      <c r="A163" s="37" t="s">
        <v>70</v>
      </c>
      <c r="B163" s="6">
        <v>0.13</v>
      </c>
      <c r="C163" s="6">
        <v>9.36</v>
      </c>
      <c r="E163" s="32">
        <v>41428</v>
      </c>
      <c r="F163" s="6">
        <v>5.57</v>
      </c>
      <c r="G163" s="6"/>
    </row>
    <row r="164" spans="1:7" x14ac:dyDescent="0.25">
      <c r="A164" s="37" t="s">
        <v>310</v>
      </c>
      <c r="B164" s="6">
        <v>4.3600000000000003</v>
      </c>
      <c r="C164" s="6">
        <v>215.82000000000002</v>
      </c>
      <c r="E164" s="37" t="s">
        <v>108</v>
      </c>
      <c r="F164" s="6">
        <v>5.57</v>
      </c>
      <c r="G164" s="6"/>
    </row>
    <row r="165" spans="1:7" x14ac:dyDescent="0.25">
      <c r="A165" s="37" t="s">
        <v>69</v>
      </c>
      <c r="B165" s="6">
        <v>3.42</v>
      </c>
      <c r="C165" s="6">
        <v>315.52999999999997</v>
      </c>
      <c r="E165" s="32">
        <v>41431</v>
      </c>
      <c r="F165" s="6">
        <v>1.5065</v>
      </c>
      <c r="G165" s="6"/>
    </row>
    <row r="166" spans="1:7" x14ac:dyDescent="0.25">
      <c r="A166" s="63">
        <v>41818</v>
      </c>
      <c r="B166" s="6">
        <v>8.8415999999999997</v>
      </c>
      <c r="C166" s="6"/>
      <c r="E166" s="37" t="s">
        <v>3</v>
      </c>
      <c r="F166" s="6">
        <v>1.5065</v>
      </c>
      <c r="G166" s="6"/>
    </row>
    <row r="167" spans="1:7" x14ac:dyDescent="0.25">
      <c r="A167" s="37" t="s">
        <v>58</v>
      </c>
      <c r="B167" s="6">
        <v>0.16800000000000001</v>
      </c>
      <c r="C167" s="6"/>
      <c r="E167" s="32">
        <v>41432</v>
      </c>
      <c r="F167" s="6">
        <v>0.92700000000000005</v>
      </c>
      <c r="G167" s="6"/>
    </row>
    <row r="168" spans="1:7" x14ac:dyDescent="0.25">
      <c r="A168" s="37" t="s">
        <v>50</v>
      </c>
      <c r="B168" s="6">
        <v>8.6736000000000004</v>
      </c>
      <c r="C168" s="6"/>
      <c r="E168" s="37" t="s">
        <v>3</v>
      </c>
      <c r="F168" s="6">
        <v>0.92700000000000005</v>
      </c>
      <c r="G168" s="6"/>
    </row>
    <row r="169" spans="1:7" x14ac:dyDescent="0.25">
      <c r="A169" s="63">
        <v>41820</v>
      </c>
      <c r="B169" s="6">
        <v>12.393000000000001</v>
      </c>
      <c r="C169" s="6"/>
      <c r="E169" s="32">
        <v>41439</v>
      </c>
      <c r="F169" s="6">
        <v>0.71000000000000008</v>
      </c>
      <c r="G169" s="6">
        <v>943.07</v>
      </c>
    </row>
    <row r="170" spans="1:7" x14ac:dyDescent="0.25">
      <c r="A170" s="37" t="s">
        <v>69</v>
      </c>
      <c r="B170" s="6">
        <v>12.393000000000001</v>
      </c>
      <c r="C170" s="6"/>
      <c r="E170" s="37" t="s">
        <v>92</v>
      </c>
      <c r="F170" s="6">
        <v>9.4E-2</v>
      </c>
      <c r="G170" s="6">
        <v>95.88</v>
      </c>
    </row>
    <row r="171" spans="1:7" x14ac:dyDescent="0.25">
      <c r="A171" s="5" t="s">
        <v>198</v>
      </c>
      <c r="B171" s="6">
        <v>338.12970000000007</v>
      </c>
      <c r="C171" s="6">
        <v>16282.061500000002</v>
      </c>
      <c r="E171" s="37" t="s">
        <v>66</v>
      </c>
      <c r="F171" s="6">
        <v>0.45450000000000002</v>
      </c>
      <c r="G171" s="6">
        <v>590.85</v>
      </c>
    </row>
    <row r="172" spans="1:7" x14ac:dyDescent="0.25">
      <c r="E172" s="37" t="s">
        <v>132</v>
      </c>
      <c r="F172" s="6">
        <v>5.9499999999999997E-2</v>
      </c>
      <c r="G172" s="6">
        <v>59.5</v>
      </c>
    </row>
    <row r="173" spans="1:7" x14ac:dyDescent="0.25">
      <c r="E173" s="37" t="s">
        <v>94</v>
      </c>
      <c r="F173" s="6">
        <v>5.6000000000000001E-2</v>
      </c>
      <c r="G173" s="6">
        <v>164.64</v>
      </c>
    </row>
    <row r="174" spans="1:7" x14ac:dyDescent="0.25">
      <c r="E174" s="37" t="s">
        <v>133</v>
      </c>
      <c r="F174" s="6">
        <v>4.5999999999999999E-2</v>
      </c>
      <c r="G174" s="6">
        <v>32.200000000000003</v>
      </c>
    </row>
    <row r="175" spans="1:7" x14ac:dyDescent="0.25">
      <c r="E175" s="32">
        <v>41452</v>
      </c>
      <c r="F175" s="6"/>
      <c r="G175" s="6"/>
    </row>
    <row r="176" spans="1:7" x14ac:dyDescent="0.25">
      <c r="E176" s="37" t="s">
        <v>50</v>
      </c>
      <c r="F176" s="6"/>
      <c r="G176" s="6"/>
    </row>
    <row r="177" spans="5:7" x14ac:dyDescent="0.25">
      <c r="E177" s="32">
        <v>41455</v>
      </c>
      <c r="F177" s="6">
        <v>8.6736000000000004</v>
      </c>
      <c r="G177" s="6"/>
    </row>
    <row r="178" spans="5:7" x14ac:dyDescent="0.25">
      <c r="E178" s="37" t="s">
        <v>50</v>
      </c>
      <c r="F178" s="6">
        <v>8.6736000000000004</v>
      </c>
      <c r="G178" s="6"/>
    </row>
    <row r="179" spans="5:7" x14ac:dyDescent="0.25">
      <c r="E179" s="32">
        <v>41336</v>
      </c>
      <c r="F179" s="6">
        <v>3.38</v>
      </c>
      <c r="G179" s="6">
        <v>45.13</v>
      </c>
    </row>
    <row r="180" spans="5:7" x14ac:dyDescent="0.25">
      <c r="E180" s="37" t="s">
        <v>50</v>
      </c>
      <c r="F180" s="6">
        <v>3.38</v>
      </c>
      <c r="G180" s="6">
        <v>45.13</v>
      </c>
    </row>
    <row r="181" spans="5:7" x14ac:dyDescent="0.25">
      <c r="E181" s="32">
        <v>41361</v>
      </c>
      <c r="F181" s="6">
        <v>0.16800000000000001</v>
      </c>
      <c r="G181" s="6"/>
    </row>
    <row r="182" spans="5:7" x14ac:dyDescent="0.25">
      <c r="E182" s="37" t="s">
        <v>58</v>
      </c>
      <c r="F182" s="6">
        <v>0.16800000000000001</v>
      </c>
      <c r="G182" s="6"/>
    </row>
    <row r="183" spans="5:7" x14ac:dyDescent="0.25">
      <c r="E183" s="32">
        <v>41392</v>
      </c>
      <c r="F183" s="6">
        <v>0.16800000000000001</v>
      </c>
      <c r="G183" s="6"/>
    </row>
    <row r="184" spans="5:7" x14ac:dyDescent="0.25">
      <c r="E184" s="37" t="s">
        <v>58</v>
      </c>
      <c r="F184" s="6">
        <v>0.16800000000000001</v>
      </c>
      <c r="G184" s="6"/>
    </row>
    <row r="185" spans="5:7" x14ac:dyDescent="0.25">
      <c r="E185" s="32">
        <v>41422</v>
      </c>
      <c r="F185" s="6">
        <v>0.16800000000000001</v>
      </c>
      <c r="G185" s="6"/>
    </row>
    <row r="186" spans="5:7" x14ac:dyDescent="0.25">
      <c r="E186" s="37" t="s">
        <v>58</v>
      </c>
      <c r="F186" s="6">
        <v>0.16800000000000001</v>
      </c>
      <c r="G186" s="6"/>
    </row>
    <row r="187" spans="5:7" x14ac:dyDescent="0.25">
      <c r="E187" s="32">
        <v>41438</v>
      </c>
      <c r="F187" s="6">
        <v>7.12</v>
      </c>
      <c r="G187" s="6">
        <v>659.87</v>
      </c>
    </row>
    <row r="188" spans="5:7" x14ac:dyDescent="0.25">
      <c r="E188" s="37" t="s">
        <v>69</v>
      </c>
      <c r="F188" s="6">
        <v>6.7880000000000003</v>
      </c>
      <c r="G188" s="6">
        <v>659.87</v>
      </c>
    </row>
    <row r="189" spans="5:7" x14ac:dyDescent="0.25">
      <c r="E189" s="37" t="s">
        <v>258</v>
      </c>
      <c r="F189" s="6">
        <v>0.33200000000000002</v>
      </c>
      <c r="G189" s="6">
        <v>0</v>
      </c>
    </row>
    <row r="190" spans="5:7" x14ac:dyDescent="0.25">
      <c r="E190" s="32">
        <v>41453</v>
      </c>
      <c r="F190" s="6">
        <v>0.16800000000000001</v>
      </c>
      <c r="G190" s="6"/>
    </row>
    <row r="191" spans="5:7" x14ac:dyDescent="0.25">
      <c r="E191" s="37" t="s">
        <v>58</v>
      </c>
      <c r="F191" s="6">
        <v>0.16800000000000001</v>
      </c>
      <c r="G191" s="6"/>
    </row>
    <row r="192" spans="5:7" x14ac:dyDescent="0.25">
      <c r="E192" s="32" t="s">
        <v>198</v>
      </c>
      <c r="F192" s="6">
        <v>315.63680000000011</v>
      </c>
      <c r="G192" s="6">
        <v>17068.939999999995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G1" workbookViewId="0">
      <selection activeCell="D34" sqref="D34"/>
    </sheetView>
  </sheetViews>
  <sheetFormatPr defaultColWidth="8.85546875" defaultRowHeight="15" x14ac:dyDescent="0.25"/>
  <cols>
    <col min="1" max="1" width="13.140625" bestFit="1" customWidth="1"/>
    <col min="2" max="2" width="15.28515625" bestFit="1" customWidth="1"/>
    <col min="3" max="3" width="22.5703125" bestFit="1" customWidth="1"/>
    <col min="5" max="5" width="13.140625" customWidth="1"/>
    <col min="6" max="6" width="15.28515625" customWidth="1"/>
    <col min="7" max="7" width="22.5703125" customWidth="1"/>
    <col min="9" max="9" width="13.140625" customWidth="1"/>
    <col min="10" max="10" width="15.28515625" customWidth="1"/>
    <col min="11" max="11" width="22.5703125" customWidth="1"/>
    <col min="13" max="13" width="13.140625" customWidth="1"/>
    <col min="14" max="14" width="15.28515625" customWidth="1"/>
    <col min="15" max="15" width="22.5703125" customWidth="1"/>
  </cols>
  <sheetData>
    <row r="1" spans="1:15" x14ac:dyDescent="0.25">
      <c r="A1" t="s">
        <v>1</v>
      </c>
    </row>
    <row r="2" spans="1:15" x14ac:dyDescent="0.25">
      <c r="A2" t="s">
        <v>325</v>
      </c>
      <c r="E2" t="s">
        <v>326</v>
      </c>
      <c r="I2" t="s">
        <v>327</v>
      </c>
      <c r="M2" t="s">
        <v>328</v>
      </c>
    </row>
    <row r="3" spans="1:15" x14ac:dyDescent="0.25">
      <c r="A3" s="36" t="s">
        <v>195</v>
      </c>
      <c r="B3" t="s">
        <v>197</v>
      </c>
      <c r="C3" t="s">
        <v>196</v>
      </c>
      <c r="E3" s="36" t="s">
        <v>195</v>
      </c>
      <c r="F3" t="s">
        <v>197</v>
      </c>
      <c r="G3" t="s">
        <v>196</v>
      </c>
      <c r="I3" s="36" t="s">
        <v>195</v>
      </c>
      <c r="J3" t="s">
        <v>197</v>
      </c>
      <c r="K3" t="s">
        <v>196</v>
      </c>
      <c r="M3" s="36" t="s">
        <v>195</v>
      </c>
      <c r="N3" t="s">
        <v>197</v>
      </c>
      <c r="O3" t="s">
        <v>196</v>
      </c>
    </row>
    <row r="4" spans="1:15" x14ac:dyDescent="0.25">
      <c r="A4" s="32" t="s">
        <v>273</v>
      </c>
      <c r="B4" s="6">
        <v>49.713999999999999</v>
      </c>
      <c r="C4" s="6">
        <v>2730.2299999999996</v>
      </c>
      <c r="E4" s="32" t="s">
        <v>273</v>
      </c>
      <c r="F4" s="6">
        <v>34.26</v>
      </c>
      <c r="G4" s="6">
        <v>1727.3799999999999</v>
      </c>
      <c r="I4" s="32" t="s">
        <v>273</v>
      </c>
      <c r="J4" s="6">
        <v>48.029999999999994</v>
      </c>
      <c r="K4" s="6">
        <v>3482.0099999999998</v>
      </c>
      <c r="M4" s="32" t="s">
        <v>273</v>
      </c>
      <c r="N4" s="6">
        <v>45.160000000000004</v>
      </c>
      <c r="O4" s="6">
        <v>3148.0000000000005</v>
      </c>
    </row>
    <row r="5" spans="1:15" x14ac:dyDescent="0.25">
      <c r="A5" s="32" t="s">
        <v>274</v>
      </c>
      <c r="B5" s="6">
        <v>32.454000000000001</v>
      </c>
      <c r="C5" s="6">
        <v>1653.21</v>
      </c>
      <c r="E5" s="32" t="s">
        <v>274</v>
      </c>
      <c r="F5" s="6">
        <v>52.763999999999996</v>
      </c>
      <c r="G5" s="6">
        <v>2661.58</v>
      </c>
      <c r="I5" s="32" t="s">
        <v>274</v>
      </c>
      <c r="J5" s="6">
        <v>59.01</v>
      </c>
      <c r="K5" s="6">
        <v>3548.4700000000003</v>
      </c>
      <c r="M5" s="32" t="s">
        <v>274</v>
      </c>
      <c r="N5" s="6">
        <v>58.58</v>
      </c>
      <c r="O5" s="6">
        <v>3743.56</v>
      </c>
    </row>
    <row r="6" spans="1:15" x14ac:dyDescent="0.25">
      <c r="A6" s="32" t="s">
        <v>275</v>
      </c>
      <c r="B6" s="6">
        <v>42.134</v>
      </c>
      <c r="C6" s="6">
        <v>2065.5700000000002</v>
      </c>
      <c r="E6" s="32" t="s">
        <v>275</v>
      </c>
      <c r="F6" s="6">
        <v>30.884</v>
      </c>
      <c r="G6" s="6">
        <v>1495.8200000000002</v>
      </c>
      <c r="I6" s="32" t="s">
        <v>275</v>
      </c>
      <c r="J6" s="6">
        <v>49.57</v>
      </c>
      <c r="K6" s="6">
        <v>2948.59</v>
      </c>
      <c r="M6" s="32" t="s">
        <v>275</v>
      </c>
      <c r="N6" s="6">
        <v>72.559999999999988</v>
      </c>
      <c r="O6" s="6">
        <v>4810.1499999999987</v>
      </c>
    </row>
    <row r="7" spans="1:15" x14ac:dyDescent="0.25">
      <c r="A7" s="32" t="s">
        <v>276</v>
      </c>
      <c r="B7" s="6">
        <v>65.804000000000002</v>
      </c>
      <c r="C7" s="6">
        <v>2898.66</v>
      </c>
      <c r="E7" s="32" t="s">
        <v>276</v>
      </c>
      <c r="F7" s="6">
        <v>58.334000000000003</v>
      </c>
      <c r="G7" s="6">
        <v>2811.97</v>
      </c>
      <c r="I7" s="32" t="s">
        <v>276</v>
      </c>
      <c r="J7" s="6">
        <v>53.09</v>
      </c>
      <c r="K7" s="6">
        <v>2928.6299999999997</v>
      </c>
      <c r="M7" s="32" t="s">
        <v>276</v>
      </c>
      <c r="N7" s="6">
        <v>59.849999999999994</v>
      </c>
      <c r="O7" s="6">
        <v>4376.3599999999997</v>
      </c>
    </row>
    <row r="8" spans="1:15" x14ac:dyDescent="0.25">
      <c r="A8" s="32" t="s">
        <v>277</v>
      </c>
      <c r="B8" s="6">
        <v>30.323999999999998</v>
      </c>
      <c r="C8" s="6">
        <v>1395.4</v>
      </c>
      <c r="E8" s="32" t="s">
        <v>277</v>
      </c>
      <c r="F8" s="6">
        <v>60.114000000000004</v>
      </c>
      <c r="G8" s="6">
        <v>2745.03</v>
      </c>
      <c r="I8" s="32" t="s">
        <v>277</v>
      </c>
      <c r="J8" s="6">
        <v>49.269999999999996</v>
      </c>
      <c r="K8" s="6">
        <v>2443.79</v>
      </c>
      <c r="M8" s="32" t="s">
        <v>277</v>
      </c>
      <c r="N8" s="6">
        <v>60.35</v>
      </c>
      <c r="O8" s="6">
        <v>3986.7799999999997</v>
      </c>
    </row>
    <row r="9" spans="1:15" x14ac:dyDescent="0.25">
      <c r="A9" s="32" t="s">
        <v>278</v>
      </c>
      <c r="B9" s="6">
        <v>60.474000000000004</v>
      </c>
      <c r="C9" s="6">
        <v>2754.75</v>
      </c>
      <c r="E9" s="32" t="s">
        <v>278</v>
      </c>
      <c r="F9" s="6">
        <v>17.344000000000001</v>
      </c>
      <c r="G9" s="6">
        <v>1015.24</v>
      </c>
      <c r="I9" s="32" t="s">
        <v>278</v>
      </c>
      <c r="J9" s="6">
        <v>48.18</v>
      </c>
      <c r="K9" s="6">
        <v>2759.3599999999997</v>
      </c>
      <c r="M9" s="32" t="s">
        <v>278</v>
      </c>
      <c r="N9" s="6">
        <v>55.009999999999991</v>
      </c>
      <c r="O9" s="6">
        <v>3935.2999999999997</v>
      </c>
    </row>
    <row r="10" spans="1:15" x14ac:dyDescent="0.25">
      <c r="A10" s="32" t="s">
        <v>279</v>
      </c>
      <c r="B10" s="6">
        <v>50.713999999999999</v>
      </c>
      <c r="C10" s="6">
        <v>2376.23</v>
      </c>
      <c r="E10" s="32" t="s">
        <v>279</v>
      </c>
      <c r="F10" s="6">
        <v>35.64</v>
      </c>
      <c r="G10" s="6">
        <v>2075.7800000000002</v>
      </c>
      <c r="I10" s="32" t="s">
        <v>279</v>
      </c>
      <c r="J10" s="6">
        <v>54.019999999999996</v>
      </c>
      <c r="K10" s="6">
        <v>3662.43</v>
      </c>
      <c r="M10" s="32" t="s">
        <v>279</v>
      </c>
      <c r="N10" s="6">
        <v>68.559999999999988</v>
      </c>
      <c r="O10" s="6">
        <v>4619.8900000000003</v>
      </c>
    </row>
    <row r="11" spans="1:15" x14ac:dyDescent="0.25">
      <c r="A11" s="32" t="s">
        <v>280</v>
      </c>
      <c r="B11" s="6">
        <v>56.924000000000007</v>
      </c>
      <c r="C11" s="6">
        <v>2773.9</v>
      </c>
      <c r="E11" s="32" t="s">
        <v>280</v>
      </c>
      <c r="F11" s="6">
        <v>42.29</v>
      </c>
      <c r="G11" s="6">
        <v>2392.7399999999998</v>
      </c>
      <c r="I11" s="32" t="s">
        <v>280</v>
      </c>
      <c r="J11" s="6">
        <v>72.929999999999964</v>
      </c>
      <c r="K11" s="6">
        <v>5071.869999999999</v>
      </c>
      <c r="M11" s="32" t="s">
        <v>280</v>
      </c>
      <c r="N11" s="6">
        <v>59.650000000000006</v>
      </c>
      <c r="O11" s="6">
        <v>4386.7699999999995</v>
      </c>
    </row>
    <row r="12" spans="1:15" x14ac:dyDescent="0.25">
      <c r="A12" s="32" t="s">
        <v>281</v>
      </c>
      <c r="B12" s="6">
        <v>51.994</v>
      </c>
      <c r="C12" s="6">
        <v>2525.79</v>
      </c>
      <c r="E12" s="32" t="s">
        <v>281</v>
      </c>
      <c r="F12" s="6">
        <v>63.140000000000008</v>
      </c>
      <c r="G12" s="6">
        <v>3031.5999999999995</v>
      </c>
      <c r="I12" s="32" t="s">
        <v>281</v>
      </c>
      <c r="J12" s="6">
        <v>61.460000000000008</v>
      </c>
      <c r="K12" s="6">
        <v>3716.2100000000009</v>
      </c>
      <c r="M12" s="32" t="s">
        <v>281</v>
      </c>
      <c r="N12" s="6">
        <v>78.109999999999985</v>
      </c>
      <c r="O12" s="6">
        <v>5143.79</v>
      </c>
    </row>
    <row r="13" spans="1:15" x14ac:dyDescent="0.25">
      <c r="A13" s="32" t="s">
        <v>282</v>
      </c>
      <c r="B13" s="6">
        <v>63.823999999999991</v>
      </c>
      <c r="C13" s="6">
        <v>3193.8799999999997</v>
      </c>
      <c r="E13" s="32" t="s">
        <v>282</v>
      </c>
      <c r="F13" s="6">
        <v>23.73</v>
      </c>
      <c r="G13" s="6">
        <v>1409.21</v>
      </c>
      <c r="I13" s="32" t="s">
        <v>282</v>
      </c>
      <c r="J13" s="6">
        <v>61.33</v>
      </c>
      <c r="K13" s="6">
        <v>3841.1099999999997</v>
      </c>
      <c r="M13" s="32" t="s">
        <v>282</v>
      </c>
      <c r="N13" s="6">
        <v>74.81</v>
      </c>
      <c r="O13" s="6">
        <v>4537.2399999999989</v>
      </c>
    </row>
    <row r="14" spans="1:15" x14ac:dyDescent="0.25">
      <c r="A14" s="32" t="s">
        <v>283</v>
      </c>
      <c r="B14" s="6">
        <v>48.594000000000008</v>
      </c>
      <c r="C14" s="6">
        <v>2456.84</v>
      </c>
      <c r="E14" s="32" t="s">
        <v>283</v>
      </c>
      <c r="F14" s="6">
        <v>39.21</v>
      </c>
      <c r="G14" s="6">
        <v>2287.17</v>
      </c>
      <c r="I14" s="32" t="s">
        <v>283</v>
      </c>
      <c r="J14" s="6">
        <v>76.890000000000015</v>
      </c>
      <c r="K14" s="6">
        <v>4261.2299999999996</v>
      </c>
      <c r="M14" s="32" t="s">
        <v>283</v>
      </c>
      <c r="N14" s="6">
        <v>81.080000000000013</v>
      </c>
      <c r="O14" s="6">
        <v>5239.2</v>
      </c>
    </row>
    <row r="15" spans="1:15" x14ac:dyDescent="0.25">
      <c r="A15" s="32" t="s">
        <v>284</v>
      </c>
      <c r="B15" s="6">
        <v>31.593999999999998</v>
      </c>
      <c r="C15" s="6">
        <v>1550.9900000000002</v>
      </c>
      <c r="E15" s="32" t="s">
        <v>284</v>
      </c>
      <c r="F15" s="6">
        <v>29.78</v>
      </c>
      <c r="G15" s="6">
        <v>1457.5599999999997</v>
      </c>
      <c r="I15" s="32" t="s">
        <v>284</v>
      </c>
      <c r="J15" s="6">
        <v>47.94</v>
      </c>
      <c r="K15" s="6">
        <v>3019.58</v>
      </c>
      <c r="M15" s="32" t="s">
        <v>284</v>
      </c>
      <c r="N15" s="6">
        <v>55.789999999999992</v>
      </c>
      <c r="O15" s="6">
        <v>3599.26</v>
      </c>
    </row>
    <row r="16" spans="1:15" x14ac:dyDescent="0.25">
      <c r="A16" s="32" t="s">
        <v>198</v>
      </c>
      <c r="B16" s="6">
        <v>584.54800000000012</v>
      </c>
      <c r="C16" s="66">
        <v>28375.450000000004</v>
      </c>
      <c r="E16" s="32" t="s">
        <v>198</v>
      </c>
      <c r="F16" s="6">
        <v>487.49</v>
      </c>
      <c r="G16" s="66">
        <v>25111.079999999998</v>
      </c>
      <c r="I16" s="32" t="s">
        <v>198</v>
      </c>
      <c r="J16" s="6">
        <v>681.72</v>
      </c>
      <c r="K16" s="66">
        <v>41683.279999999999</v>
      </c>
      <c r="M16" s="32" t="s">
        <v>198</v>
      </c>
      <c r="N16" s="6">
        <v>769.5100000000001</v>
      </c>
      <c r="O16" s="66">
        <v>51526.299999999996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13.28515625" customWidth="1"/>
    <col min="2" max="2" width="17.85546875" customWidth="1"/>
    <col min="3" max="4" width="15.5703125" customWidth="1"/>
    <col min="5" max="5" width="28" customWidth="1"/>
    <col min="6" max="6" width="17.85546875" customWidth="1"/>
    <col min="7" max="7" width="15.5703125" customWidth="1"/>
    <col min="8" max="8" width="11.28515625" bestFit="1" customWidth="1"/>
    <col min="9" max="9" width="19" customWidth="1"/>
    <col min="10" max="10" width="17.85546875" customWidth="1"/>
    <col min="11" max="11" width="15.5703125" customWidth="1"/>
    <col min="12" max="12" width="15.42578125" customWidth="1"/>
    <col min="13" max="13" width="16" customWidth="1"/>
    <col min="14" max="14" width="17.85546875" customWidth="1"/>
    <col min="15" max="15" width="15.5703125" customWidth="1"/>
    <col min="16" max="16" width="9" customWidth="1"/>
    <col min="17" max="17" width="10.42578125" bestFit="1" customWidth="1"/>
    <col min="18" max="18" width="7" customWidth="1"/>
    <col min="19" max="19" width="14.42578125" bestFit="1" customWidth="1"/>
    <col min="20" max="20" width="12.28515625" bestFit="1" customWidth="1"/>
    <col min="21" max="21" width="9.42578125" customWidth="1"/>
    <col min="22" max="22" width="8.140625" customWidth="1"/>
    <col min="23" max="23" width="24.140625" customWidth="1"/>
    <col min="24" max="24" width="8.42578125" customWidth="1"/>
    <col min="25" max="25" width="6" customWidth="1"/>
    <col min="26" max="26" width="16.42578125" customWidth="1"/>
    <col min="27" max="27" width="12.28515625" customWidth="1"/>
    <col min="28" max="29" width="7" customWidth="1"/>
    <col min="30" max="30" width="6.140625" customWidth="1"/>
    <col min="31" max="31" width="7" customWidth="1"/>
    <col min="32" max="32" width="10.140625" customWidth="1"/>
    <col min="33" max="33" width="12.42578125" customWidth="1"/>
    <col min="34" max="34" width="13.28515625" customWidth="1"/>
    <col min="35" max="35" width="29" bestFit="1" customWidth="1"/>
    <col min="36" max="36" width="6" customWidth="1"/>
    <col min="37" max="37" width="12.42578125" customWidth="1"/>
    <col min="38" max="38" width="11.28515625" customWidth="1"/>
    <col min="39" max="39" width="6" customWidth="1"/>
    <col min="40" max="40" width="12.42578125" bestFit="1" customWidth="1"/>
    <col min="41" max="41" width="11.28515625" bestFit="1" customWidth="1"/>
  </cols>
  <sheetData>
    <row r="1" spans="1:15" x14ac:dyDescent="0.25">
      <c r="A1" s="36" t="s">
        <v>26</v>
      </c>
      <c r="B1" t="s">
        <v>331</v>
      </c>
    </row>
    <row r="2" spans="1:15" x14ac:dyDescent="0.25">
      <c r="A2" t="s">
        <v>325</v>
      </c>
      <c r="E2" t="s">
        <v>326</v>
      </c>
      <c r="I2" t="s">
        <v>327</v>
      </c>
      <c r="M2" t="s">
        <v>328</v>
      </c>
    </row>
    <row r="3" spans="1:15" x14ac:dyDescent="0.25">
      <c r="B3" s="36" t="s">
        <v>272</v>
      </c>
      <c r="E3" s="36" t="s">
        <v>195</v>
      </c>
      <c r="F3" t="s">
        <v>229</v>
      </c>
      <c r="G3" t="s">
        <v>241</v>
      </c>
      <c r="I3" s="36" t="s">
        <v>195</v>
      </c>
      <c r="J3" t="s">
        <v>229</v>
      </c>
      <c r="K3" t="s">
        <v>241</v>
      </c>
      <c r="M3" s="36" t="s">
        <v>195</v>
      </c>
      <c r="N3" t="s">
        <v>229</v>
      </c>
      <c r="O3" t="s">
        <v>241</v>
      </c>
    </row>
    <row r="4" spans="1:15" x14ac:dyDescent="0.25">
      <c r="A4" s="36" t="s">
        <v>195</v>
      </c>
      <c r="B4" t="s">
        <v>229</v>
      </c>
      <c r="C4" t="s">
        <v>241</v>
      </c>
      <c r="E4" s="32">
        <v>41095</v>
      </c>
      <c r="F4" s="6">
        <v>4.4050000000000002</v>
      </c>
      <c r="G4" s="6">
        <v>427.45</v>
      </c>
      <c r="I4" s="32">
        <v>40749</v>
      </c>
      <c r="J4" s="6">
        <v>3.8</v>
      </c>
      <c r="K4" s="6">
        <v>220</v>
      </c>
      <c r="L4" s="6"/>
      <c r="M4" s="32">
        <v>40389</v>
      </c>
      <c r="N4" s="6">
        <v>8.4799999999999986</v>
      </c>
      <c r="O4" s="6">
        <v>306.51</v>
      </c>
    </row>
    <row r="5" spans="1:15" x14ac:dyDescent="0.25">
      <c r="A5" s="5" t="s">
        <v>320</v>
      </c>
      <c r="B5" s="68">
        <v>2.9550000000000001</v>
      </c>
      <c r="C5" s="65">
        <v>171.66</v>
      </c>
      <c r="E5" s="37" t="s">
        <v>236</v>
      </c>
      <c r="F5" s="6">
        <v>0.27</v>
      </c>
      <c r="G5" s="6">
        <v>16.2</v>
      </c>
      <c r="I5" s="37" t="s">
        <v>50</v>
      </c>
      <c r="J5" s="6">
        <v>3.8</v>
      </c>
      <c r="K5" s="6">
        <v>220</v>
      </c>
      <c r="L5" s="6"/>
      <c r="M5" s="37" t="s">
        <v>236</v>
      </c>
      <c r="N5" s="6">
        <v>4.92</v>
      </c>
      <c r="O5" s="6"/>
    </row>
    <row r="6" spans="1:15" x14ac:dyDescent="0.25">
      <c r="A6" s="5" t="s">
        <v>3</v>
      </c>
      <c r="B6" s="68">
        <v>7.7869999999999999</v>
      </c>
      <c r="C6" s="65"/>
      <c r="E6" s="37" t="s">
        <v>70</v>
      </c>
      <c r="F6" s="6">
        <v>0.03</v>
      </c>
      <c r="G6" s="6">
        <v>0.75</v>
      </c>
      <c r="I6" s="32">
        <v>40754</v>
      </c>
      <c r="J6" s="6">
        <v>5.5</v>
      </c>
      <c r="K6" s="6">
        <v>479.95</v>
      </c>
      <c r="L6" s="6"/>
      <c r="M6" s="37" t="s">
        <v>70</v>
      </c>
      <c r="N6" s="6">
        <v>2.27</v>
      </c>
      <c r="O6" s="6"/>
    </row>
    <row r="7" spans="1:15" x14ac:dyDescent="0.25">
      <c r="A7" s="5" t="s">
        <v>58</v>
      </c>
      <c r="B7" s="68">
        <v>34.92</v>
      </c>
      <c r="C7" s="65"/>
      <c r="E7" s="37" t="s">
        <v>69</v>
      </c>
      <c r="F7" s="6">
        <v>4.1050000000000004</v>
      </c>
      <c r="G7" s="6">
        <v>410.5</v>
      </c>
      <c r="I7" s="37" t="s">
        <v>70</v>
      </c>
      <c r="J7" s="6">
        <v>1.1000000000000001</v>
      </c>
      <c r="K7" s="6">
        <v>51.15</v>
      </c>
      <c r="L7" s="6"/>
      <c r="M7" s="37" t="s">
        <v>69</v>
      </c>
      <c r="N7" s="6">
        <v>1</v>
      </c>
      <c r="O7" s="6">
        <v>306.51</v>
      </c>
    </row>
    <row r="8" spans="1:15" x14ac:dyDescent="0.25">
      <c r="A8" s="5" t="s">
        <v>4</v>
      </c>
      <c r="B8" s="68">
        <v>0.97000000000000008</v>
      </c>
      <c r="C8" s="65">
        <v>581</v>
      </c>
      <c r="E8" s="32">
        <v>41101</v>
      </c>
      <c r="F8" s="6">
        <v>5.05</v>
      </c>
      <c r="G8" s="6"/>
      <c r="I8" s="37" t="s">
        <v>69</v>
      </c>
      <c r="J8" s="6">
        <v>0.57999999999999996</v>
      </c>
      <c r="K8" s="6">
        <v>63.8</v>
      </c>
      <c r="L8" s="6"/>
      <c r="M8" s="37" t="s">
        <v>231</v>
      </c>
      <c r="N8" s="6">
        <v>0.28999999999999998</v>
      </c>
      <c r="O8" s="6"/>
    </row>
    <row r="9" spans="1:15" x14ac:dyDescent="0.25">
      <c r="A9" s="5" t="s">
        <v>318</v>
      </c>
      <c r="B9" s="68">
        <v>60.74499999999999</v>
      </c>
      <c r="C9" s="65">
        <v>5087.1400000000003</v>
      </c>
      <c r="E9" s="37" t="s">
        <v>58</v>
      </c>
      <c r="F9" s="6">
        <v>5.05</v>
      </c>
      <c r="G9" s="6"/>
      <c r="I9" s="37" t="s">
        <v>50</v>
      </c>
      <c r="J9" s="6">
        <v>3.65</v>
      </c>
      <c r="K9" s="6">
        <v>365</v>
      </c>
      <c r="L9" s="6"/>
      <c r="M9" s="32">
        <v>40420</v>
      </c>
      <c r="N9" s="6">
        <v>6.85</v>
      </c>
      <c r="O9" s="6">
        <v>319.48</v>
      </c>
    </row>
    <row r="10" spans="1:15" x14ac:dyDescent="0.25">
      <c r="A10" s="5" t="s">
        <v>231</v>
      </c>
      <c r="B10" s="68">
        <v>0.34500000000000003</v>
      </c>
      <c r="C10" s="65">
        <v>15</v>
      </c>
      <c r="E10" s="32">
        <v>41118</v>
      </c>
      <c r="F10" s="6">
        <v>4.6399999999999997</v>
      </c>
      <c r="G10" s="6">
        <v>116</v>
      </c>
      <c r="I10" s="37" t="s">
        <v>231</v>
      </c>
      <c r="J10" s="6">
        <v>0.17</v>
      </c>
      <c r="K10" s="6">
        <v>0</v>
      </c>
      <c r="L10" s="6"/>
      <c r="M10" s="37" t="s">
        <v>70</v>
      </c>
      <c r="N10" s="6">
        <v>3.94</v>
      </c>
      <c r="O10" s="6"/>
    </row>
    <row r="11" spans="1:15" x14ac:dyDescent="0.25">
      <c r="A11" s="5" t="s">
        <v>50</v>
      </c>
      <c r="B11" s="68">
        <v>102.06499999999998</v>
      </c>
      <c r="C11" s="65">
        <v>4707.99</v>
      </c>
      <c r="E11" s="37" t="s">
        <v>50</v>
      </c>
      <c r="F11" s="6">
        <v>4.6399999999999997</v>
      </c>
      <c r="G11" s="6">
        <v>116</v>
      </c>
      <c r="I11" s="32">
        <v>40765</v>
      </c>
      <c r="J11" s="6">
        <v>3.7</v>
      </c>
      <c r="K11" s="6">
        <v>370</v>
      </c>
      <c r="L11" s="6"/>
      <c r="M11" s="37" t="s">
        <v>69</v>
      </c>
      <c r="N11" s="6">
        <v>2.2200000000000002</v>
      </c>
      <c r="O11" s="6">
        <v>319.48</v>
      </c>
    </row>
    <row r="12" spans="1:15" x14ac:dyDescent="0.25">
      <c r="A12" s="5" t="s">
        <v>1</v>
      </c>
      <c r="B12" s="68">
        <v>1.1875</v>
      </c>
      <c r="C12" s="65">
        <v>-39.15</v>
      </c>
      <c r="E12" s="32">
        <v>41120</v>
      </c>
      <c r="F12" s="6">
        <v>2.6644999999999999</v>
      </c>
      <c r="G12" s="6"/>
      <c r="I12" s="37" t="s">
        <v>50</v>
      </c>
      <c r="J12" s="6">
        <v>3.7</v>
      </c>
      <c r="K12" s="6">
        <v>370</v>
      </c>
      <c r="L12" s="6"/>
      <c r="M12" s="37" t="s">
        <v>231</v>
      </c>
      <c r="N12" s="6">
        <v>0.69</v>
      </c>
      <c r="O12" s="6"/>
    </row>
    <row r="13" spans="1:15" x14ac:dyDescent="0.25">
      <c r="A13" s="5" t="s">
        <v>330</v>
      </c>
      <c r="B13" s="68">
        <v>11.38</v>
      </c>
      <c r="C13" s="65">
        <v>5690</v>
      </c>
      <c r="E13" s="37" t="s">
        <v>50</v>
      </c>
      <c r="F13" s="6">
        <v>2.6644999999999999</v>
      </c>
      <c r="G13" s="6"/>
      <c r="I13" s="32">
        <v>40784</v>
      </c>
      <c r="J13" s="6">
        <v>4.1100000000000003</v>
      </c>
      <c r="K13" s="6">
        <v>411</v>
      </c>
      <c r="L13" s="6"/>
      <c r="M13" s="32">
        <v>40451</v>
      </c>
      <c r="N13" s="6">
        <v>16.36</v>
      </c>
      <c r="O13" s="6">
        <v>879.01</v>
      </c>
    </row>
    <row r="14" spans="1:15" x14ac:dyDescent="0.25">
      <c r="A14" s="5" t="s">
        <v>198</v>
      </c>
      <c r="B14" s="68">
        <v>222.35449999999997</v>
      </c>
      <c r="C14" s="65">
        <v>16213.640000000001</v>
      </c>
      <c r="E14" s="32">
        <v>41127</v>
      </c>
      <c r="F14" s="6">
        <v>4.26</v>
      </c>
      <c r="G14" s="6">
        <v>586.79999999999995</v>
      </c>
      <c r="I14" s="37" t="s">
        <v>50</v>
      </c>
      <c r="J14" s="6">
        <v>4.1100000000000003</v>
      </c>
      <c r="K14" s="6">
        <v>411</v>
      </c>
      <c r="L14" s="6"/>
      <c r="M14" s="37" t="s">
        <v>236</v>
      </c>
      <c r="N14" s="6">
        <v>3.7</v>
      </c>
      <c r="O14" s="6">
        <v>55.5</v>
      </c>
    </row>
    <row r="15" spans="1:15" x14ac:dyDescent="0.25">
      <c r="E15" s="37" t="s">
        <v>77</v>
      </c>
      <c r="F15" s="6">
        <v>4.26</v>
      </c>
      <c r="G15" s="6">
        <v>586.79999999999995</v>
      </c>
      <c r="I15" s="32">
        <v>40785</v>
      </c>
      <c r="J15" s="6">
        <v>8.7180000000000017</v>
      </c>
      <c r="K15" s="6">
        <v>593.57999999999993</v>
      </c>
      <c r="L15" s="6"/>
      <c r="M15" s="37" t="s">
        <v>237</v>
      </c>
      <c r="N15" s="6">
        <v>0.42</v>
      </c>
      <c r="O15" s="6">
        <v>0</v>
      </c>
    </row>
    <row r="16" spans="1:15" x14ac:dyDescent="0.25">
      <c r="E16" s="32">
        <v>41131</v>
      </c>
      <c r="F16" s="6">
        <v>2.25</v>
      </c>
      <c r="G16" s="6"/>
      <c r="I16" s="37" t="s">
        <v>236</v>
      </c>
      <c r="J16" s="6">
        <v>5.0225</v>
      </c>
      <c r="K16" s="6">
        <v>326.45999999999998</v>
      </c>
      <c r="L16" s="6"/>
      <c r="M16" s="37" t="s">
        <v>70</v>
      </c>
      <c r="N16" s="6">
        <v>3.71</v>
      </c>
      <c r="O16" s="6">
        <v>116.87</v>
      </c>
    </row>
    <row r="17" spans="5:15" x14ac:dyDescent="0.25">
      <c r="E17" s="37" t="s">
        <v>3</v>
      </c>
      <c r="F17" s="6">
        <v>2.25</v>
      </c>
      <c r="G17" s="6"/>
      <c r="I17" s="37" t="s">
        <v>70</v>
      </c>
      <c r="J17" s="6">
        <v>0.2525</v>
      </c>
      <c r="K17" s="6">
        <v>12.5</v>
      </c>
      <c r="L17" s="6"/>
      <c r="M17" s="37" t="s">
        <v>69</v>
      </c>
      <c r="N17" s="6">
        <v>8.0299999999999994</v>
      </c>
      <c r="O17" s="6">
        <v>706.64</v>
      </c>
    </row>
    <row r="18" spans="5:15" x14ac:dyDescent="0.25">
      <c r="E18" s="32">
        <v>41134</v>
      </c>
      <c r="F18" s="6">
        <v>2.19</v>
      </c>
      <c r="G18" s="6">
        <v>54.75</v>
      </c>
      <c r="I18" s="37" t="s">
        <v>69</v>
      </c>
      <c r="J18" s="6">
        <v>2.1949999999999998</v>
      </c>
      <c r="K18" s="6">
        <v>254.62</v>
      </c>
      <c r="L18" s="6"/>
      <c r="M18" s="37" t="s">
        <v>231</v>
      </c>
      <c r="N18" s="6">
        <v>0.5</v>
      </c>
      <c r="O18" s="6">
        <v>0</v>
      </c>
    </row>
    <row r="19" spans="5:15" x14ac:dyDescent="0.25">
      <c r="E19" s="37" t="s">
        <v>50</v>
      </c>
      <c r="F19" s="6">
        <v>2.19</v>
      </c>
      <c r="G19" s="6">
        <v>54.75</v>
      </c>
      <c r="I19" s="37" t="s">
        <v>50</v>
      </c>
      <c r="J19" s="6">
        <v>1.2230000000000001</v>
      </c>
      <c r="K19" s="6"/>
      <c r="L19" s="6"/>
      <c r="M19" s="32">
        <v>40481</v>
      </c>
      <c r="N19" s="6">
        <v>13.915000000000001</v>
      </c>
      <c r="O19" s="6">
        <v>780.92000000000007</v>
      </c>
    </row>
    <row r="20" spans="5:15" x14ac:dyDescent="0.25">
      <c r="E20" s="32">
        <v>41135</v>
      </c>
      <c r="F20" s="6">
        <v>5.03</v>
      </c>
      <c r="G20" s="6"/>
      <c r="I20" s="37" t="s">
        <v>231</v>
      </c>
      <c r="J20" s="6">
        <v>2.5000000000000001E-2</v>
      </c>
      <c r="K20" s="6">
        <v>0</v>
      </c>
      <c r="L20" s="6"/>
      <c r="M20" s="37" t="s">
        <v>236</v>
      </c>
      <c r="N20" s="6">
        <v>6.3650000000000002</v>
      </c>
      <c r="O20" s="6">
        <v>318.25</v>
      </c>
    </row>
    <row r="21" spans="5:15" x14ac:dyDescent="0.25">
      <c r="E21" s="37" t="s">
        <v>58</v>
      </c>
      <c r="F21" s="6">
        <v>5.03</v>
      </c>
      <c r="G21" s="6"/>
      <c r="I21" s="32">
        <v>40803</v>
      </c>
      <c r="J21" s="6">
        <v>5.1749999999999998</v>
      </c>
      <c r="K21" s="6">
        <v>644.38</v>
      </c>
      <c r="L21" s="6"/>
      <c r="M21" s="37" t="s">
        <v>70</v>
      </c>
      <c r="N21" s="6">
        <v>2.74</v>
      </c>
      <c r="O21" s="6">
        <v>102.75</v>
      </c>
    </row>
    <row r="22" spans="5:15" x14ac:dyDescent="0.25">
      <c r="E22" s="32">
        <v>41136</v>
      </c>
      <c r="F22" s="6">
        <v>4.7699999999999996</v>
      </c>
      <c r="G22" s="6">
        <v>119.25</v>
      </c>
      <c r="I22" s="37" t="s">
        <v>70</v>
      </c>
      <c r="J22" s="6">
        <v>0.1</v>
      </c>
      <c r="K22" s="6">
        <v>10</v>
      </c>
      <c r="L22" s="6"/>
      <c r="M22" s="37" t="s">
        <v>69</v>
      </c>
      <c r="N22" s="6">
        <v>4.09</v>
      </c>
      <c r="O22" s="6">
        <v>359.92</v>
      </c>
    </row>
    <row r="23" spans="5:15" x14ac:dyDescent="0.25">
      <c r="E23" s="37" t="s">
        <v>50</v>
      </c>
      <c r="F23" s="6">
        <v>4.7699999999999996</v>
      </c>
      <c r="G23" s="6">
        <v>119.25</v>
      </c>
      <c r="I23" s="37" t="s">
        <v>69</v>
      </c>
      <c r="J23" s="6">
        <v>5.0750000000000002</v>
      </c>
      <c r="K23" s="6">
        <v>634.38</v>
      </c>
      <c r="L23" s="6"/>
      <c r="M23" s="37" t="s">
        <v>231</v>
      </c>
      <c r="N23" s="6">
        <v>0.72</v>
      </c>
      <c r="O23" s="6">
        <v>0</v>
      </c>
    </row>
    <row r="24" spans="5:15" x14ac:dyDescent="0.25">
      <c r="E24" s="32">
        <v>41145</v>
      </c>
      <c r="F24" s="6">
        <v>5.8849999999999998</v>
      </c>
      <c r="G24" s="6">
        <v>317.51</v>
      </c>
      <c r="I24" s="32">
        <v>40806</v>
      </c>
      <c r="J24" s="6">
        <v>4.0199999999999996</v>
      </c>
      <c r="K24" s="6">
        <v>402</v>
      </c>
      <c r="L24" s="6"/>
      <c r="M24" s="32">
        <v>40512</v>
      </c>
      <c r="N24" s="6">
        <v>8.08</v>
      </c>
      <c r="O24" s="6">
        <v>341.53999999999996</v>
      </c>
    </row>
    <row r="25" spans="5:15" x14ac:dyDescent="0.25">
      <c r="E25" s="37" t="s">
        <v>71</v>
      </c>
      <c r="F25" s="6">
        <v>0.2</v>
      </c>
      <c r="G25" s="6">
        <v>-20</v>
      </c>
      <c r="I25" s="37" t="s">
        <v>50</v>
      </c>
      <c r="J25" s="6">
        <v>4.0199999999999996</v>
      </c>
      <c r="K25" s="6">
        <v>402</v>
      </c>
      <c r="L25" s="6"/>
      <c r="M25" s="37" t="s">
        <v>236</v>
      </c>
      <c r="N25" s="6">
        <v>4.41</v>
      </c>
      <c r="O25" s="6">
        <v>176.4</v>
      </c>
    </row>
    <row r="26" spans="5:15" x14ac:dyDescent="0.25">
      <c r="E26" s="37" t="s">
        <v>70</v>
      </c>
      <c r="F26" s="6">
        <v>2.7174999999999998</v>
      </c>
      <c r="G26" s="6">
        <v>40.76</v>
      </c>
      <c r="I26" s="32">
        <v>40816</v>
      </c>
      <c r="J26" s="6">
        <v>1.218</v>
      </c>
      <c r="K26" s="6"/>
      <c r="L26" s="6"/>
      <c r="M26" s="37" t="s">
        <v>70</v>
      </c>
      <c r="N26" s="6">
        <v>2.75</v>
      </c>
      <c r="O26" s="6">
        <v>111.38</v>
      </c>
    </row>
    <row r="27" spans="5:15" x14ac:dyDescent="0.25">
      <c r="E27" s="37" t="s">
        <v>69</v>
      </c>
      <c r="F27" s="6">
        <v>2.9674999999999998</v>
      </c>
      <c r="G27" s="6">
        <v>296.75</v>
      </c>
      <c r="I27" s="37" t="s">
        <v>50</v>
      </c>
      <c r="J27" s="6">
        <v>1.218</v>
      </c>
      <c r="K27" s="6"/>
      <c r="L27" s="6"/>
      <c r="M27" s="37" t="s">
        <v>69</v>
      </c>
      <c r="N27" s="6">
        <v>0.64</v>
      </c>
      <c r="O27" s="6">
        <v>53.76</v>
      </c>
    </row>
    <row r="28" spans="5:15" x14ac:dyDescent="0.25">
      <c r="E28" s="32">
        <v>41150</v>
      </c>
      <c r="F28" s="6">
        <v>4.5964999999999998</v>
      </c>
      <c r="G28" s="6">
        <v>538.54999999999995</v>
      </c>
      <c r="I28" s="32">
        <v>40823</v>
      </c>
      <c r="J28" s="6">
        <v>4.47</v>
      </c>
      <c r="K28" s="6"/>
      <c r="L28" s="6"/>
      <c r="M28" s="37" t="s">
        <v>231</v>
      </c>
      <c r="N28" s="6">
        <v>0.28000000000000003</v>
      </c>
      <c r="O28" s="6">
        <v>0</v>
      </c>
    </row>
    <row r="29" spans="5:15" x14ac:dyDescent="0.25">
      <c r="E29" s="37" t="s">
        <v>83</v>
      </c>
      <c r="F29" s="6">
        <v>4.8000000000000001E-2</v>
      </c>
      <c r="G29" s="6">
        <v>268.8</v>
      </c>
      <c r="I29" s="37" t="s">
        <v>58</v>
      </c>
      <c r="J29" s="6">
        <v>4.47</v>
      </c>
      <c r="K29" s="6"/>
      <c r="L29" s="6"/>
      <c r="M29" s="32">
        <v>40519</v>
      </c>
      <c r="N29" s="6">
        <v>0.34150000000000003</v>
      </c>
      <c r="O29" s="6"/>
    </row>
    <row r="30" spans="5:15" x14ac:dyDescent="0.25">
      <c r="E30" s="37" t="s">
        <v>85</v>
      </c>
      <c r="F30" s="6">
        <v>0.32850000000000001</v>
      </c>
      <c r="G30" s="6">
        <v>164.25</v>
      </c>
      <c r="I30" s="32">
        <v>40830</v>
      </c>
      <c r="J30" s="6">
        <v>4.46</v>
      </c>
      <c r="K30" s="6">
        <v>446</v>
      </c>
      <c r="L30" s="6"/>
      <c r="M30" s="37" t="s">
        <v>3</v>
      </c>
      <c r="N30" s="6">
        <v>0.34150000000000003</v>
      </c>
      <c r="O30" s="6"/>
    </row>
    <row r="31" spans="5:15" x14ac:dyDescent="0.25">
      <c r="E31" s="37" t="s">
        <v>50</v>
      </c>
      <c r="F31" s="6">
        <v>4.22</v>
      </c>
      <c r="G31" s="6">
        <v>105.5</v>
      </c>
      <c r="I31" s="37" t="s">
        <v>50</v>
      </c>
      <c r="J31" s="6">
        <v>4.46</v>
      </c>
      <c r="K31" s="6">
        <v>446</v>
      </c>
      <c r="L31" s="6"/>
      <c r="M31" s="32">
        <v>40542</v>
      </c>
      <c r="N31" s="6">
        <v>15.265000000000002</v>
      </c>
      <c r="O31" s="6">
        <v>556.04</v>
      </c>
    </row>
    <row r="32" spans="5:15" x14ac:dyDescent="0.25">
      <c r="E32" s="32">
        <v>41151</v>
      </c>
      <c r="F32" s="6">
        <v>2.6644999999999999</v>
      </c>
      <c r="G32" s="6"/>
      <c r="I32" s="32">
        <v>40834</v>
      </c>
      <c r="J32" s="6">
        <v>6.39</v>
      </c>
      <c r="K32" s="6">
        <v>795.63</v>
      </c>
      <c r="L32" s="6"/>
      <c r="M32" s="37" t="s">
        <v>236</v>
      </c>
      <c r="N32" s="6">
        <v>3.71</v>
      </c>
      <c r="O32" s="6">
        <v>111.3</v>
      </c>
    </row>
    <row r="33" spans="5:15" x14ac:dyDescent="0.25">
      <c r="E33" s="37" t="s">
        <v>50</v>
      </c>
      <c r="F33" s="6">
        <v>2.6644999999999999</v>
      </c>
      <c r="G33" s="6"/>
      <c r="I33" s="37" t="s">
        <v>70</v>
      </c>
      <c r="J33" s="6">
        <v>0.125</v>
      </c>
      <c r="K33" s="6">
        <v>12.5</v>
      </c>
      <c r="L33" s="6"/>
      <c r="M33" s="37" t="s">
        <v>237</v>
      </c>
      <c r="N33" s="6">
        <v>1.27</v>
      </c>
      <c r="O33" s="6">
        <v>0</v>
      </c>
    </row>
    <row r="34" spans="5:15" x14ac:dyDescent="0.25">
      <c r="E34" s="32">
        <v>41158</v>
      </c>
      <c r="F34" s="6">
        <v>3.35</v>
      </c>
      <c r="G34" s="6">
        <v>473.25</v>
      </c>
      <c r="I34" s="37" t="s">
        <v>69</v>
      </c>
      <c r="J34" s="6">
        <v>6.2649999999999997</v>
      </c>
      <c r="K34" s="6">
        <v>783.13</v>
      </c>
      <c r="L34" s="6"/>
      <c r="M34" s="37" t="s">
        <v>70</v>
      </c>
      <c r="N34" s="6">
        <v>2.0150000000000001</v>
      </c>
      <c r="O34" s="6">
        <v>81.61</v>
      </c>
    </row>
    <row r="35" spans="5:15" x14ac:dyDescent="0.25">
      <c r="E35" s="37" t="s">
        <v>77</v>
      </c>
      <c r="F35" s="6">
        <v>3.35</v>
      </c>
      <c r="G35" s="6">
        <v>473.25</v>
      </c>
      <c r="I35" s="32">
        <v>40835</v>
      </c>
      <c r="J35" s="6">
        <v>1.04</v>
      </c>
      <c r="K35" s="6">
        <v>104</v>
      </c>
      <c r="L35" s="6"/>
      <c r="M35" s="37" t="s">
        <v>69</v>
      </c>
      <c r="N35" s="6">
        <v>3.12</v>
      </c>
      <c r="O35" s="6">
        <v>249.6</v>
      </c>
    </row>
    <row r="36" spans="5:15" x14ac:dyDescent="0.25">
      <c r="E36" s="32">
        <v>41165</v>
      </c>
      <c r="F36" s="6">
        <v>6.8179999999999996</v>
      </c>
      <c r="G36" s="6">
        <v>272.74</v>
      </c>
      <c r="I36" s="37" t="s">
        <v>50</v>
      </c>
      <c r="J36" s="6">
        <v>1.04</v>
      </c>
      <c r="K36" s="6">
        <v>104</v>
      </c>
      <c r="L36" s="6"/>
      <c r="M36" s="37" t="s">
        <v>231</v>
      </c>
      <c r="N36" s="6">
        <v>0.38</v>
      </c>
      <c r="O36" s="6">
        <v>0</v>
      </c>
    </row>
    <row r="37" spans="5:15" x14ac:dyDescent="0.25">
      <c r="E37" s="37" t="s">
        <v>58</v>
      </c>
      <c r="F37" s="6">
        <v>0.16800000000000001</v>
      </c>
      <c r="G37" s="6"/>
      <c r="I37" s="32">
        <v>40840</v>
      </c>
      <c r="J37" s="6">
        <v>4.33</v>
      </c>
      <c r="K37" s="6">
        <v>433</v>
      </c>
      <c r="L37" s="6"/>
      <c r="M37" s="37" t="s">
        <v>240</v>
      </c>
      <c r="N37" s="6">
        <v>4.7699999999999996</v>
      </c>
      <c r="O37" s="6">
        <v>113.53</v>
      </c>
    </row>
    <row r="38" spans="5:15" x14ac:dyDescent="0.25">
      <c r="E38" s="37" t="s">
        <v>237</v>
      </c>
      <c r="F38" s="6">
        <v>3.8325</v>
      </c>
      <c r="G38" s="6">
        <v>19.16</v>
      </c>
      <c r="I38" s="37" t="s">
        <v>50</v>
      </c>
      <c r="J38" s="6">
        <v>4.33</v>
      </c>
      <c r="K38" s="6">
        <v>433</v>
      </c>
      <c r="L38" s="6"/>
      <c r="M38" s="32">
        <v>40543</v>
      </c>
      <c r="N38" s="6">
        <v>6.7530000000000001</v>
      </c>
      <c r="O38" s="6">
        <v>3160</v>
      </c>
    </row>
    <row r="39" spans="5:15" x14ac:dyDescent="0.25">
      <c r="E39" s="37" t="s">
        <v>69</v>
      </c>
      <c r="F39" s="6">
        <v>2.8174999999999999</v>
      </c>
      <c r="G39" s="6">
        <v>253.58</v>
      </c>
      <c r="I39" s="32">
        <v>40846</v>
      </c>
      <c r="J39" s="6">
        <v>1.4059999999999999</v>
      </c>
      <c r="K39" s="6"/>
      <c r="L39" s="6"/>
      <c r="M39" s="37" t="s">
        <v>43</v>
      </c>
      <c r="N39" s="6">
        <v>0.433</v>
      </c>
      <c r="O39" s="6"/>
    </row>
    <row r="40" spans="5:15" x14ac:dyDescent="0.25">
      <c r="E40" s="32">
        <v>41177</v>
      </c>
      <c r="F40" s="6">
        <v>0</v>
      </c>
      <c r="G40" s="6">
        <v>-680</v>
      </c>
      <c r="I40" s="37" t="s">
        <v>50</v>
      </c>
      <c r="J40" s="6">
        <v>1.4059999999999999</v>
      </c>
      <c r="K40" s="6"/>
      <c r="L40" s="6"/>
      <c r="M40" s="37" t="s">
        <v>46</v>
      </c>
      <c r="N40" s="6">
        <v>6.32</v>
      </c>
      <c r="O40" s="6">
        <v>3160</v>
      </c>
    </row>
    <row r="41" spans="5:15" x14ac:dyDescent="0.25">
      <c r="E41" s="37" t="s">
        <v>88</v>
      </c>
      <c r="F41" s="6">
        <v>0</v>
      </c>
      <c r="G41" s="6">
        <v>-680</v>
      </c>
      <c r="I41" s="32">
        <v>40850</v>
      </c>
      <c r="J41" s="6">
        <v>2.66</v>
      </c>
      <c r="K41" s="6">
        <v>159.6</v>
      </c>
      <c r="L41" s="6"/>
      <c r="M41" s="32">
        <v>40573</v>
      </c>
      <c r="N41" s="6">
        <v>4.13</v>
      </c>
      <c r="O41" s="6">
        <v>157.96</v>
      </c>
    </row>
    <row r="42" spans="5:15" x14ac:dyDescent="0.25">
      <c r="E42" s="32">
        <v>41180</v>
      </c>
      <c r="F42" s="6">
        <v>4.42</v>
      </c>
      <c r="G42" s="6">
        <v>110.5</v>
      </c>
      <c r="I42" s="37" t="s">
        <v>50</v>
      </c>
      <c r="J42" s="6">
        <v>2.66</v>
      </c>
      <c r="K42" s="6">
        <v>159.6</v>
      </c>
      <c r="L42" s="6"/>
      <c r="M42" s="37" t="s">
        <v>70</v>
      </c>
      <c r="N42" s="6">
        <v>3.9</v>
      </c>
      <c r="O42" s="6">
        <v>157.96</v>
      </c>
    </row>
    <row r="43" spans="5:15" x14ac:dyDescent="0.25">
      <c r="E43" s="37" t="s">
        <v>50</v>
      </c>
      <c r="F43" s="6">
        <v>4.42</v>
      </c>
      <c r="G43" s="6">
        <v>110.5</v>
      </c>
      <c r="I43" s="32">
        <v>40864</v>
      </c>
      <c r="J43" s="6">
        <v>4.29</v>
      </c>
      <c r="K43" s="6">
        <v>217.76</v>
      </c>
      <c r="L43" s="6"/>
      <c r="M43" s="37" t="s">
        <v>231</v>
      </c>
      <c r="N43" s="6">
        <v>0.23</v>
      </c>
      <c r="O43" s="6">
        <v>0</v>
      </c>
    </row>
    <row r="44" spans="5:15" x14ac:dyDescent="0.25">
      <c r="E44" s="32">
        <v>41182</v>
      </c>
      <c r="F44" s="6">
        <v>2.6644999999999999</v>
      </c>
      <c r="G44" s="6"/>
      <c r="I44" s="37" t="s">
        <v>236</v>
      </c>
      <c r="J44" s="6">
        <v>2.2925</v>
      </c>
      <c r="K44" s="6">
        <v>114.63</v>
      </c>
      <c r="L44" s="6"/>
      <c r="M44" s="32">
        <v>40602</v>
      </c>
      <c r="N44" s="6">
        <v>14.795</v>
      </c>
      <c r="O44" s="6">
        <v>779.88</v>
      </c>
    </row>
    <row r="45" spans="5:15" x14ac:dyDescent="0.25">
      <c r="E45" s="37" t="s">
        <v>50</v>
      </c>
      <c r="F45" s="6">
        <v>2.6644999999999999</v>
      </c>
      <c r="G45" s="6"/>
      <c r="I45" s="37" t="s">
        <v>70</v>
      </c>
      <c r="J45" s="6">
        <v>6.5000000000000002E-2</v>
      </c>
      <c r="K45" s="6">
        <v>6.5</v>
      </c>
      <c r="L45" s="6"/>
      <c r="M45" s="37" t="s">
        <v>236</v>
      </c>
      <c r="N45" s="6">
        <v>6.5549999999999997</v>
      </c>
      <c r="O45" s="6">
        <v>229.43</v>
      </c>
    </row>
    <row r="46" spans="5:15" x14ac:dyDescent="0.25">
      <c r="E46" s="32">
        <v>41184</v>
      </c>
      <c r="F46" s="6">
        <v>3.61</v>
      </c>
      <c r="G46" s="6">
        <v>433.7</v>
      </c>
      <c r="I46" s="37" t="s">
        <v>69</v>
      </c>
      <c r="J46" s="6">
        <v>1.9325000000000001</v>
      </c>
      <c r="K46" s="6">
        <v>96.63</v>
      </c>
      <c r="L46" s="6"/>
      <c r="M46" s="37" t="s">
        <v>70</v>
      </c>
      <c r="N46" s="6">
        <v>1.9350000000000001</v>
      </c>
      <c r="O46" s="6">
        <v>78.37</v>
      </c>
    </row>
    <row r="47" spans="5:15" x14ac:dyDescent="0.25">
      <c r="E47" s="37" t="s">
        <v>77</v>
      </c>
      <c r="F47" s="6">
        <v>3.61</v>
      </c>
      <c r="G47" s="6">
        <v>433.7</v>
      </c>
      <c r="I47" s="32">
        <v>40865</v>
      </c>
      <c r="J47" s="6">
        <v>3.32</v>
      </c>
      <c r="K47" s="6">
        <v>199.2</v>
      </c>
      <c r="L47" s="6"/>
      <c r="M47" s="37" t="s">
        <v>69</v>
      </c>
      <c r="N47" s="6">
        <v>5.62</v>
      </c>
      <c r="O47" s="6">
        <v>472.08</v>
      </c>
    </row>
    <row r="48" spans="5:15" x14ac:dyDescent="0.25">
      <c r="E48" s="32">
        <v>41185</v>
      </c>
      <c r="F48" s="6">
        <v>5.9675000000000002</v>
      </c>
      <c r="G48" s="6">
        <v>286.29999999999995</v>
      </c>
      <c r="I48" s="37" t="s">
        <v>50</v>
      </c>
      <c r="J48" s="6">
        <v>3.32</v>
      </c>
      <c r="K48" s="6">
        <v>199.2</v>
      </c>
      <c r="L48" s="6"/>
      <c r="M48" s="37" t="s">
        <v>231</v>
      </c>
      <c r="N48" s="6">
        <v>0.68500000000000005</v>
      </c>
      <c r="O48" s="6">
        <v>0</v>
      </c>
    </row>
    <row r="49" spans="5:15" x14ac:dyDescent="0.25">
      <c r="E49" s="37" t="s">
        <v>236</v>
      </c>
      <c r="F49" s="6">
        <v>1.9624999999999999</v>
      </c>
      <c r="G49" s="6">
        <v>117.75</v>
      </c>
      <c r="I49" s="32">
        <v>40869</v>
      </c>
      <c r="J49" s="6">
        <v>4.82</v>
      </c>
      <c r="K49" s="6"/>
      <c r="L49" s="6"/>
      <c r="M49" s="32">
        <v>40632</v>
      </c>
      <c r="N49" s="6">
        <v>11.84</v>
      </c>
      <c r="O49" s="6">
        <v>609.25</v>
      </c>
    </row>
    <row r="50" spans="5:15" x14ac:dyDescent="0.25">
      <c r="E50" s="37" t="s">
        <v>237</v>
      </c>
      <c r="F50" s="6">
        <v>1.72</v>
      </c>
      <c r="G50" s="6">
        <v>8.6</v>
      </c>
      <c r="I50" s="37" t="s">
        <v>58</v>
      </c>
      <c r="J50" s="6">
        <v>4.82</v>
      </c>
      <c r="K50" s="6"/>
      <c r="L50" s="6"/>
      <c r="M50" s="37" t="s">
        <v>236</v>
      </c>
      <c r="N50" s="6">
        <v>2.7549999999999999</v>
      </c>
      <c r="O50" s="6">
        <v>96.43</v>
      </c>
    </row>
    <row r="51" spans="5:15" x14ac:dyDescent="0.25">
      <c r="E51" s="37" t="s">
        <v>69</v>
      </c>
      <c r="F51" s="6">
        <v>2.2850000000000001</v>
      </c>
      <c r="G51" s="6">
        <v>159.94999999999999</v>
      </c>
      <c r="I51" s="32">
        <v>40877</v>
      </c>
      <c r="J51" s="6">
        <v>1.589</v>
      </c>
      <c r="K51" s="6"/>
      <c r="L51" s="6"/>
      <c r="M51" s="37" t="s">
        <v>70</v>
      </c>
      <c r="N51" s="6">
        <v>4.21</v>
      </c>
      <c r="O51" s="6">
        <v>170.52</v>
      </c>
    </row>
    <row r="52" spans="5:15" x14ac:dyDescent="0.25">
      <c r="E52" s="32">
        <v>41186</v>
      </c>
      <c r="F52" s="6">
        <v>3.5925000000000002</v>
      </c>
      <c r="G52" s="6">
        <v>77</v>
      </c>
      <c r="I52" s="37" t="s">
        <v>50</v>
      </c>
      <c r="J52" s="6">
        <v>1.589</v>
      </c>
      <c r="K52" s="6"/>
      <c r="L52" s="6"/>
      <c r="M52" s="37" t="s">
        <v>69</v>
      </c>
      <c r="N52" s="6">
        <v>4.0750000000000002</v>
      </c>
      <c r="O52" s="6">
        <v>342.3</v>
      </c>
    </row>
    <row r="53" spans="5:15" x14ac:dyDescent="0.25">
      <c r="E53" s="37" t="s">
        <v>71</v>
      </c>
      <c r="F53" s="6">
        <v>0.10249999999999999</v>
      </c>
      <c r="G53" s="6">
        <v>-10.25</v>
      </c>
      <c r="I53" s="32">
        <v>40890</v>
      </c>
      <c r="J53" s="6">
        <v>3.34</v>
      </c>
      <c r="K53" s="6">
        <v>150.30000000000001</v>
      </c>
      <c r="L53" s="6"/>
      <c r="M53" s="37" t="s">
        <v>231</v>
      </c>
      <c r="N53" s="6">
        <v>0.8</v>
      </c>
      <c r="O53" s="6">
        <v>0</v>
      </c>
    </row>
    <row r="54" spans="5:15" x14ac:dyDescent="0.25">
      <c r="E54" s="37" t="s">
        <v>50</v>
      </c>
      <c r="F54" s="6">
        <v>3.49</v>
      </c>
      <c r="G54" s="6">
        <v>87.25</v>
      </c>
      <c r="I54" s="37" t="s">
        <v>50</v>
      </c>
      <c r="J54" s="6">
        <v>3.34</v>
      </c>
      <c r="K54" s="6">
        <v>150.30000000000001</v>
      </c>
      <c r="L54" s="6"/>
      <c r="M54" s="32">
        <v>40663</v>
      </c>
      <c r="N54" s="6">
        <v>10.324999999999999</v>
      </c>
      <c r="O54" s="6">
        <v>600.12</v>
      </c>
    </row>
    <row r="55" spans="5:15" x14ac:dyDescent="0.25">
      <c r="E55" s="32">
        <v>41194</v>
      </c>
      <c r="F55" s="6">
        <v>3.6130000000000004</v>
      </c>
      <c r="G55" s="6">
        <v>1304.1899999999998</v>
      </c>
      <c r="I55" s="32">
        <v>40907</v>
      </c>
      <c r="J55" s="6">
        <v>1.0149999999999999</v>
      </c>
      <c r="K55" s="6"/>
      <c r="L55" s="6"/>
      <c r="M55" s="37" t="s">
        <v>236</v>
      </c>
      <c r="N55" s="6">
        <v>3.0350000000000001</v>
      </c>
      <c r="O55" s="6">
        <v>209.18</v>
      </c>
    </row>
    <row r="56" spans="5:15" x14ac:dyDescent="0.25">
      <c r="E56" s="37" t="s">
        <v>83</v>
      </c>
      <c r="F56" s="6">
        <v>0.11849999999999999</v>
      </c>
      <c r="G56" s="6">
        <v>699.15</v>
      </c>
      <c r="I56" s="37" t="s">
        <v>50</v>
      </c>
      <c r="J56" s="6">
        <v>1.0149999999999999</v>
      </c>
      <c r="K56" s="6"/>
      <c r="L56" s="6"/>
      <c r="M56" s="37" t="s">
        <v>70</v>
      </c>
      <c r="N56" s="6">
        <v>3.62</v>
      </c>
      <c r="O56" s="6">
        <v>146.62</v>
      </c>
    </row>
    <row r="57" spans="5:15" x14ac:dyDescent="0.25">
      <c r="E57" s="37" t="s">
        <v>95</v>
      </c>
      <c r="F57" s="6">
        <v>6.9000000000000006E-2</v>
      </c>
      <c r="G57" s="6">
        <v>75.900000000000006</v>
      </c>
      <c r="I57" s="32">
        <v>40908</v>
      </c>
      <c r="J57" s="6">
        <v>12.151000000000002</v>
      </c>
      <c r="K57" s="6">
        <v>5690</v>
      </c>
      <c r="L57" s="6"/>
      <c r="M57" s="37" t="s">
        <v>69</v>
      </c>
      <c r="N57" s="6">
        <v>2.5449999999999999</v>
      </c>
      <c r="O57" s="6">
        <v>244.32</v>
      </c>
    </row>
    <row r="58" spans="5:15" x14ac:dyDescent="0.25">
      <c r="E58" s="37" t="s">
        <v>96</v>
      </c>
      <c r="F58" s="6">
        <v>3.15E-2</v>
      </c>
      <c r="G58" s="6">
        <v>22.05</v>
      </c>
      <c r="I58" s="37" t="s">
        <v>43</v>
      </c>
      <c r="J58" s="6">
        <v>0.77100000000000002</v>
      </c>
      <c r="K58" s="6"/>
      <c r="L58" s="6"/>
      <c r="M58" s="37" t="s">
        <v>231</v>
      </c>
      <c r="N58" s="6">
        <v>1.125</v>
      </c>
      <c r="O58" s="6">
        <v>0</v>
      </c>
    </row>
    <row r="59" spans="5:15" x14ac:dyDescent="0.25">
      <c r="E59" s="37" t="s">
        <v>93</v>
      </c>
      <c r="F59" s="6">
        <v>1.4E-2</v>
      </c>
      <c r="G59" s="6">
        <v>14</v>
      </c>
      <c r="I59" s="37" t="s">
        <v>46</v>
      </c>
      <c r="J59" s="6">
        <v>11.38</v>
      </c>
      <c r="K59" s="6">
        <v>5690</v>
      </c>
      <c r="L59" s="6"/>
      <c r="M59" s="32">
        <v>40693</v>
      </c>
      <c r="N59" s="6">
        <v>6.47</v>
      </c>
      <c r="O59" s="6">
        <v>372.36</v>
      </c>
    </row>
    <row r="60" spans="5:15" x14ac:dyDescent="0.25">
      <c r="E60" s="37" t="s">
        <v>92</v>
      </c>
      <c r="F60" s="6">
        <v>0.17749999999999999</v>
      </c>
      <c r="G60" s="6">
        <v>181.05</v>
      </c>
      <c r="I60" s="32">
        <v>40911</v>
      </c>
      <c r="J60" s="6">
        <v>2.1465000000000001</v>
      </c>
      <c r="K60" s="6"/>
      <c r="L60" s="6"/>
      <c r="M60" s="37" t="s">
        <v>236</v>
      </c>
      <c r="N60" s="6">
        <v>1.425</v>
      </c>
      <c r="O60" s="6">
        <v>42.08</v>
      </c>
    </row>
    <row r="61" spans="5:15" x14ac:dyDescent="0.25">
      <c r="E61" s="37" t="s">
        <v>94</v>
      </c>
      <c r="F61" s="6">
        <v>8.4500000000000006E-2</v>
      </c>
      <c r="G61" s="6">
        <v>238.29</v>
      </c>
      <c r="I61" s="37" t="s">
        <v>3</v>
      </c>
      <c r="J61" s="6">
        <v>2.1465000000000001</v>
      </c>
      <c r="K61" s="6"/>
      <c r="L61" s="6"/>
      <c r="M61" s="37" t="s">
        <v>70</v>
      </c>
      <c r="N61" s="6">
        <v>2.5099999999999998</v>
      </c>
      <c r="O61" s="6">
        <v>105.42</v>
      </c>
    </row>
    <row r="62" spans="5:15" x14ac:dyDescent="0.25">
      <c r="E62" s="37" t="s">
        <v>58</v>
      </c>
      <c r="F62" s="6">
        <v>0.16800000000000001</v>
      </c>
      <c r="G62" s="6"/>
      <c r="I62" s="32">
        <v>40912</v>
      </c>
      <c r="J62" s="6">
        <v>6.99</v>
      </c>
      <c r="K62" s="6">
        <v>174.76</v>
      </c>
      <c r="L62" s="6"/>
      <c r="M62" s="37" t="s">
        <v>69</v>
      </c>
      <c r="N62" s="6">
        <v>1.75</v>
      </c>
      <c r="O62" s="6">
        <v>182</v>
      </c>
    </row>
    <row r="63" spans="5:15" x14ac:dyDescent="0.25">
      <c r="E63" s="37" t="s">
        <v>50</v>
      </c>
      <c r="F63" s="6">
        <v>2.95</v>
      </c>
      <c r="G63" s="6">
        <v>73.75</v>
      </c>
      <c r="I63" s="37" t="s">
        <v>236</v>
      </c>
      <c r="J63" s="6">
        <v>3.59</v>
      </c>
      <c r="K63" s="6">
        <v>71.8</v>
      </c>
      <c r="L63" s="6"/>
      <c r="M63" s="37" t="s">
        <v>231</v>
      </c>
      <c r="N63" s="6">
        <v>0.36</v>
      </c>
      <c r="O63" s="6">
        <v>25.6</v>
      </c>
    </row>
    <row r="64" spans="5:15" x14ac:dyDescent="0.25">
      <c r="E64" s="32">
        <v>41206</v>
      </c>
      <c r="F64" s="6">
        <v>5.0709999999999997</v>
      </c>
      <c r="G64" s="6"/>
      <c r="I64" s="37" t="s">
        <v>237</v>
      </c>
      <c r="J64" s="6">
        <v>0.43</v>
      </c>
      <c r="K64" s="6">
        <v>2.15</v>
      </c>
      <c r="L64" s="6"/>
      <c r="M64" s="37" t="s">
        <v>240</v>
      </c>
      <c r="N64" s="6">
        <v>0.42499999999999999</v>
      </c>
      <c r="O64" s="6">
        <v>17.260000000000002</v>
      </c>
    </row>
    <row r="65" spans="5:15" x14ac:dyDescent="0.25">
      <c r="E65" s="37" t="s">
        <v>3</v>
      </c>
      <c r="F65" s="6">
        <v>5.0709999999999997</v>
      </c>
      <c r="G65" s="6"/>
      <c r="I65" s="37" t="s">
        <v>70</v>
      </c>
      <c r="J65" s="6">
        <v>0.29249999999999998</v>
      </c>
      <c r="K65" s="6">
        <v>20.48</v>
      </c>
      <c r="L65" s="6"/>
      <c r="M65" s="32">
        <v>40724</v>
      </c>
      <c r="N65" s="6">
        <v>15.39</v>
      </c>
      <c r="O65" s="6">
        <v>1294.01</v>
      </c>
    </row>
    <row r="66" spans="5:15" x14ac:dyDescent="0.25">
      <c r="E66" s="32">
        <v>41212</v>
      </c>
      <c r="F66" s="6">
        <v>2.6644999999999999</v>
      </c>
      <c r="G66" s="6"/>
      <c r="I66" s="37" t="s">
        <v>69</v>
      </c>
      <c r="J66" s="6">
        <v>2.6775000000000002</v>
      </c>
      <c r="K66" s="6">
        <v>80.33</v>
      </c>
      <c r="L66" s="6"/>
      <c r="M66" s="37" t="s">
        <v>70</v>
      </c>
      <c r="N66" s="6">
        <v>2.2050000000000001</v>
      </c>
      <c r="O66" s="6">
        <v>92.61</v>
      </c>
    </row>
    <row r="67" spans="5:15" x14ac:dyDescent="0.25">
      <c r="E67" s="37" t="s">
        <v>50</v>
      </c>
      <c r="F67" s="6">
        <v>2.6644999999999999</v>
      </c>
      <c r="G67" s="6"/>
      <c r="I67" s="32">
        <v>40924</v>
      </c>
      <c r="J67" s="6">
        <v>4.4000000000000004</v>
      </c>
      <c r="K67" s="6">
        <v>198</v>
      </c>
      <c r="L67" s="6"/>
      <c r="M67" s="37" t="s">
        <v>69</v>
      </c>
      <c r="N67" s="6">
        <v>10.86</v>
      </c>
      <c r="O67" s="6">
        <v>1129.44</v>
      </c>
    </row>
    <row r="68" spans="5:15" x14ac:dyDescent="0.25">
      <c r="E68" s="32">
        <v>41214</v>
      </c>
      <c r="F68" s="6">
        <v>0.8</v>
      </c>
      <c r="G68" s="6">
        <v>20</v>
      </c>
      <c r="I68" s="37" t="s">
        <v>50</v>
      </c>
      <c r="J68" s="6">
        <v>4.4000000000000004</v>
      </c>
      <c r="K68" s="6">
        <v>198</v>
      </c>
      <c r="L68" s="6"/>
      <c r="M68" s="37" t="s">
        <v>231</v>
      </c>
      <c r="N68" s="6">
        <v>0.48</v>
      </c>
      <c r="O68" s="6">
        <v>0</v>
      </c>
    </row>
    <row r="69" spans="5:15" x14ac:dyDescent="0.25">
      <c r="E69" s="37" t="s">
        <v>50</v>
      </c>
      <c r="F69" s="6">
        <v>0.8</v>
      </c>
      <c r="G69" s="6">
        <v>20</v>
      </c>
      <c r="I69" s="32">
        <v>40926</v>
      </c>
      <c r="J69" s="6">
        <v>5.94</v>
      </c>
      <c r="K69" s="6"/>
      <c r="L69" s="6"/>
      <c r="M69" s="37" t="s">
        <v>240</v>
      </c>
      <c r="N69" s="6">
        <v>1.845</v>
      </c>
      <c r="O69" s="6">
        <v>71.959999999999994</v>
      </c>
    </row>
    <row r="70" spans="5:15" x14ac:dyDescent="0.25">
      <c r="E70" s="32">
        <v>41219</v>
      </c>
      <c r="F70" s="6">
        <v>11.2155</v>
      </c>
      <c r="G70" s="6">
        <v>524.56999999999994</v>
      </c>
      <c r="I70" s="37" t="s">
        <v>58</v>
      </c>
      <c r="J70" s="6">
        <v>5.94</v>
      </c>
      <c r="K70" s="6"/>
      <c r="L70" s="6"/>
      <c r="M70" s="32" t="s">
        <v>198</v>
      </c>
      <c r="N70" s="6">
        <v>138.99449999999999</v>
      </c>
      <c r="O70" s="6">
        <v>10157.080000000004</v>
      </c>
    </row>
    <row r="71" spans="5:15" x14ac:dyDescent="0.25">
      <c r="E71" s="37" t="s">
        <v>236</v>
      </c>
      <c r="F71" s="6">
        <v>1.6825000000000001</v>
      </c>
      <c r="G71" s="6">
        <v>100.95</v>
      </c>
      <c r="I71" s="32">
        <v>40938</v>
      </c>
      <c r="J71" s="6">
        <v>7.7335000000000012</v>
      </c>
      <c r="K71" s="6">
        <v>262.01</v>
      </c>
      <c r="L71" s="6"/>
    </row>
    <row r="72" spans="5:15" x14ac:dyDescent="0.25">
      <c r="E72" s="37" t="s">
        <v>58</v>
      </c>
      <c r="F72" s="6">
        <v>0.16800000000000001</v>
      </c>
      <c r="G72" s="6"/>
      <c r="I72" s="37" t="s">
        <v>236</v>
      </c>
      <c r="J72" s="6">
        <v>0.9</v>
      </c>
      <c r="K72" s="6">
        <v>45</v>
      </c>
      <c r="L72" s="6"/>
    </row>
    <row r="73" spans="5:15" x14ac:dyDescent="0.25">
      <c r="E73" s="37" t="s">
        <v>237</v>
      </c>
      <c r="F73" s="6">
        <v>0.2175</v>
      </c>
      <c r="G73" s="6">
        <v>1.0900000000000001</v>
      </c>
      <c r="I73" s="37" t="s">
        <v>70</v>
      </c>
      <c r="J73" s="6">
        <v>0.42</v>
      </c>
      <c r="K73" s="6">
        <v>25.2</v>
      </c>
      <c r="L73" s="6"/>
    </row>
    <row r="74" spans="5:15" x14ac:dyDescent="0.25">
      <c r="E74" s="37" t="s">
        <v>69</v>
      </c>
      <c r="F74" s="6">
        <v>4.3075000000000001</v>
      </c>
      <c r="G74" s="6">
        <v>301.52999999999997</v>
      </c>
      <c r="I74" s="37" t="s">
        <v>69</v>
      </c>
      <c r="J74" s="6">
        <v>2.74</v>
      </c>
      <c r="K74" s="6">
        <v>191.81</v>
      </c>
      <c r="L74" s="6"/>
    </row>
    <row r="75" spans="5:15" x14ac:dyDescent="0.25">
      <c r="E75" s="37" t="s">
        <v>50</v>
      </c>
      <c r="F75" s="6">
        <v>4.84</v>
      </c>
      <c r="G75" s="6">
        <v>121</v>
      </c>
      <c r="I75" s="37" t="s">
        <v>50</v>
      </c>
      <c r="J75" s="6">
        <v>3.6735000000000002</v>
      </c>
      <c r="K75" s="6"/>
      <c r="L75" s="6"/>
    </row>
    <row r="76" spans="5:15" x14ac:dyDescent="0.25">
      <c r="E76" s="32">
        <v>41225</v>
      </c>
      <c r="F76" s="6">
        <v>1.925</v>
      </c>
      <c r="G76" s="6">
        <v>-192.5</v>
      </c>
      <c r="I76" s="32">
        <v>40940</v>
      </c>
      <c r="J76" s="6">
        <v>4.1100000000000003</v>
      </c>
      <c r="K76" s="6">
        <v>246.6</v>
      </c>
      <c r="L76" s="6"/>
    </row>
    <row r="77" spans="5:15" x14ac:dyDescent="0.25">
      <c r="E77" s="37" t="s">
        <v>1</v>
      </c>
      <c r="F77" s="6">
        <v>1.925</v>
      </c>
      <c r="G77" s="6">
        <v>-192.5</v>
      </c>
      <c r="I77" s="37" t="s">
        <v>50</v>
      </c>
      <c r="J77" s="6">
        <v>4.1100000000000003</v>
      </c>
      <c r="K77" s="6">
        <v>246.6</v>
      </c>
      <c r="L77" s="6"/>
    </row>
    <row r="78" spans="5:15" x14ac:dyDescent="0.25">
      <c r="E78" s="32">
        <v>41226</v>
      </c>
      <c r="F78" s="6">
        <v>1.6</v>
      </c>
      <c r="G78" s="6">
        <v>44</v>
      </c>
      <c r="I78" s="32">
        <v>40941</v>
      </c>
      <c r="J78" s="6">
        <v>3.52</v>
      </c>
      <c r="K78" s="6">
        <v>211.2</v>
      </c>
      <c r="L78" s="6"/>
    </row>
    <row r="79" spans="5:15" x14ac:dyDescent="0.25">
      <c r="E79" s="37" t="s">
        <v>77</v>
      </c>
      <c r="F79" s="6">
        <v>1.6</v>
      </c>
      <c r="G79" s="6">
        <v>44</v>
      </c>
      <c r="I79" s="37" t="s">
        <v>50</v>
      </c>
      <c r="J79" s="6">
        <v>3.52</v>
      </c>
      <c r="K79" s="6">
        <v>211.2</v>
      </c>
      <c r="L79" s="6"/>
    </row>
    <row r="80" spans="5:15" x14ac:dyDescent="0.25">
      <c r="E80" s="32">
        <v>41243</v>
      </c>
      <c r="F80" s="6">
        <v>2.6644999999999999</v>
      </c>
      <c r="G80" s="6"/>
      <c r="I80" s="32">
        <v>40942</v>
      </c>
      <c r="J80" s="6">
        <v>0.97000000000000008</v>
      </c>
      <c r="K80" s="6">
        <v>581</v>
      </c>
      <c r="L80" s="6"/>
    </row>
    <row r="81" spans="5:12" x14ac:dyDescent="0.25">
      <c r="E81" s="37" t="s">
        <v>50</v>
      </c>
      <c r="F81" s="6">
        <v>2.6644999999999999</v>
      </c>
      <c r="G81" s="6"/>
      <c r="I81" s="37" t="s">
        <v>66</v>
      </c>
      <c r="J81" s="6">
        <v>0.81</v>
      </c>
      <c r="K81" s="6">
        <v>405</v>
      </c>
      <c r="L81" s="6"/>
    </row>
    <row r="82" spans="5:12" x14ac:dyDescent="0.25">
      <c r="E82" s="32">
        <v>41246</v>
      </c>
      <c r="F82" s="6">
        <v>9.620000000000001</v>
      </c>
      <c r="G82" s="6">
        <v>156.75</v>
      </c>
      <c r="I82" s="37" t="s">
        <v>68</v>
      </c>
      <c r="J82" s="6">
        <v>0.16</v>
      </c>
      <c r="K82" s="6">
        <v>176</v>
      </c>
      <c r="L82" s="6"/>
    </row>
    <row r="83" spans="5:12" x14ac:dyDescent="0.25">
      <c r="E83" s="37" t="s">
        <v>50</v>
      </c>
      <c r="F83" s="6">
        <v>4.87</v>
      </c>
      <c r="G83" s="6">
        <v>121.75</v>
      </c>
      <c r="I83" s="32">
        <v>40954</v>
      </c>
      <c r="J83" s="6">
        <v>4.5500000000000007</v>
      </c>
      <c r="K83" s="6">
        <v>338.8</v>
      </c>
      <c r="L83" s="6"/>
    </row>
    <row r="84" spans="5:12" x14ac:dyDescent="0.25">
      <c r="E84" s="37" t="s">
        <v>1</v>
      </c>
      <c r="F84" s="6">
        <v>4.75</v>
      </c>
      <c r="G84" s="6">
        <v>35</v>
      </c>
      <c r="I84" s="37" t="s">
        <v>236</v>
      </c>
      <c r="J84" s="6">
        <v>0.38</v>
      </c>
      <c r="K84" s="6">
        <v>30.4</v>
      </c>
      <c r="L84" s="6"/>
    </row>
    <row r="85" spans="5:12" x14ac:dyDescent="0.25">
      <c r="E85" s="32">
        <v>41247</v>
      </c>
      <c r="F85" s="6">
        <v>0.35</v>
      </c>
      <c r="G85" s="6">
        <v>-35</v>
      </c>
      <c r="I85" s="37" t="s">
        <v>71</v>
      </c>
      <c r="J85" s="6">
        <v>0.70250000000000001</v>
      </c>
      <c r="K85" s="6">
        <v>-35.15</v>
      </c>
      <c r="L85" s="6"/>
    </row>
    <row r="86" spans="5:12" x14ac:dyDescent="0.25">
      <c r="E86" s="37" t="s">
        <v>1</v>
      </c>
      <c r="F86" s="6">
        <v>0.35</v>
      </c>
      <c r="G86" s="6">
        <v>-35</v>
      </c>
      <c r="I86" s="37" t="s">
        <v>72</v>
      </c>
      <c r="J86" s="6">
        <v>0.02</v>
      </c>
      <c r="K86" s="6">
        <v>2</v>
      </c>
      <c r="L86" s="6"/>
    </row>
    <row r="87" spans="5:12" x14ac:dyDescent="0.25">
      <c r="E87" s="32">
        <v>41249</v>
      </c>
      <c r="F87" s="6">
        <v>0.16800000000000001</v>
      </c>
      <c r="G87" s="6"/>
      <c r="I87" s="37" t="s">
        <v>70</v>
      </c>
      <c r="J87" s="6">
        <v>0.08</v>
      </c>
      <c r="K87" s="6">
        <v>4.8</v>
      </c>
      <c r="L87" s="6"/>
    </row>
    <row r="88" spans="5:12" x14ac:dyDescent="0.25">
      <c r="E88" s="37" t="s">
        <v>58</v>
      </c>
      <c r="F88" s="6">
        <v>0.16800000000000001</v>
      </c>
      <c r="G88" s="6"/>
      <c r="I88" s="37" t="s">
        <v>69</v>
      </c>
      <c r="J88" s="6">
        <v>3.3675000000000002</v>
      </c>
      <c r="K88" s="6">
        <v>336.75</v>
      </c>
      <c r="L88" s="6"/>
    </row>
    <row r="89" spans="5:12" x14ac:dyDescent="0.25">
      <c r="E89" s="32">
        <v>41254</v>
      </c>
      <c r="F89" s="6">
        <v>1.72</v>
      </c>
      <c r="G89" s="6"/>
      <c r="I89" s="32">
        <v>40966</v>
      </c>
      <c r="J89" s="6">
        <v>3.86</v>
      </c>
      <c r="K89" s="6">
        <v>231.6</v>
      </c>
      <c r="L89" s="6"/>
    </row>
    <row r="90" spans="5:12" x14ac:dyDescent="0.25">
      <c r="E90" s="37" t="s">
        <v>108</v>
      </c>
      <c r="F90" s="6">
        <v>1.72</v>
      </c>
      <c r="G90" s="6"/>
      <c r="I90" s="37" t="s">
        <v>50</v>
      </c>
      <c r="J90" s="6">
        <v>3.86</v>
      </c>
      <c r="K90" s="6">
        <v>231.6</v>
      </c>
      <c r="L90" s="6"/>
    </row>
    <row r="91" spans="5:12" x14ac:dyDescent="0.25">
      <c r="E91" s="32">
        <v>41260</v>
      </c>
      <c r="F91" s="6">
        <v>5.6349999999999998</v>
      </c>
      <c r="G91" s="6">
        <v>418.6</v>
      </c>
      <c r="I91" s="32">
        <v>40967</v>
      </c>
      <c r="J91" s="6">
        <v>8.4834999999999994</v>
      </c>
      <c r="K91" s="6"/>
      <c r="L91" s="6"/>
    </row>
    <row r="92" spans="5:12" x14ac:dyDescent="0.25">
      <c r="E92" s="37" t="s">
        <v>236</v>
      </c>
      <c r="F92" s="6">
        <v>1.2350000000000001</v>
      </c>
      <c r="G92" s="6">
        <v>74.099999999999994</v>
      </c>
      <c r="I92" s="37" t="s">
        <v>58</v>
      </c>
      <c r="J92" s="6">
        <v>4.8099999999999996</v>
      </c>
      <c r="K92" s="6"/>
      <c r="L92" s="6"/>
    </row>
    <row r="93" spans="5:12" x14ac:dyDescent="0.25">
      <c r="E93" s="37" t="s">
        <v>237</v>
      </c>
      <c r="F93" s="6">
        <v>0.1</v>
      </c>
      <c r="G93" s="6">
        <v>0.5</v>
      </c>
      <c r="I93" s="37" t="s">
        <v>50</v>
      </c>
      <c r="J93" s="6">
        <v>3.6735000000000002</v>
      </c>
      <c r="K93" s="6"/>
      <c r="L93" s="6"/>
    </row>
    <row r="94" spans="5:12" x14ac:dyDescent="0.25">
      <c r="E94" s="37" t="s">
        <v>69</v>
      </c>
      <c r="F94" s="6">
        <v>4.3</v>
      </c>
      <c r="G94" s="6">
        <v>344</v>
      </c>
      <c r="I94" s="32">
        <v>40968</v>
      </c>
      <c r="J94" s="6">
        <v>10.469999999999999</v>
      </c>
      <c r="K94" s="6">
        <v>941.77</v>
      </c>
      <c r="L94" s="6"/>
    </row>
    <row r="95" spans="5:12" x14ac:dyDescent="0.25">
      <c r="E95" s="32">
        <v>41270</v>
      </c>
      <c r="F95" s="6">
        <v>3.96</v>
      </c>
      <c r="G95" s="6">
        <v>99</v>
      </c>
      <c r="I95" s="37" t="s">
        <v>236</v>
      </c>
      <c r="J95" s="6">
        <v>2.5274999999999999</v>
      </c>
      <c r="K95" s="6">
        <v>202.2</v>
      </c>
      <c r="L95" s="6"/>
    </row>
    <row r="96" spans="5:12" x14ac:dyDescent="0.25">
      <c r="E96" s="37" t="s">
        <v>50</v>
      </c>
      <c r="F96" s="6">
        <v>3.96</v>
      </c>
      <c r="G96" s="6">
        <v>99</v>
      </c>
      <c r="I96" s="37" t="s">
        <v>71</v>
      </c>
      <c r="J96" s="6">
        <v>0.28249999999999997</v>
      </c>
      <c r="K96" s="6">
        <v>-14.13</v>
      </c>
      <c r="L96" s="6"/>
    </row>
    <row r="97" spans="5:12" x14ac:dyDescent="0.25">
      <c r="E97" s="32">
        <v>41274</v>
      </c>
      <c r="F97" s="6">
        <v>13.1</v>
      </c>
      <c r="G97" s="6">
        <v>5300</v>
      </c>
      <c r="I97" s="37" t="s">
        <v>72</v>
      </c>
      <c r="J97" s="6">
        <v>0.09</v>
      </c>
      <c r="K97" s="6">
        <v>9</v>
      </c>
      <c r="L97" s="6"/>
    </row>
    <row r="98" spans="5:12" x14ac:dyDescent="0.25">
      <c r="E98" s="37" t="s">
        <v>43</v>
      </c>
      <c r="F98" s="6">
        <v>0</v>
      </c>
      <c r="G98" s="6"/>
      <c r="I98" s="37" t="s">
        <v>70</v>
      </c>
      <c r="J98" s="6">
        <v>0.3075</v>
      </c>
      <c r="K98" s="6">
        <v>18.45</v>
      </c>
      <c r="L98" s="6"/>
    </row>
    <row r="99" spans="5:12" x14ac:dyDescent="0.25">
      <c r="E99" s="37" t="s">
        <v>46</v>
      </c>
      <c r="F99" s="6">
        <v>10.6</v>
      </c>
      <c r="G99" s="6">
        <v>5300</v>
      </c>
      <c r="I99" s="37" t="s">
        <v>69</v>
      </c>
      <c r="J99" s="6">
        <v>7.2625000000000002</v>
      </c>
      <c r="K99" s="6">
        <v>726.25</v>
      </c>
      <c r="L99" s="6"/>
    </row>
    <row r="100" spans="5:12" x14ac:dyDescent="0.25">
      <c r="E100" s="37" t="s">
        <v>50</v>
      </c>
      <c r="F100" s="6">
        <v>2.5</v>
      </c>
      <c r="G100" s="6"/>
      <c r="I100" s="32">
        <v>40976</v>
      </c>
      <c r="J100" s="6">
        <v>1.84</v>
      </c>
      <c r="K100" s="6">
        <v>151.82999999999998</v>
      </c>
      <c r="L100" s="6"/>
    </row>
    <row r="101" spans="5:12" x14ac:dyDescent="0.25">
      <c r="E101" s="32">
        <v>41277</v>
      </c>
      <c r="F101" s="6">
        <v>5.39</v>
      </c>
      <c r="G101" s="6">
        <v>924.95</v>
      </c>
      <c r="I101" s="37" t="s">
        <v>236</v>
      </c>
      <c r="J101" s="6">
        <v>0.91749999999999998</v>
      </c>
      <c r="K101" s="6">
        <v>73.400000000000006</v>
      </c>
      <c r="L101" s="6"/>
    </row>
    <row r="102" spans="5:12" x14ac:dyDescent="0.25">
      <c r="E102" s="37" t="s">
        <v>77</v>
      </c>
      <c r="F102" s="6">
        <v>5.39</v>
      </c>
      <c r="G102" s="6">
        <v>924.95</v>
      </c>
      <c r="I102" s="37" t="s">
        <v>71</v>
      </c>
      <c r="J102" s="6">
        <v>0.20250000000000001</v>
      </c>
      <c r="K102" s="6">
        <v>10.130000000000001</v>
      </c>
      <c r="L102" s="6"/>
    </row>
    <row r="103" spans="5:12" x14ac:dyDescent="0.25">
      <c r="E103" s="32">
        <v>41282</v>
      </c>
      <c r="F103" s="6">
        <v>6.31</v>
      </c>
      <c r="G103" s="6">
        <v>157.75</v>
      </c>
      <c r="I103" s="37" t="s">
        <v>70</v>
      </c>
      <c r="J103" s="6">
        <v>9.2499999999999999E-2</v>
      </c>
      <c r="K103" s="6">
        <v>5.55</v>
      </c>
      <c r="L103" s="6"/>
    </row>
    <row r="104" spans="5:12" x14ac:dyDescent="0.25">
      <c r="E104" s="37" t="s">
        <v>50</v>
      </c>
      <c r="F104" s="6">
        <v>6.31</v>
      </c>
      <c r="G104" s="6">
        <v>157.75</v>
      </c>
      <c r="I104" s="37" t="s">
        <v>69</v>
      </c>
      <c r="J104" s="6">
        <v>0.62749999999999995</v>
      </c>
      <c r="K104" s="6">
        <v>62.75</v>
      </c>
      <c r="L104" s="6"/>
    </row>
    <row r="105" spans="5:12" x14ac:dyDescent="0.25">
      <c r="E105" s="32">
        <v>41286</v>
      </c>
      <c r="F105" s="6">
        <v>0.55500000000000005</v>
      </c>
      <c r="G105" s="6">
        <v>72</v>
      </c>
      <c r="I105" s="32">
        <v>40992</v>
      </c>
      <c r="J105" s="6">
        <v>3.32</v>
      </c>
      <c r="K105" s="6">
        <v>116.2</v>
      </c>
      <c r="L105" s="6"/>
    </row>
    <row r="106" spans="5:12" x14ac:dyDescent="0.25">
      <c r="E106" s="37" t="s">
        <v>114</v>
      </c>
      <c r="F106" s="6">
        <v>0.55500000000000005</v>
      </c>
      <c r="G106" s="6">
        <v>72</v>
      </c>
      <c r="I106" s="37" t="s">
        <v>50</v>
      </c>
      <c r="J106" s="6">
        <v>3.32</v>
      </c>
      <c r="K106" s="6">
        <v>116.2</v>
      </c>
      <c r="L106" s="6"/>
    </row>
    <row r="107" spans="5:12" x14ac:dyDescent="0.25">
      <c r="E107" s="32">
        <v>41290</v>
      </c>
      <c r="F107" s="6">
        <v>5.2949999999999999</v>
      </c>
      <c r="G107" s="6">
        <v>394.04999999999995</v>
      </c>
      <c r="I107" s="32">
        <v>40998</v>
      </c>
      <c r="J107" s="6">
        <v>3.6735000000000002</v>
      </c>
      <c r="K107" s="6"/>
      <c r="L107" s="6"/>
    </row>
    <row r="108" spans="5:12" x14ac:dyDescent="0.25">
      <c r="E108" s="37" t="s">
        <v>236</v>
      </c>
      <c r="F108" s="6">
        <v>1.4775</v>
      </c>
      <c r="G108" s="6">
        <v>88.65</v>
      </c>
      <c r="I108" s="37" t="s">
        <v>50</v>
      </c>
      <c r="J108" s="6">
        <v>3.6735000000000002</v>
      </c>
      <c r="K108" s="6"/>
      <c r="L108" s="6"/>
    </row>
    <row r="109" spans="5:12" x14ac:dyDescent="0.25">
      <c r="E109" s="37" t="s">
        <v>69</v>
      </c>
      <c r="F109" s="6">
        <v>3.8174999999999999</v>
      </c>
      <c r="G109" s="6">
        <v>305.39999999999998</v>
      </c>
      <c r="I109" s="32">
        <v>41005</v>
      </c>
      <c r="J109" s="6">
        <v>13.015000000000001</v>
      </c>
      <c r="K109" s="6">
        <v>548.29999999999995</v>
      </c>
      <c r="L109" s="6"/>
    </row>
    <row r="110" spans="5:12" x14ac:dyDescent="0.25">
      <c r="E110" s="32">
        <v>41291</v>
      </c>
      <c r="F110" s="6">
        <v>2.21</v>
      </c>
      <c r="G110" s="6"/>
      <c r="I110" s="37" t="s">
        <v>236</v>
      </c>
      <c r="J110" s="6">
        <v>2.48</v>
      </c>
      <c r="K110" s="6">
        <v>198.4</v>
      </c>
      <c r="L110" s="6"/>
    </row>
    <row r="111" spans="5:12" x14ac:dyDescent="0.25">
      <c r="E111" s="37" t="s">
        <v>108</v>
      </c>
      <c r="F111" s="6">
        <v>2.21</v>
      </c>
      <c r="G111" s="6"/>
      <c r="I111" s="37" t="s">
        <v>58</v>
      </c>
      <c r="J111" s="6">
        <v>4.93</v>
      </c>
      <c r="K111" s="6"/>
      <c r="L111" s="6"/>
    </row>
    <row r="112" spans="5:12" x14ac:dyDescent="0.25">
      <c r="E112" s="32">
        <v>41302</v>
      </c>
      <c r="F112" s="6">
        <v>0.16800000000000001</v>
      </c>
      <c r="G112" s="6"/>
      <c r="I112" s="37" t="s">
        <v>72</v>
      </c>
      <c r="J112" s="6">
        <v>0.04</v>
      </c>
      <c r="K112" s="6">
        <v>4</v>
      </c>
      <c r="L112" s="6"/>
    </row>
    <row r="113" spans="5:12" x14ac:dyDescent="0.25">
      <c r="E113" s="37" t="s">
        <v>58</v>
      </c>
      <c r="F113" s="6">
        <v>0.16800000000000001</v>
      </c>
      <c r="G113" s="6"/>
      <c r="I113" s="37" t="s">
        <v>69</v>
      </c>
      <c r="J113" s="6">
        <v>2.3249999999999997</v>
      </c>
      <c r="K113" s="6">
        <v>232.5</v>
      </c>
      <c r="L113" s="6"/>
    </row>
    <row r="114" spans="5:12" x14ac:dyDescent="0.25">
      <c r="E114" s="32">
        <v>41304</v>
      </c>
      <c r="F114" s="6">
        <v>2.5</v>
      </c>
      <c r="G114" s="6"/>
      <c r="I114" s="37" t="s">
        <v>50</v>
      </c>
      <c r="J114" s="6">
        <v>3.24</v>
      </c>
      <c r="K114" s="6">
        <v>113.4</v>
      </c>
      <c r="L114" s="6"/>
    </row>
    <row r="115" spans="5:12" x14ac:dyDescent="0.25">
      <c r="E115" s="37" t="s">
        <v>50</v>
      </c>
      <c r="F115" s="6">
        <v>2.5</v>
      </c>
      <c r="G115" s="6"/>
      <c r="I115" s="32">
        <v>41022</v>
      </c>
      <c r="J115" s="6">
        <v>2.59</v>
      </c>
      <c r="K115" s="6">
        <v>88.84</v>
      </c>
      <c r="L115" s="6"/>
    </row>
    <row r="116" spans="5:12" x14ac:dyDescent="0.25">
      <c r="E116" s="32">
        <v>41311</v>
      </c>
      <c r="F116" s="6">
        <v>2.31</v>
      </c>
      <c r="G116" s="6">
        <v>247.35</v>
      </c>
      <c r="I116" s="37" t="s">
        <v>50</v>
      </c>
      <c r="J116" s="6">
        <v>2.59</v>
      </c>
      <c r="K116" s="6">
        <v>88.84</v>
      </c>
      <c r="L116" s="6"/>
    </row>
    <row r="117" spans="5:12" x14ac:dyDescent="0.25">
      <c r="E117" s="37" t="s">
        <v>77</v>
      </c>
      <c r="F117" s="6">
        <v>2.31</v>
      </c>
      <c r="G117" s="6">
        <v>247.35</v>
      </c>
      <c r="I117" s="32">
        <v>41029</v>
      </c>
      <c r="J117" s="6">
        <v>2.6644999999999999</v>
      </c>
      <c r="K117" s="6"/>
      <c r="L117" s="6"/>
    </row>
    <row r="118" spans="5:12" x14ac:dyDescent="0.25">
      <c r="E118" s="32">
        <v>41312</v>
      </c>
      <c r="F118" s="6">
        <v>3.5</v>
      </c>
      <c r="G118" s="6"/>
      <c r="I118" s="37" t="s">
        <v>50</v>
      </c>
      <c r="J118" s="6">
        <v>2.6644999999999999</v>
      </c>
      <c r="K118" s="6"/>
      <c r="L118" s="6"/>
    </row>
    <row r="119" spans="5:12" x14ac:dyDescent="0.25">
      <c r="E119" s="37" t="s">
        <v>50</v>
      </c>
      <c r="F119" s="6">
        <v>3.5</v>
      </c>
      <c r="G119" s="6"/>
      <c r="I119" s="32">
        <v>41034</v>
      </c>
      <c r="J119" s="6">
        <v>5</v>
      </c>
      <c r="K119" s="6"/>
      <c r="L119" s="6"/>
    </row>
    <row r="120" spans="5:12" x14ac:dyDescent="0.25">
      <c r="E120" s="32">
        <v>41313</v>
      </c>
      <c r="F120" s="6">
        <v>2.66</v>
      </c>
      <c r="G120" s="6">
        <v>45.34</v>
      </c>
      <c r="I120" s="37" t="s">
        <v>50</v>
      </c>
      <c r="J120" s="6">
        <v>5</v>
      </c>
      <c r="K120" s="6"/>
      <c r="L120" s="6"/>
    </row>
    <row r="121" spans="5:12" x14ac:dyDescent="0.25">
      <c r="E121" s="37" t="s">
        <v>50</v>
      </c>
      <c r="F121" s="6">
        <v>2.66</v>
      </c>
      <c r="G121" s="6">
        <v>45.34</v>
      </c>
      <c r="I121" s="32">
        <v>41036</v>
      </c>
      <c r="J121" s="6">
        <v>2.8424999999999998</v>
      </c>
      <c r="K121" s="6">
        <v>210.85</v>
      </c>
      <c r="L121" s="6"/>
    </row>
    <row r="122" spans="5:12" x14ac:dyDescent="0.25">
      <c r="E122" s="32">
        <v>41320</v>
      </c>
      <c r="F122" s="6">
        <v>2.2250000000000001</v>
      </c>
      <c r="G122" s="6"/>
      <c r="I122" s="37" t="s">
        <v>236</v>
      </c>
      <c r="J122" s="6">
        <v>0.64249999999999996</v>
      </c>
      <c r="K122" s="6">
        <v>38.549999999999997</v>
      </c>
      <c r="L122" s="6"/>
    </row>
    <row r="123" spans="5:12" x14ac:dyDescent="0.25">
      <c r="E123" s="37" t="s">
        <v>3</v>
      </c>
      <c r="F123" s="6">
        <v>2.2250000000000001</v>
      </c>
      <c r="G123" s="6"/>
      <c r="I123" s="37" t="s">
        <v>70</v>
      </c>
      <c r="J123" s="6">
        <v>9.2499999999999999E-2</v>
      </c>
      <c r="K123" s="6">
        <v>3.7</v>
      </c>
      <c r="L123" s="6"/>
    </row>
    <row r="124" spans="5:12" x14ac:dyDescent="0.25">
      <c r="E124" s="32">
        <v>41323</v>
      </c>
      <c r="F124" s="6">
        <v>2.42</v>
      </c>
      <c r="G124" s="6"/>
      <c r="I124" s="37" t="s">
        <v>69</v>
      </c>
      <c r="J124" s="6">
        <v>2.1074999999999999</v>
      </c>
      <c r="K124" s="6">
        <v>168.6</v>
      </c>
      <c r="L124" s="6"/>
    </row>
    <row r="125" spans="5:12" x14ac:dyDescent="0.25">
      <c r="E125" s="37" t="s">
        <v>108</v>
      </c>
      <c r="F125" s="6">
        <v>2.42</v>
      </c>
      <c r="G125" s="6"/>
      <c r="I125" s="32">
        <v>41037</v>
      </c>
      <c r="J125" s="6">
        <v>5.05</v>
      </c>
      <c r="K125" s="6"/>
      <c r="L125" s="6"/>
    </row>
    <row r="126" spans="5:12" x14ac:dyDescent="0.25">
      <c r="E126" s="32">
        <v>41333</v>
      </c>
      <c r="F126" s="6">
        <v>12.254100000000001</v>
      </c>
      <c r="G126" s="6"/>
      <c r="I126" s="37" t="s">
        <v>58</v>
      </c>
      <c r="J126" s="6">
        <v>5.05</v>
      </c>
      <c r="K126" s="6"/>
      <c r="L126" s="6"/>
    </row>
    <row r="127" spans="5:12" x14ac:dyDescent="0.25">
      <c r="E127" s="37" t="s">
        <v>3</v>
      </c>
      <c r="F127" s="6">
        <v>0.91249999999999998</v>
      </c>
      <c r="G127" s="6"/>
      <c r="I127" s="32">
        <v>41058</v>
      </c>
      <c r="J127" s="6">
        <v>3.88</v>
      </c>
      <c r="K127" s="6">
        <v>135.80000000000001</v>
      </c>
      <c r="L127" s="6"/>
    </row>
    <row r="128" spans="5:12" x14ac:dyDescent="0.25">
      <c r="E128" s="37" t="s">
        <v>58</v>
      </c>
      <c r="F128" s="6">
        <v>0.16800000000000001</v>
      </c>
      <c r="G128" s="6"/>
      <c r="I128" s="37" t="s">
        <v>50</v>
      </c>
      <c r="J128" s="6">
        <v>3.88</v>
      </c>
      <c r="K128" s="6">
        <v>135.80000000000001</v>
      </c>
      <c r="L128" s="6"/>
    </row>
    <row r="129" spans="5:14" x14ac:dyDescent="0.25">
      <c r="E129" s="37" t="s">
        <v>50</v>
      </c>
      <c r="F129" s="6">
        <v>11.1736</v>
      </c>
      <c r="G129" s="6"/>
      <c r="I129" s="32">
        <v>41059</v>
      </c>
      <c r="J129" s="6">
        <v>2.6644999999999999</v>
      </c>
      <c r="K129" s="6"/>
      <c r="L129" s="6"/>
    </row>
    <row r="130" spans="5:14" x14ac:dyDescent="0.25">
      <c r="E130" s="32">
        <v>41339</v>
      </c>
      <c r="F130" s="6">
        <v>4.37</v>
      </c>
      <c r="G130" s="6">
        <v>129.13</v>
      </c>
      <c r="I130" s="37" t="s">
        <v>50</v>
      </c>
      <c r="J130" s="6">
        <v>2.6644999999999999</v>
      </c>
      <c r="K130" s="6"/>
      <c r="L130" s="6"/>
    </row>
    <row r="131" spans="5:14" x14ac:dyDescent="0.25">
      <c r="E131" s="37" t="s">
        <v>50</v>
      </c>
      <c r="F131" s="6">
        <v>4.37</v>
      </c>
      <c r="G131" s="6">
        <v>129.13</v>
      </c>
      <c r="I131" s="32">
        <v>41066</v>
      </c>
      <c r="J131" s="6">
        <v>2.5</v>
      </c>
      <c r="K131" s="6"/>
      <c r="L131" s="6"/>
    </row>
    <row r="132" spans="5:14" x14ac:dyDescent="0.25">
      <c r="E132" s="32">
        <v>41351</v>
      </c>
      <c r="F132" s="6">
        <v>1.58</v>
      </c>
      <c r="G132" s="6">
        <v>151.80000000000001</v>
      </c>
      <c r="I132" s="37" t="s">
        <v>3</v>
      </c>
      <c r="J132" s="6">
        <v>2.5</v>
      </c>
      <c r="K132" s="6"/>
      <c r="L132" s="6"/>
    </row>
    <row r="133" spans="5:14" x14ac:dyDescent="0.25">
      <c r="E133" s="37" t="s">
        <v>77</v>
      </c>
      <c r="F133" s="6">
        <v>1.58</v>
      </c>
      <c r="G133" s="6">
        <v>151.80000000000001</v>
      </c>
      <c r="I133" s="32">
        <v>41067</v>
      </c>
      <c r="J133" s="6">
        <v>4.4349999999999996</v>
      </c>
      <c r="K133" s="6">
        <v>353.43</v>
      </c>
      <c r="L133" s="6"/>
    </row>
    <row r="134" spans="5:14" x14ac:dyDescent="0.25">
      <c r="E134" s="32">
        <v>41352</v>
      </c>
      <c r="F134" s="6">
        <v>1.79</v>
      </c>
      <c r="G134" s="6">
        <v>195.9</v>
      </c>
      <c r="I134" s="37" t="s">
        <v>70</v>
      </c>
      <c r="J134" s="6">
        <v>2.75E-2</v>
      </c>
      <c r="K134" s="6">
        <v>0.83</v>
      </c>
      <c r="L134" s="6"/>
    </row>
    <row r="135" spans="5:14" x14ac:dyDescent="0.25">
      <c r="E135" s="37" t="s">
        <v>77</v>
      </c>
      <c r="F135" s="6">
        <v>1.79</v>
      </c>
      <c r="G135" s="6">
        <v>195.9</v>
      </c>
      <c r="I135" s="37" t="s">
        <v>69</v>
      </c>
      <c r="J135" s="6">
        <v>4.4074999999999998</v>
      </c>
      <c r="K135" s="6">
        <v>352.6</v>
      </c>
      <c r="L135" s="6"/>
    </row>
    <row r="136" spans="5:14" x14ac:dyDescent="0.25">
      <c r="E136" s="32">
        <v>41363</v>
      </c>
      <c r="F136" s="6">
        <v>13.5136</v>
      </c>
      <c r="G136" s="6">
        <v>152.16</v>
      </c>
      <c r="I136" s="32">
        <v>41069</v>
      </c>
      <c r="J136" s="6">
        <v>4.9000000000000004</v>
      </c>
      <c r="K136" s="6"/>
      <c r="L136" s="6"/>
    </row>
    <row r="137" spans="5:14" x14ac:dyDescent="0.25">
      <c r="E137" s="37" t="s">
        <v>50</v>
      </c>
      <c r="F137" s="6">
        <v>13.5136</v>
      </c>
      <c r="G137" s="6">
        <v>152.16</v>
      </c>
      <c r="I137" s="37" t="s">
        <v>58</v>
      </c>
      <c r="J137" s="6">
        <v>4.9000000000000004</v>
      </c>
      <c r="K137" s="6"/>
      <c r="L137" s="6"/>
    </row>
    <row r="138" spans="5:14" x14ac:dyDescent="0.25">
      <c r="E138" s="32">
        <v>41366</v>
      </c>
      <c r="F138" s="6">
        <v>7.5674999999999999</v>
      </c>
      <c r="G138" s="6">
        <v>697.56000000000006</v>
      </c>
      <c r="I138" s="32">
        <v>41073</v>
      </c>
      <c r="J138" s="6">
        <v>2.3694999999999999</v>
      </c>
      <c r="K138" s="6"/>
      <c r="L138" s="6"/>
      <c r="M138" s="32"/>
      <c r="N138" s="6"/>
    </row>
    <row r="139" spans="5:14" x14ac:dyDescent="0.25">
      <c r="E139" s="37" t="s">
        <v>236</v>
      </c>
      <c r="F139" s="6">
        <v>9.35E-2</v>
      </c>
      <c r="G139" s="6">
        <v>4.6500000000000004</v>
      </c>
      <c r="I139" s="37" t="s">
        <v>3</v>
      </c>
      <c r="J139" s="6">
        <v>2.3694999999999999</v>
      </c>
      <c r="K139" s="6"/>
      <c r="L139" s="6"/>
      <c r="M139" s="32"/>
      <c r="N139" s="6"/>
    </row>
    <row r="140" spans="5:14" x14ac:dyDescent="0.25">
      <c r="E140" s="37" t="s">
        <v>124</v>
      </c>
      <c r="F140" s="6">
        <v>0.70299999999999996</v>
      </c>
      <c r="G140" s="6">
        <v>4.6500000000000004</v>
      </c>
      <c r="I140" s="32">
        <v>41088</v>
      </c>
      <c r="J140" s="6">
        <v>4.25</v>
      </c>
      <c r="K140" s="6">
        <v>106.25</v>
      </c>
      <c r="L140" s="6"/>
      <c r="M140" s="32"/>
      <c r="N140" s="6"/>
    </row>
    <row r="141" spans="5:14" x14ac:dyDescent="0.25">
      <c r="E141" s="37" t="s">
        <v>70</v>
      </c>
      <c r="F141" s="6">
        <v>0.224</v>
      </c>
      <c r="G141" s="6">
        <v>20.16</v>
      </c>
      <c r="I141" s="37" t="s">
        <v>50</v>
      </c>
      <c r="J141" s="6">
        <v>4.25</v>
      </c>
      <c r="K141" s="6">
        <v>106.25</v>
      </c>
      <c r="L141" s="6"/>
      <c r="M141" s="32"/>
      <c r="N141" s="6"/>
    </row>
    <row r="142" spans="5:14" x14ac:dyDescent="0.25">
      <c r="E142" s="37" t="s">
        <v>69</v>
      </c>
      <c r="F142" s="6">
        <v>6.0960000000000001</v>
      </c>
      <c r="G142" s="6">
        <v>668.1</v>
      </c>
      <c r="I142" s="32">
        <v>41090</v>
      </c>
      <c r="J142" s="6">
        <v>2.6644999999999999</v>
      </c>
      <c r="K142" s="6"/>
      <c r="L142" s="6"/>
      <c r="M142" s="32"/>
      <c r="N142" s="6"/>
    </row>
    <row r="143" spans="5:14" x14ac:dyDescent="0.25">
      <c r="E143" s="37" t="s">
        <v>114</v>
      </c>
      <c r="F143" s="6">
        <v>0.45100000000000001</v>
      </c>
      <c r="G143" s="6"/>
      <c r="I143" s="37" t="s">
        <v>50</v>
      </c>
      <c r="J143" s="6">
        <v>2.6644999999999999</v>
      </c>
      <c r="K143" s="6"/>
      <c r="L143" s="6"/>
      <c r="M143" s="32"/>
      <c r="N143" s="6"/>
    </row>
    <row r="144" spans="5:14" x14ac:dyDescent="0.25">
      <c r="E144" s="32">
        <v>41373</v>
      </c>
      <c r="F144" s="6">
        <v>5.66</v>
      </c>
      <c r="G144" s="6">
        <v>576</v>
      </c>
      <c r="I144" s="32" t="s">
        <v>198</v>
      </c>
      <c r="J144" s="6">
        <v>222.3545</v>
      </c>
      <c r="K144" s="6">
        <v>16213.640000000001</v>
      </c>
      <c r="L144" s="6"/>
      <c r="M144" s="32"/>
      <c r="N144" s="6"/>
    </row>
    <row r="145" spans="5:14" x14ac:dyDescent="0.25">
      <c r="E145" s="37" t="s">
        <v>77</v>
      </c>
      <c r="F145" s="6">
        <v>3.78</v>
      </c>
      <c r="G145" s="6">
        <v>576</v>
      </c>
      <c r="L145" s="6"/>
      <c r="M145" s="32"/>
      <c r="N145" s="6"/>
    </row>
    <row r="146" spans="5:14" x14ac:dyDescent="0.25">
      <c r="E146" s="37" t="s">
        <v>108</v>
      </c>
      <c r="F146" s="6">
        <v>1.88</v>
      </c>
      <c r="G146" s="6"/>
      <c r="L146" s="6"/>
      <c r="M146" s="32"/>
      <c r="N146" s="6"/>
    </row>
    <row r="147" spans="5:14" x14ac:dyDescent="0.25">
      <c r="E147" s="32">
        <v>41375</v>
      </c>
      <c r="F147" s="6">
        <v>2.77</v>
      </c>
      <c r="G147" s="6">
        <v>50.73</v>
      </c>
      <c r="L147" s="6"/>
      <c r="M147" s="32"/>
      <c r="N147" s="6"/>
    </row>
    <row r="148" spans="5:14" x14ac:dyDescent="0.25">
      <c r="E148" s="37" t="s">
        <v>50</v>
      </c>
      <c r="F148" s="6">
        <v>2.77</v>
      </c>
      <c r="G148" s="6">
        <v>50.73</v>
      </c>
      <c r="L148" s="6"/>
      <c r="M148" s="32"/>
      <c r="N148" s="6"/>
    </row>
    <row r="149" spans="5:14" x14ac:dyDescent="0.25">
      <c r="E149" s="32">
        <v>41389</v>
      </c>
      <c r="F149" s="6">
        <v>5.16</v>
      </c>
      <c r="G149" s="6">
        <v>167.84</v>
      </c>
      <c r="L149" s="6"/>
      <c r="M149" s="32"/>
      <c r="N149" s="6"/>
    </row>
    <row r="150" spans="5:14" x14ac:dyDescent="0.25">
      <c r="E150" s="37" t="s">
        <v>50</v>
      </c>
      <c r="F150" s="6">
        <v>5.16</v>
      </c>
      <c r="G150" s="6">
        <v>167.84</v>
      </c>
      <c r="M150" s="32"/>
      <c r="N150" s="6"/>
    </row>
    <row r="151" spans="5:14" x14ac:dyDescent="0.25">
      <c r="E151" s="32">
        <v>41394</v>
      </c>
      <c r="F151" s="6">
        <v>4.74</v>
      </c>
      <c r="G151" s="6"/>
      <c r="M151" s="32"/>
      <c r="N151" s="6"/>
    </row>
    <row r="152" spans="5:14" x14ac:dyDescent="0.25">
      <c r="E152" s="37" t="s">
        <v>50</v>
      </c>
      <c r="F152" s="6">
        <v>2.37</v>
      </c>
      <c r="G152" s="6"/>
      <c r="M152" s="32"/>
      <c r="N152" s="6"/>
    </row>
    <row r="153" spans="5:14" x14ac:dyDescent="0.25">
      <c r="E153" s="37" t="s">
        <v>108</v>
      </c>
      <c r="F153" s="6">
        <v>2.37</v>
      </c>
      <c r="G153" s="6"/>
      <c r="M153" s="32"/>
      <c r="N153" s="6"/>
    </row>
    <row r="154" spans="5:14" x14ac:dyDescent="0.25">
      <c r="E154" s="32">
        <v>41412</v>
      </c>
      <c r="F154" s="6">
        <v>1.92</v>
      </c>
      <c r="G154" s="6"/>
      <c r="M154" s="32"/>
      <c r="N154" s="6"/>
    </row>
    <row r="155" spans="5:14" x14ac:dyDescent="0.25">
      <c r="E155" s="37" t="s">
        <v>108</v>
      </c>
      <c r="F155" s="6">
        <v>1.92</v>
      </c>
      <c r="G155" s="6"/>
      <c r="M155" s="32"/>
      <c r="N155" s="6"/>
    </row>
    <row r="156" spans="5:14" x14ac:dyDescent="0.25">
      <c r="E156" s="32">
        <v>41415</v>
      </c>
      <c r="F156" s="6">
        <v>11.3</v>
      </c>
      <c r="G156" s="6">
        <v>684.9</v>
      </c>
      <c r="M156" s="32"/>
      <c r="N156" s="6"/>
    </row>
    <row r="157" spans="5:14" x14ac:dyDescent="0.25">
      <c r="E157" s="37" t="s">
        <v>77</v>
      </c>
      <c r="F157" s="6">
        <v>3.5</v>
      </c>
      <c r="G157" s="6">
        <v>415</v>
      </c>
      <c r="M157" s="32"/>
      <c r="N157" s="6"/>
    </row>
    <row r="158" spans="5:14" x14ac:dyDescent="0.25">
      <c r="E158" s="37" t="s">
        <v>50</v>
      </c>
      <c r="F158" s="6">
        <v>7.8</v>
      </c>
      <c r="G158" s="6">
        <v>269.89999999999998</v>
      </c>
      <c r="M158" s="32"/>
      <c r="N158" s="6"/>
    </row>
    <row r="159" spans="5:14" x14ac:dyDescent="0.25">
      <c r="E159" s="32">
        <v>41424</v>
      </c>
      <c r="F159" s="6">
        <v>7.8</v>
      </c>
      <c r="G159" s="6"/>
      <c r="M159" s="32"/>
      <c r="N159" s="6"/>
    </row>
    <row r="160" spans="5:14" x14ac:dyDescent="0.25">
      <c r="E160" s="37" t="s">
        <v>50</v>
      </c>
      <c r="F160" s="6">
        <v>7.8</v>
      </c>
      <c r="G160" s="6"/>
      <c r="M160" s="32"/>
      <c r="N160" s="6"/>
    </row>
    <row r="161" spans="5:7" x14ac:dyDescent="0.25">
      <c r="E161" s="32">
        <v>41428</v>
      </c>
      <c r="F161" s="6">
        <v>5.57</v>
      </c>
      <c r="G161" s="6"/>
    </row>
    <row r="162" spans="5:7" x14ac:dyDescent="0.25">
      <c r="E162" s="37" t="s">
        <v>108</v>
      </c>
      <c r="F162" s="6">
        <v>5.57</v>
      </c>
      <c r="G162" s="6"/>
    </row>
    <row r="163" spans="5:7" x14ac:dyDescent="0.25">
      <c r="E163" s="32">
        <v>41431</v>
      </c>
      <c r="F163" s="6">
        <v>1.5065</v>
      </c>
      <c r="G163" s="6"/>
    </row>
    <row r="164" spans="5:7" x14ac:dyDescent="0.25">
      <c r="E164" s="37" t="s">
        <v>3</v>
      </c>
      <c r="F164" s="6">
        <v>1.5065</v>
      </c>
      <c r="G164" s="6"/>
    </row>
    <row r="165" spans="5:7" x14ac:dyDescent="0.25">
      <c r="E165" s="32">
        <v>41432</v>
      </c>
      <c r="F165" s="6">
        <v>0.92700000000000005</v>
      </c>
      <c r="G165" s="6"/>
    </row>
    <row r="166" spans="5:7" x14ac:dyDescent="0.25">
      <c r="E166" s="37" t="s">
        <v>3</v>
      </c>
      <c r="F166" s="6">
        <v>0.92700000000000005</v>
      </c>
      <c r="G166" s="6"/>
    </row>
    <row r="167" spans="5:7" x14ac:dyDescent="0.25">
      <c r="E167" s="32">
        <v>41439</v>
      </c>
      <c r="F167" s="6">
        <v>0.71000000000000008</v>
      </c>
      <c r="G167" s="6">
        <v>943.07</v>
      </c>
    </row>
    <row r="168" spans="5:7" x14ac:dyDescent="0.25">
      <c r="E168" s="37" t="s">
        <v>92</v>
      </c>
      <c r="F168" s="6">
        <v>9.4E-2</v>
      </c>
      <c r="G168" s="6">
        <v>95.88</v>
      </c>
    </row>
    <row r="169" spans="5:7" x14ac:dyDescent="0.25">
      <c r="E169" s="37" t="s">
        <v>66</v>
      </c>
      <c r="F169" s="6">
        <v>0.45450000000000002</v>
      </c>
      <c r="G169" s="6">
        <v>590.85</v>
      </c>
    </row>
    <row r="170" spans="5:7" x14ac:dyDescent="0.25">
      <c r="E170" s="37" t="s">
        <v>132</v>
      </c>
      <c r="F170" s="6">
        <v>5.9499999999999997E-2</v>
      </c>
      <c r="G170" s="6">
        <v>59.5</v>
      </c>
    </row>
    <row r="171" spans="5:7" x14ac:dyDescent="0.25">
      <c r="E171" s="37" t="s">
        <v>94</v>
      </c>
      <c r="F171" s="6">
        <v>5.6000000000000001E-2</v>
      </c>
      <c r="G171" s="6">
        <v>164.64</v>
      </c>
    </row>
    <row r="172" spans="5:7" x14ac:dyDescent="0.25">
      <c r="E172" s="37" t="s">
        <v>133</v>
      </c>
      <c r="F172" s="6">
        <v>4.5999999999999999E-2</v>
      </c>
      <c r="G172" s="6">
        <v>32.200000000000003</v>
      </c>
    </row>
    <row r="173" spans="5:7" x14ac:dyDescent="0.25">
      <c r="E173" s="32">
        <v>41452</v>
      </c>
      <c r="F173" s="6"/>
      <c r="G173" s="6"/>
    </row>
    <row r="174" spans="5:7" x14ac:dyDescent="0.25">
      <c r="E174" s="37" t="s">
        <v>50</v>
      </c>
      <c r="F174" s="6"/>
      <c r="G174" s="6"/>
    </row>
    <row r="175" spans="5:7" x14ac:dyDescent="0.25">
      <c r="E175" s="32">
        <v>41455</v>
      </c>
      <c r="F175" s="6">
        <v>8.6736000000000004</v>
      </c>
      <c r="G175" s="6"/>
    </row>
    <row r="176" spans="5:7" x14ac:dyDescent="0.25">
      <c r="E176" s="37" t="s">
        <v>50</v>
      </c>
      <c r="F176" s="6">
        <v>8.6736000000000004</v>
      </c>
      <c r="G176" s="6"/>
    </row>
    <row r="177" spans="5:7" x14ac:dyDescent="0.25">
      <c r="E177" s="32">
        <v>41336</v>
      </c>
      <c r="F177" s="6">
        <v>3.38</v>
      </c>
      <c r="G177" s="6">
        <v>45.13</v>
      </c>
    </row>
    <row r="178" spans="5:7" x14ac:dyDescent="0.25">
      <c r="E178" s="37" t="s">
        <v>50</v>
      </c>
      <c r="F178" s="6">
        <v>3.38</v>
      </c>
      <c r="G178" s="6">
        <v>45.13</v>
      </c>
    </row>
    <row r="179" spans="5:7" x14ac:dyDescent="0.25">
      <c r="E179" s="32">
        <v>41361</v>
      </c>
      <c r="F179" s="6">
        <v>0.16800000000000001</v>
      </c>
      <c r="G179" s="6"/>
    </row>
    <row r="180" spans="5:7" x14ac:dyDescent="0.25">
      <c r="E180" s="37" t="s">
        <v>58</v>
      </c>
      <c r="F180" s="6">
        <v>0.16800000000000001</v>
      </c>
      <c r="G180" s="6"/>
    </row>
    <row r="181" spans="5:7" x14ac:dyDescent="0.25">
      <c r="E181" s="32">
        <v>41392</v>
      </c>
      <c r="F181" s="6">
        <v>0.16800000000000001</v>
      </c>
      <c r="G181" s="6"/>
    </row>
    <row r="182" spans="5:7" x14ac:dyDescent="0.25">
      <c r="E182" s="37" t="s">
        <v>58</v>
      </c>
      <c r="F182" s="6">
        <v>0.16800000000000001</v>
      </c>
      <c r="G182" s="6"/>
    </row>
    <row r="183" spans="5:7" x14ac:dyDescent="0.25">
      <c r="E183" s="32">
        <v>41422</v>
      </c>
      <c r="F183" s="6">
        <v>0.16800000000000001</v>
      </c>
      <c r="G183" s="6"/>
    </row>
    <row r="184" spans="5:7" x14ac:dyDescent="0.25">
      <c r="E184" s="37" t="s">
        <v>58</v>
      </c>
      <c r="F184" s="6">
        <v>0.16800000000000001</v>
      </c>
      <c r="G184" s="6"/>
    </row>
    <row r="185" spans="5:7" x14ac:dyDescent="0.25">
      <c r="E185" s="32">
        <v>41438</v>
      </c>
      <c r="F185" s="6">
        <v>7.12</v>
      </c>
      <c r="G185" s="6">
        <v>659.87</v>
      </c>
    </row>
    <row r="186" spans="5:7" x14ac:dyDescent="0.25">
      <c r="E186" s="37" t="s">
        <v>69</v>
      </c>
      <c r="F186" s="6">
        <v>6.7880000000000003</v>
      </c>
      <c r="G186" s="6">
        <v>659.87</v>
      </c>
    </row>
    <row r="187" spans="5:7" x14ac:dyDescent="0.25">
      <c r="E187" s="37" t="s">
        <v>258</v>
      </c>
      <c r="F187" s="6">
        <v>0.33200000000000002</v>
      </c>
      <c r="G187" s="6">
        <v>0</v>
      </c>
    </row>
    <row r="188" spans="5:7" x14ac:dyDescent="0.25">
      <c r="E188" s="32">
        <v>41453</v>
      </c>
      <c r="F188" s="6">
        <v>0.16800000000000001</v>
      </c>
      <c r="G188" s="6"/>
    </row>
    <row r="189" spans="5:7" x14ac:dyDescent="0.25">
      <c r="E189" s="37" t="s">
        <v>58</v>
      </c>
      <c r="F189" s="6">
        <v>0.16800000000000001</v>
      </c>
      <c r="G189" s="6"/>
    </row>
    <row r="190" spans="5:7" x14ac:dyDescent="0.25">
      <c r="E190" s="32" t="s">
        <v>198</v>
      </c>
      <c r="F190" s="6">
        <v>287.46180000000004</v>
      </c>
      <c r="G190" s="6">
        <v>17068.939999999995</v>
      </c>
    </row>
  </sheetData>
  <pageMargins left="0.7" right="0.7" top="0.75" bottom="0.75" header="0.3" footer="0.3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A12" sqref="A12:A13"/>
    </sheetView>
  </sheetViews>
  <sheetFormatPr defaultColWidth="8.85546875" defaultRowHeight="15" x14ac:dyDescent="0.25"/>
  <cols>
    <col min="1" max="1" width="23.28515625" customWidth="1"/>
    <col min="2" max="2" width="13.28515625" bestFit="1" customWidth="1"/>
    <col min="3" max="3" width="13.140625" customWidth="1"/>
    <col min="4" max="6" width="10.42578125" bestFit="1" customWidth="1"/>
    <col min="7" max="7" width="16.28515625" customWidth="1"/>
    <col min="8" max="8" width="15" customWidth="1"/>
    <col min="9" max="10" width="20.7109375" customWidth="1"/>
    <col min="11" max="11" width="20" customWidth="1"/>
    <col min="12" max="12" width="13.28515625" bestFit="1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14</v>
      </c>
      <c r="H2" t="s">
        <v>15</v>
      </c>
      <c r="I2" t="s">
        <v>13</v>
      </c>
      <c r="J2" t="s">
        <v>16</v>
      </c>
      <c r="K2" t="s">
        <v>12</v>
      </c>
      <c r="L2" t="s">
        <v>11</v>
      </c>
    </row>
    <row r="3" spans="1:12" x14ac:dyDescent="0.25">
      <c r="A3" s="5">
        <v>2010</v>
      </c>
      <c r="B3" s="2">
        <f>841*2000</f>
        <v>1682000</v>
      </c>
      <c r="C3" s="2">
        <f>136.6*2000</f>
        <v>273200</v>
      </c>
      <c r="D3" s="2">
        <v>683</v>
      </c>
      <c r="E3" s="2">
        <v>0</v>
      </c>
      <c r="F3" s="2">
        <v>0</v>
      </c>
      <c r="G3" s="2">
        <v>800</v>
      </c>
      <c r="H3" s="2">
        <v>0</v>
      </c>
      <c r="I3" s="2">
        <f>C3+D3+E3+F3+G3</f>
        <v>274683</v>
      </c>
      <c r="J3" s="4">
        <f>I3/(B3+I3)</f>
        <v>0.14038196274000439</v>
      </c>
      <c r="K3" s="3">
        <f>SUM(C3:H3)</f>
        <v>274683</v>
      </c>
      <c r="L3" s="4">
        <f>K3/(B3+K3)</f>
        <v>0.14038196274000439</v>
      </c>
    </row>
    <row r="4" spans="1:12" x14ac:dyDescent="0.25">
      <c r="A4" s="5">
        <v>2011</v>
      </c>
      <c r="B4" s="2">
        <f>726*2000</f>
        <v>1452000</v>
      </c>
      <c r="C4" s="2">
        <v>272542</v>
      </c>
      <c r="D4" s="2">
        <v>4293</v>
      </c>
      <c r="E4" s="2">
        <v>0</v>
      </c>
      <c r="F4" s="2">
        <v>35250</v>
      </c>
      <c r="G4" s="2">
        <v>3754</v>
      </c>
      <c r="H4" s="2">
        <v>0</v>
      </c>
      <c r="I4" s="2">
        <f>C4+D4+E4+F4+G4</f>
        <v>315839</v>
      </c>
      <c r="J4" s="4">
        <f>I4/(B4+I4)</f>
        <v>0.17865823754312468</v>
      </c>
      <c r="K4" s="3">
        <f>SUM(C4:H4)</f>
        <v>315839</v>
      </c>
      <c r="L4" s="4">
        <f>K4/(B4+K4)</f>
        <v>0.17865823754312468</v>
      </c>
    </row>
    <row r="5" spans="1:12" x14ac:dyDescent="0.25">
      <c r="A5" s="5">
        <v>2012</v>
      </c>
      <c r="B5" s="2">
        <f>(567.65)*2000</f>
        <v>1135300</v>
      </c>
      <c r="C5" s="2">
        <v>374803</v>
      </c>
      <c r="D5" s="2">
        <v>24381</v>
      </c>
      <c r="E5" s="2">
        <v>29323</v>
      </c>
      <c r="F5" s="2">
        <f>58279+10000</f>
        <v>68279</v>
      </c>
      <c r="G5" s="2">
        <v>4500</v>
      </c>
      <c r="H5" s="2">
        <v>114450</v>
      </c>
      <c r="I5" s="2">
        <f>C5+D5+E5+F5+G5</f>
        <v>501286</v>
      </c>
      <c r="J5" s="4" t="e">
        <f>'fiscal year analysis'!#REF!</f>
        <v>#REF!</v>
      </c>
      <c r="K5" s="3">
        <f>SUM(C5:H5)</f>
        <v>615736</v>
      </c>
      <c r="L5" s="4">
        <f>K5/(B5+K5)</f>
        <v>0.35164097140207284</v>
      </c>
    </row>
    <row r="6" spans="1:12" x14ac:dyDescent="0.25">
      <c r="B6" s="2"/>
      <c r="C6" s="2"/>
      <c r="D6" s="2"/>
      <c r="E6" s="2"/>
      <c r="F6" s="2"/>
      <c r="G6" s="2"/>
      <c r="H6" s="2"/>
      <c r="I6" s="2"/>
      <c r="J6" s="3"/>
      <c r="K6" s="3"/>
      <c r="L6" s="3"/>
    </row>
    <row r="7" spans="1:12" x14ac:dyDescent="0.25">
      <c r="A7" t="s">
        <v>24</v>
      </c>
      <c r="B7" s="4">
        <f>(B5-B4)/B4</f>
        <v>-0.2181129476584022</v>
      </c>
      <c r="C7" s="4">
        <f t="shared" ref="C7:L7" si="0">(C5-C4)/C4</f>
        <v>0.37521189394662108</v>
      </c>
      <c r="D7" s="4">
        <f t="shared" si="0"/>
        <v>4.6792452830188678</v>
      </c>
      <c r="E7" s="4" t="e">
        <f t="shared" si="0"/>
        <v>#DIV/0!</v>
      </c>
      <c r="F7" s="4">
        <f t="shared" si="0"/>
        <v>0.93699290780141842</v>
      </c>
      <c r="G7" s="4">
        <f t="shared" si="0"/>
        <v>0.19872136387852957</v>
      </c>
      <c r="H7" s="4" t="e">
        <f t="shared" si="0"/>
        <v>#DIV/0!</v>
      </c>
      <c r="I7" s="4">
        <f t="shared" si="0"/>
        <v>0.58715674758342062</v>
      </c>
      <c r="J7" s="4" t="e">
        <f t="shared" si="0"/>
        <v>#REF!</v>
      </c>
      <c r="K7" s="4">
        <f t="shared" si="0"/>
        <v>0.94952491617564649</v>
      </c>
      <c r="L7" s="4">
        <f t="shared" si="0"/>
        <v>0.96823262245153086</v>
      </c>
    </row>
    <row r="8" spans="1:12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t="s">
        <v>20</v>
      </c>
      <c r="I9" s="3"/>
      <c r="J9" s="3"/>
    </row>
    <row r="10" spans="1:12" x14ac:dyDescent="0.25">
      <c r="A10" t="s">
        <v>19</v>
      </c>
    </row>
    <row r="11" spans="1:12" x14ac:dyDescent="0.25">
      <c r="A11" t="s">
        <v>18</v>
      </c>
    </row>
    <row r="12" spans="1:12" x14ac:dyDescent="0.25">
      <c r="A12" t="s">
        <v>21</v>
      </c>
    </row>
    <row r="13" spans="1:12" x14ac:dyDescent="0.25">
      <c r="A13" t="s">
        <v>17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8" sqref="A8:A12"/>
    </sheetView>
  </sheetViews>
  <sheetFormatPr defaultColWidth="8.85546875" defaultRowHeight="15" x14ac:dyDescent="0.25"/>
  <cols>
    <col min="2" max="2" width="13.28515625" customWidth="1"/>
    <col min="3" max="3" width="15.42578125" customWidth="1"/>
    <col min="4" max="4" width="14.42578125" customWidth="1"/>
    <col min="5" max="5" width="13.28515625" customWidth="1"/>
    <col min="6" max="6" width="10.42578125" bestFit="1" customWidth="1"/>
    <col min="7" max="9" width="9.28515625" bestFit="1" customWidth="1"/>
  </cols>
  <sheetData>
    <row r="2" spans="1:9" x14ac:dyDescent="0.25">
      <c r="B2" t="s">
        <v>1</v>
      </c>
      <c r="C2" t="s">
        <v>23</v>
      </c>
      <c r="D2" t="s">
        <v>2</v>
      </c>
      <c r="E2" t="s">
        <v>3</v>
      </c>
      <c r="F2" t="s">
        <v>4</v>
      </c>
      <c r="G2" t="s">
        <v>6</v>
      </c>
      <c r="H2" t="s">
        <v>5</v>
      </c>
      <c r="I2" t="s">
        <v>7</v>
      </c>
    </row>
    <row r="3" spans="1:9" x14ac:dyDescent="0.25">
      <c r="A3">
        <v>2010</v>
      </c>
      <c r="B3" s="1">
        <v>-53084</v>
      </c>
      <c r="C3" s="4"/>
      <c r="D3" s="1">
        <v>6480</v>
      </c>
      <c r="E3" s="1">
        <v>0</v>
      </c>
      <c r="F3" s="1"/>
      <c r="G3" s="1">
        <v>0</v>
      </c>
      <c r="H3" s="1">
        <v>0</v>
      </c>
      <c r="I3" s="1">
        <v>0</v>
      </c>
    </row>
    <row r="4" spans="1:9" x14ac:dyDescent="0.25">
      <c r="A4">
        <v>2011</v>
      </c>
      <c r="B4" s="1">
        <v>-47289</v>
      </c>
      <c r="C4" s="4">
        <f>(B4-B3)/B3</f>
        <v>-0.10916660387310677</v>
      </c>
      <c r="D4" s="1">
        <v>10406</v>
      </c>
      <c r="E4" s="1">
        <v>0</v>
      </c>
      <c r="F4" s="1"/>
      <c r="G4" s="1">
        <v>0</v>
      </c>
      <c r="H4" s="1">
        <v>0</v>
      </c>
      <c r="I4" s="1">
        <v>0</v>
      </c>
    </row>
    <row r="5" spans="1:9" x14ac:dyDescent="0.25">
      <c r="A5">
        <v>2012</v>
      </c>
      <c r="B5" s="1">
        <f>-30926.91</f>
        <v>-30926.91</v>
      </c>
      <c r="C5" s="4">
        <f>(B5-B4)/B4</f>
        <v>-0.34600203007041808</v>
      </c>
      <c r="D5" s="1">
        <v>7800</v>
      </c>
      <c r="E5" s="1">
        <v>0</v>
      </c>
      <c r="F5" s="1">
        <v>3782</v>
      </c>
      <c r="G5" s="1">
        <v>0</v>
      </c>
      <c r="H5" s="1">
        <v>0</v>
      </c>
      <c r="I5" s="1">
        <v>0</v>
      </c>
    </row>
    <row r="8" spans="1:9" x14ac:dyDescent="0.25">
      <c r="A8" t="s">
        <v>25</v>
      </c>
    </row>
    <row r="9" spans="1:9" x14ac:dyDescent="0.25">
      <c r="A9" t="s">
        <v>9</v>
      </c>
    </row>
    <row r="10" spans="1:9" x14ac:dyDescent="0.25">
      <c r="A10" t="s">
        <v>8</v>
      </c>
    </row>
    <row r="11" spans="1:9" x14ac:dyDescent="0.25">
      <c r="A11" t="s">
        <v>10</v>
      </c>
    </row>
    <row r="12" spans="1:9" x14ac:dyDescent="0.25">
      <c r="A1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Calendar year analysis</vt:lpstr>
      <vt:lpstr>calendar trash pivot tables</vt:lpstr>
      <vt:lpstr>calendar recycling pivot table</vt:lpstr>
      <vt:lpstr>Legend</vt:lpstr>
      <vt:lpstr>trash area breakdown</vt:lpstr>
      <vt:lpstr>Recycling data</vt:lpstr>
      <vt:lpstr>Trash data</vt:lpstr>
      <vt:lpstr>Surplus donations</vt:lpstr>
      <vt:lpstr>fiscal year analysis</vt:lpstr>
      <vt:lpstr>Fiscal recycling pivot tables</vt:lpstr>
      <vt:lpstr>fiscal trash pivot tables</vt:lpstr>
      <vt:lpstr>Recycling commodity types</vt:lpstr>
      <vt:lpstr>weight</vt:lpstr>
      <vt:lpstr>money</vt:lpstr>
      <vt:lpstr>Legend!A</vt:lpstr>
      <vt:lpstr>A</vt:lpstr>
      <vt:lpstr>Legend!date</vt:lpstr>
      <vt:lpstr>date</vt:lpstr>
      <vt:lpstr>'Recycling data'!Print_Area</vt:lpstr>
      <vt:lpstr>'Recycling data'!Print_Titles</vt:lpstr>
    </vt:vector>
  </TitlesOfParts>
  <Company>Johnson County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ocsadmin</dc:creator>
  <cp:lastModifiedBy>ocsadmin</cp:lastModifiedBy>
  <cp:lastPrinted>2013-11-22T19:59:42Z</cp:lastPrinted>
  <dcterms:created xsi:type="dcterms:W3CDTF">2012-11-05T21:14:46Z</dcterms:created>
  <dcterms:modified xsi:type="dcterms:W3CDTF">2015-01-20T16:00:03Z</dcterms:modified>
</cp:coreProperties>
</file>