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sabanaedu-my.sharepoint.com/personal/nestortada_unisabana_edu_co/Documents/Universidad/2023-1/Ingenieria de metodos/"/>
    </mc:Choice>
  </mc:AlternateContent>
  <xr:revisionPtr revIDLastSave="730" documentId="8_{5A496C83-398A-4E65-97A4-6EFE0F8F0982}" xr6:coauthVersionLast="47" xr6:coauthVersionMax="47" xr10:uidLastSave="{BC31BB23-D2BF-4FA8-9F55-EABB92F4AEED}"/>
  <bookViews>
    <workbookView xWindow="-120" yWindow="-120" windowWidth="20730" windowHeight="11160" firstSheet="1" activeTab="3" xr2:uid="{00000000-000D-0000-FFFF-FFFF00000000}"/>
  </bookViews>
  <sheets>
    <sheet name="Producción" sheetId="4" r:id="rId1"/>
    <sheet name="Recurso Humano" sheetId="5" r:id="rId2"/>
    <sheet name="Materia Prima " sheetId="2" r:id="rId3"/>
    <sheet name="Capital" sheetId="6" r:id="rId4"/>
    <sheet name="Energía" sheetId="7" r:id="rId5"/>
    <sheet name="Otros" sheetId="8" r:id="rId6"/>
    <sheet name="Datos costo del capital" sheetId="3" r:id="rId7"/>
    <sheet name="Resumen" sheetId="9" r:id="rId8"/>
  </sheets>
  <definedNames>
    <definedName name="_xlnm._FilterDatabase" localSheetId="3" hidden="1">Capital!$A$1:$I$25</definedName>
    <definedName name="_xlnm._FilterDatabase" localSheetId="4" hidden="1">Energía!$A$1:$I$20</definedName>
    <definedName name="_xlnm._FilterDatabase" localSheetId="2" hidden="1">'Materia Prima '!$A$1:$I$30</definedName>
    <definedName name="_xlnm._FilterDatabase" localSheetId="5" hidden="1">Otros!#REF!</definedName>
    <definedName name="_xlnm._FilterDatabase" localSheetId="0" hidden="1">Producción!$A$3:$I$7</definedName>
    <definedName name="_xlnm._FilterDatabase" localSheetId="1" hidden="1">'Recurso Humano'!$A$6:$I$39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6" l="1"/>
  <c r="D29" i="6"/>
  <c r="D16" i="6"/>
  <c r="D7" i="6"/>
  <c r="D23" i="7"/>
  <c r="D22" i="7"/>
  <c r="D28" i="5" l="1"/>
  <c r="D7" i="4"/>
  <c r="C9" i="3"/>
  <c r="D30" i="6"/>
  <c r="D32" i="6" s="1"/>
  <c r="E5" i="6"/>
  <c r="D5" i="6"/>
  <c r="D4" i="6"/>
  <c r="D30" i="2"/>
  <c r="D15" i="2"/>
  <c r="D39" i="5"/>
  <c r="D36" i="5"/>
  <c r="D29" i="5"/>
  <c r="E28" i="5"/>
  <c r="D16" i="5"/>
  <c r="D19" i="5"/>
  <c r="E17" i="5"/>
  <c r="D17" i="5"/>
  <c r="F16" i="5"/>
  <c r="E16" i="5"/>
  <c r="F15" i="5"/>
  <c r="E15" i="5"/>
  <c r="D15" i="5"/>
  <c r="D13" i="5"/>
  <c r="D12" i="5"/>
  <c r="D11" i="5"/>
  <c r="D19" i="4"/>
  <c r="D17" i="4"/>
  <c r="E16" i="4"/>
  <c r="I15" i="4"/>
  <c r="G15" i="4"/>
  <c r="E15" i="4"/>
  <c r="H15" i="4"/>
  <c r="F15" i="4"/>
  <c r="D15" i="4"/>
  <c r="D8" i="4"/>
  <c r="D9" i="4" s="1"/>
  <c r="E9" i="3"/>
  <c r="E7" i="3"/>
  <c r="E6" i="3"/>
  <c r="E5" i="3"/>
  <c r="E4" i="3"/>
  <c r="E3" i="3"/>
  <c r="E2" i="3"/>
  <c r="D28" i="2" l="1"/>
  <c r="D12" i="7"/>
  <c r="D13" i="7"/>
  <c r="D11" i="7"/>
  <c r="G13" i="7" l="1"/>
  <c r="G12" i="7"/>
  <c r="I30" i="2"/>
  <c r="H30" i="2"/>
  <c r="G30" i="2"/>
  <c r="F30" i="2"/>
  <c r="G8" i="9" s="1"/>
  <c r="E30" i="2"/>
  <c r="F8" i="9" s="1"/>
  <c r="D18" i="2"/>
  <c r="H9" i="8"/>
  <c r="F9" i="8"/>
  <c r="D9" i="8"/>
  <c r="E6" i="8"/>
  <c r="D3" i="8"/>
  <c r="D6" i="8" s="1"/>
  <c r="H21" i="7"/>
  <c r="F21" i="7"/>
  <c r="D21" i="7"/>
  <c r="E19" i="7"/>
  <c r="D19" i="7"/>
  <c r="I13" i="7"/>
  <c r="H13" i="7"/>
  <c r="F13" i="7"/>
  <c r="E13" i="7"/>
  <c r="I12" i="7"/>
  <c r="H12" i="7"/>
  <c r="F12" i="7"/>
  <c r="E12" i="7"/>
  <c r="I11" i="7"/>
  <c r="H11" i="7"/>
  <c r="G11" i="7"/>
  <c r="F11" i="7"/>
  <c r="E11" i="7"/>
  <c r="J8" i="9"/>
  <c r="I8" i="9"/>
  <c r="H8" i="9"/>
  <c r="I29" i="2"/>
  <c r="H29" i="2"/>
  <c r="G29" i="2"/>
  <c r="F29" i="2"/>
  <c r="E29" i="2"/>
  <c r="D29" i="2"/>
  <c r="I28" i="2"/>
  <c r="H28" i="2"/>
  <c r="G28" i="2"/>
  <c r="F28" i="2"/>
  <c r="E28" i="2"/>
  <c r="I17" i="2"/>
  <c r="H17" i="2"/>
  <c r="G17" i="2"/>
  <c r="F17" i="2"/>
  <c r="E17" i="2"/>
  <c r="D16" i="2"/>
  <c r="D17" i="2"/>
  <c r="I16" i="2"/>
  <c r="H16" i="2"/>
  <c r="G16" i="2"/>
  <c r="F16" i="2"/>
  <c r="E16" i="2"/>
  <c r="I15" i="2"/>
  <c r="I18" i="2" s="1"/>
  <c r="H15" i="2"/>
  <c r="G15" i="2"/>
  <c r="G18" i="2" s="1"/>
  <c r="F15" i="2"/>
  <c r="E15" i="2"/>
  <c r="E18" i="2" s="1"/>
  <c r="H29" i="6"/>
  <c r="H30" i="6" s="1"/>
  <c r="F29" i="6"/>
  <c r="F30" i="6" s="1"/>
  <c r="D23" i="6"/>
  <c r="H23" i="6"/>
  <c r="F23" i="6"/>
  <c r="E23" i="6"/>
  <c r="E21" i="6"/>
  <c r="D21" i="6"/>
  <c r="I15" i="6"/>
  <c r="I16" i="6" s="1"/>
  <c r="H15" i="6"/>
  <c r="H16" i="6" s="1"/>
  <c r="G15" i="6"/>
  <c r="G16" i="6" s="1"/>
  <c r="F15" i="6"/>
  <c r="F16" i="6" s="1"/>
  <c r="E15" i="6"/>
  <c r="E16" i="6" s="1"/>
  <c r="D15" i="6"/>
  <c r="I11" i="5"/>
  <c r="H11" i="5"/>
  <c r="G11" i="5"/>
  <c r="F11" i="5"/>
  <c r="E11" i="5"/>
  <c r="E27" i="5"/>
  <c r="E35" i="5"/>
  <c r="D35" i="5"/>
  <c r="G12" i="5"/>
  <c r="I12" i="5"/>
  <c r="H12" i="5"/>
  <c r="F12" i="5"/>
  <c r="E12" i="5"/>
  <c r="I17" i="5"/>
  <c r="H17" i="5"/>
  <c r="G17" i="5"/>
  <c r="F17" i="5"/>
  <c r="I16" i="4"/>
  <c r="I9" i="8" s="1"/>
  <c r="G16" i="4"/>
  <c r="G21" i="7" s="1"/>
  <c r="E9" i="8"/>
  <c r="I8" i="4"/>
  <c r="H8" i="4"/>
  <c r="H9" i="4" s="1"/>
  <c r="G8" i="4"/>
  <c r="F8" i="4"/>
  <c r="F9" i="4" s="1"/>
  <c r="E8" i="4"/>
  <c r="I7" i="4"/>
  <c r="H7" i="4"/>
  <c r="G7" i="4"/>
  <c r="F7" i="4"/>
  <c r="E7" i="4"/>
  <c r="E4" i="6"/>
  <c r="D14" i="4" l="1"/>
  <c r="F14" i="4"/>
  <c r="G9" i="4"/>
  <c r="G29" i="6"/>
  <c r="G30" i="6" s="1"/>
  <c r="E21" i="7"/>
  <c r="I21" i="7"/>
  <c r="G9" i="8"/>
  <c r="I23" i="6"/>
  <c r="G23" i="6"/>
  <c r="H14" i="4"/>
  <c r="E9" i="4"/>
  <c r="I9" i="4"/>
  <c r="E29" i="6"/>
  <c r="E30" i="6" s="1"/>
  <c r="I29" i="6"/>
  <c r="I30" i="6" s="1"/>
  <c r="E8" i="9"/>
  <c r="F18" i="2"/>
  <c r="H18" i="2"/>
  <c r="C7" i="3"/>
  <c r="I14" i="4" l="1"/>
  <c r="E14" i="4"/>
  <c r="F6" i="6"/>
  <c r="F17" i="4"/>
  <c r="F19" i="4" s="1"/>
  <c r="G5" i="9" s="1"/>
  <c r="F7" i="8"/>
  <c r="F8" i="8" s="1"/>
  <c r="F10" i="8" s="1"/>
  <c r="G11" i="9" s="1"/>
  <c r="F18" i="7"/>
  <c r="F20" i="7" s="1"/>
  <c r="F22" i="7" s="1"/>
  <c r="F23" i="7" s="1"/>
  <c r="G10" i="9" s="1"/>
  <c r="F14" i="5"/>
  <c r="H18" i="7"/>
  <c r="H20" i="7" s="1"/>
  <c r="H22" i="7" s="1"/>
  <c r="H23" i="7" s="1"/>
  <c r="I10" i="9" s="1"/>
  <c r="H14" i="5"/>
  <c r="H6" i="6"/>
  <c r="H17" i="4"/>
  <c r="H19" i="4" s="1"/>
  <c r="I5" i="9" s="1"/>
  <c r="H7" i="8"/>
  <c r="H8" i="8" s="1"/>
  <c r="H10" i="8" s="1"/>
  <c r="I11" i="9" s="1"/>
  <c r="D18" i="7"/>
  <c r="D20" i="7" s="1"/>
  <c r="E10" i="9" s="1"/>
  <c r="D14" i="5"/>
  <c r="E5" i="9"/>
  <c r="D6" i="6"/>
  <c r="D7" i="8"/>
  <c r="D8" i="8" s="1"/>
  <c r="D10" i="8" s="1"/>
  <c r="E11" i="9" s="1"/>
  <c r="G14" i="4"/>
  <c r="F7" i="6" l="1"/>
  <c r="F22" i="6"/>
  <c r="F24" i="6" s="1"/>
  <c r="F32" i="6" s="1"/>
  <c r="F34" i="6" s="1"/>
  <c r="F36" i="6" s="1"/>
  <c r="G9" i="9" s="1"/>
  <c r="G7" i="8"/>
  <c r="G8" i="8" s="1"/>
  <c r="G10" i="8" s="1"/>
  <c r="H11" i="9" s="1"/>
  <c r="G18" i="7"/>
  <c r="G20" i="7" s="1"/>
  <c r="G22" i="7" s="1"/>
  <c r="G23" i="7" s="1"/>
  <c r="H10" i="9" s="1"/>
  <c r="G14" i="5"/>
  <c r="G6" i="6"/>
  <c r="G17" i="4"/>
  <c r="G19" i="4" s="1"/>
  <c r="H5" i="9" s="1"/>
  <c r="H7" i="6"/>
  <c r="H22" i="6"/>
  <c r="H24" i="6" s="1"/>
  <c r="H32" i="6" s="1"/>
  <c r="H34" i="6" s="1"/>
  <c r="H36" i="6" s="1"/>
  <c r="I9" i="9" s="1"/>
  <c r="E17" i="4"/>
  <c r="E19" i="4" s="1"/>
  <c r="F5" i="9" s="1"/>
  <c r="E6" i="6"/>
  <c r="E14" i="5"/>
  <c r="E7" i="8"/>
  <c r="E8" i="8" s="1"/>
  <c r="E10" i="8" s="1"/>
  <c r="F11" i="9" s="1"/>
  <c r="E18" i="7"/>
  <c r="E20" i="7" s="1"/>
  <c r="E22" i="7" s="1"/>
  <c r="E23" i="7" s="1"/>
  <c r="F10" i="9" s="1"/>
  <c r="H36" i="5"/>
  <c r="H15" i="5"/>
  <c r="H16" i="5" s="1"/>
  <c r="H19" i="5" s="1"/>
  <c r="H29" i="5"/>
  <c r="H39" i="5" s="1"/>
  <c r="I7" i="9" s="1"/>
  <c r="F29" i="5"/>
  <c r="F36" i="5"/>
  <c r="F39" i="5" s="1"/>
  <c r="G7" i="9" s="1"/>
  <c r="F19" i="5"/>
  <c r="D22" i="6"/>
  <c r="D24" i="6" s="1"/>
  <c r="I18" i="7"/>
  <c r="I20" i="7" s="1"/>
  <c r="I22" i="7" s="1"/>
  <c r="I23" i="7" s="1"/>
  <c r="J10" i="9" s="1"/>
  <c r="I6" i="6"/>
  <c r="I7" i="8"/>
  <c r="I8" i="8" s="1"/>
  <c r="I10" i="8" s="1"/>
  <c r="J11" i="9" s="1"/>
  <c r="I17" i="4"/>
  <c r="I19" i="4" s="1"/>
  <c r="J5" i="9" s="1"/>
  <c r="I14" i="5"/>
  <c r="G13" i="9" l="1"/>
  <c r="G15" i="9" s="1"/>
  <c r="I13" i="9"/>
  <c r="I15" i="9" s="1"/>
  <c r="I7" i="6"/>
  <c r="I22" i="6"/>
  <c r="I24" i="6" s="1"/>
  <c r="I32" i="6" s="1"/>
  <c r="I34" i="6" s="1"/>
  <c r="I36" i="6" s="1"/>
  <c r="J9" i="9" s="1"/>
  <c r="E29" i="5"/>
  <c r="E36" i="5"/>
  <c r="E19" i="5"/>
  <c r="I29" i="5"/>
  <c r="I36" i="5"/>
  <c r="I15" i="5"/>
  <c r="I16" i="5" s="1"/>
  <c r="I19" i="5" s="1"/>
  <c r="E7" i="6"/>
  <c r="E22" i="6"/>
  <c r="E24" i="6" s="1"/>
  <c r="E32" i="6" s="1"/>
  <c r="E34" i="6" s="1"/>
  <c r="E36" i="6" s="1"/>
  <c r="F9" i="9" s="1"/>
  <c r="E7" i="9"/>
  <c r="G22" i="6"/>
  <c r="G24" i="6" s="1"/>
  <c r="G32" i="6" s="1"/>
  <c r="G34" i="6" s="1"/>
  <c r="G36" i="6" s="1"/>
  <c r="H9" i="9" s="1"/>
  <c r="G7" i="6"/>
  <c r="D36" i="6"/>
  <c r="E9" i="9" s="1"/>
  <c r="G36" i="5"/>
  <c r="G29" i="5"/>
  <c r="G15" i="5"/>
  <c r="G16" i="5" s="1"/>
  <c r="G19" i="5" s="1"/>
  <c r="E16" i="9" l="1"/>
  <c r="G39" i="5"/>
  <c r="H7" i="9" s="1"/>
  <c r="H13" i="9" s="1"/>
  <c r="H15" i="9" s="1"/>
  <c r="E39" i="5"/>
  <c r="F7" i="9" s="1"/>
  <c r="E13" i="9"/>
  <c r="E15" i="9" s="1"/>
  <c r="I39" i="5"/>
  <c r="J7" i="9" s="1"/>
  <c r="J13" i="9" s="1"/>
  <c r="J15" i="9" s="1"/>
  <c r="F13" i="9" l="1"/>
  <c r="F15" i="9" s="1"/>
  <c r="F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Nestor Andres Tabares David</author>
  </authors>
  <commentList>
    <comment ref="D17" authorId="0" shapeId="0" xr:uid="{0C767041-1212-4A20-AEAA-8AD4950526DE}">
      <text>
        <r>
          <rPr>
            <b/>
            <sz val="9"/>
            <color indexed="81"/>
            <rFont val="Tahoma"/>
            <family val="2"/>
          </rPr>
          <t>Nestor Andres Tabares David:</t>
        </r>
        <r>
          <rPr>
            <sz val="9"/>
            <color indexed="81"/>
            <rFont val="Tahoma"/>
            <family val="2"/>
          </rPr>
          <t xml:space="preserve">
48= son las horas trabajadas en una semana
4 semanas estimado a un mes
</t>
        </r>
      </text>
    </comment>
  </commentList>
</comments>
</file>

<file path=xl/sharedStrings.xml><?xml version="1.0" encoding="utf-8"?>
<sst xmlns="http://schemas.openxmlformats.org/spreadsheetml/2006/main" count="266" uniqueCount="134">
  <si>
    <t>Producto 1</t>
  </si>
  <si>
    <t>Producto 2</t>
  </si>
  <si>
    <t>Producto 3</t>
  </si>
  <si>
    <t>Periodo Base Diciembre</t>
  </si>
  <si>
    <t>Periodo actual Enero</t>
  </si>
  <si>
    <t>Ventas y producción</t>
  </si>
  <si>
    <t>Producto terminado - Ventas</t>
  </si>
  <si>
    <t>Und</t>
  </si>
  <si>
    <t>Producto en proceso - Inventario</t>
  </si>
  <si>
    <t>Porcentaje de terminación</t>
  </si>
  <si>
    <t>%</t>
  </si>
  <si>
    <t>Precio de venta</t>
  </si>
  <si>
    <t>$/und</t>
  </si>
  <si>
    <t>Operarios</t>
  </si>
  <si>
    <t xml:space="preserve">Tiempo empleado para la producción de una unidad </t>
  </si>
  <si>
    <t>(Min/Unidad)</t>
  </si>
  <si>
    <t>Tiempo Productivo</t>
  </si>
  <si>
    <t>Horas</t>
  </si>
  <si>
    <t>Tiempo Total</t>
  </si>
  <si>
    <t>Vacaciones</t>
  </si>
  <si>
    <t>Hotas Totales</t>
  </si>
  <si>
    <t>Tasa promedio de salarios</t>
  </si>
  <si>
    <t>$/Horas</t>
  </si>
  <si>
    <t>Técnicos especializados</t>
  </si>
  <si>
    <t>Pago por hora técnicos Especializados</t>
  </si>
  <si>
    <t>Horas contratadas</t>
  </si>
  <si>
    <t>Personal de Oficina</t>
  </si>
  <si>
    <t>Pago personal de oficina</t>
  </si>
  <si>
    <t>Costo Total</t>
  </si>
  <si>
    <t>Materia Prima</t>
  </si>
  <si>
    <t>Tipo 1</t>
  </si>
  <si>
    <t>Cantidad</t>
  </si>
  <si>
    <t>Kilogramos</t>
  </si>
  <si>
    <t>Precio Unitario</t>
  </si>
  <si>
    <t>$/Kilo</t>
  </si>
  <si>
    <t>Tipo 2</t>
  </si>
  <si>
    <t>Galones</t>
  </si>
  <si>
    <t>$/Gal</t>
  </si>
  <si>
    <t>Tipo 3</t>
  </si>
  <si>
    <t>Partes compradas</t>
  </si>
  <si>
    <t>Parte 1: Tornillos</t>
  </si>
  <si>
    <t>$/Und</t>
  </si>
  <si>
    <t>Parte 2: Topes plásticos</t>
  </si>
  <si>
    <t>Capital fijo</t>
  </si>
  <si>
    <t>Terreno</t>
  </si>
  <si>
    <t>Instalaciones</t>
  </si>
  <si>
    <t>Total</t>
  </si>
  <si>
    <t>Maquinaria</t>
  </si>
  <si>
    <t>Herramienta y equipo</t>
  </si>
  <si>
    <t>Capital de trabajo</t>
  </si>
  <si>
    <t>Efectivo</t>
  </si>
  <si>
    <t>Cuentas por cobrar</t>
  </si>
  <si>
    <t>Inventario</t>
  </si>
  <si>
    <t>Periodo Base</t>
  </si>
  <si>
    <t>Periodo actual</t>
  </si>
  <si>
    <t>Combustible</t>
  </si>
  <si>
    <t>precio unitario</t>
  </si>
  <si>
    <t>Gas</t>
  </si>
  <si>
    <t>m3</t>
  </si>
  <si>
    <t>$/m3</t>
  </si>
  <si>
    <t>Carbón</t>
  </si>
  <si>
    <t>Ton</t>
  </si>
  <si>
    <t>$/Ton</t>
  </si>
  <si>
    <t>Agua</t>
  </si>
  <si>
    <t>$/mes</t>
  </si>
  <si>
    <t>Luz</t>
  </si>
  <si>
    <t>Valor</t>
  </si>
  <si>
    <t>Costo</t>
  </si>
  <si>
    <t>Pasivos actuales</t>
  </si>
  <si>
    <t>Préstamos alargo plazo</t>
  </si>
  <si>
    <t>Préstamos a corto plazo</t>
  </si>
  <si>
    <t>Acciones empresa A</t>
  </si>
  <si>
    <t>Acciones empresa B</t>
  </si>
  <si>
    <t>Costo ponderado del capital</t>
  </si>
  <si>
    <t>Oit</t>
  </si>
  <si>
    <t>Ii,H,t</t>
  </si>
  <si>
    <t>Ii,M,t</t>
  </si>
  <si>
    <t>Ii,C,t</t>
  </si>
  <si>
    <t>Ii,E,t</t>
  </si>
  <si>
    <t>Ii,Xt</t>
  </si>
  <si>
    <t>Iit</t>
  </si>
  <si>
    <t>Ingreso operacionales</t>
  </si>
  <si>
    <t>Intereses no operacionales</t>
  </si>
  <si>
    <t>Intereses no operacionales (Prorrateados)</t>
  </si>
  <si>
    <t>% ingresos</t>
  </si>
  <si>
    <t>Deflactor</t>
  </si>
  <si>
    <t>Intereses no operacionales (Prorrateados) y deflactor</t>
  </si>
  <si>
    <t>OIT</t>
  </si>
  <si>
    <t>% Prorratear</t>
  </si>
  <si>
    <t>Costo operarios</t>
  </si>
  <si>
    <t>Total de oficina</t>
  </si>
  <si>
    <t xml:space="preserve">Total de recursos Humanos </t>
  </si>
  <si>
    <t>Costo de oportunidad</t>
  </si>
  <si>
    <t>Terreno + instalaciones</t>
  </si>
  <si>
    <t>Maquinaria y equipo</t>
  </si>
  <si>
    <t>depreciacion</t>
  </si>
  <si>
    <t>Efectivo + cuentas por cobrar</t>
  </si>
  <si>
    <t>Efectivo +cuentas*cobrar prorrateado</t>
  </si>
  <si>
    <t>EFECTIVO+CUENTASX COBRARPRORRATEADA Y DEFLACTADAS</t>
  </si>
  <si>
    <t>Inventario deflactado</t>
  </si>
  <si>
    <t>Costo de capital del trabajo</t>
  </si>
  <si>
    <t>Capital</t>
  </si>
  <si>
    <t>suma de energia</t>
  </si>
  <si>
    <t>prorateado energia</t>
  </si>
  <si>
    <t>Deflactado</t>
  </si>
  <si>
    <t>Impuestos</t>
  </si>
  <si>
    <t>Viajes</t>
  </si>
  <si>
    <t>papeleria</t>
  </si>
  <si>
    <t>Periodo diciembre</t>
  </si>
  <si>
    <t xml:space="preserve">Periodo Enero </t>
  </si>
  <si>
    <t>Suma costos</t>
  </si>
  <si>
    <t>sumas costos proreateado</t>
  </si>
  <si>
    <t>defractado</t>
  </si>
  <si>
    <t>Suma costos proreateado y deflactado</t>
  </si>
  <si>
    <t>Ptit</t>
  </si>
  <si>
    <t>prorateado energia y deflactado</t>
  </si>
  <si>
    <t xml:space="preserve">Suma total de los servicios </t>
  </si>
  <si>
    <t>Total de combustible en precio</t>
  </si>
  <si>
    <t>Total de Gas en precio</t>
  </si>
  <si>
    <t xml:space="preserve">Total de carbon en precio </t>
  </si>
  <si>
    <t>Total de kilogramos en precio de tipo 1</t>
  </si>
  <si>
    <t>Total de galones en precio de tipo 2</t>
  </si>
  <si>
    <t>Total de kilogramos en precio de tipo 3</t>
  </si>
  <si>
    <t>Total de materia prima de todos los tipos</t>
  </si>
  <si>
    <t xml:space="preserve">total de tornillos de parte 1 en precio </t>
  </si>
  <si>
    <t>Total de topes plásticos de parte 2 en precio</t>
  </si>
  <si>
    <t>Total de la suma de partes compradas y materia prima</t>
  </si>
  <si>
    <t>otros gastos</t>
  </si>
  <si>
    <t xml:space="preserve">Vacaciones </t>
  </si>
  <si>
    <t>Horas prorrateadas</t>
  </si>
  <si>
    <t>Ingresos de productos terminados</t>
  </si>
  <si>
    <t>Ingresos de productos en proceso</t>
  </si>
  <si>
    <t>Cantidad a pagar de tecnicos especializados</t>
  </si>
  <si>
    <t>Tecnicos especializados y prorateado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</si>
</sst>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_(&quot;$&quot;\ * #,##0.0_);_(&quot;$&quot;\ * \(#,##0.0\);_(&quot;$&quot;\ * &quot;-&quot;??_);_(@_)"/>
    <numFmt numFmtId="167" formatCode="0.0%"/>
    <numFmt numFmtId="168" formatCode="_-* #,##0.000_-;\-* #,##0.000_-;_-* &quot;-&quot;??_-;_-@_-"/>
    <numFmt numFmtId="169" formatCode="0.000%"/>
    <numFmt numFmtId="170" formatCode="_(&quot;$&quot;\ * #,##0.0000_);_(&quot;$&quot;\ * \(#,##0.0000\);_(&quot;$&quot;\ * &quot;-&quot;??_);_(@_)"/>
    <numFmt numFmtId="171" formatCode="_(&quot;$&quot;\ * #,##0.00000_);_(&quot;$&quot;\ * \(#,##0.00000\);_(&quot;$&quot;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9" xfId="0" applyBorder="1"/>
    <xf numFmtId="0" fontId="2" fillId="3" borderId="0" xfId="0" applyFont="1" applyFill="1" applyAlignment="1">
      <alignment wrapText="1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5" fontId="0" fillId="3" borderId="0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9" fontId="0" fillId="0" borderId="2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164" fontId="0" fillId="3" borderId="0" xfId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164" fontId="0" fillId="3" borderId="0" xfId="1" applyFont="1" applyFill="1"/>
    <xf numFmtId="165" fontId="0" fillId="3" borderId="4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10" fontId="0" fillId="0" borderId="2" xfId="2" applyNumberFormat="1" applyFont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165" fontId="0" fillId="3" borderId="2" xfId="0" applyNumberFormat="1" applyFill="1" applyBorder="1"/>
    <xf numFmtId="0" fontId="0" fillId="0" borderId="9" xfId="0" applyBorder="1" applyAlignment="1">
      <alignment wrapText="1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7" fontId="0" fillId="0" borderId="2" xfId="2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4" borderId="6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center"/>
    </xf>
    <xf numFmtId="0" fontId="3" fillId="2" borderId="35" xfId="0" applyFont="1" applyFill="1" applyBorder="1" applyAlignment="1">
      <alignment horizontal="left"/>
    </xf>
    <xf numFmtId="165" fontId="0" fillId="3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/>
    </xf>
    <xf numFmtId="0" fontId="0" fillId="3" borderId="0" xfId="0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3" borderId="9" xfId="1" applyNumberFormat="1" applyFont="1" applyFill="1" applyBorder="1" applyAlignment="1">
      <alignment horizontal="center"/>
    </xf>
    <xf numFmtId="0" fontId="0" fillId="0" borderId="11" xfId="0" applyBorder="1"/>
    <xf numFmtId="0" fontId="0" fillId="0" borderId="36" xfId="0" applyBorder="1"/>
    <xf numFmtId="0" fontId="4" fillId="2" borderId="27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8" xfId="1" applyFont="1" applyBorder="1" applyAlignment="1">
      <alignment horizontal="center"/>
    </xf>
    <xf numFmtId="164" fontId="0" fillId="0" borderId="37" xfId="1" applyFont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5" borderId="24" xfId="1" applyNumberFormat="1" applyFont="1" applyFill="1" applyBorder="1" applyAlignment="1">
      <alignment horizontal="center" vertical="center"/>
    </xf>
    <xf numFmtId="9" fontId="0" fillId="0" borderId="24" xfId="2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43" fontId="0" fillId="6" borderId="2" xfId="0" applyNumberFormat="1" applyFill="1" applyBorder="1" applyAlignment="1">
      <alignment horizontal="center"/>
    </xf>
    <xf numFmtId="43" fontId="0" fillId="0" borderId="28" xfId="0" applyNumberFormat="1" applyBorder="1"/>
    <xf numFmtId="165" fontId="0" fillId="0" borderId="4" xfId="0" applyNumberFormat="1" applyBorder="1" applyAlignment="1">
      <alignment horizontal="center" vertical="center" wrapText="1"/>
    </xf>
    <xf numFmtId="165" fontId="0" fillId="0" borderId="26" xfId="1" applyNumberFormat="1" applyFont="1" applyBorder="1" applyAlignment="1">
      <alignment horizontal="center"/>
    </xf>
    <xf numFmtId="165" fontId="0" fillId="5" borderId="25" xfId="1" applyNumberFormat="1" applyFont="1" applyFill="1" applyBorder="1" applyAlignment="1">
      <alignment horizontal="center"/>
    </xf>
    <xf numFmtId="165" fontId="0" fillId="0" borderId="24" xfId="1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5" fontId="0" fillId="3" borderId="24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43" fontId="0" fillId="3" borderId="0" xfId="0" applyNumberFormat="1" applyFill="1"/>
    <xf numFmtId="0" fontId="0" fillId="3" borderId="2" xfId="0" applyFill="1" applyBorder="1"/>
    <xf numFmtId="9" fontId="0" fillId="3" borderId="2" xfId="2" applyFont="1" applyFill="1" applyBorder="1" applyAlignment="1">
      <alignment horizontal="center"/>
    </xf>
    <xf numFmtId="43" fontId="0" fillId="3" borderId="2" xfId="0" applyNumberFormat="1" applyFill="1" applyBorder="1"/>
    <xf numFmtId="0" fontId="0" fillId="0" borderId="24" xfId="0" applyBorder="1"/>
    <xf numFmtId="165" fontId="0" fillId="0" borderId="25" xfId="1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/>
    <xf numFmtId="168" fontId="0" fillId="3" borderId="2" xfId="3" applyNumberFormat="1" applyFont="1" applyFill="1" applyBorder="1" applyAlignment="1">
      <alignment horizontal="center"/>
    </xf>
    <xf numFmtId="164" fontId="0" fillId="3" borderId="2" xfId="1" applyFont="1" applyFill="1" applyBorder="1"/>
    <xf numFmtId="164" fontId="0" fillId="0" borderId="4" xfId="1" applyFont="1" applyBorder="1"/>
    <xf numFmtId="164" fontId="0" fillId="0" borderId="2" xfId="1" applyFont="1" applyBorder="1"/>
    <xf numFmtId="43" fontId="0" fillId="0" borderId="2" xfId="0" applyNumberFormat="1" applyBorder="1"/>
    <xf numFmtId="43" fontId="0" fillId="0" borderId="9" xfId="0" applyNumberFormat="1" applyBorder="1"/>
    <xf numFmtId="164" fontId="0" fillId="0" borderId="44" xfId="1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164" fontId="0" fillId="0" borderId="24" xfId="1" applyFont="1" applyBorder="1" applyAlignment="1">
      <alignment horizontal="center"/>
    </xf>
    <xf numFmtId="164" fontId="0" fillId="0" borderId="25" xfId="1" applyFont="1" applyBorder="1" applyAlignment="1">
      <alignment horizontal="center"/>
    </xf>
    <xf numFmtId="43" fontId="0" fillId="0" borderId="24" xfId="0" applyNumberFormat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43" fontId="0" fillId="0" borderId="0" xfId="0" applyNumberFormat="1" applyBorder="1" applyAlignment="1">
      <alignment horizontal="center"/>
    </xf>
    <xf numFmtId="165" fontId="0" fillId="5" borderId="2" xfId="1" applyNumberFormat="1" applyFont="1" applyFill="1" applyBorder="1" applyAlignment="1">
      <alignment horizontal="center"/>
    </xf>
    <xf numFmtId="165" fontId="0" fillId="5" borderId="7" xfId="1" applyNumberFormat="1" applyFont="1" applyFill="1" applyBorder="1" applyAlignment="1">
      <alignment horizontal="center"/>
    </xf>
    <xf numFmtId="165" fontId="0" fillId="5" borderId="24" xfId="1" applyNumberFormat="1" applyFont="1" applyFill="1" applyBorder="1" applyAlignment="1">
      <alignment horizontal="center"/>
    </xf>
    <xf numFmtId="166" fontId="0" fillId="5" borderId="2" xfId="1" applyNumberFormat="1" applyFont="1" applyFill="1" applyBorder="1" applyAlignment="1">
      <alignment horizontal="center"/>
    </xf>
    <xf numFmtId="164" fontId="0" fillId="5" borderId="24" xfId="1" applyFont="1" applyFill="1" applyBorder="1" applyAlignment="1">
      <alignment horizontal="center"/>
    </xf>
    <xf numFmtId="164" fontId="0" fillId="5" borderId="25" xfId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wrapText="1"/>
    </xf>
    <xf numFmtId="0" fontId="0" fillId="3" borderId="43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2" fillId="3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68" fontId="0" fillId="3" borderId="24" xfId="3" applyNumberFormat="1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 vertical="center"/>
    </xf>
    <xf numFmtId="164" fontId="0" fillId="3" borderId="2" xfId="1" applyFont="1" applyFill="1" applyBorder="1" applyAlignment="1">
      <alignment wrapText="1"/>
    </xf>
    <xf numFmtId="0" fontId="0" fillId="0" borderId="2" xfId="0" applyBorder="1" applyAlignment="1">
      <alignment wrapText="1"/>
    </xf>
    <xf numFmtId="9" fontId="0" fillId="3" borderId="2" xfId="0" applyNumberFormat="1" applyFill="1" applyBorder="1"/>
    <xf numFmtId="43" fontId="0" fillId="6" borderId="2" xfId="0" applyNumberFormat="1" applyFill="1" applyBorder="1"/>
    <xf numFmtId="165" fontId="0" fillId="6" borderId="2" xfId="1" applyNumberFormat="1" applyFont="1" applyFill="1" applyBorder="1" applyAlignment="1">
      <alignment horizontal="center" vertical="center"/>
    </xf>
    <xf numFmtId="165" fontId="0" fillId="6" borderId="2" xfId="1" applyNumberFormat="1" applyFont="1" applyFill="1" applyBorder="1" applyAlignment="1">
      <alignment horizontal="center"/>
    </xf>
    <xf numFmtId="170" fontId="0" fillId="7" borderId="2" xfId="0" applyNumberFormat="1" applyFill="1" applyBorder="1"/>
    <xf numFmtId="171" fontId="0" fillId="7" borderId="2" xfId="0" applyNumberFormat="1" applyFill="1" applyBorder="1"/>
    <xf numFmtId="164" fontId="0" fillId="8" borderId="2" xfId="0" applyNumberFormat="1" applyFill="1" applyBorder="1"/>
    <xf numFmtId="164" fontId="0" fillId="8" borderId="28" xfId="0" applyNumberFormat="1" applyFill="1" applyBorder="1"/>
    <xf numFmtId="169" fontId="0" fillId="3" borderId="2" xfId="2" applyNumberFormat="1" applyFont="1" applyFill="1" applyBorder="1"/>
    <xf numFmtId="43" fontId="0" fillId="0" borderId="0" xfId="0" applyNumberFormat="1"/>
    <xf numFmtId="169" fontId="0" fillId="0" borderId="0" xfId="2" applyNumberFormat="1" applyFont="1" applyAlignment="1">
      <alignment vertical="center"/>
    </xf>
    <xf numFmtId="165" fontId="0" fillId="5" borderId="25" xfId="1" applyNumberFormat="1" applyFont="1" applyFill="1" applyBorder="1" applyAlignment="1">
      <alignment horizontal="center" vertical="center"/>
    </xf>
    <xf numFmtId="167" fontId="0" fillId="0" borderId="24" xfId="2" applyNumberFormat="1" applyFont="1" applyBorder="1" applyAlignment="1">
      <alignment horizontal="center"/>
    </xf>
    <xf numFmtId="0" fontId="0" fillId="7" borderId="2" xfId="0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1" defaultTableStyle="TableStyleMedium2" defaultPivotStyle="PivotStyleLight16">
    <tableStyle name="Invisible" pivot="0" table="0" count="0" xr9:uid="{4E5EEA14-7842-447E-BAF8-DBB29AE689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70DE-CC8A-49F9-8A0D-EB71676B0531}">
  <dimension ref="A1:AG19"/>
  <sheetViews>
    <sheetView showGridLines="0" topLeftCell="B1" zoomScale="85" zoomScaleNormal="85" workbookViewId="0">
      <selection activeCell="B10" sqref="B10"/>
    </sheetView>
  </sheetViews>
  <sheetFormatPr baseColWidth="10" defaultColWidth="11.42578125" defaultRowHeight="15" x14ac:dyDescent="0.25"/>
  <cols>
    <col min="1" max="1" width="19" style="5" bestFit="1" customWidth="1"/>
    <col min="2" max="2" width="45.7109375" customWidth="1"/>
    <col min="3" max="3" width="6.5703125" bestFit="1" customWidth="1"/>
    <col min="4" max="4" width="22.42578125" style="17" customWidth="1"/>
    <col min="5" max="5" width="19.42578125" style="17" bestFit="1" customWidth="1"/>
    <col min="6" max="6" width="22.42578125" style="17" bestFit="1" customWidth="1"/>
    <col min="7" max="7" width="19.42578125" style="17" bestFit="1" customWidth="1"/>
    <col min="8" max="8" width="22.42578125" style="17" bestFit="1" customWidth="1"/>
    <col min="9" max="9" width="19.42578125" style="17" bestFit="1" customWidth="1"/>
    <col min="10" max="10" width="11.42578125" style="18"/>
    <col min="11" max="11" width="14.28515625" style="18" bestFit="1" customWidth="1"/>
    <col min="12" max="33" width="11.42578125" style="18"/>
  </cols>
  <sheetData>
    <row r="1" spans="1:33" ht="23.25" customHeight="1" x14ac:dyDescent="0.25">
      <c r="A1" s="20"/>
      <c r="B1" s="20"/>
      <c r="C1" s="20"/>
      <c r="D1" s="158" t="s">
        <v>0</v>
      </c>
      <c r="E1" s="159"/>
      <c r="F1" s="159" t="s">
        <v>1</v>
      </c>
      <c r="G1" s="159"/>
      <c r="H1" s="159" t="s">
        <v>2</v>
      </c>
      <c r="I1" s="160"/>
    </row>
    <row r="2" spans="1:33" s="1" customFormat="1" ht="23.25" customHeight="1" thickBot="1" x14ac:dyDescent="0.3">
      <c r="A2" s="20"/>
      <c r="B2" s="20"/>
      <c r="C2" s="20"/>
      <c r="D2" s="39" t="s">
        <v>3</v>
      </c>
      <c r="E2" s="40" t="s">
        <v>4</v>
      </c>
      <c r="F2" s="39" t="s">
        <v>3</v>
      </c>
      <c r="G2" s="40" t="s">
        <v>4</v>
      </c>
      <c r="H2" s="39" t="s">
        <v>3</v>
      </c>
      <c r="I2" s="40" t="s">
        <v>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ht="15" customHeight="1" x14ac:dyDescent="0.25">
      <c r="A3" s="161" t="s">
        <v>5</v>
      </c>
      <c r="B3" s="22" t="s">
        <v>6</v>
      </c>
      <c r="C3" s="2" t="s">
        <v>7</v>
      </c>
      <c r="D3" s="9">
        <v>1250</v>
      </c>
      <c r="E3" s="9">
        <v>1125</v>
      </c>
      <c r="F3" s="9">
        <v>5320</v>
      </c>
      <c r="G3" s="9">
        <v>5560</v>
      </c>
      <c r="H3" s="9">
        <v>4250</v>
      </c>
      <c r="I3" s="10">
        <v>5200</v>
      </c>
    </row>
    <row r="4" spans="1:33" x14ac:dyDescent="0.25">
      <c r="A4" s="162"/>
      <c r="B4" s="23" t="s">
        <v>8</v>
      </c>
      <c r="C4" s="3" t="s">
        <v>7</v>
      </c>
      <c r="D4" s="11">
        <v>500</v>
      </c>
      <c r="E4" s="11">
        <v>600</v>
      </c>
      <c r="F4" s="11">
        <v>1000</v>
      </c>
      <c r="G4" s="11">
        <v>1200</v>
      </c>
      <c r="H4" s="11">
        <v>1000</v>
      </c>
      <c r="I4" s="12">
        <v>1100</v>
      </c>
    </row>
    <row r="5" spans="1:33" x14ac:dyDescent="0.25">
      <c r="A5" s="162"/>
      <c r="B5" s="23" t="s">
        <v>9</v>
      </c>
      <c r="C5" s="3" t="s">
        <v>10</v>
      </c>
      <c r="D5" s="25">
        <v>0.5</v>
      </c>
      <c r="E5" s="25">
        <v>0.4</v>
      </c>
      <c r="F5" s="25">
        <v>0.3</v>
      </c>
      <c r="G5" s="25">
        <v>0.5</v>
      </c>
      <c r="H5" s="25">
        <v>0.45</v>
      </c>
      <c r="I5" s="26">
        <v>0.6</v>
      </c>
    </row>
    <row r="6" spans="1:33" ht="15.75" thickBot="1" x14ac:dyDescent="0.3">
      <c r="A6" s="163"/>
      <c r="B6" s="24" t="s">
        <v>11</v>
      </c>
      <c r="C6" s="4" t="s">
        <v>12</v>
      </c>
      <c r="D6" s="87">
        <v>87000</v>
      </c>
      <c r="E6" s="89">
        <v>87000</v>
      </c>
      <c r="F6" s="87">
        <v>53500</v>
      </c>
      <c r="G6" s="89">
        <v>53500</v>
      </c>
      <c r="H6" s="87">
        <v>43200</v>
      </c>
      <c r="I6" s="153">
        <v>43200</v>
      </c>
    </row>
    <row r="7" spans="1:33" s="18" customFormat="1" ht="15.75" thickBot="1" x14ac:dyDescent="0.3">
      <c r="A7" s="20"/>
      <c r="B7" s="158" t="s">
        <v>130</v>
      </c>
      <c r="C7" s="159"/>
      <c r="D7" s="51">
        <f>D3*D6</f>
        <v>108750000</v>
      </c>
      <c r="E7" s="51">
        <f t="shared" ref="E7:I7" si="0">E3*E6</f>
        <v>97875000</v>
      </c>
      <c r="F7" s="51">
        <f t="shared" si="0"/>
        <v>284620000</v>
      </c>
      <c r="G7" s="51">
        <f t="shared" si="0"/>
        <v>297460000</v>
      </c>
      <c r="H7" s="51">
        <f t="shared" si="0"/>
        <v>183600000</v>
      </c>
      <c r="I7" s="51">
        <f t="shared" si="0"/>
        <v>224640000</v>
      </c>
    </row>
    <row r="8" spans="1:33" ht="15.75" thickBot="1" x14ac:dyDescent="0.3">
      <c r="B8" s="158" t="s">
        <v>131</v>
      </c>
      <c r="C8" s="159"/>
      <c r="D8" s="88">
        <f>D5*D6*D4</f>
        <v>21750000</v>
      </c>
      <c r="E8" s="88">
        <f t="shared" ref="E8:I8" si="1">E5*E6*E4</f>
        <v>20880000</v>
      </c>
      <c r="F8" s="88">
        <f t="shared" si="1"/>
        <v>16050000</v>
      </c>
      <c r="G8" s="88">
        <f t="shared" si="1"/>
        <v>32100000</v>
      </c>
      <c r="H8" s="88">
        <f t="shared" si="1"/>
        <v>19440000</v>
      </c>
      <c r="I8" s="88">
        <f t="shared" si="1"/>
        <v>28512000</v>
      </c>
    </row>
    <row r="9" spans="1:33" x14ac:dyDescent="0.25">
      <c r="B9" s="158" t="s">
        <v>81</v>
      </c>
      <c r="C9" s="159"/>
      <c r="D9" s="93">
        <f>D8+D7</f>
        <v>130500000</v>
      </c>
      <c r="E9" s="93">
        <f t="shared" ref="E9:I9" si="2">E8+E7</f>
        <v>118755000</v>
      </c>
      <c r="F9" s="93">
        <f t="shared" si="2"/>
        <v>300670000</v>
      </c>
      <c r="G9" s="93">
        <f t="shared" si="2"/>
        <v>329560000</v>
      </c>
      <c r="H9" s="93">
        <f t="shared" si="2"/>
        <v>203040000</v>
      </c>
      <c r="I9" s="93">
        <f t="shared" si="2"/>
        <v>253152000</v>
      </c>
    </row>
    <row r="11" spans="1:33" ht="15.75" thickBot="1" x14ac:dyDescent="0.3"/>
    <row r="12" spans="1:33" x14ac:dyDescent="0.25">
      <c r="B12" s="158" t="s">
        <v>82</v>
      </c>
      <c r="C12" s="159"/>
      <c r="D12" s="81">
        <v>12500000</v>
      </c>
      <c r="E12" s="11">
        <v>17800000</v>
      </c>
    </row>
    <row r="13" spans="1:33" ht="15.75" thickBot="1" x14ac:dyDescent="0.3"/>
    <row r="14" spans="1:33" x14ac:dyDescent="0.25">
      <c r="B14" s="165" t="s">
        <v>84</v>
      </c>
      <c r="C14" s="166"/>
      <c r="D14" s="154">
        <f>D9/($F$9+$H$9+$D$9)</f>
        <v>0.20576780561643621</v>
      </c>
      <c r="E14" s="90">
        <f>E9/($G$9+$I$9+$E$9)</f>
        <v>0.16929520561908115</v>
      </c>
      <c r="F14" s="90">
        <f>F9/($F$9+$H$9+$D$9)</f>
        <v>0.47408587061068103</v>
      </c>
      <c r="G14" s="90">
        <f>G9/($G$9+$I$9+$E$9)</f>
        <v>0.46981540115215686</v>
      </c>
      <c r="H14" s="90">
        <f>H9/($F$9+$H$9+$D$9)</f>
        <v>0.32014632377288282</v>
      </c>
      <c r="I14" s="90">
        <f>I9/($G$9+$I$9+$E$9)</f>
        <v>0.36088939322876201</v>
      </c>
    </row>
    <row r="15" spans="1:33" x14ac:dyDescent="0.25">
      <c r="B15" s="164" t="s">
        <v>83</v>
      </c>
      <c r="C15" s="164"/>
      <c r="D15" s="91">
        <f>$D$12*D14</f>
        <v>2572097.5702054524</v>
      </c>
      <c r="E15" s="91">
        <f>$E$12*E14</f>
        <v>3013454.6600196445</v>
      </c>
      <c r="F15" s="91">
        <f>$D$12*F14</f>
        <v>5926073.3826335128</v>
      </c>
      <c r="G15" s="91">
        <f>$E$12*G14</f>
        <v>8362714.1405083919</v>
      </c>
      <c r="H15" s="91">
        <f>$D$12*H14</f>
        <v>4001829.0471610352</v>
      </c>
      <c r="I15" s="91">
        <f>$E$12*I14</f>
        <v>6423831.1994719636</v>
      </c>
    </row>
    <row r="16" spans="1:33" x14ac:dyDescent="0.25">
      <c r="B16" s="164" t="s">
        <v>85</v>
      </c>
      <c r="C16" s="164"/>
      <c r="D16" s="11">
        <v>1</v>
      </c>
      <c r="E16" s="92">
        <f>1+1.8/100</f>
        <v>1.018</v>
      </c>
      <c r="F16" s="11">
        <v>1</v>
      </c>
      <c r="G16" s="92">
        <f t="shared" ref="G16" si="3">1+1.8/100</f>
        <v>1.018</v>
      </c>
      <c r="H16" s="11">
        <v>1</v>
      </c>
      <c r="I16" s="92">
        <f t="shared" ref="I16" si="4">1+1.8/100</f>
        <v>1.018</v>
      </c>
    </row>
    <row r="17" spans="2:9" x14ac:dyDescent="0.25">
      <c r="B17" s="164" t="s">
        <v>86</v>
      </c>
      <c r="C17" s="164"/>
      <c r="D17" s="94">
        <f>D15/D16</f>
        <v>2572097.5702054524</v>
      </c>
      <c r="E17" s="94">
        <f t="shared" ref="E17:I17" si="5">E15/E16</f>
        <v>2960171.5717285308</v>
      </c>
      <c r="F17" s="94">
        <f t="shared" si="5"/>
        <v>5926073.3826335128</v>
      </c>
      <c r="G17" s="94">
        <f t="shared" si="5"/>
        <v>8214846.8963736659</v>
      </c>
      <c r="H17" s="94">
        <f t="shared" si="5"/>
        <v>4001829.0471610352</v>
      </c>
      <c r="I17" s="94">
        <f t="shared" si="5"/>
        <v>6310246.7578310054</v>
      </c>
    </row>
    <row r="19" spans="2:9" x14ac:dyDescent="0.25">
      <c r="B19" s="156" t="s">
        <v>87</v>
      </c>
      <c r="C19" s="157"/>
      <c r="D19" s="94">
        <f>D9+D17</f>
        <v>133072097.57020545</v>
      </c>
      <c r="E19" s="94">
        <f t="shared" ref="E19:I19" si="6">E9+E17</f>
        <v>121715171.57172853</v>
      </c>
      <c r="F19" s="94">
        <f t="shared" si="6"/>
        <v>306596073.38263351</v>
      </c>
      <c r="G19" s="94">
        <f t="shared" si="6"/>
        <v>337774846.89637369</v>
      </c>
      <c r="H19" s="94">
        <f t="shared" si="6"/>
        <v>207041829.04716104</v>
      </c>
      <c r="I19" s="94">
        <f t="shared" si="6"/>
        <v>259462246.75783101</v>
      </c>
    </row>
  </sheetData>
  <mergeCells count="13">
    <mergeCell ref="B19:C19"/>
    <mergeCell ref="D1:E1"/>
    <mergeCell ref="F1:G1"/>
    <mergeCell ref="H1:I1"/>
    <mergeCell ref="A3:A6"/>
    <mergeCell ref="B9:C9"/>
    <mergeCell ref="B17:C17"/>
    <mergeCell ref="B12:C12"/>
    <mergeCell ref="B14:C14"/>
    <mergeCell ref="B15:C15"/>
    <mergeCell ref="B16:C16"/>
    <mergeCell ref="B8:C8"/>
    <mergeCell ref="B7:C7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A609-3E6D-449B-9239-C9BA6ADB154B}">
  <dimension ref="A1:AG39"/>
  <sheetViews>
    <sheetView showGridLines="0" topLeftCell="A17" zoomScale="90" zoomScaleNormal="90" workbookViewId="0">
      <selection activeCell="D21" sqref="D21"/>
    </sheetView>
  </sheetViews>
  <sheetFormatPr baseColWidth="10" defaultColWidth="11.42578125" defaultRowHeight="15" x14ac:dyDescent="0.25"/>
  <cols>
    <col min="1" max="1" width="24" style="5" customWidth="1"/>
    <col min="2" max="2" width="28.42578125" customWidth="1"/>
    <col min="3" max="3" width="38.28515625" bestFit="1" customWidth="1"/>
    <col min="4" max="4" width="29.140625" style="17" bestFit="1" customWidth="1"/>
    <col min="5" max="5" width="30.28515625" style="17" customWidth="1"/>
    <col min="6" max="6" width="22.42578125" style="17" bestFit="1" customWidth="1"/>
    <col min="7" max="7" width="28.85546875" style="17" customWidth="1"/>
    <col min="8" max="8" width="18.7109375" style="17" bestFit="1" customWidth="1"/>
    <col min="9" max="9" width="29.5703125" style="17" customWidth="1"/>
    <col min="10" max="10" width="11.42578125" style="18"/>
    <col min="11" max="11" width="14.28515625" style="18" bestFit="1" customWidth="1"/>
    <col min="12" max="33" width="11.42578125" style="18"/>
  </cols>
  <sheetData>
    <row r="1" spans="1:33" ht="23.25" customHeight="1" x14ac:dyDescent="0.25">
      <c r="A1" s="20"/>
      <c r="B1" s="20"/>
      <c r="C1" s="20"/>
      <c r="D1" s="158" t="s">
        <v>0</v>
      </c>
      <c r="E1" s="159"/>
      <c r="F1" s="159" t="s">
        <v>1</v>
      </c>
      <c r="G1" s="159"/>
      <c r="H1" s="159" t="s">
        <v>2</v>
      </c>
      <c r="I1" s="160"/>
    </row>
    <row r="2" spans="1:33" s="1" customFormat="1" ht="23.25" customHeight="1" thickBot="1" x14ac:dyDescent="0.3">
      <c r="A2" s="20"/>
      <c r="B2" s="20"/>
      <c r="C2" s="20"/>
      <c r="D2" s="39" t="s">
        <v>3</v>
      </c>
      <c r="E2" s="40" t="s">
        <v>4</v>
      </c>
      <c r="F2" s="39" t="s">
        <v>3</v>
      </c>
      <c r="G2" s="40" t="s">
        <v>4</v>
      </c>
      <c r="H2" s="39" t="s">
        <v>3</v>
      </c>
      <c r="I2" s="40" t="s">
        <v>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ht="15" customHeight="1" x14ac:dyDescent="0.25">
      <c r="B3" s="22" t="s">
        <v>6</v>
      </c>
      <c r="C3" s="2" t="s">
        <v>7</v>
      </c>
      <c r="D3" s="9">
        <v>1250</v>
      </c>
      <c r="E3" s="9">
        <v>1125</v>
      </c>
      <c r="F3" s="9">
        <v>5320</v>
      </c>
      <c r="G3" s="9">
        <v>5560</v>
      </c>
      <c r="H3" s="9">
        <v>4250</v>
      </c>
      <c r="I3" s="10">
        <v>5200</v>
      </c>
    </row>
    <row r="4" spans="1:33" x14ac:dyDescent="0.25">
      <c r="B4" s="23" t="s">
        <v>8</v>
      </c>
      <c r="C4" s="3" t="s">
        <v>7</v>
      </c>
      <c r="D4" s="11">
        <v>500</v>
      </c>
      <c r="E4" s="11">
        <v>600</v>
      </c>
      <c r="F4" s="11">
        <v>1000</v>
      </c>
      <c r="G4" s="11">
        <v>1200</v>
      </c>
      <c r="H4" s="11">
        <v>1000</v>
      </c>
      <c r="I4" s="12">
        <v>1100</v>
      </c>
    </row>
    <row r="5" spans="1:33" x14ac:dyDescent="0.25">
      <c r="B5" s="23" t="s">
        <v>9</v>
      </c>
      <c r="C5" s="3" t="s">
        <v>10</v>
      </c>
      <c r="D5" s="25">
        <v>0.5</v>
      </c>
      <c r="E5" s="25">
        <v>0.4</v>
      </c>
      <c r="F5" s="25">
        <v>0.3</v>
      </c>
      <c r="G5" s="25">
        <v>0.5</v>
      </c>
      <c r="H5" s="25">
        <v>0.45</v>
      </c>
      <c r="I5" s="26">
        <v>0.6</v>
      </c>
    </row>
    <row r="6" spans="1:33" s="18" customFormat="1" x14ac:dyDescent="0.25">
      <c r="A6" s="20"/>
      <c r="D6" s="21"/>
      <c r="E6" s="21"/>
      <c r="F6" s="21"/>
      <c r="G6" s="21"/>
      <c r="H6" s="21"/>
      <c r="I6" s="21"/>
    </row>
    <row r="7" spans="1:33" s="18" customFormat="1" ht="15.75" thickBot="1" x14ac:dyDescent="0.3">
      <c r="A7" s="20"/>
      <c r="D7" s="21"/>
      <c r="E7" s="21"/>
      <c r="F7" s="21"/>
      <c r="G7" s="21"/>
      <c r="H7" s="21"/>
      <c r="I7" s="21"/>
    </row>
    <row r="8" spans="1:33" ht="23.25" customHeight="1" x14ac:dyDescent="0.25">
      <c r="A8" s="20"/>
      <c r="B8" s="20"/>
      <c r="C8" s="8"/>
      <c r="D8" s="173" t="s">
        <v>0</v>
      </c>
      <c r="E8" s="174"/>
      <c r="F8" s="175" t="s">
        <v>1</v>
      </c>
      <c r="G8" s="174"/>
      <c r="H8" s="175" t="s">
        <v>2</v>
      </c>
      <c r="I8" s="176"/>
    </row>
    <row r="9" spans="1:33" s="1" customFormat="1" ht="23.25" customHeight="1" thickBot="1" x14ac:dyDescent="0.3">
      <c r="A9" s="20"/>
      <c r="B9" s="20"/>
      <c r="C9" s="8"/>
      <c r="D9" s="39" t="s">
        <v>3</v>
      </c>
      <c r="E9" s="40" t="s">
        <v>4</v>
      </c>
      <c r="F9" s="39" t="s">
        <v>3</v>
      </c>
      <c r="G9" s="40" t="s">
        <v>4</v>
      </c>
      <c r="H9" s="39" t="s">
        <v>3</v>
      </c>
      <c r="I9" s="40" t="s">
        <v>4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s="73" customFormat="1" ht="30.75" thickBot="1" x14ac:dyDescent="0.3">
      <c r="A10" s="161" t="s">
        <v>13</v>
      </c>
      <c r="B10" s="70" t="s">
        <v>14</v>
      </c>
      <c r="C10" s="71" t="s">
        <v>15</v>
      </c>
      <c r="D10" s="52">
        <v>12.8</v>
      </c>
      <c r="E10" s="52">
        <v>12.8</v>
      </c>
      <c r="F10" s="52">
        <v>8.3699999999999992</v>
      </c>
      <c r="G10" s="52">
        <v>8.3699999999999992</v>
      </c>
      <c r="H10" s="52">
        <v>7.25</v>
      </c>
      <c r="I10" s="53">
        <v>7.25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spans="1:33" s="1" customFormat="1" x14ac:dyDescent="0.25">
      <c r="A11" s="177"/>
      <c r="B11" s="55" t="s">
        <v>16</v>
      </c>
      <c r="C11" s="2" t="s">
        <v>17</v>
      </c>
      <c r="D11" s="56">
        <f>((D4*D5+D3)*D10)/(60)</f>
        <v>320</v>
      </c>
      <c r="E11" s="56">
        <f t="shared" ref="E11:I11" si="0">((E4*E5+E3)*E10)/(60)</f>
        <v>291.2</v>
      </c>
      <c r="F11" s="56">
        <f t="shared" si="0"/>
        <v>783.9899999999999</v>
      </c>
      <c r="G11" s="56">
        <f t="shared" si="0"/>
        <v>859.31999999999994</v>
      </c>
      <c r="H11" s="56">
        <f t="shared" si="0"/>
        <v>567.91666666666663</v>
      </c>
      <c r="I11" s="56">
        <f t="shared" si="0"/>
        <v>708.08333333333337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x14ac:dyDescent="0.25">
      <c r="A12" s="177"/>
      <c r="B12" s="57" t="s">
        <v>18</v>
      </c>
      <c r="C12" s="58" t="s">
        <v>17</v>
      </c>
      <c r="D12" s="59">
        <f>D11+D11*0.1</f>
        <v>352</v>
      </c>
      <c r="E12" s="59">
        <f t="shared" ref="E12:I12" si="1">E11+E11*0.1</f>
        <v>320.32</v>
      </c>
      <c r="F12" s="59">
        <f t="shared" si="1"/>
        <v>862.3889999999999</v>
      </c>
      <c r="G12" s="59">
        <f t="shared" si="1"/>
        <v>945.25199999999995</v>
      </c>
      <c r="H12" s="59">
        <f t="shared" si="1"/>
        <v>624.70833333333326</v>
      </c>
      <c r="I12" s="59">
        <f t="shared" si="1"/>
        <v>778.89166666666665</v>
      </c>
    </row>
    <row r="13" spans="1:33" x14ac:dyDescent="0.25">
      <c r="A13" s="177"/>
      <c r="B13" s="23" t="s">
        <v>19</v>
      </c>
      <c r="C13" s="3" t="s">
        <v>17</v>
      </c>
      <c r="D13" s="11">
        <f>15*8</f>
        <v>120</v>
      </c>
      <c r="E13" s="11"/>
      <c r="F13" s="11"/>
      <c r="G13" s="11"/>
      <c r="H13" s="11"/>
      <c r="I13" s="12"/>
    </row>
    <row r="14" spans="1:33" x14ac:dyDescent="0.25">
      <c r="A14" s="177"/>
      <c r="B14" s="23"/>
      <c r="C14" s="3" t="s">
        <v>88</v>
      </c>
      <c r="D14" s="54">
        <f>Producción!D14</f>
        <v>0.20576780561643621</v>
      </c>
      <c r="E14" s="54">
        <f>Producción!E14</f>
        <v>0.16929520561908115</v>
      </c>
      <c r="F14" s="54">
        <f>Producción!F14</f>
        <v>0.47408587061068103</v>
      </c>
      <c r="G14" s="54">
        <f>Producción!G14</f>
        <v>0.46981540115215686</v>
      </c>
      <c r="H14" s="54">
        <f>Producción!H14</f>
        <v>0.32014632377288282</v>
      </c>
      <c r="I14" s="54">
        <f>Producción!I14</f>
        <v>0.36088939322876201</v>
      </c>
    </row>
    <row r="15" spans="1:33" x14ac:dyDescent="0.25">
      <c r="A15" s="177"/>
      <c r="B15" s="57" t="s">
        <v>128</v>
      </c>
      <c r="C15" s="155" t="s">
        <v>129</v>
      </c>
      <c r="D15" s="59">
        <f>$D$13*D14</f>
        <v>24.692136673972346</v>
      </c>
      <c r="E15" s="59">
        <f>$D$13*E14</f>
        <v>20.315424674289737</v>
      </c>
      <c r="F15" s="59">
        <f>$D$13*F14</f>
        <v>56.890304473281724</v>
      </c>
      <c r="G15" s="59">
        <f t="shared" ref="G15:I15" si="2">$D$13*G14</f>
        <v>56.377848138258827</v>
      </c>
      <c r="H15" s="59">
        <f t="shared" si="2"/>
        <v>38.417558852745941</v>
      </c>
      <c r="I15" s="59">
        <f t="shared" si="2"/>
        <v>43.306727187451443</v>
      </c>
    </row>
    <row r="16" spans="1:33" x14ac:dyDescent="0.25">
      <c r="A16" s="177"/>
      <c r="B16" s="23" t="s">
        <v>20</v>
      </c>
      <c r="C16" s="3" t="s">
        <v>17</v>
      </c>
      <c r="D16" s="60">
        <f>D12+D15</f>
        <v>376.69213667397236</v>
      </c>
      <c r="E16" s="60">
        <f>E12+E15</f>
        <v>340.63542467428971</v>
      </c>
      <c r="F16" s="60">
        <f>F12+F15</f>
        <v>919.27930447328163</v>
      </c>
      <c r="G16" s="60">
        <f t="shared" ref="G16:I16" si="3">G12+G15</f>
        <v>1001.6298481382588</v>
      </c>
      <c r="H16" s="60">
        <f t="shared" si="3"/>
        <v>663.12589218607923</v>
      </c>
      <c r="I16" s="60">
        <f t="shared" si="3"/>
        <v>822.19839385411808</v>
      </c>
    </row>
    <row r="17" spans="1:33" ht="15.75" thickBot="1" x14ac:dyDescent="0.3">
      <c r="A17" s="178"/>
      <c r="B17" s="48" t="s">
        <v>21</v>
      </c>
      <c r="C17" s="4" t="s">
        <v>22</v>
      </c>
      <c r="D17" s="13">
        <f>1682000/(4*48)</f>
        <v>8760.4166666666661</v>
      </c>
      <c r="E17" s="13">
        <f>1682000/(4*48)</f>
        <v>8760.4166666666661</v>
      </c>
      <c r="F17" s="13">
        <f t="shared" ref="F17:I17" si="4">1682000/(4*48)</f>
        <v>8760.4166666666661</v>
      </c>
      <c r="G17" s="13">
        <f t="shared" si="4"/>
        <v>8760.4166666666661</v>
      </c>
      <c r="H17" s="13">
        <f t="shared" si="4"/>
        <v>8760.4166666666661</v>
      </c>
      <c r="I17" s="13">
        <f t="shared" si="4"/>
        <v>8760.4166666666661</v>
      </c>
    </row>
    <row r="18" spans="1:33" s="18" customFormat="1" x14ac:dyDescent="0.25">
      <c r="A18" s="20"/>
      <c r="D18" s="21"/>
      <c r="E18" s="21"/>
      <c r="F18" s="21"/>
      <c r="G18" s="21"/>
      <c r="H18" s="21"/>
      <c r="I18" s="21"/>
    </row>
    <row r="19" spans="1:33" s="18" customFormat="1" x14ac:dyDescent="0.25">
      <c r="A19" s="168" t="s">
        <v>89</v>
      </c>
      <c r="B19" s="168"/>
      <c r="C19" s="169"/>
      <c r="D19" s="51">
        <f>D17*D16</f>
        <v>3299980.0723209451</v>
      </c>
      <c r="E19" s="51">
        <f t="shared" ref="E19:I19" si="5">E17*E16</f>
        <v>2984108.2515737251</v>
      </c>
      <c r="F19" s="51">
        <f t="shared" si="5"/>
        <v>8053269.7402294772</v>
      </c>
      <c r="G19" s="51">
        <f t="shared" si="5"/>
        <v>8774694.8154612035</v>
      </c>
      <c r="H19" s="51">
        <f t="shared" si="5"/>
        <v>5809259.1180051314</v>
      </c>
      <c r="I19" s="51">
        <f t="shared" si="5"/>
        <v>7202800.5128261801</v>
      </c>
    </row>
    <row r="20" spans="1:33" s="18" customFormat="1" x14ac:dyDescent="0.25">
      <c r="A20" s="20"/>
      <c r="D20" s="21"/>
      <c r="E20" s="21"/>
      <c r="F20" s="21"/>
      <c r="G20" s="21"/>
      <c r="H20" s="21"/>
      <c r="I20" s="21"/>
    </row>
    <row r="21" spans="1:33" x14ac:dyDescent="0.25">
      <c r="A21" s="61"/>
      <c r="B21" s="1"/>
      <c r="D21" s="62"/>
      <c r="E21" s="62"/>
      <c r="F21" s="62"/>
      <c r="G21" s="62"/>
      <c r="H21" s="62"/>
      <c r="I21" s="62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18" customFormat="1" x14ac:dyDescent="0.25">
      <c r="A22" s="20"/>
      <c r="D22" s="21"/>
      <c r="E22" s="21"/>
      <c r="F22" s="21"/>
      <c r="G22" s="21"/>
      <c r="H22" s="21"/>
      <c r="I22" s="21"/>
    </row>
    <row r="23" spans="1:33" ht="23.25" customHeight="1" thickBot="1" x14ac:dyDescent="0.3">
      <c r="A23" s="20"/>
      <c r="B23" s="20"/>
      <c r="C23" s="21"/>
      <c r="D23" s="21"/>
      <c r="E23" s="21"/>
      <c r="F23" s="21"/>
      <c r="G23" s="21"/>
      <c r="H23" s="21"/>
      <c r="I23" s="21"/>
    </row>
    <row r="24" spans="1:33" s="1" customFormat="1" ht="23.25" customHeight="1" thickBot="1" x14ac:dyDescent="0.3">
      <c r="A24" s="20"/>
      <c r="B24" s="20"/>
      <c r="C24" s="20"/>
      <c r="D24" s="77" t="s">
        <v>3</v>
      </c>
      <c r="E24" s="78" t="s">
        <v>4</v>
      </c>
      <c r="F24" s="21"/>
      <c r="G24" s="21"/>
      <c r="H24" s="21"/>
      <c r="I24" s="21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spans="1:33" ht="15" customHeight="1" x14ac:dyDescent="0.25">
      <c r="A25" s="170" t="s">
        <v>23</v>
      </c>
      <c r="B25" s="27" t="s">
        <v>24</v>
      </c>
      <c r="C25" s="28"/>
      <c r="D25" s="63"/>
      <c r="E25" s="29"/>
      <c r="F25" s="21"/>
      <c r="G25" s="21"/>
      <c r="H25" s="21"/>
      <c r="I25" s="21"/>
    </row>
    <row r="26" spans="1:33" x14ac:dyDescent="0.25">
      <c r="A26" s="170"/>
      <c r="B26" s="3" t="s">
        <v>25</v>
      </c>
      <c r="C26" s="75" t="s">
        <v>17</v>
      </c>
      <c r="D26" s="79">
        <v>80</v>
      </c>
      <c r="E26" s="12">
        <v>75</v>
      </c>
      <c r="F26" s="21"/>
      <c r="G26" s="21"/>
      <c r="H26" s="21"/>
      <c r="I26" s="21"/>
    </row>
    <row r="27" spans="1:33" ht="15.75" thickBot="1" x14ac:dyDescent="0.3">
      <c r="A27" s="170"/>
      <c r="B27" s="48" t="s">
        <v>21</v>
      </c>
      <c r="C27" s="76" t="s">
        <v>22</v>
      </c>
      <c r="D27" s="97">
        <v>38400</v>
      </c>
      <c r="E27" s="98">
        <f>D27</f>
        <v>38400</v>
      </c>
      <c r="F27" s="21"/>
      <c r="G27" s="21"/>
      <c r="H27" s="21"/>
      <c r="I27" s="21"/>
    </row>
    <row r="28" spans="1:33" x14ac:dyDescent="0.25">
      <c r="A28" s="167" t="s">
        <v>132</v>
      </c>
      <c r="B28" s="168"/>
      <c r="C28" s="168"/>
      <c r="D28" s="99">
        <f>D26*D27</f>
        <v>3072000</v>
      </c>
      <c r="E28" s="99">
        <f>E26*E27</f>
        <v>2880000</v>
      </c>
      <c r="F28" s="65"/>
      <c r="G28" s="65"/>
      <c r="H28" s="65"/>
      <c r="I28" s="65"/>
    </row>
    <row r="29" spans="1:33" x14ac:dyDescent="0.25">
      <c r="A29" s="167" t="s">
        <v>133</v>
      </c>
      <c r="B29" s="168"/>
      <c r="C29" s="168"/>
      <c r="D29" s="51">
        <f>$D$28*D14</f>
        <v>632118.69885369204</v>
      </c>
      <c r="E29" s="15">
        <f>$E$28*E14</f>
        <v>487570.1921829537</v>
      </c>
      <c r="F29" s="51">
        <f>$D$28*F14</f>
        <v>1456391.7945160121</v>
      </c>
      <c r="G29" s="15">
        <f>$E$28*G14</f>
        <v>1353068.3553182117</v>
      </c>
      <c r="H29" s="51">
        <f>$D$28*H14</f>
        <v>983489.506630296</v>
      </c>
      <c r="I29" s="15">
        <f>$E$28*I14</f>
        <v>1039361.4524988346</v>
      </c>
    </row>
    <row r="30" spans="1:33" s="18" customFormat="1" x14ac:dyDescent="0.25">
      <c r="A30" s="20"/>
      <c r="D30" s="21"/>
      <c r="E30" s="21"/>
      <c r="F30" s="21"/>
      <c r="G30" s="21"/>
      <c r="H30" s="21"/>
      <c r="I30" s="21"/>
    </row>
    <row r="31" spans="1:33" s="18" customFormat="1" x14ac:dyDescent="0.25">
      <c r="A31" s="20"/>
      <c r="D31" s="21"/>
      <c r="E31" s="21"/>
      <c r="F31" s="21"/>
      <c r="G31" s="21"/>
      <c r="H31" s="21"/>
      <c r="I31" s="21"/>
    </row>
    <row r="32" spans="1:33" ht="23.25" customHeight="1" thickBot="1" x14ac:dyDescent="0.3">
      <c r="A32" s="20"/>
      <c r="B32" s="20"/>
      <c r="C32" s="20"/>
      <c r="D32" s="21"/>
      <c r="E32" s="21"/>
      <c r="F32" s="21"/>
      <c r="G32" s="21"/>
      <c r="H32" s="21"/>
      <c r="I32" s="21"/>
    </row>
    <row r="33" spans="1:33" s="1" customFormat="1" ht="23.25" customHeight="1" thickBot="1" x14ac:dyDescent="0.3">
      <c r="A33" s="20"/>
      <c r="B33" s="20"/>
      <c r="C33" s="8"/>
      <c r="D33" s="77" t="s">
        <v>3</v>
      </c>
      <c r="E33" s="78" t="s">
        <v>4</v>
      </c>
      <c r="F33" s="21"/>
      <c r="G33" s="21"/>
      <c r="H33" s="21"/>
      <c r="I33" s="21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171" t="s">
        <v>26</v>
      </c>
      <c r="B34" s="63" t="s">
        <v>27</v>
      </c>
      <c r="C34" s="28"/>
      <c r="D34" s="28"/>
      <c r="E34" s="29"/>
      <c r="F34" s="21"/>
      <c r="G34" s="21"/>
      <c r="H34" s="21"/>
      <c r="I34" s="21"/>
    </row>
    <row r="35" spans="1:33" ht="15.75" thickBot="1" x14ac:dyDescent="0.3">
      <c r="A35" s="172"/>
      <c r="B35" s="24" t="s">
        <v>28</v>
      </c>
      <c r="C35" s="4">
        <v>4500000</v>
      </c>
      <c r="D35" s="13">
        <f>C35*10</f>
        <v>45000000</v>
      </c>
      <c r="E35" s="14">
        <f>C35*10</f>
        <v>45000000</v>
      </c>
      <c r="F35" s="21"/>
      <c r="G35" s="21"/>
      <c r="H35" s="21"/>
      <c r="I35" s="21"/>
    </row>
    <row r="36" spans="1:33" s="1" customFormat="1" ht="15.75" thickBot="1" x14ac:dyDescent="0.3">
      <c r="A36" s="77" t="s">
        <v>90</v>
      </c>
      <c r="B36" s="55" t="s">
        <v>16</v>
      </c>
      <c r="C36" s="2" t="s">
        <v>17</v>
      </c>
      <c r="D36" s="96">
        <f>+$D$35*D14</f>
        <v>9259551.2527396288</v>
      </c>
      <c r="E36" s="96">
        <f t="shared" ref="E36:I36" si="6">+$D$35*E14</f>
        <v>7618284.2528586518</v>
      </c>
      <c r="F36" s="96">
        <f t="shared" si="6"/>
        <v>21333864.177480645</v>
      </c>
      <c r="G36" s="96">
        <f t="shared" si="6"/>
        <v>21141693.051847059</v>
      </c>
      <c r="H36" s="96">
        <f t="shared" si="6"/>
        <v>14406584.569779728</v>
      </c>
      <c r="I36" s="96">
        <f t="shared" si="6"/>
        <v>16240022.695294291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spans="1:33" s="18" customFormat="1" x14ac:dyDescent="0.25">
      <c r="A37" s="20"/>
      <c r="D37" s="21"/>
      <c r="E37" s="21"/>
      <c r="F37" s="21"/>
      <c r="G37" s="21"/>
      <c r="H37" s="21"/>
      <c r="I37" s="21"/>
    </row>
    <row r="38" spans="1:33" s="18" customFormat="1" x14ac:dyDescent="0.25">
      <c r="A38" s="20"/>
      <c r="D38" s="21"/>
      <c r="E38" s="21"/>
      <c r="F38" s="21"/>
      <c r="G38" s="21"/>
      <c r="H38" s="21"/>
      <c r="I38" s="21"/>
    </row>
    <row r="39" spans="1:33" s="18" customFormat="1" x14ac:dyDescent="0.25">
      <c r="A39" s="167" t="s">
        <v>91</v>
      </c>
      <c r="B39" s="168"/>
      <c r="C39" s="169"/>
      <c r="D39" s="145">
        <f>D36+D29+D19</f>
        <v>13191650.023914266</v>
      </c>
      <c r="E39" s="145">
        <f t="shared" ref="E39:I39" si="7">E36+E29+E19</f>
        <v>11089962.696615331</v>
      </c>
      <c r="F39" s="145">
        <f>F36+F29+F19</f>
        <v>30843525.712226134</v>
      </c>
      <c r="G39" s="145">
        <f t="shared" si="7"/>
        <v>31269456.222626474</v>
      </c>
      <c r="H39" s="145">
        <f t="shared" si="7"/>
        <v>21199333.194415156</v>
      </c>
      <c r="I39" s="145">
        <f t="shared" si="7"/>
        <v>24482184.660619304</v>
      </c>
      <c r="J39" s="21"/>
      <c r="K39" s="21"/>
    </row>
  </sheetData>
  <mergeCells count="13">
    <mergeCell ref="A39:C39"/>
    <mergeCell ref="A19:C19"/>
    <mergeCell ref="D1:E1"/>
    <mergeCell ref="F1:G1"/>
    <mergeCell ref="H1:I1"/>
    <mergeCell ref="A29:C29"/>
    <mergeCell ref="A25:A27"/>
    <mergeCell ref="A34:A35"/>
    <mergeCell ref="D8:E8"/>
    <mergeCell ref="F8:G8"/>
    <mergeCell ref="H8:I8"/>
    <mergeCell ref="A10:A17"/>
    <mergeCell ref="A28:C28"/>
  </mergeCells>
  <pageMargins left="0.7" right="0.7" top="0.75" bottom="0.75" header="0.3" footer="0.3"/>
  <pageSetup scale="44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topLeftCell="A11" zoomScale="70" zoomScaleNormal="70" workbookViewId="0">
      <selection activeCell="D31" sqref="D31"/>
    </sheetView>
  </sheetViews>
  <sheetFormatPr baseColWidth="10" defaultColWidth="11.42578125" defaultRowHeight="15" x14ac:dyDescent="0.25"/>
  <cols>
    <col min="1" max="1" width="20.5703125" style="5" bestFit="1" customWidth="1"/>
    <col min="2" max="2" width="28.42578125" customWidth="1"/>
    <col min="3" max="3" width="38.28515625" bestFit="1" customWidth="1"/>
    <col min="4" max="4" width="29.140625" style="17" bestFit="1" customWidth="1"/>
    <col min="5" max="5" width="25.7109375" style="17" bestFit="1" customWidth="1"/>
    <col min="6" max="6" width="29.140625" style="17" bestFit="1" customWidth="1"/>
    <col min="7" max="7" width="25.7109375" style="17" bestFit="1" customWidth="1"/>
    <col min="8" max="8" width="29.140625" style="17" bestFit="1" customWidth="1"/>
    <col min="9" max="9" width="25.7109375" style="17" bestFit="1" customWidth="1"/>
    <col min="10" max="10" width="11.42578125" style="18"/>
    <col min="11" max="11" width="14.28515625" style="18" bestFit="1" customWidth="1"/>
    <col min="12" max="33" width="11.42578125" style="18"/>
  </cols>
  <sheetData>
    <row r="1" spans="1:33" s="18" customFormat="1" x14ac:dyDescent="0.25">
      <c r="A1" s="20"/>
      <c r="D1" s="21"/>
      <c r="E1" s="21"/>
      <c r="F1" s="21"/>
      <c r="G1" s="21"/>
      <c r="H1" s="21"/>
      <c r="I1" s="21"/>
    </row>
    <row r="2" spans="1:33" s="18" customFormat="1" x14ac:dyDescent="0.25">
      <c r="A2" s="20"/>
      <c r="D2" s="21"/>
      <c r="E2" s="21"/>
      <c r="F2" s="21"/>
      <c r="G2" s="21"/>
      <c r="H2" s="21"/>
      <c r="I2" s="21"/>
    </row>
    <row r="3" spans="1:33" s="18" customFormat="1" x14ac:dyDescent="0.25">
      <c r="A3" s="20"/>
      <c r="D3" s="21"/>
      <c r="E3" s="21"/>
      <c r="F3" s="21"/>
      <c r="G3" s="21"/>
      <c r="H3" s="21"/>
      <c r="I3" s="21"/>
    </row>
    <row r="4" spans="1:33" ht="23.25" customHeight="1" thickBot="1" x14ac:dyDescent="0.3">
      <c r="A4" s="20"/>
      <c r="B4" s="20"/>
      <c r="C4" s="8"/>
      <c r="D4" s="173" t="s">
        <v>0</v>
      </c>
      <c r="E4" s="174"/>
      <c r="F4" s="175" t="s">
        <v>1</v>
      </c>
      <c r="G4" s="174"/>
      <c r="H4" s="175" t="s">
        <v>2</v>
      </c>
      <c r="I4" s="176"/>
    </row>
    <row r="5" spans="1:33" s="1" customFormat="1" ht="23.25" customHeight="1" thickBot="1" x14ac:dyDescent="0.3">
      <c r="A5" s="20"/>
      <c r="B5" s="20"/>
      <c r="C5" s="8"/>
      <c r="D5" s="77" t="s">
        <v>3</v>
      </c>
      <c r="E5" s="78" t="s">
        <v>4</v>
      </c>
      <c r="F5" s="77" t="s">
        <v>3</v>
      </c>
      <c r="G5" s="78" t="s">
        <v>4</v>
      </c>
      <c r="H5" s="77" t="s">
        <v>3</v>
      </c>
      <c r="I5" s="78" t="s">
        <v>4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x14ac:dyDescent="0.25">
      <c r="A6" s="180" t="s">
        <v>29</v>
      </c>
      <c r="B6" s="27" t="s">
        <v>30</v>
      </c>
      <c r="C6" s="28"/>
      <c r="D6" s="28"/>
      <c r="E6" s="28"/>
      <c r="F6" s="28"/>
      <c r="G6" s="28"/>
      <c r="H6" s="28"/>
      <c r="I6" s="29"/>
    </row>
    <row r="7" spans="1:33" ht="15" customHeight="1" x14ac:dyDescent="0.25">
      <c r="A7" s="181"/>
      <c r="B7" s="3" t="s">
        <v>31</v>
      </c>
      <c r="C7" s="3" t="s">
        <v>32</v>
      </c>
      <c r="D7" s="11">
        <v>2000</v>
      </c>
      <c r="E7" s="11">
        <v>2500</v>
      </c>
      <c r="F7" s="11">
        <v>6000</v>
      </c>
      <c r="G7" s="11">
        <v>7500</v>
      </c>
      <c r="H7" s="11">
        <v>0</v>
      </c>
      <c r="I7" s="12">
        <v>0</v>
      </c>
    </row>
    <row r="8" spans="1:33" x14ac:dyDescent="0.25">
      <c r="A8" s="181"/>
      <c r="B8" s="3" t="s">
        <v>33</v>
      </c>
      <c r="C8" s="3" t="s">
        <v>34</v>
      </c>
      <c r="D8" s="15">
        <v>50000</v>
      </c>
      <c r="E8" s="126">
        <v>50000</v>
      </c>
      <c r="F8" s="15">
        <v>50000</v>
      </c>
      <c r="G8" s="126">
        <v>50000</v>
      </c>
      <c r="H8" s="15">
        <v>0</v>
      </c>
      <c r="I8" s="127">
        <v>0</v>
      </c>
    </row>
    <row r="9" spans="1:33" x14ac:dyDescent="0.25">
      <c r="A9" s="181"/>
      <c r="B9" s="6" t="s">
        <v>35</v>
      </c>
      <c r="C9" s="7"/>
      <c r="D9" s="30"/>
      <c r="E9" s="30"/>
      <c r="F9" s="30"/>
      <c r="G9" s="30"/>
      <c r="H9" s="30"/>
      <c r="I9" s="31"/>
    </row>
    <row r="10" spans="1:33" x14ac:dyDescent="0.25">
      <c r="A10" s="181"/>
      <c r="B10" s="3" t="s">
        <v>31</v>
      </c>
      <c r="C10" s="3" t="s">
        <v>36</v>
      </c>
      <c r="D10" s="11">
        <v>1000</v>
      </c>
      <c r="E10" s="11">
        <v>1100</v>
      </c>
      <c r="F10" s="11">
        <v>0</v>
      </c>
      <c r="G10" s="11">
        <v>0</v>
      </c>
      <c r="H10" s="11">
        <v>3100</v>
      </c>
      <c r="I10" s="12">
        <v>3500</v>
      </c>
    </row>
    <row r="11" spans="1:33" x14ac:dyDescent="0.25">
      <c r="A11" s="181"/>
      <c r="B11" s="3" t="s">
        <v>33</v>
      </c>
      <c r="C11" s="3" t="s">
        <v>37</v>
      </c>
      <c r="D11" s="15">
        <v>1000</v>
      </c>
      <c r="E11" s="126">
        <v>1000</v>
      </c>
      <c r="F11" s="15">
        <v>0</v>
      </c>
      <c r="G11" s="126">
        <v>0</v>
      </c>
      <c r="H11" s="15">
        <v>1000</v>
      </c>
      <c r="I11" s="127">
        <v>1100</v>
      </c>
    </row>
    <row r="12" spans="1:33" x14ac:dyDescent="0.25">
      <c r="A12" s="181"/>
      <c r="B12" s="6" t="s">
        <v>38</v>
      </c>
      <c r="C12" s="7"/>
      <c r="D12" s="30"/>
      <c r="E12" s="30"/>
      <c r="F12" s="30"/>
      <c r="G12" s="30"/>
      <c r="H12" s="30"/>
      <c r="I12" s="31"/>
    </row>
    <row r="13" spans="1:33" x14ac:dyDescent="0.25">
      <c r="A13" s="181"/>
      <c r="B13" s="3" t="s">
        <v>31</v>
      </c>
      <c r="C13" s="3" t="s">
        <v>32</v>
      </c>
      <c r="D13" s="11">
        <v>1500</v>
      </c>
      <c r="E13" s="11">
        <v>2000</v>
      </c>
      <c r="F13" s="11">
        <v>0</v>
      </c>
      <c r="G13" s="11">
        <v>0</v>
      </c>
      <c r="H13" s="11">
        <v>4000</v>
      </c>
      <c r="I13" s="12">
        <v>5200</v>
      </c>
    </row>
    <row r="14" spans="1:33" ht="15.75" thickBot="1" x14ac:dyDescent="0.3">
      <c r="A14" s="182"/>
      <c r="B14" s="4" t="s">
        <v>33</v>
      </c>
      <c r="C14" s="4" t="s">
        <v>34</v>
      </c>
      <c r="D14" s="99">
        <v>1500</v>
      </c>
      <c r="E14" s="128">
        <v>1500</v>
      </c>
      <c r="F14" s="99">
        <v>0</v>
      </c>
      <c r="G14" s="128">
        <v>0</v>
      </c>
      <c r="H14" s="99">
        <v>1500</v>
      </c>
      <c r="I14" s="98">
        <v>1600</v>
      </c>
    </row>
    <row r="15" spans="1:33" ht="15.75" thickBot="1" x14ac:dyDescent="0.3">
      <c r="A15" s="183" t="s">
        <v>120</v>
      </c>
      <c r="B15" s="183"/>
      <c r="C15" s="184"/>
      <c r="D15" s="15">
        <f>D7*D8</f>
        <v>100000000</v>
      </c>
      <c r="E15" s="15">
        <f t="shared" ref="E15:I15" si="0">E7*E8</f>
        <v>125000000</v>
      </c>
      <c r="F15" s="15">
        <f t="shared" si="0"/>
        <v>300000000</v>
      </c>
      <c r="G15" s="15">
        <f t="shared" si="0"/>
        <v>375000000</v>
      </c>
      <c r="H15" s="15">
        <f t="shared" si="0"/>
        <v>0</v>
      </c>
      <c r="I15" s="15">
        <f t="shared" si="0"/>
        <v>0</v>
      </c>
    </row>
    <row r="16" spans="1:33" ht="15.75" thickBot="1" x14ac:dyDescent="0.3">
      <c r="A16" s="183" t="s">
        <v>121</v>
      </c>
      <c r="B16" s="183"/>
      <c r="C16" s="184"/>
      <c r="D16" s="15">
        <f>$D$11*D10</f>
        <v>1000000</v>
      </c>
      <c r="E16" s="15">
        <f t="shared" ref="E16:I16" si="1">$D$11*E10</f>
        <v>1100000</v>
      </c>
      <c r="F16" s="15">
        <f t="shared" si="1"/>
        <v>0</v>
      </c>
      <c r="G16" s="15">
        <f t="shared" si="1"/>
        <v>0</v>
      </c>
      <c r="H16" s="15">
        <f t="shared" si="1"/>
        <v>3100000</v>
      </c>
      <c r="I16" s="15">
        <f t="shared" si="1"/>
        <v>3500000</v>
      </c>
    </row>
    <row r="17" spans="1:33" s="18" customFormat="1" ht="15.75" thickBot="1" x14ac:dyDescent="0.3">
      <c r="A17" s="183" t="s">
        <v>122</v>
      </c>
      <c r="B17" s="183"/>
      <c r="C17" s="184"/>
      <c r="D17" s="51">
        <f>D13*$D$14</f>
        <v>2250000</v>
      </c>
      <c r="E17" s="51">
        <f t="shared" ref="E17:I17" si="2">E13*$D$14</f>
        <v>3000000</v>
      </c>
      <c r="F17" s="51">
        <f t="shared" si="2"/>
        <v>0</v>
      </c>
      <c r="G17" s="51">
        <f t="shared" si="2"/>
        <v>0</v>
      </c>
      <c r="H17" s="51">
        <f t="shared" si="2"/>
        <v>6000000</v>
      </c>
      <c r="I17" s="51">
        <f t="shared" si="2"/>
        <v>7800000</v>
      </c>
    </row>
    <row r="18" spans="1:33" s="18" customFormat="1" x14ac:dyDescent="0.25">
      <c r="A18" s="183" t="s">
        <v>123</v>
      </c>
      <c r="B18" s="183"/>
      <c r="C18" s="184"/>
      <c r="D18" s="51">
        <f>SUM(D15:D17)</f>
        <v>103250000</v>
      </c>
      <c r="E18" s="51">
        <f t="shared" ref="E18:I18" si="3">SUM(E15:E17)</f>
        <v>129100000</v>
      </c>
      <c r="F18" s="51">
        <f t="shared" si="3"/>
        <v>300000000</v>
      </c>
      <c r="G18" s="51">
        <f t="shared" si="3"/>
        <v>375000000</v>
      </c>
      <c r="H18" s="51">
        <f t="shared" si="3"/>
        <v>9100000</v>
      </c>
      <c r="I18" s="51">
        <f t="shared" si="3"/>
        <v>11300000</v>
      </c>
    </row>
    <row r="19" spans="1:33" s="18" customFormat="1" ht="15.75" thickBot="1" x14ac:dyDescent="0.3">
      <c r="A19" s="20"/>
      <c r="D19" s="21"/>
      <c r="E19" s="21"/>
      <c r="F19" s="21"/>
      <c r="G19" s="21"/>
      <c r="H19" s="21"/>
      <c r="I19" s="21"/>
    </row>
    <row r="20" spans="1:33" ht="23.25" customHeight="1" thickBot="1" x14ac:dyDescent="0.3">
      <c r="A20" s="20"/>
      <c r="B20" s="20"/>
      <c r="C20" s="8"/>
      <c r="D20" s="158" t="s">
        <v>0</v>
      </c>
      <c r="E20" s="159"/>
      <c r="F20" s="159" t="s">
        <v>1</v>
      </c>
      <c r="G20" s="159"/>
      <c r="H20" s="159" t="s">
        <v>2</v>
      </c>
      <c r="I20" s="160"/>
    </row>
    <row r="21" spans="1:33" s="1" customFormat="1" ht="23.25" customHeight="1" thickBot="1" x14ac:dyDescent="0.3">
      <c r="A21" s="20"/>
      <c r="B21" s="20"/>
      <c r="C21" s="8"/>
      <c r="D21" s="77" t="s">
        <v>3</v>
      </c>
      <c r="E21" s="78" t="s">
        <v>4</v>
      </c>
      <c r="F21" s="77" t="s">
        <v>3</v>
      </c>
      <c r="G21" s="78" t="s">
        <v>4</v>
      </c>
      <c r="H21" s="77" t="s">
        <v>3</v>
      </c>
      <c r="I21" s="78" t="s">
        <v>4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1:33" x14ac:dyDescent="0.25">
      <c r="A22" s="180" t="s">
        <v>39</v>
      </c>
      <c r="B22" s="27" t="s">
        <v>40</v>
      </c>
      <c r="C22" s="28"/>
      <c r="D22" s="33"/>
      <c r="E22" s="33"/>
      <c r="F22" s="33"/>
      <c r="G22" s="33"/>
      <c r="H22" s="33"/>
      <c r="I22" s="34"/>
    </row>
    <row r="23" spans="1:33" x14ac:dyDescent="0.25">
      <c r="A23" s="181"/>
      <c r="B23" s="3" t="s">
        <v>31</v>
      </c>
      <c r="C23" s="3" t="s">
        <v>7</v>
      </c>
      <c r="D23" s="11">
        <v>1200</v>
      </c>
      <c r="E23" s="11">
        <v>1220</v>
      </c>
      <c r="F23" s="11">
        <v>3600</v>
      </c>
      <c r="G23" s="11">
        <v>4000</v>
      </c>
      <c r="H23" s="11">
        <v>3200</v>
      </c>
      <c r="I23" s="12">
        <v>3600</v>
      </c>
    </row>
    <row r="24" spans="1:33" x14ac:dyDescent="0.25">
      <c r="A24" s="181"/>
      <c r="B24" s="3" t="s">
        <v>33</v>
      </c>
      <c r="C24" s="3" t="s">
        <v>41</v>
      </c>
      <c r="D24" s="16">
        <v>100</v>
      </c>
      <c r="E24" s="129">
        <v>100</v>
      </c>
      <c r="F24" s="16">
        <v>250</v>
      </c>
      <c r="G24" s="129">
        <v>250</v>
      </c>
      <c r="H24" s="16">
        <v>125</v>
      </c>
      <c r="I24" s="129">
        <v>125</v>
      </c>
    </row>
    <row r="25" spans="1:33" x14ac:dyDescent="0.25">
      <c r="A25" s="181"/>
      <c r="B25" s="6" t="s">
        <v>42</v>
      </c>
      <c r="C25" s="7"/>
      <c r="D25" s="30"/>
      <c r="E25" s="30"/>
      <c r="F25" s="30"/>
      <c r="G25" s="30"/>
      <c r="H25" s="30"/>
      <c r="I25" s="31"/>
    </row>
    <row r="26" spans="1:33" x14ac:dyDescent="0.25">
      <c r="A26" s="181"/>
      <c r="B26" s="3" t="s">
        <v>31</v>
      </c>
      <c r="C26" s="3" t="s">
        <v>7</v>
      </c>
      <c r="D26" s="11">
        <v>2200</v>
      </c>
      <c r="E26" s="11">
        <v>2300</v>
      </c>
      <c r="F26" s="11">
        <v>6600</v>
      </c>
      <c r="G26" s="11">
        <v>6900</v>
      </c>
      <c r="H26" s="11">
        <v>0</v>
      </c>
      <c r="I26" s="12">
        <v>0</v>
      </c>
    </row>
    <row r="27" spans="1:33" x14ac:dyDescent="0.25">
      <c r="A27" s="181"/>
      <c r="B27" s="109" t="s">
        <v>33</v>
      </c>
      <c r="C27" s="109" t="s">
        <v>41</v>
      </c>
      <c r="D27" s="121">
        <v>550</v>
      </c>
      <c r="E27" s="130">
        <v>550</v>
      </c>
      <c r="F27" s="121">
        <v>720</v>
      </c>
      <c r="G27" s="130">
        <v>720</v>
      </c>
      <c r="H27" s="121">
        <v>0</v>
      </c>
      <c r="I27" s="131">
        <v>0</v>
      </c>
    </row>
    <row r="28" spans="1:33" s="18" customFormat="1" x14ac:dyDescent="0.25">
      <c r="A28" s="179" t="s">
        <v>124</v>
      </c>
      <c r="B28" s="179"/>
      <c r="C28" s="179"/>
      <c r="D28" s="132">
        <f>D23*D24</f>
        <v>120000</v>
      </c>
      <c r="E28" s="132">
        <f t="shared" ref="E28:I28" si="4">E23*E24</f>
        <v>122000</v>
      </c>
      <c r="F28" s="132">
        <f t="shared" si="4"/>
        <v>900000</v>
      </c>
      <c r="G28" s="132">
        <f t="shared" si="4"/>
        <v>1000000</v>
      </c>
      <c r="H28" s="132">
        <f t="shared" si="4"/>
        <v>400000</v>
      </c>
      <c r="I28" s="132">
        <f t="shared" si="4"/>
        <v>450000</v>
      </c>
    </row>
    <row r="29" spans="1:33" s="18" customFormat="1" x14ac:dyDescent="0.25">
      <c r="A29" s="179" t="s">
        <v>125</v>
      </c>
      <c r="B29" s="179"/>
      <c r="C29" s="179"/>
      <c r="D29" s="132">
        <f>D26*D27</f>
        <v>1210000</v>
      </c>
      <c r="E29" s="132">
        <f t="shared" ref="E29:I29" si="5">E26*E27</f>
        <v>1265000</v>
      </c>
      <c r="F29" s="132">
        <f t="shared" si="5"/>
        <v>4752000</v>
      </c>
      <c r="G29" s="132">
        <f t="shared" si="5"/>
        <v>4968000</v>
      </c>
      <c r="H29" s="132">
        <f t="shared" si="5"/>
        <v>0</v>
      </c>
      <c r="I29" s="132">
        <f t="shared" si="5"/>
        <v>0</v>
      </c>
    </row>
    <row r="30" spans="1:33" s="18" customFormat="1" x14ac:dyDescent="0.25">
      <c r="A30" s="179" t="s">
        <v>126</v>
      </c>
      <c r="B30" s="179"/>
      <c r="C30" s="179"/>
      <c r="D30" s="144">
        <f>SUM(D28:D29,D18)</f>
        <v>104580000</v>
      </c>
      <c r="E30" s="144">
        <f t="shared" ref="E30:I30" si="6">SUM(E28:E29,E18)</f>
        <v>130487000</v>
      </c>
      <c r="F30" s="144">
        <f t="shared" si="6"/>
        <v>305652000</v>
      </c>
      <c r="G30" s="144">
        <f t="shared" si="6"/>
        <v>380968000</v>
      </c>
      <c r="H30" s="144">
        <f t="shared" si="6"/>
        <v>9500000</v>
      </c>
      <c r="I30" s="144">
        <f t="shared" si="6"/>
        <v>11750000</v>
      </c>
    </row>
  </sheetData>
  <mergeCells count="15">
    <mergeCell ref="D4:E4"/>
    <mergeCell ref="F4:G4"/>
    <mergeCell ref="H4:I4"/>
    <mergeCell ref="D20:E20"/>
    <mergeCell ref="F20:G20"/>
    <mergeCell ref="A28:C28"/>
    <mergeCell ref="A29:C29"/>
    <mergeCell ref="A30:C30"/>
    <mergeCell ref="A6:A14"/>
    <mergeCell ref="H20:I20"/>
    <mergeCell ref="A22:A27"/>
    <mergeCell ref="A15:C15"/>
    <mergeCell ref="A16:C16"/>
    <mergeCell ref="A17:C17"/>
    <mergeCell ref="A18:C18"/>
  </mergeCells>
  <pageMargins left="0.7" right="0.7" top="0.75" bottom="0.75" header="0.3" footer="0.3"/>
  <pageSetup scale="44" orientation="portrait" r:id="rId1"/>
  <rowBreaks count="1" manualBreakCount="1">
    <brk id="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D2D7-79B9-479A-915C-B89BD32B779F}">
  <dimension ref="A1:AG36"/>
  <sheetViews>
    <sheetView showGridLines="0" tabSelected="1" topLeftCell="A22" zoomScale="85" zoomScaleNormal="85" workbookViewId="0">
      <selection activeCell="D35" sqref="D35"/>
    </sheetView>
  </sheetViews>
  <sheetFormatPr baseColWidth="10" defaultColWidth="11.42578125" defaultRowHeight="15" x14ac:dyDescent="0.25"/>
  <cols>
    <col min="1" max="1" width="20.5703125" style="5" bestFit="1" customWidth="1"/>
    <col min="2" max="2" width="28.42578125" customWidth="1"/>
    <col min="3" max="3" width="13.85546875" customWidth="1"/>
    <col min="4" max="4" width="21.85546875" style="17" customWidth="1"/>
    <col min="5" max="5" width="20.140625" style="17" bestFit="1" customWidth="1"/>
    <col min="6" max="6" width="22.42578125" style="17" bestFit="1" customWidth="1"/>
    <col min="7" max="7" width="19.42578125" style="17" bestFit="1" customWidth="1"/>
    <col min="8" max="8" width="22.42578125" style="17" bestFit="1" customWidth="1"/>
    <col min="9" max="9" width="19.42578125" style="17" bestFit="1" customWidth="1"/>
    <col min="10" max="10" width="11.42578125" style="18"/>
    <col min="11" max="11" width="14.28515625" style="18" bestFit="1" customWidth="1"/>
    <col min="12" max="33" width="11.42578125" style="18"/>
  </cols>
  <sheetData>
    <row r="1" spans="1:33" s="18" customFormat="1" ht="15.75" thickBot="1" x14ac:dyDescent="0.3">
      <c r="A1" s="20"/>
      <c r="D1" s="77" t="s">
        <v>3</v>
      </c>
      <c r="E1" s="78" t="s">
        <v>4</v>
      </c>
      <c r="F1" s="64"/>
      <c r="G1" s="64"/>
      <c r="H1" s="64"/>
      <c r="I1" s="64"/>
    </row>
    <row r="2" spans="1:33" s="18" customFormat="1" x14ac:dyDescent="0.25">
      <c r="A2" s="194" t="s">
        <v>43</v>
      </c>
      <c r="B2" s="134" t="s">
        <v>44</v>
      </c>
      <c r="C2" s="135"/>
      <c r="D2" s="37">
        <v>250000000</v>
      </c>
      <c r="E2" s="38">
        <v>250000000</v>
      </c>
      <c r="F2" s="64"/>
      <c r="G2" s="64"/>
      <c r="H2" s="64"/>
      <c r="I2" s="64"/>
    </row>
    <row r="3" spans="1:33" s="18" customFormat="1" x14ac:dyDescent="0.25">
      <c r="A3" s="169"/>
      <c r="B3" s="103" t="s">
        <v>45</v>
      </c>
      <c r="C3" s="103"/>
      <c r="D3" s="51">
        <v>120000000</v>
      </c>
      <c r="E3" s="51">
        <v>120000000</v>
      </c>
      <c r="F3" s="64"/>
      <c r="G3" s="64"/>
      <c r="H3" s="64"/>
      <c r="I3" s="64"/>
    </row>
    <row r="4" spans="1:33" s="18" customFormat="1" ht="15.75" thickBot="1" x14ac:dyDescent="0.3">
      <c r="A4" s="195"/>
      <c r="B4" s="103" t="s">
        <v>46</v>
      </c>
      <c r="C4" s="103"/>
      <c r="D4" s="102">
        <f>+D2+D3</f>
        <v>370000000</v>
      </c>
      <c r="E4" s="74">
        <f t="shared" ref="E4" si="0">+E2+E3</f>
        <v>370000000</v>
      </c>
      <c r="F4" s="64"/>
      <c r="G4" s="64"/>
      <c r="H4" s="64"/>
      <c r="I4" s="64"/>
    </row>
    <row r="5" spans="1:33" s="18" customFormat="1" ht="15.75" thickBot="1" x14ac:dyDescent="0.3">
      <c r="A5" s="191" t="s">
        <v>92</v>
      </c>
      <c r="B5" s="192"/>
      <c r="C5" s="193"/>
      <c r="D5" s="102">
        <f>D4*0.01</f>
        <v>3700000</v>
      </c>
      <c r="E5" s="102">
        <f>E4*0.01</f>
        <v>3700000</v>
      </c>
      <c r="F5" s="21"/>
      <c r="G5" s="21"/>
      <c r="H5" s="21"/>
      <c r="I5" s="21"/>
    </row>
    <row r="6" spans="1:33" s="18" customFormat="1" ht="15.75" thickBot="1" x14ac:dyDescent="0.3">
      <c r="A6" s="191" t="s">
        <v>10</v>
      </c>
      <c r="B6" s="192"/>
      <c r="C6" s="193"/>
      <c r="D6" s="107">
        <f>Producción!D14</f>
        <v>0.20576780561643621</v>
      </c>
      <c r="E6" s="107">
        <f>Producción!E14</f>
        <v>0.16929520561908115</v>
      </c>
      <c r="F6" s="107">
        <f>Producción!F14</f>
        <v>0.47408587061068103</v>
      </c>
      <c r="G6" s="107">
        <f>Producción!G14</f>
        <v>0.46981540115215686</v>
      </c>
      <c r="H6" s="107">
        <f>Producción!H14</f>
        <v>0.32014632377288282</v>
      </c>
      <c r="I6" s="107">
        <f>Producción!I14</f>
        <v>0.36088939322876201</v>
      </c>
    </row>
    <row r="7" spans="1:33" s="18" customFormat="1" ht="15.75" thickBot="1" x14ac:dyDescent="0.3">
      <c r="A7" s="191" t="s">
        <v>93</v>
      </c>
      <c r="B7" s="192"/>
      <c r="C7" s="193"/>
      <c r="D7" s="108">
        <f>D6*$D$5</f>
        <v>761340.88078081398</v>
      </c>
      <c r="E7" s="108">
        <f t="shared" ref="E7:I7" si="1">E6*$D$5</f>
        <v>626392.26079060021</v>
      </c>
      <c r="F7" s="108">
        <f t="shared" si="1"/>
        <v>1754117.7212595197</v>
      </c>
      <c r="G7" s="108">
        <f t="shared" si="1"/>
        <v>1738316.9842629803</v>
      </c>
      <c r="H7" s="108">
        <f t="shared" si="1"/>
        <v>1184541.3979596666</v>
      </c>
      <c r="I7" s="108">
        <f t="shared" si="1"/>
        <v>1335290.7549464195</v>
      </c>
    </row>
    <row r="8" spans="1:33" s="18" customFormat="1" x14ac:dyDescent="0.25"/>
    <row r="9" spans="1:33" s="18" customFormat="1" x14ac:dyDescent="0.25"/>
    <row r="10" spans="1:33" s="18" customFormat="1" ht="15.75" thickBot="1" x14ac:dyDescent="0.3">
      <c r="J10" s="104"/>
      <c r="K10" s="104"/>
      <c r="L10" s="104"/>
    </row>
    <row r="11" spans="1:33" ht="23.25" customHeight="1" thickBot="1" x14ac:dyDescent="0.3">
      <c r="A11" s="19"/>
      <c r="B11" s="20"/>
      <c r="C11" s="20"/>
      <c r="D11" s="173" t="s">
        <v>0</v>
      </c>
      <c r="E11" s="174"/>
      <c r="F11" s="175" t="s">
        <v>1</v>
      </c>
      <c r="G11" s="174"/>
      <c r="H11" s="175" t="s">
        <v>2</v>
      </c>
      <c r="I11" s="176"/>
    </row>
    <row r="12" spans="1:33" s="1" customFormat="1" ht="23.25" customHeight="1" thickBot="1" x14ac:dyDescent="0.3">
      <c r="A12" s="19"/>
      <c r="B12" s="20"/>
      <c r="C12" s="20"/>
      <c r="D12" s="77" t="s">
        <v>3</v>
      </c>
      <c r="E12" s="78" t="s">
        <v>4</v>
      </c>
      <c r="F12" s="77" t="s">
        <v>3</v>
      </c>
      <c r="G12" s="78" t="s">
        <v>4</v>
      </c>
      <c r="H12" s="77" t="s">
        <v>3</v>
      </c>
      <c r="I12" s="78" t="s">
        <v>4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spans="1:33" ht="15" customHeight="1" x14ac:dyDescent="0.25">
      <c r="A13" s="165" t="s">
        <v>43</v>
      </c>
      <c r="B13" s="196" t="s">
        <v>47</v>
      </c>
      <c r="C13" s="197"/>
      <c r="D13" s="49">
        <v>25000000</v>
      </c>
      <c r="E13" s="49">
        <v>25000000</v>
      </c>
      <c r="F13" s="49">
        <v>35000000</v>
      </c>
      <c r="G13" s="49">
        <v>35000000</v>
      </c>
      <c r="H13" s="49">
        <v>20000000</v>
      </c>
      <c r="I13" s="50">
        <v>20000000</v>
      </c>
    </row>
    <row r="14" spans="1:33" x14ac:dyDescent="0.25">
      <c r="A14" s="170"/>
      <c r="B14" s="186" t="s">
        <v>48</v>
      </c>
      <c r="C14" s="187"/>
      <c r="D14" s="99">
        <v>5000000</v>
      </c>
      <c r="E14" s="99">
        <v>5000000</v>
      </c>
      <c r="F14" s="99">
        <v>2500000</v>
      </c>
      <c r="G14" s="99">
        <v>2500000</v>
      </c>
      <c r="H14" s="99">
        <v>1200000</v>
      </c>
      <c r="I14" s="110">
        <v>1200000</v>
      </c>
    </row>
    <row r="15" spans="1:33" x14ac:dyDescent="0.25">
      <c r="A15" s="164" t="s">
        <v>94</v>
      </c>
      <c r="B15" s="164"/>
      <c r="C15" s="164"/>
      <c r="D15" s="15">
        <f>D14+D13</f>
        <v>30000000</v>
      </c>
      <c r="E15" s="15">
        <f t="shared" ref="E15:I15" si="2">E14+E13</f>
        <v>30000000</v>
      </c>
      <c r="F15" s="15">
        <f t="shared" si="2"/>
        <v>37500000</v>
      </c>
      <c r="G15" s="15">
        <f t="shared" si="2"/>
        <v>37500000</v>
      </c>
      <c r="H15" s="15">
        <f t="shared" si="2"/>
        <v>21200000</v>
      </c>
      <c r="I15" s="15">
        <f t="shared" si="2"/>
        <v>21200000</v>
      </c>
    </row>
    <row r="16" spans="1:33" x14ac:dyDescent="0.25">
      <c r="A16" s="164" t="s">
        <v>95</v>
      </c>
      <c r="B16" s="164"/>
      <c r="C16" s="164"/>
      <c r="D16" s="15">
        <f>D15/(12*10)</f>
        <v>250000</v>
      </c>
      <c r="E16" s="15">
        <f t="shared" ref="E16:I16" si="3">E15/(12*10)</f>
        <v>250000</v>
      </c>
      <c r="F16" s="15">
        <f t="shared" si="3"/>
        <v>312500</v>
      </c>
      <c r="G16" s="15">
        <f t="shared" si="3"/>
        <v>312500</v>
      </c>
      <c r="H16" s="15">
        <f t="shared" si="3"/>
        <v>176666.66666666666</v>
      </c>
      <c r="I16" s="15">
        <f t="shared" si="3"/>
        <v>176666.66666666666</v>
      </c>
    </row>
    <row r="17" spans="1:33" s="18" customFormat="1" ht="15.75" thickBot="1" x14ac:dyDescent="0.3">
      <c r="A17" s="20"/>
      <c r="D17" s="21"/>
      <c r="E17" s="21"/>
      <c r="F17" s="64"/>
      <c r="G17" s="64"/>
      <c r="H17" s="64"/>
      <c r="I17" s="64"/>
    </row>
    <row r="18" spans="1:33" ht="23.25" customHeight="1" thickBot="1" x14ac:dyDescent="0.3">
      <c r="A18" s="19"/>
      <c r="B18" s="20"/>
      <c r="C18" s="20"/>
      <c r="D18" s="101" t="s">
        <v>3</v>
      </c>
      <c r="E18" s="85" t="s">
        <v>4</v>
      </c>
      <c r="F18" s="64"/>
      <c r="G18" s="64"/>
      <c r="H18" s="64"/>
      <c r="I18" s="64"/>
    </row>
    <row r="19" spans="1:33" s="1" customFormat="1" ht="23.25" customHeight="1" x14ac:dyDescent="0.25">
      <c r="A19" s="165" t="s">
        <v>49</v>
      </c>
      <c r="B19" s="196" t="s">
        <v>50</v>
      </c>
      <c r="C19" s="197"/>
      <c r="D19" s="49">
        <v>72000000</v>
      </c>
      <c r="E19" s="49">
        <v>85000000</v>
      </c>
      <c r="F19" s="64"/>
      <c r="G19" s="64"/>
      <c r="H19" s="64"/>
      <c r="I19" s="64"/>
      <c r="J19" s="18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1:33" x14ac:dyDescent="0.25">
      <c r="A20" s="170"/>
      <c r="B20" s="186" t="s">
        <v>51</v>
      </c>
      <c r="C20" s="187"/>
      <c r="D20" s="99">
        <v>21000000</v>
      </c>
      <c r="E20" s="99">
        <v>25500000</v>
      </c>
      <c r="F20" s="64"/>
      <c r="G20" s="64"/>
      <c r="H20" s="64"/>
      <c r="I20" s="64"/>
      <c r="K20" s="36"/>
    </row>
    <row r="21" spans="1:33" x14ac:dyDescent="0.25">
      <c r="A21" s="164" t="s">
        <v>96</v>
      </c>
      <c r="B21" s="164"/>
      <c r="C21" s="164"/>
      <c r="D21" s="102">
        <f>D20+D19</f>
        <v>93000000</v>
      </c>
      <c r="E21" s="102">
        <f>E20+E19</f>
        <v>110500000</v>
      </c>
      <c r="F21" s="21"/>
      <c r="G21" s="21"/>
      <c r="H21" s="21"/>
      <c r="I21" s="21"/>
      <c r="K21" s="36"/>
    </row>
    <row r="22" spans="1:33" s="18" customFormat="1" x14ac:dyDescent="0.25">
      <c r="A22" s="164" t="s">
        <v>97</v>
      </c>
      <c r="B22" s="164"/>
      <c r="C22" s="164"/>
      <c r="D22" s="51">
        <f>$D$21*D6</f>
        <v>19136405.922328565</v>
      </c>
      <c r="E22" s="51">
        <f>$E$21*E6</f>
        <v>18707120.220908467</v>
      </c>
      <c r="F22" s="51">
        <f>$D$21*F6</f>
        <v>44089985.966793336</v>
      </c>
      <c r="G22" s="51">
        <f>$E$21*G6</f>
        <v>51914601.827313334</v>
      </c>
      <c r="H22" s="51">
        <f>$D$21*H6</f>
        <v>29773608.110878102</v>
      </c>
      <c r="I22" s="51">
        <f>$E$21*I6</f>
        <v>39878277.951778203</v>
      </c>
    </row>
    <row r="23" spans="1:33" s="18" customFormat="1" x14ac:dyDescent="0.25">
      <c r="A23" s="164" t="s">
        <v>85</v>
      </c>
      <c r="B23" s="164"/>
      <c r="C23" s="164"/>
      <c r="D23" s="113">
        <f>Producción!D16</f>
        <v>1</v>
      </c>
      <c r="E23" s="113">
        <f>Producción!E16</f>
        <v>1.018</v>
      </c>
      <c r="F23" s="113">
        <f>Producción!F16</f>
        <v>1</v>
      </c>
      <c r="G23" s="113">
        <f>Producción!G16</f>
        <v>1.018</v>
      </c>
      <c r="H23" s="113">
        <f>Producción!H16</f>
        <v>1</v>
      </c>
      <c r="I23" s="113">
        <f>Producción!I16</f>
        <v>1.018</v>
      </c>
    </row>
    <row r="24" spans="1:33" s="18" customFormat="1" x14ac:dyDescent="0.25">
      <c r="A24" s="164" t="s">
        <v>98</v>
      </c>
      <c r="B24" s="164"/>
      <c r="C24" s="164"/>
      <c r="D24" s="114">
        <f>D22/D23</f>
        <v>19136405.922328565</v>
      </c>
      <c r="E24" s="114">
        <f t="shared" ref="E24:I24" si="4">E22/E23</f>
        <v>18376345.993033856</v>
      </c>
      <c r="F24" s="114">
        <f t="shared" si="4"/>
        <v>44089985.966793336</v>
      </c>
      <c r="G24" s="114">
        <f t="shared" si="4"/>
        <v>50996661.912881464</v>
      </c>
      <c r="H24" s="114">
        <f t="shared" si="4"/>
        <v>29773608.110878102</v>
      </c>
      <c r="I24" s="114">
        <f t="shared" si="4"/>
        <v>39173161.052827314</v>
      </c>
    </row>
    <row r="25" spans="1:33" s="18" customFormat="1" ht="15.75" thickBot="1" x14ac:dyDescent="0.3">
      <c r="A25" s="20"/>
      <c r="D25" s="21"/>
      <c r="E25" s="21"/>
      <c r="F25" s="21"/>
      <c r="G25" s="21"/>
      <c r="H25" s="21"/>
      <c r="I25" s="21"/>
    </row>
    <row r="26" spans="1:33" ht="23.25" customHeight="1" thickBot="1" x14ac:dyDescent="0.3">
      <c r="A26" s="20"/>
      <c r="B26" s="20"/>
      <c r="C26" s="20"/>
      <c r="D26" s="173" t="s">
        <v>0</v>
      </c>
      <c r="E26" s="174"/>
      <c r="F26" s="175" t="s">
        <v>1</v>
      </c>
      <c r="G26" s="174"/>
      <c r="H26" s="175" t="s">
        <v>2</v>
      </c>
      <c r="I26" s="176"/>
    </row>
    <row r="27" spans="1:33" s="1" customFormat="1" ht="23.25" customHeight="1" thickBot="1" x14ac:dyDescent="0.3">
      <c r="A27" s="19"/>
      <c r="B27" s="20"/>
      <c r="C27" s="20"/>
      <c r="D27" s="101" t="s">
        <v>3</v>
      </c>
      <c r="E27" s="85" t="s">
        <v>4</v>
      </c>
      <c r="F27" s="101" t="s">
        <v>3</v>
      </c>
      <c r="G27" s="85" t="s">
        <v>4</v>
      </c>
      <c r="H27" s="101" t="s">
        <v>3</v>
      </c>
      <c r="I27" s="85" t="s">
        <v>4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1:33" x14ac:dyDescent="0.25">
      <c r="A28" s="101" t="s">
        <v>49</v>
      </c>
      <c r="B28" s="186" t="s">
        <v>52</v>
      </c>
      <c r="C28" s="187"/>
      <c r="D28" s="81">
        <v>17000000</v>
      </c>
      <c r="E28" s="81">
        <v>23000000</v>
      </c>
      <c r="F28" s="81">
        <v>12000000</v>
      </c>
      <c r="G28" s="81">
        <v>15000000</v>
      </c>
      <c r="H28" s="81">
        <v>7000000</v>
      </c>
      <c r="I28" s="81">
        <v>85000000</v>
      </c>
      <c r="K28" s="36"/>
    </row>
    <row r="29" spans="1:33" x14ac:dyDescent="0.25">
      <c r="A29" s="188" t="s">
        <v>85</v>
      </c>
      <c r="B29" s="189"/>
      <c r="C29" s="190"/>
      <c r="D29" s="138">
        <f>Producción!D16</f>
        <v>1</v>
      </c>
      <c r="E29" s="138">
        <f>Producción!E16</f>
        <v>1.018</v>
      </c>
      <c r="F29" s="138">
        <f>Producción!F16</f>
        <v>1</v>
      </c>
      <c r="G29" s="138">
        <f>Producción!G16</f>
        <v>1.018</v>
      </c>
      <c r="H29" s="138">
        <f>Producción!H16</f>
        <v>1</v>
      </c>
      <c r="I29" s="138">
        <f>Producción!I16</f>
        <v>1.018</v>
      </c>
      <c r="K29" s="36"/>
    </row>
    <row r="30" spans="1:33" x14ac:dyDescent="0.25">
      <c r="A30" s="156" t="s">
        <v>99</v>
      </c>
      <c r="B30" s="185"/>
      <c r="C30" s="157"/>
      <c r="D30" s="81">
        <f>D28/D29</f>
        <v>17000000</v>
      </c>
      <c r="E30" s="81">
        <f t="shared" ref="E30:I30" si="5">E28/E29</f>
        <v>22593320.235756386</v>
      </c>
      <c r="F30" s="81">
        <f t="shared" si="5"/>
        <v>12000000</v>
      </c>
      <c r="G30" s="81">
        <f t="shared" si="5"/>
        <v>14734774.066797642</v>
      </c>
      <c r="H30" s="81">
        <f t="shared" si="5"/>
        <v>7000000</v>
      </c>
      <c r="I30" s="81">
        <f t="shared" si="5"/>
        <v>83497053.045186639</v>
      </c>
    </row>
    <row r="31" spans="1:33" x14ac:dyDescent="0.25">
      <c r="A31" s="136"/>
      <c r="B31" s="112"/>
      <c r="C31" s="112"/>
      <c r="D31" s="137"/>
      <c r="E31" s="137"/>
      <c r="F31" s="137"/>
      <c r="G31" s="137"/>
      <c r="H31" s="137"/>
      <c r="I31" s="137"/>
    </row>
    <row r="32" spans="1:33" x14ac:dyDescent="0.25">
      <c r="A32" s="156" t="s">
        <v>49</v>
      </c>
      <c r="B32" s="185"/>
      <c r="C32" s="157"/>
      <c r="D32" s="91">
        <f>D30+D24</f>
        <v>36136405.922328562</v>
      </c>
      <c r="E32" s="91">
        <f t="shared" ref="E32:H32" si="6">E30+E24</f>
        <v>40969666.228790238</v>
      </c>
      <c r="F32" s="91">
        <f t="shared" si="6"/>
        <v>56089985.966793336</v>
      </c>
      <c r="G32" s="91">
        <f t="shared" si="6"/>
        <v>65731435.979679108</v>
      </c>
      <c r="H32" s="91">
        <f t="shared" si="6"/>
        <v>36773608.110878102</v>
      </c>
      <c r="I32" s="91">
        <f>I30+I24</f>
        <v>122670214.09801395</v>
      </c>
    </row>
    <row r="34" spans="1:9" ht="15" customHeight="1" x14ac:dyDescent="0.25">
      <c r="A34" s="156" t="s">
        <v>100</v>
      </c>
      <c r="B34" s="185"/>
      <c r="C34" s="157"/>
      <c r="D34" s="91">
        <f>D32*'Datos costo del capital'!$C$9</f>
        <v>2191606.0999190006</v>
      </c>
      <c r="E34" s="91">
        <f>E32*'Datos costo del capital'!$C$9</f>
        <v>2484734.3870238522</v>
      </c>
      <c r="F34" s="91">
        <f>F32*'Datos costo del capital'!$C$9</f>
        <v>3401753.7785416329</v>
      </c>
      <c r="G34" s="91">
        <f>G32*'Datos costo del capital'!$C$9</f>
        <v>3986489.867286094</v>
      </c>
      <c r="H34" s="91">
        <f>H32*'Datos costo del capital'!$C$9</f>
        <v>2230251.2326504774</v>
      </c>
      <c r="I34" s="91">
        <f>I32*'Datos costo del capital'!$C$9</f>
        <v>7439721.3179814015</v>
      </c>
    </row>
    <row r="36" spans="1:9" x14ac:dyDescent="0.25">
      <c r="A36" s="156" t="s">
        <v>101</v>
      </c>
      <c r="B36" s="185"/>
      <c r="C36" s="157"/>
      <c r="D36" s="94">
        <f>D34+D7+D16</f>
        <v>3202946.9806998149</v>
      </c>
      <c r="E36" s="94">
        <f t="shared" ref="E36:I36" si="7">E34+E7+E16</f>
        <v>3361126.6478144526</v>
      </c>
      <c r="F36" s="94">
        <f t="shared" si="7"/>
        <v>5468371.4998011524</v>
      </c>
      <c r="G36" s="94">
        <f t="shared" si="7"/>
        <v>6037306.8515490741</v>
      </c>
      <c r="H36" s="94">
        <f t="shared" si="7"/>
        <v>3591459.2972768103</v>
      </c>
      <c r="I36" s="94">
        <f t="shared" si="7"/>
        <v>8951678.7395944875</v>
      </c>
    </row>
  </sheetData>
  <mergeCells count="28">
    <mergeCell ref="D11:E11"/>
    <mergeCell ref="F11:G11"/>
    <mergeCell ref="H11:I11"/>
    <mergeCell ref="A13:A14"/>
    <mergeCell ref="A22:C22"/>
    <mergeCell ref="A21:C21"/>
    <mergeCell ref="B14:C14"/>
    <mergeCell ref="A15:C15"/>
    <mergeCell ref="A16:C16"/>
    <mergeCell ref="A19:A20"/>
    <mergeCell ref="B20:C20"/>
    <mergeCell ref="B19:C19"/>
    <mergeCell ref="D26:E26"/>
    <mergeCell ref="F26:G26"/>
    <mergeCell ref="H26:I26"/>
    <mergeCell ref="A23:C23"/>
    <mergeCell ref="A24:C24"/>
    <mergeCell ref="A5:C5"/>
    <mergeCell ref="A6:C6"/>
    <mergeCell ref="A7:C7"/>
    <mergeCell ref="A2:A4"/>
    <mergeCell ref="B13:C13"/>
    <mergeCell ref="A36:C36"/>
    <mergeCell ref="B28:C28"/>
    <mergeCell ref="A30:C30"/>
    <mergeCell ref="A29:C29"/>
    <mergeCell ref="A32:C32"/>
    <mergeCell ref="A34:C34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76F9-92B4-49E7-922D-598425D473F2}">
  <dimension ref="A1:AG25"/>
  <sheetViews>
    <sheetView showGridLines="0" topLeftCell="A4" zoomScale="85" zoomScaleNormal="85" workbookViewId="0">
      <selection activeCell="D24" sqref="D24"/>
    </sheetView>
  </sheetViews>
  <sheetFormatPr baseColWidth="10" defaultColWidth="29.7109375" defaultRowHeight="15" x14ac:dyDescent="0.25"/>
  <cols>
    <col min="1" max="1" width="29.7109375" style="84"/>
    <col min="4" max="9" width="29.7109375" style="17"/>
    <col min="10" max="33" width="29.7109375" style="18"/>
  </cols>
  <sheetData>
    <row r="1" spans="1:33" s="18" customFormat="1" x14ac:dyDescent="0.25">
      <c r="A1" s="20"/>
      <c r="D1" s="21"/>
      <c r="E1" s="21"/>
      <c r="F1" s="21"/>
      <c r="G1" s="21"/>
      <c r="H1" s="21"/>
      <c r="I1" s="21"/>
    </row>
    <row r="2" spans="1:33" s="18" customFormat="1" x14ac:dyDescent="0.25">
      <c r="A2" s="20"/>
      <c r="D2" s="32"/>
      <c r="E2" s="32"/>
      <c r="F2" s="32"/>
      <c r="G2" s="32"/>
      <c r="H2" s="32"/>
      <c r="I2" s="32"/>
    </row>
    <row r="3" spans="1:33" ht="23.25" customHeight="1" thickBot="1" x14ac:dyDescent="0.3">
      <c r="A3" s="20"/>
      <c r="B3" s="20"/>
      <c r="C3" s="20"/>
      <c r="D3" s="173" t="s">
        <v>0</v>
      </c>
      <c r="E3" s="174"/>
      <c r="F3" s="175" t="s">
        <v>1</v>
      </c>
      <c r="G3" s="174"/>
      <c r="H3" s="175" t="s">
        <v>2</v>
      </c>
      <c r="I3" s="176"/>
    </row>
    <row r="4" spans="1:33" s="1" customFormat="1" ht="23.25" customHeight="1" thickBot="1" x14ac:dyDescent="0.3">
      <c r="A4" s="20"/>
      <c r="B4" s="20"/>
      <c r="C4" s="20"/>
      <c r="D4" s="77" t="s">
        <v>3</v>
      </c>
      <c r="E4" s="78" t="s">
        <v>4</v>
      </c>
      <c r="F4" s="45" t="s">
        <v>53</v>
      </c>
      <c r="G4" s="45" t="s">
        <v>54</v>
      </c>
      <c r="H4" s="45" t="s">
        <v>53</v>
      </c>
      <c r="I4" s="46" t="s">
        <v>54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ht="15.75" thickBot="1" x14ac:dyDescent="0.3">
      <c r="A5" s="171" t="s">
        <v>55</v>
      </c>
      <c r="B5" s="139" t="s">
        <v>31</v>
      </c>
      <c r="C5" s="139" t="s">
        <v>36</v>
      </c>
      <c r="D5" s="9">
        <v>500</v>
      </c>
      <c r="E5" s="9">
        <v>550</v>
      </c>
      <c r="F5" s="9">
        <v>0</v>
      </c>
      <c r="G5" s="9">
        <v>0</v>
      </c>
      <c r="H5" s="9">
        <v>1200</v>
      </c>
      <c r="I5" s="10">
        <v>1500</v>
      </c>
    </row>
    <row r="6" spans="1:33" ht="15.75" thickBot="1" x14ac:dyDescent="0.3">
      <c r="A6" s="172"/>
      <c r="B6" s="139" t="s">
        <v>56</v>
      </c>
      <c r="C6" s="139" t="s">
        <v>37</v>
      </c>
      <c r="D6" s="81">
        <v>7300</v>
      </c>
      <c r="E6" s="81">
        <v>7300</v>
      </c>
      <c r="F6" s="81">
        <v>0</v>
      </c>
      <c r="G6" s="81">
        <v>0</v>
      </c>
      <c r="H6" s="81">
        <v>7300</v>
      </c>
      <c r="I6" s="81">
        <v>7300</v>
      </c>
    </row>
    <row r="7" spans="1:33" ht="15.75" thickBot="1" x14ac:dyDescent="0.3">
      <c r="A7" s="171" t="s">
        <v>57</v>
      </c>
      <c r="B7" s="139" t="s">
        <v>31</v>
      </c>
      <c r="C7" s="139" t="s">
        <v>58</v>
      </c>
      <c r="D7" s="11">
        <v>1000</v>
      </c>
      <c r="E7" s="11">
        <v>1300</v>
      </c>
      <c r="F7" s="11">
        <v>2800</v>
      </c>
      <c r="G7" s="11">
        <v>4000</v>
      </c>
      <c r="H7" s="11">
        <v>0</v>
      </c>
      <c r="I7" s="12">
        <v>0</v>
      </c>
    </row>
    <row r="8" spans="1:33" ht="15.75" thickBot="1" x14ac:dyDescent="0.3">
      <c r="A8" s="172"/>
      <c r="B8" s="139" t="s">
        <v>56</v>
      </c>
      <c r="C8" s="139" t="s">
        <v>59</v>
      </c>
      <c r="D8" s="81">
        <v>700</v>
      </c>
      <c r="E8" s="81">
        <v>700</v>
      </c>
      <c r="F8" s="81">
        <v>700</v>
      </c>
      <c r="G8" s="81">
        <v>700</v>
      </c>
      <c r="H8" s="81">
        <v>700</v>
      </c>
      <c r="I8" s="81">
        <v>700</v>
      </c>
    </row>
    <row r="9" spans="1:33" ht="15.75" thickBot="1" x14ac:dyDescent="0.3">
      <c r="A9" s="171" t="s">
        <v>60</v>
      </c>
      <c r="B9" s="139" t="s">
        <v>31</v>
      </c>
      <c r="C9" s="139" t="s">
        <v>61</v>
      </c>
      <c r="D9" s="11">
        <v>0</v>
      </c>
      <c r="E9" s="11">
        <v>0</v>
      </c>
      <c r="F9" s="11">
        <v>100</v>
      </c>
      <c r="G9" s="11">
        <v>120</v>
      </c>
      <c r="H9" s="11">
        <v>0</v>
      </c>
      <c r="I9" s="12">
        <v>0</v>
      </c>
    </row>
    <row r="10" spans="1:33" ht="15.75" thickBot="1" x14ac:dyDescent="0.3">
      <c r="A10" s="172"/>
      <c r="B10" s="139" t="s">
        <v>56</v>
      </c>
      <c r="C10" s="139" t="s">
        <v>62</v>
      </c>
      <c r="D10" s="121">
        <v>0</v>
      </c>
      <c r="E10" s="121">
        <v>0</v>
      </c>
      <c r="F10" s="121">
        <v>1500</v>
      </c>
      <c r="G10" s="121">
        <v>1500</v>
      </c>
      <c r="H10" s="121">
        <v>0</v>
      </c>
      <c r="I10" s="122">
        <v>0</v>
      </c>
    </row>
    <row r="11" spans="1:33" ht="15.75" thickBot="1" x14ac:dyDescent="0.3">
      <c r="A11" s="191" t="s">
        <v>117</v>
      </c>
      <c r="B11" s="192"/>
      <c r="C11" s="193"/>
      <c r="D11" s="81">
        <f>D5*D6</f>
        <v>3650000</v>
      </c>
      <c r="E11" s="81">
        <f t="shared" ref="E11:I11" si="0">E5*E6</f>
        <v>4015000</v>
      </c>
      <c r="F11" s="81">
        <f t="shared" si="0"/>
        <v>0</v>
      </c>
      <c r="G11" s="81">
        <f t="shared" si="0"/>
        <v>0</v>
      </c>
      <c r="H11" s="81">
        <f t="shared" si="0"/>
        <v>8760000</v>
      </c>
      <c r="I11" s="81">
        <f t="shared" si="0"/>
        <v>10950000</v>
      </c>
    </row>
    <row r="12" spans="1:33" ht="15.75" thickBot="1" x14ac:dyDescent="0.3">
      <c r="A12" s="191" t="s">
        <v>118</v>
      </c>
      <c r="B12" s="192"/>
      <c r="C12" s="193"/>
      <c r="D12" s="81">
        <f>D7*D8</f>
        <v>700000</v>
      </c>
      <c r="E12" s="81">
        <f t="shared" ref="E12:I12" si="1">E7*E8</f>
        <v>910000</v>
      </c>
      <c r="F12" s="81">
        <f t="shared" si="1"/>
        <v>1960000</v>
      </c>
      <c r="G12" s="81">
        <f>G7*G8</f>
        <v>2800000</v>
      </c>
      <c r="H12" s="81">
        <f t="shared" si="1"/>
        <v>0</v>
      </c>
      <c r="I12" s="81">
        <f t="shared" si="1"/>
        <v>0</v>
      </c>
    </row>
    <row r="13" spans="1:33" ht="15.75" thickBot="1" x14ac:dyDescent="0.3">
      <c r="A13" s="191" t="s">
        <v>119</v>
      </c>
      <c r="B13" s="192"/>
      <c r="C13" s="193"/>
      <c r="D13" s="81">
        <f>D9*D10</f>
        <v>0</v>
      </c>
      <c r="E13" s="81">
        <f t="shared" ref="E13:I13" si="2">E9*E10</f>
        <v>0</v>
      </c>
      <c r="F13" s="81">
        <f t="shared" si="2"/>
        <v>150000</v>
      </c>
      <c r="G13" s="81">
        <f>G9*G10</f>
        <v>180000</v>
      </c>
      <c r="H13" s="81">
        <f t="shared" si="2"/>
        <v>0</v>
      </c>
      <c r="I13" s="81">
        <f t="shared" si="2"/>
        <v>0</v>
      </c>
    </row>
    <row r="14" spans="1:33" ht="15.75" thickBot="1" x14ac:dyDescent="0.3">
      <c r="A14" s="20"/>
      <c r="D14" s="80"/>
      <c r="E14" s="80"/>
      <c r="F14" s="80"/>
      <c r="G14" s="80"/>
      <c r="H14" s="80"/>
      <c r="I14" s="80"/>
    </row>
    <row r="15" spans="1:33" ht="15.75" thickBot="1" x14ac:dyDescent="0.3">
      <c r="A15" s="20"/>
      <c r="D15" s="77" t="s">
        <v>3</v>
      </c>
      <c r="E15" s="78" t="s">
        <v>4</v>
      </c>
      <c r="F15" s="80"/>
      <c r="G15" s="80"/>
      <c r="H15" s="80"/>
      <c r="I15" s="80"/>
      <c r="J15" s="80"/>
    </row>
    <row r="16" spans="1:33" ht="15.75" thickBot="1" x14ac:dyDescent="0.3">
      <c r="A16" s="77" t="s">
        <v>63</v>
      </c>
      <c r="B16" s="198" t="s">
        <v>64</v>
      </c>
      <c r="C16" s="199"/>
      <c r="D16" s="82">
        <v>4225000</v>
      </c>
      <c r="E16" s="83">
        <v>4972000</v>
      </c>
      <c r="F16" s="80"/>
      <c r="G16" s="80"/>
      <c r="H16" s="80"/>
      <c r="I16" s="80"/>
      <c r="J16" s="80"/>
    </row>
    <row r="17" spans="1:10" x14ac:dyDescent="0.25">
      <c r="A17" s="101" t="s">
        <v>65</v>
      </c>
      <c r="B17" s="200" t="s">
        <v>64</v>
      </c>
      <c r="C17" s="201"/>
      <c r="D17" s="119">
        <v>4536000</v>
      </c>
      <c r="E17" s="119">
        <v>5328000</v>
      </c>
      <c r="F17" s="80"/>
      <c r="G17" s="80"/>
      <c r="H17" s="80"/>
      <c r="I17" s="80"/>
      <c r="J17" s="80"/>
    </row>
    <row r="18" spans="1:10" x14ac:dyDescent="0.25">
      <c r="A18" s="164" t="s">
        <v>84</v>
      </c>
      <c r="B18" s="164"/>
      <c r="C18" s="164"/>
      <c r="D18" s="120">
        <f>Producción!D14</f>
        <v>0.20576780561643621</v>
      </c>
      <c r="E18" s="120">
        <f>Producción!E14</f>
        <v>0.16929520561908115</v>
      </c>
      <c r="F18" s="120">
        <f>Producción!F14</f>
        <v>0.47408587061068103</v>
      </c>
      <c r="G18" s="120">
        <f>Producción!G14</f>
        <v>0.46981540115215686</v>
      </c>
      <c r="H18" s="120">
        <f>Producción!H14</f>
        <v>0.32014632377288282</v>
      </c>
      <c r="I18" s="120">
        <f>Producción!I14</f>
        <v>0.36088939322876201</v>
      </c>
      <c r="J18" s="80"/>
    </row>
    <row r="19" spans="1:10" x14ac:dyDescent="0.25">
      <c r="A19" s="164" t="s">
        <v>102</v>
      </c>
      <c r="B19" s="164"/>
      <c r="C19" s="164"/>
      <c r="D19" s="81">
        <f>SUM(D16:D17)</f>
        <v>8761000</v>
      </c>
      <c r="E19" s="81">
        <f>SUM(E16:E17)</f>
        <v>10300000</v>
      </c>
      <c r="F19" s="81"/>
      <c r="G19" s="81"/>
      <c r="H19" s="81"/>
      <c r="I19" s="81"/>
      <c r="J19" s="80"/>
    </row>
    <row r="20" spans="1:10" x14ac:dyDescent="0.25">
      <c r="A20" s="164" t="s">
        <v>103</v>
      </c>
      <c r="B20" s="164"/>
      <c r="C20" s="164"/>
      <c r="D20" s="81">
        <f>$D$19*D18</f>
        <v>1802731.7450055976</v>
      </c>
      <c r="E20" s="81">
        <f>$E$19*E18</f>
        <v>1743740.6178765357</v>
      </c>
      <c r="F20" s="81">
        <f>$D$19*F18</f>
        <v>4153466.3124201763</v>
      </c>
      <c r="G20" s="81">
        <f>$E$19*G18</f>
        <v>4839098.631867216</v>
      </c>
      <c r="H20" s="81">
        <f>$D$19*H18</f>
        <v>2804801.9425742263</v>
      </c>
      <c r="I20" s="81">
        <f>$E$19*I18</f>
        <v>3717160.7502562487</v>
      </c>
    </row>
    <row r="21" spans="1:10" x14ac:dyDescent="0.25">
      <c r="A21" s="164" t="s">
        <v>104</v>
      </c>
      <c r="B21" s="164"/>
      <c r="C21" s="164"/>
      <c r="D21" s="11">
        <f>Producción!D16</f>
        <v>1</v>
      </c>
      <c r="E21" s="11">
        <f>Producción!E16</f>
        <v>1.018</v>
      </c>
      <c r="F21" s="11">
        <f>Producción!F16</f>
        <v>1</v>
      </c>
      <c r="G21" s="11">
        <f>Producción!G16</f>
        <v>1.018</v>
      </c>
      <c r="H21" s="11">
        <f>Producción!H16</f>
        <v>1</v>
      </c>
      <c r="I21" s="11">
        <f>Producción!I16</f>
        <v>1.018</v>
      </c>
    </row>
    <row r="22" spans="1:10" x14ac:dyDescent="0.25">
      <c r="A22" s="164" t="s">
        <v>115</v>
      </c>
      <c r="B22" s="164"/>
      <c r="C22" s="164"/>
      <c r="D22" s="123">
        <f>D20/D21</f>
        <v>1802731.7450055976</v>
      </c>
      <c r="E22" s="123">
        <f t="shared" ref="E22:I22" si="3">E20/E21</f>
        <v>1712908.2690339251</v>
      </c>
      <c r="F22" s="123">
        <f t="shared" si="3"/>
        <v>4153466.3124201763</v>
      </c>
      <c r="G22" s="123">
        <f t="shared" si="3"/>
        <v>4753535.0018342007</v>
      </c>
      <c r="H22" s="123">
        <f t="shared" si="3"/>
        <v>2804801.9425742263</v>
      </c>
      <c r="I22" s="123">
        <f t="shared" si="3"/>
        <v>3651434.9216662562</v>
      </c>
    </row>
    <row r="23" spans="1:10" x14ac:dyDescent="0.25">
      <c r="A23" s="164" t="s">
        <v>116</v>
      </c>
      <c r="B23" s="164"/>
      <c r="C23" s="164"/>
      <c r="D23" s="94">
        <f>D22+D13+D12+D11</f>
        <v>6152731.7450055974</v>
      </c>
      <c r="E23" s="94">
        <f t="shared" ref="E23:I23" si="4">E22+E13+E12+E11</f>
        <v>6637908.2690339256</v>
      </c>
      <c r="F23" s="94">
        <f t="shared" si="4"/>
        <v>6263466.3124201763</v>
      </c>
      <c r="G23" s="94">
        <f>G22+G13+G12+G11</f>
        <v>7733535.0018342007</v>
      </c>
      <c r="H23" s="94">
        <f t="shared" si="4"/>
        <v>11564801.942574225</v>
      </c>
      <c r="I23" s="94">
        <f t="shared" si="4"/>
        <v>14601434.921666257</v>
      </c>
    </row>
    <row r="24" spans="1:10" x14ac:dyDescent="0.25">
      <c r="A24" s="124"/>
      <c r="B24" s="112"/>
      <c r="C24" s="112"/>
      <c r="D24" s="125"/>
      <c r="E24" s="125"/>
      <c r="F24" s="125"/>
      <c r="G24" s="125"/>
      <c r="H24" s="125"/>
      <c r="I24" s="125"/>
    </row>
    <row r="25" spans="1:10" x14ac:dyDescent="0.25">
      <c r="D25" s="111"/>
      <c r="E25" s="111"/>
      <c r="F25" s="111"/>
      <c r="G25" s="111"/>
      <c r="H25" s="111"/>
      <c r="I25" s="111"/>
    </row>
  </sheetData>
  <mergeCells count="17">
    <mergeCell ref="H3:I3"/>
    <mergeCell ref="A5:A6"/>
    <mergeCell ref="A7:A8"/>
    <mergeCell ref="B16:C16"/>
    <mergeCell ref="B17:C17"/>
    <mergeCell ref="A9:A10"/>
    <mergeCell ref="D3:E3"/>
    <mergeCell ref="F3:G3"/>
    <mergeCell ref="A11:C11"/>
    <mergeCell ref="A12:C12"/>
    <mergeCell ref="A13:C13"/>
    <mergeCell ref="A23:C23"/>
    <mergeCell ref="A18:C18"/>
    <mergeCell ref="A19:C19"/>
    <mergeCell ref="A20:C20"/>
    <mergeCell ref="A21:C21"/>
    <mergeCell ref="A22:C22"/>
  </mergeCells>
  <pageMargins left="0.7" right="0.7" top="0.75" bottom="0.75" header="0.3" footer="0.3"/>
  <pageSetup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A083-2FBA-4D63-8146-32EA746ACC9A}">
  <dimension ref="A1:I68"/>
  <sheetViews>
    <sheetView showGridLines="0" zoomScale="115" zoomScaleNormal="115" workbookViewId="0">
      <selection activeCell="D10" sqref="D10:I10"/>
    </sheetView>
  </sheetViews>
  <sheetFormatPr baseColWidth="10" defaultColWidth="11.42578125" defaultRowHeight="15" x14ac:dyDescent="0.25"/>
  <cols>
    <col min="1" max="1" width="11.42578125" style="18"/>
    <col min="2" max="2" width="11" style="18" customWidth="1"/>
    <col min="3" max="3" width="11.42578125" style="18"/>
    <col min="4" max="5" width="16.7109375" style="18" bestFit="1" customWidth="1"/>
    <col min="6" max="6" width="16.42578125" style="18" customWidth="1"/>
    <col min="7" max="7" width="16.140625" customWidth="1"/>
    <col min="8" max="8" width="15.140625" customWidth="1"/>
    <col min="9" max="9" width="14.7109375" customWidth="1"/>
  </cols>
  <sheetData>
    <row r="1" spans="1:9" s="18" customFormat="1" x14ac:dyDescent="0.25"/>
    <row r="2" spans="1:9" s="18" customFormat="1" x14ac:dyDescent="0.25">
      <c r="D2" s="100" t="s">
        <v>108</v>
      </c>
      <c r="E2" s="100" t="s">
        <v>109</v>
      </c>
    </row>
    <row r="3" spans="1:9" ht="23.25" customHeight="1" x14ac:dyDescent="0.25">
      <c r="A3" s="164" t="s">
        <v>127</v>
      </c>
      <c r="B3" s="100" t="s">
        <v>105</v>
      </c>
      <c r="C3" s="106" t="s">
        <v>64</v>
      </c>
      <c r="D3" s="114">
        <f>18463000</f>
        <v>18463000</v>
      </c>
      <c r="E3" s="114">
        <v>22144000</v>
      </c>
      <c r="F3" s="106"/>
      <c r="G3" s="3"/>
      <c r="H3" s="3"/>
      <c r="I3" s="3"/>
    </row>
    <row r="4" spans="1:9" s="1" customFormat="1" ht="23.25" customHeight="1" x14ac:dyDescent="0.25">
      <c r="A4" s="164"/>
      <c r="B4" s="100" t="s">
        <v>106</v>
      </c>
      <c r="C4" s="106" t="s">
        <v>64</v>
      </c>
      <c r="D4" s="140">
        <v>8000000</v>
      </c>
      <c r="E4" s="140">
        <v>0</v>
      </c>
      <c r="F4" s="133"/>
      <c r="G4" s="141"/>
      <c r="H4" s="141"/>
      <c r="I4" s="141"/>
    </row>
    <row r="5" spans="1:9" x14ac:dyDescent="0.25">
      <c r="A5" s="164"/>
      <c r="B5" s="100" t="s">
        <v>107</v>
      </c>
      <c r="C5" s="106" t="s">
        <v>64</v>
      </c>
      <c r="D5" s="114">
        <v>2500000</v>
      </c>
      <c r="E5" s="114">
        <v>2500000</v>
      </c>
      <c r="F5" s="106"/>
      <c r="G5" s="3"/>
      <c r="H5" s="3"/>
      <c r="I5" s="3"/>
    </row>
    <row r="6" spans="1:9" x14ac:dyDescent="0.25">
      <c r="A6" s="164" t="s">
        <v>110</v>
      </c>
      <c r="B6" s="164"/>
      <c r="C6" s="164"/>
      <c r="D6" s="114">
        <f>D5+D4+D3</f>
        <v>28963000</v>
      </c>
      <c r="E6" s="114">
        <f>E5+E4+E3</f>
        <v>24644000</v>
      </c>
      <c r="F6" s="106"/>
      <c r="G6" s="3"/>
      <c r="H6" s="3"/>
      <c r="I6" s="3"/>
    </row>
    <row r="7" spans="1:9" x14ac:dyDescent="0.25">
      <c r="A7" s="164" t="s">
        <v>84</v>
      </c>
      <c r="B7" s="164"/>
      <c r="C7" s="164"/>
      <c r="D7" s="142">
        <f>Producción!D14</f>
        <v>0.20576780561643621</v>
      </c>
      <c r="E7" s="142">
        <f>Producción!E14</f>
        <v>0.16929520561908115</v>
      </c>
      <c r="F7" s="142">
        <f>Producción!F14</f>
        <v>0.47408587061068103</v>
      </c>
      <c r="G7" s="142">
        <f>Producción!G14</f>
        <v>0.46981540115215686</v>
      </c>
      <c r="H7" s="142">
        <f>Producción!H14</f>
        <v>0.32014632377288282</v>
      </c>
      <c r="I7" s="142">
        <f>Producción!I14</f>
        <v>0.36088939322876201</v>
      </c>
    </row>
    <row r="8" spans="1:9" x14ac:dyDescent="0.25">
      <c r="A8" s="164" t="s">
        <v>111</v>
      </c>
      <c r="B8" s="164"/>
      <c r="C8" s="164"/>
      <c r="D8" s="108">
        <f>$D$6*D7</f>
        <v>5959652.9540688414</v>
      </c>
      <c r="E8" s="108">
        <f>$E$6*E7</f>
        <v>4172111.0472766361</v>
      </c>
      <c r="F8" s="108">
        <f>$D$6*F7</f>
        <v>13730949.070497155</v>
      </c>
      <c r="G8" s="108">
        <f>$E$6*G7</f>
        <v>11578130.745993754</v>
      </c>
      <c r="H8" s="108">
        <f>$D$6*H7</f>
        <v>9272397.9754340053</v>
      </c>
      <c r="I8" s="108">
        <f>$E$6*I7</f>
        <v>8893758.2067296114</v>
      </c>
    </row>
    <row r="9" spans="1:9" x14ac:dyDescent="0.25">
      <c r="A9" s="164" t="s">
        <v>112</v>
      </c>
      <c r="B9" s="164"/>
      <c r="C9" s="164"/>
      <c r="D9" s="106">
        <f>Producción!D16</f>
        <v>1</v>
      </c>
      <c r="E9" s="106">
        <f>Producción!E16</f>
        <v>1.018</v>
      </c>
      <c r="F9" s="106">
        <f>Producción!F16</f>
        <v>1</v>
      </c>
      <c r="G9" s="106">
        <f>Producción!G16</f>
        <v>1.018</v>
      </c>
      <c r="H9" s="106">
        <f>Producción!H16</f>
        <v>1</v>
      </c>
      <c r="I9" s="106">
        <f>Producción!I16</f>
        <v>1.018</v>
      </c>
    </row>
    <row r="10" spans="1:9" x14ac:dyDescent="0.25">
      <c r="A10" s="164" t="s">
        <v>113</v>
      </c>
      <c r="B10" s="164"/>
      <c r="C10" s="164"/>
      <c r="D10" s="143">
        <f>D8/D9</f>
        <v>5959652.9540688414</v>
      </c>
      <c r="E10" s="143">
        <f t="shared" ref="E10:I10" si="0">E8/E9</f>
        <v>4098340.9108807822</v>
      </c>
      <c r="F10" s="143">
        <f t="shared" si="0"/>
        <v>13730949.070497155</v>
      </c>
      <c r="G10" s="143">
        <f t="shared" si="0"/>
        <v>11373409.377204081</v>
      </c>
      <c r="H10" s="143">
        <f t="shared" si="0"/>
        <v>9272397.9754340053</v>
      </c>
      <c r="I10" s="143">
        <f t="shared" si="0"/>
        <v>8736501.1853925455</v>
      </c>
    </row>
    <row r="21" spans="1:6" s="18" customFormat="1" x14ac:dyDescent="0.25"/>
    <row r="22" spans="1:6" ht="23.25" customHeight="1" x14ac:dyDescent="0.25"/>
    <row r="23" spans="1:6" s="1" customFormat="1" ht="23.25" customHeight="1" x14ac:dyDescent="0.25">
      <c r="A23" s="35"/>
      <c r="B23" s="35"/>
      <c r="C23" s="35"/>
      <c r="D23" s="35"/>
      <c r="E23" s="35"/>
      <c r="F23" s="35"/>
    </row>
    <row r="28" spans="1:6" s="18" customFormat="1" x14ac:dyDescent="0.25"/>
    <row r="29" spans="1:6" s="18" customFormat="1" x14ac:dyDescent="0.25"/>
    <row r="30" spans="1:6" s="18" customFormat="1" x14ac:dyDescent="0.25"/>
    <row r="31" spans="1:6" s="18" customFormat="1" x14ac:dyDescent="0.25"/>
    <row r="34" s="18" customFormat="1" x14ac:dyDescent="0.25"/>
    <row r="36" s="18" customFormat="1" x14ac:dyDescent="0.25"/>
    <row r="37" s="18" customFormat="1" x14ac:dyDescent="0.25"/>
    <row r="38" s="18" customFormat="1" ht="29.25" customHeight="1" x14ac:dyDescent="0.25"/>
    <row r="39" s="18" customFormat="1" ht="29.25" customHeight="1" x14ac:dyDescent="0.25"/>
    <row r="40" s="18" customFormat="1" ht="29.25" customHeight="1" x14ac:dyDescent="0.25"/>
    <row r="41" s="18" customFormat="1" ht="29.25" customHeight="1" x14ac:dyDescent="0.25"/>
    <row r="42" s="18" customFormat="1" ht="29.25" customHeigh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57" s="18" customFormat="1" ht="29.25" customHeight="1" x14ac:dyDescent="0.25"/>
    <row r="58" s="18" customFormat="1" ht="29.25" customHeight="1" x14ac:dyDescent="0.25"/>
    <row r="59" s="18" customFormat="1" ht="29.25" customHeight="1" x14ac:dyDescent="0.25"/>
    <row r="66" s="18" customFormat="1" ht="29.25" customHeight="1" x14ac:dyDescent="0.25"/>
    <row r="67" s="18" customFormat="1" ht="29.25" customHeight="1" x14ac:dyDescent="0.25"/>
    <row r="68" s="18" customFormat="1" ht="29.25" customHeight="1" x14ac:dyDescent="0.25"/>
  </sheetData>
  <mergeCells count="6">
    <mergeCell ref="A3:A5"/>
    <mergeCell ref="A6:C6"/>
    <mergeCell ref="A7:C7"/>
    <mergeCell ref="A8:C8"/>
    <mergeCell ref="A10:C10"/>
    <mergeCell ref="A9:C9"/>
  </mergeCells>
  <pageMargins left="0.7" right="0.7" top="0.75" bottom="0.75" header="0.3" footer="0.3"/>
  <pageSetup scale="44" orientation="portrait" r:id="rId1"/>
  <rowBreaks count="1" manualBreakCount="1">
    <brk id="4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zoomScale="130" zoomScaleNormal="130" workbookViewId="0">
      <selection activeCell="B2" sqref="B2"/>
    </sheetView>
  </sheetViews>
  <sheetFormatPr baseColWidth="10" defaultColWidth="11.42578125" defaultRowHeight="15" x14ac:dyDescent="0.25"/>
  <cols>
    <col min="1" max="1" width="11.42578125" style="18"/>
    <col min="2" max="2" width="25.140625" style="18" customWidth="1"/>
    <col min="3" max="3" width="21.28515625" style="18" customWidth="1"/>
    <col min="4" max="4" width="11.42578125" style="18"/>
    <col min="5" max="5" width="16.42578125" style="18" customWidth="1"/>
    <col min="6" max="14" width="11.42578125" style="18"/>
  </cols>
  <sheetData>
    <row r="1" spans="1:14" ht="30" customHeight="1" x14ac:dyDescent="0.25">
      <c r="C1" s="43" t="s">
        <v>66</v>
      </c>
      <c r="D1" s="43" t="s">
        <v>67</v>
      </c>
    </row>
    <row r="2" spans="1:14" x14ac:dyDescent="0.25">
      <c r="B2" s="42" t="s">
        <v>68</v>
      </c>
      <c r="C2" s="15">
        <v>15000000</v>
      </c>
      <c r="D2" s="41">
        <v>0.04</v>
      </c>
      <c r="E2" s="105">
        <f>C2*D2</f>
        <v>600000</v>
      </c>
    </row>
    <row r="3" spans="1:14" x14ac:dyDescent="0.25">
      <c r="B3" s="42" t="s">
        <v>69</v>
      </c>
      <c r="C3" s="15">
        <v>35000000</v>
      </c>
      <c r="D3" s="41">
        <v>0.03</v>
      </c>
      <c r="E3" s="105">
        <f t="shared" ref="E3:E6" si="0">C3*D3</f>
        <v>1050000</v>
      </c>
    </row>
    <row r="4" spans="1:14" x14ac:dyDescent="0.25">
      <c r="B4" s="42" t="s">
        <v>70</v>
      </c>
      <c r="C4" s="15">
        <v>8000000</v>
      </c>
      <c r="D4" s="41">
        <v>0.05</v>
      </c>
      <c r="E4" s="105">
        <f t="shared" si="0"/>
        <v>400000</v>
      </c>
    </row>
    <row r="5" spans="1:14" x14ac:dyDescent="0.25">
      <c r="B5" s="42" t="s">
        <v>71</v>
      </c>
      <c r="C5" s="15">
        <v>25000000</v>
      </c>
      <c r="D5" s="41">
        <v>0.11</v>
      </c>
      <c r="E5" s="105">
        <f t="shared" si="0"/>
        <v>2750000</v>
      </c>
    </row>
    <row r="6" spans="1:14" x14ac:dyDescent="0.25">
      <c r="B6" s="42" t="s">
        <v>72</v>
      </c>
      <c r="C6" s="15">
        <v>25000000</v>
      </c>
      <c r="D6" s="41">
        <v>7.0000000000000007E-2</v>
      </c>
      <c r="E6" s="105">
        <f t="shared" si="0"/>
        <v>1750000.0000000002</v>
      </c>
    </row>
    <row r="7" spans="1:14" x14ac:dyDescent="0.25">
      <c r="B7" s="42" t="s">
        <v>46</v>
      </c>
      <c r="C7" s="47">
        <f>+SUM(C2:C6)</f>
        <v>108000000</v>
      </c>
      <c r="E7" s="105">
        <f>SUM(E2:E6)</f>
        <v>6550000</v>
      </c>
    </row>
    <row r="9" spans="1:14" s="68" customFormat="1" ht="30" x14ac:dyDescent="0.25">
      <c r="A9" s="66"/>
      <c r="B9" s="67" t="s">
        <v>73</v>
      </c>
      <c r="C9" s="150">
        <f>+SUMPRODUCT(C2:C6,D2:D6)/C7</f>
        <v>6.0648148148148145E-2</v>
      </c>
      <c r="D9" s="66"/>
      <c r="E9" s="152">
        <f>E7/C7</f>
        <v>6.0648148148148145E-2</v>
      </c>
      <c r="F9" s="66"/>
      <c r="G9" s="66"/>
      <c r="H9" s="66"/>
      <c r="I9" s="66"/>
      <c r="J9" s="66"/>
      <c r="K9" s="66"/>
      <c r="L9" s="66"/>
      <c r="M9" s="66"/>
      <c r="N9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A1D1-2BCD-4BF5-BAE1-D64603FEA8B6}">
  <dimension ref="D2:J16"/>
  <sheetViews>
    <sheetView showGridLines="0" topLeftCell="C1" workbookViewId="0">
      <selection activeCell="E16" sqref="E16"/>
    </sheetView>
  </sheetViews>
  <sheetFormatPr baseColWidth="10" defaultColWidth="11.42578125" defaultRowHeight="15" x14ac:dyDescent="0.25"/>
  <cols>
    <col min="5" max="10" width="22.42578125" customWidth="1"/>
  </cols>
  <sheetData>
    <row r="2" spans="4:10" ht="15.75" thickBot="1" x14ac:dyDescent="0.3"/>
    <row r="3" spans="4:10" x14ac:dyDescent="0.25">
      <c r="E3" s="158" t="s">
        <v>0</v>
      </c>
      <c r="F3" s="159"/>
      <c r="G3" s="159" t="s">
        <v>1</v>
      </c>
      <c r="H3" s="159"/>
      <c r="I3" s="159" t="s">
        <v>2</v>
      </c>
      <c r="J3" s="160"/>
    </row>
    <row r="4" spans="4:10" ht="15.75" thickBot="1" x14ac:dyDescent="0.3">
      <c r="E4" s="44" t="s">
        <v>3</v>
      </c>
      <c r="F4" s="45" t="s">
        <v>4</v>
      </c>
      <c r="G4" s="44" t="s">
        <v>3</v>
      </c>
      <c r="H4" s="45" t="s">
        <v>4</v>
      </c>
      <c r="I4" s="44" t="s">
        <v>3</v>
      </c>
      <c r="J4" s="45" t="s">
        <v>4</v>
      </c>
    </row>
    <row r="5" spans="4:10" ht="15.75" thickBot="1" x14ac:dyDescent="0.3">
      <c r="D5" s="77" t="s">
        <v>74</v>
      </c>
      <c r="E5" s="95">
        <f>Producción!D19</f>
        <v>133072097.57020545</v>
      </c>
      <c r="F5" s="95">
        <f>Producción!E19</f>
        <v>121715171.57172853</v>
      </c>
      <c r="G5" s="95">
        <f>Producción!F19</f>
        <v>306596073.38263351</v>
      </c>
      <c r="H5" s="95">
        <f>Producción!G19</f>
        <v>337774846.89637369</v>
      </c>
      <c r="I5" s="95">
        <f>Producción!H19</f>
        <v>207041829.04716104</v>
      </c>
      <c r="J5" s="95">
        <f>Producción!I19</f>
        <v>259462246.75783101</v>
      </c>
    </row>
    <row r="6" spans="4:10" ht="15.75" thickBot="1" x14ac:dyDescent="0.3"/>
    <row r="7" spans="4:10" x14ac:dyDescent="0.25">
      <c r="D7" s="69" t="s">
        <v>75</v>
      </c>
      <c r="E7" s="115">
        <f>'Recurso Humano'!D39</f>
        <v>13191650.023914266</v>
      </c>
      <c r="F7" s="115">
        <f>'Recurso Humano'!E39</f>
        <v>11089962.696615331</v>
      </c>
      <c r="G7" s="115">
        <f>'Recurso Humano'!F39</f>
        <v>30843525.712226134</v>
      </c>
      <c r="H7" s="115">
        <f>'Recurso Humano'!G39</f>
        <v>31269456.222626474</v>
      </c>
      <c r="I7" s="115">
        <f>'Recurso Humano'!H39</f>
        <v>21199333.194415156</v>
      </c>
      <c r="J7" s="115">
        <f>'Recurso Humano'!I39</f>
        <v>24482184.660619304</v>
      </c>
    </row>
    <row r="8" spans="4:10" x14ac:dyDescent="0.25">
      <c r="D8" s="86" t="s">
        <v>76</v>
      </c>
      <c r="E8" s="116">
        <f>'Materia Prima '!D30</f>
        <v>104580000</v>
      </c>
      <c r="F8" s="116">
        <f>'Materia Prima '!E30</f>
        <v>130487000</v>
      </c>
      <c r="G8" s="116">
        <f>'Materia Prima '!F30</f>
        <v>305652000</v>
      </c>
      <c r="H8" s="116">
        <f>'Materia Prima '!G30</f>
        <v>380968000</v>
      </c>
      <c r="I8" s="116">
        <f>'Materia Prima '!H30</f>
        <v>9500000</v>
      </c>
      <c r="J8" s="116">
        <f>'Materia Prima '!I30</f>
        <v>11750000</v>
      </c>
    </row>
    <row r="9" spans="4:10" x14ac:dyDescent="0.25">
      <c r="D9" s="86" t="s">
        <v>77</v>
      </c>
      <c r="E9" s="81">
        <f>Capital!D36</f>
        <v>3202946.9806998149</v>
      </c>
      <c r="F9" s="81">
        <f>Capital!E36</f>
        <v>3361126.6478144526</v>
      </c>
      <c r="G9" s="81">
        <f>Capital!F36</f>
        <v>5468371.4998011524</v>
      </c>
      <c r="H9" s="81">
        <f>Capital!G36</f>
        <v>6037306.8515490741</v>
      </c>
      <c r="I9" s="81">
        <f>Capital!H36</f>
        <v>3591459.2972768103</v>
      </c>
      <c r="J9" s="81">
        <f>Capital!I36</f>
        <v>8951678.7395944875</v>
      </c>
    </row>
    <row r="10" spans="4:10" x14ac:dyDescent="0.25">
      <c r="D10" s="86" t="s">
        <v>78</v>
      </c>
      <c r="E10" s="117">
        <f>Energía!D23</f>
        <v>6152731.7450055974</v>
      </c>
      <c r="F10" s="117">
        <f>Energía!E23</f>
        <v>6637908.2690339256</v>
      </c>
      <c r="G10" s="117">
        <f>Energía!F23</f>
        <v>6263466.3124201763</v>
      </c>
      <c r="H10" s="117">
        <f>Energía!G23</f>
        <v>7733535.0018342007</v>
      </c>
      <c r="I10" s="117">
        <f>Energía!H23</f>
        <v>11564801.942574225</v>
      </c>
      <c r="J10" s="117">
        <f>Energía!I23</f>
        <v>14601434.921666257</v>
      </c>
    </row>
    <row r="11" spans="4:10" ht="15.75" thickBot="1" x14ac:dyDescent="0.3">
      <c r="D11" s="39" t="s">
        <v>79</v>
      </c>
      <c r="E11" s="118">
        <f>Otros!D10</f>
        <v>5959652.9540688414</v>
      </c>
      <c r="F11" s="118">
        <f>Otros!E10</f>
        <v>4098340.9108807822</v>
      </c>
      <c r="G11" s="118">
        <f>Otros!F10</f>
        <v>13730949.070497155</v>
      </c>
      <c r="H11" s="118">
        <f>Otros!G10</f>
        <v>11373409.377204081</v>
      </c>
      <c r="I11" s="118">
        <f>Otros!H10</f>
        <v>9272397.9754340053</v>
      </c>
      <c r="J11" s="118">
        <f>Otros!I10</f>
        <v>8736501.1853925455</v>
      </c>
    </row>
    <row r="12" spans="4:10" ht="15.75" thickBot="1" x14ac:dyDescent="0.3"/>
    <row r="13" spans="4:10" ht="15.75" thickBot="1" x14ac:dyDescent="0.3">
      <c r="D13" s="77" t="s">
        <v>80</v>
      </c>
      <c r="E13" s="148">
        <f>SUM(E7:E11)</f>
        <v>133086981.70368852</v>
      </c>
      <c r="F13" s="149">
        <f>SUM(F7:F11)</f>
        <v>155674338.5243445</v>
      </c>
      <c r="G13" s="149">
        <f t="shared" ref="G13:J13" si="0">SUM(G7:G11)</f>
        <v>361958312.59494466</v>
      </c>
      <c r="H13" s="149">
        <f t="shared" si="0"/>
        <v>437381707.45321381</v>
      </c>
      <c r="I13" s="149">
        <f t="shared" si="0"/>
        <v>55127992.4097002</v>
      </c>
      <c r="J13" s="149">
        <f t="shared" si="0"/>
        <v>68521799.507272601</v>
      </c>
    </row>
    <row r="14" spans="4:10" ht="15.75" thickBot="1" x14ac:dyDescent="0.3"/>
    <row r="15" spans="4:10" ht="15.75" thickBot="1" x14ac:dyDescent="0.3">
      <c r="D15" s="77" t="s">
        <v>114</v>
      </c>
      <c r="E15" s="146">
        <f t="shared" ref="E15:J15" si="1">E5/E13</f>
        <v>0.99988816236349698</v>
      </c>
      <c r="F15" s="147">
        <f t="shared" si="1"/>
        <v>0.78185764414020353</v>
      </c>
      <c r="G15" s="147">
        <f t="shared" si="1"/>
        <v>0.84704802380304722</v>
      </c>
      <c r="H15" s="147">
        <f t="shared" si="1"/>
        <v>0.77226560036808367</v>
      </c>
      <c r="I15" s="147">
        <f t="shared" si="1"/>
        <v>3.7556569720237158</v>
      </c>
      <c r="J15" s="147">
        <f t="shared" si="1"/>
        <v>3.7865649855020638</v>
      </c>
    </row>
    <row r="16" spans="4:10" x14ac:dyDescent="0.25">
      <c r="E16" s="151">
        <f>(E5+G5+I5)/SUM(E7:E11,G7:G11,I7:I11)</f>
        <v>1.1754660133886949</v>
      </c>
      <c r="F16" s="151">
        <f>(F5+H5+J5)/SUM(F7:F11,H7:H11,J7:J11)</f>
        <v>1.0867236110348528</v>
      </c>
    </row>
  </sheetData>
  <mergeCells count="3">
    <mergeCell ref="E3:F3"/>
    <mergeCell ref="G3:H3"/>
    <mergeCell ref="I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355794C5BE04DB0FF29EA9C3F218B" ma:contentTypeVersion="2" ma:contentTypeDescription="Create a new document." ma:contentTypeScope="" ma:versionID="9c7c8ad8170bb9600fea259858fbfb55">
  <xsd:schema xmlns:xsd="http://www.w3.org/2001/XMLSchema" xmlns:xs="http://www.w3.org/2001/XMLSchema" xmlns:p="http://schemas.microsoft.com/office/2006/metadata/properties" xmlns:ns2="99623079-5564-4b5a-bb99-e8b92ea83b0c" targetNamespace="http://schemas.microsoft.com/office/2006/metadata/properties" ma:root="true" ma:fieldsID="9dcbdbaae3df6dec04f6eacc043ec755" ns2:_="">
    <xsd:import namespace="99623079-5564-4b5a-bb99-e8b92ea83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23079-5564-4b5a-bb99-e8b92ea83b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C3661C-B442-4BD0-9E42-8E1C19C1F3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3AB99C-BF7C-40DC-B1A6-EEDA8CC39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23079-5564-4b5a-bb99-e8b92ea83b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5CDF82-B730-4261-B961-EAAD70AAF4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Producción</vt:lpstr>
      <vt:lpstr>Recurso Humano</vt:lpstr>
      <vt:lpstr>Materia Prima </vt:lpstr>
      <vt:lpstr>Capital</vt:lpstr>
      <vt:lpstr>Energía</vt:lpstr>
      <vt:lpstr>Otros</vt:lpstr>
      <vt:lpstr>Datos costo del capital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Helena Mancera Mendez</dc:creator>
  <cp:keywords/>
  <dc:description/>
  <cp:lastModifiedBy>Nestor Andres Tabares David</cp:lastModifiedBy>
  <cp:revision/>
  <dcterms:created xsi:type="dcterms:W3CDTF">2016-02-03T01:08:10Z</dcterms:created>
  <dcterms:modified xsi:type="dcterms:W3CDTF">2023-03-01T00:10:17Z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0x01010091D355794C5BE04DB0FF29EA9C3F218B</vt:lpwstr>
  </property>
</Properties>
</file>