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1bbc4b8e75d203/Documents/PersonalProjects/Project1/"/>
    </mc:Choice>
  </mc:AlternateContent>
  <xr:revisionPtr revIDLastSave="3366" documentId="8_{64A65537-D4AD-420B-99DB-FF8D43B2B316}" xr6:coauthVersionLast="47" xr6:coauthVersionMax="47" xr10:uidLastSave="{68944A2D-EC01-4FC2-BBF8-96FBA70E7DB9}"/>
  <bookViews>
    <workbookView xWindow="-108" yWindow="-108" windowWidth="23256" windowHeight="12456" firstSheet="6" activeTab="9" xr2:uid="{BF5AFC54-7E60-4593-81E6-AD47B5B34CB7}"/>
  </bookViews>
  <sheets>
    <sheet name="Cover Page" sheetId="12" r:id="rId1"/>
    <sheet name="Assumptions" sheetId="4" r:id="rId2"/>
    <sheet name="Calculations" sheetId="10" r:id="rId3"/>
    <sheet name="Formula Reference" sheetId="13" r:id="rId4"/>
    <sheet name="Forecasted Income Statement" sheetId="1" r:id="rId5"/>
    <sheet name="Forecasted Balance Sheet" sheetId="7" r:id="rId6"/>
    <sheet name="Forecasted Cash Flow Statement " sheetId="8" r:id="rId7"/>
    <sheet name="DCF Valuation" sheetId="9" r:id="rId8"/>
    <sheet name="Sensitivity Analysis" sheetId="11" r:id="rId9"/>
    <sheet name="Balance Sheet - Full" sheetId="2" r:id="rId10"/>
    <sheet name="Income Statement - Full" sheetId="5" r:id="rId11"/>
    <sheet name="Cash Flow Statement - Full" sheetId="3" r:id="rId12"/>
  </sheets>
  <externalReferences>
    <externalReference r:id="rId13"/>
  </externalReferences>
  <definedNames>
    <definedName name="solver_eng" localSheetId="8" hidden="1">1</definedName>
    <definedName name="solver_neg" localSheetId="8" hidden="1">1</definedName>
    <definedName name="solver_num" localSheetId="8" hidden="1">0</definedName>
    <definedName name="solver_opt" localSheetId="8" hidden="1">'Sensitivity Analysis'!$B$4</definedName>
    <definedName name="solver_typ" localSheetId="8" hidden="1">1</definedName>
    <definedName name="solver_val" localSheetId="8" hidden="1">0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B4" i="11" l="1"/>
  <c r="A11" i="11"/>
  <c r="B9" i="4"/>
  <c r="B10" i="4"/>
  <c r="B29" i="4"/>
  <c r="B28" i="4"/>
  <c r="K15" i="1" l="1"/>
  <c r="J15" i="1"/>
  <c r="I15" i="1"/>
  <c r="H15" i="1"/>
  <c r="G15" i="1"/>
  <c r="C6" i="9"/>
  <c r="C8" i="9"/>
  <c r="C5" i="9"/>
  <c r="C4" i="9"/>
  <c r="B27" i="4"/>
  <c r="B26" i="4" s="1"/>
  <c r="B30" i="4" s="1"/>
  <c r="I4" i="9" s="1"/>
  <c r="C7" i="9"/>
  <c r="B3" i="11" l="1"/>
  <c r="D8" i="11"/>
  <c r="I8" i="9"/>
  <c r="I6" i="9"/>
  <c r="I5" i="9"/>
  <c r="I7" i="9"/>
  <c r="B20" i="8" l="1"/>
  <c r="C20" i="8"/>
  <c r="D20" i="8"/>
  <c r="E20" i="8"/>
  <c r="F20" i="8"/>
  <c r="C13" i="8"/>
  <c r="D13" i="8"/>
  <c r="E13" i="8"/>
  <c r="F13" i="8"/>
  <c r="B13" i="8"/>
  <c r="G9" i="7"/>
  <c r="H9" i="7" s="1"/>
  <c r="G19" i="7"/>
  <c r="H19" i="7" s="1"/>
  <c r="I19" i="7" s="1"/>
  <c r="J19" i="7" s="1"/>
  <c r="K19" i="7" s="1"/>
  <c r="B15" i="4"/>
  <c r="B14" i="4"/>
  <c r="B20" i="4"/>
  <c r="B19" i="4"/>
  <c r="B8" i="4"/>
  <c r="B7" i="4"/>
  <c r="B5" i="4"/>
  <c r="B4" i="4"/>
  <c r="G4" i="1" s="1"/>
  <c r="H8" i="1" l="1"/>
  <c r="G8" i="1"/>
  <c r="I8" i="1"/>
  <c r="J8" i="1"/>
  <c r="K8" i="1"/>
  <c r="K10" i="1"/>
  <c r="J10" i="1"/>
  <c r="I10" i="1"/>
  <c r="G10" i="1"/>
  <c r="H10" i="1"/>
  <c r="H4" i="1"/>
  <c r="G5" i="1"/>
  <c r="G6" i="1" s="1"/>
  <c r="G11" i="1" s="1"/>
  <c r="I9" i="7"/>
  <c r="H12" i="8"/>
  <c r="B4" i="10"/>
  <c r="G7" i="7"/>
  <c r="G8" i="7"/>
  <c r="G12" i="1" l="1"/>
  <c r="G13" i="1" s="1"/>
  <c r="G14" i="1" s="1"/>
  <c r="H5" i="1"/>
  <c r="H16" i="7" s="1"/>
  <c r="I4" i="1"/>
  <c r="H8" i="7"/>
  <c r="H10" i="8" s="1"/>
  <c r="B4" i="9"/>
  <c r="G10" i="8"/>
  <c r="G9" i="8"/>
  <c r="C4" i="10"/>
  <c r="F4" i="9" s="1"/>
  <c r="D4" i="10"/>
  <c r="B5" i="10"/>
  <c r="H7" i="7"/>
  <c r="I12" i="8"/>
  <c r="J9" i="7"/>
  <c r="B5" i="9" l="1"/>
  <c r="I5" i="1"/>
  <c r="I6" i="1" s="1"/>
  <c r="I11" i="1" s="1"/>
  <c r="J4" i="1"/>
  <c r="H6" i="1"/>
  <c r="H11" i="1" s="1"/>
  <c r="E4" i="9"/>
  <c r="H9" i="8"/>
  <c r="J12" i="8"/>
  <c r="K9" i="7"/>
  <c r="K12" i="8" s="1"/>
  <c r="C5" i="10"/>
  <c r="F5" i="9" s="1"/>
  <c r="D5" i="10"/>
  <c r="B6" i="10"/>
  <c r="C6" i="10" s="1"/>
  <c r="I7" i="7"/>
  <c r="I8" i="7"/>
  <c r="G11" i="7"/>
  <c r="G7" i="8"/>
  <c r="G16" i="7"/>
  <c r="G4" i="9" s="1"/>
  <c r="H18" i="7"/>
  <c r="H21" i="7"/>
  <c r="B6" i="9" l="1"/>
  <c r="I12" i="1"/>
  <c r="I13" i="1" s="1"/>
  <c r="I14" i="1" s="1"/>
  <c r="H12" i="1"/>
  <c r="H13" i="1" s="1"/>
  <c r="K4" i="1"/>
  <c r="J5" i="1"/>
  <c r="B7" i="9" s="1"/>
  <c r="I16" i="7"/>
  <c r="G6" i="9" s="1"/>
  <c r="G5" i="9"/>
  <c r="D5" i="9"/>
  <c r="I10" i="8"/>
  <c r="G5" i="8"/>
  <c r="G19" i="8" s="1"/>
  <c r="G20" i="8" s="1"/>
  <c r="D4" i="9"/>
  <c r="G23" i="7"/>
  <c r="I9" i="8"/>
  <c r="G18" i="7"/>
  <c r="H7" i="8"/>
  <c r="E5" i="9"/>
  <c r="D6" i="10"/>
  <c r="F6" i="9"/>
  <c r="B35" i="4"/>
  <c r="B7" i="10"/>
  <c r="J8" i="7"/>
  <c r="J7" i="7"/>
  <c r="G21" i="7"/>
  <c r="G11" i="8"/>
  <c r="H11" i="8"/>
  <c r="H11" i="7"/>
  <c r="G15" i="8"/>
  <c r="G16" i="8" s="1"/>
  <c r="J16" i="7" l="1"/>
  <c r="H14" i="1"/>
  <c r="H5" i="8"/>
  <c r="J6" i="1"/>
  <c r="J11" i="1" s="1"/>
  <c r="K5" i="1"/>
  <c r="K6" i="1" s="1"/>
  <c r="K11" i="1" s="1"/>
  <c r="H5" i="9"/>
  <c r="J5" i="9" s="1"/>
  <c r="J10" i="8"/>
  <c r="H23" i="7"/>
  <c r="I23" i="7" s="1"/>
  <c r="G13" i="8"/>
  <c r="G25" i="7"/>
  <c r="G6" i="7" s="1"/>
  <c r="G10" i="7" s="1"/>
  <c r="G13" i="7" s="1"/>
  <c r="I7" i="8"/>
  <c r="E6" i="9"/>
  <c r="D6" i="9"/>
  <c r="H4" i="9"/>
  <c r="J4" i="9" s="1"/>
  <c r="J9" i="8"/>
  <c r="G7" i="9"/>
  <c r="I11" i="8"/>
  <c r="I21" i="7"/>
  <c r="I18" i="7"/>
  <c r="I5" i="8"/>
  <c r="H13" i="8"/>
  <c r="H19" i="8"/>
  <c r="H20" i="8" s="1"/>
  <c r="J11" i="8"/>
  <c r="J21" i="7"/>
  <c r="J18" i="7"/>
  <c r="D7" i="10"/>
  <c r="C7" i="10"/>
  <c r="F7" i="9" s="1"/>
  <c r="I11" i="7"/>
  <c r="H15" i="8"/>
  <c r="H16" i="8" s="1"/>
  <c r="K16" i="7"/>
  <c r="B8" i="10"/>
  <c r="K8" i="7"/>
  <c r="K7" i="7"/>
  <c r="K12" i="1" l="1"/>
  <c r="K13" i="1" s="1"/>
  <c r="K14" i="1" s="1"/>
  <c r="B8" i="9"/>
  <c r="J12" i="1"/>
  <c r="J13" i="1" s="1"/>
  <c r="J14" i="1" s="1"/>
  <c r="K10" i="8"/>
  <c r="H25" i="7"/>
  <c r="H26" i="7" s="1"/>
  <c r="H6" i="9"/>
  <c r="J6" i="9" s="1"/>
  <c r="G26" i="7"/>
  <c r="J7" i="8"/>
  <c r="E7" i="9"/>
  <c r="K9" i="8"/>
  <c r="G8" i="9"/>
  <c r="D8" i="10"/>
  <c r="C8" i="10"/>
  <c r="F8" i="9" s="1"/>
  <c r="J11" i="7"/>
  <c r="I15" i="8"/>
  <c r="I16" i="8" s="1"/>
  <c r="I19" i="8"/>
  <c r="I20" i="8" s="1"/>
  <c r="I13" i="8"/>
  <c r="K11" i="8"/>
  <c r="K21" i="7"/>
  <c r="K18" i="7"/>
  <c r="I25" i="7"/>
  <c r="H6" i="7"/>
  <c r="J23" i="7" l="1"/>
  <c r="J25" i="7" s="1"/>
  <c r="J5" i="8"/>
  <c r="J19" i="8" s="1"/>
  <c r="J20" i="8" s="1"/>
  <c r="D7" i="9"/>
  <c r="H7" i="9" s="1"/>
  <c r="J7" i="9" s="1"/>
  <c r="K7" i="8"/>
  <c r="E8" i="9"/>
  <c r="K11" i="7"/>
  <c r="J15" i="8"/>
  <c r="J16" i="8" s="1"/>
  <c r="H10" i="7"/>
  <c r="H13" i="7" s="1"/>
  <c r="I6" i="7"/>
  <c r="I10" i="7" s="1"/>
  <c r="I13" i="7" s="1"/>
  <c r="I26" i="7"/>
  <c r="D8" i="9" l="1"/>
  <c r="H8" i="9" s="1"/>
  <c r="B11" i="9" s="1"/>
  <c r="K5" i="8"/>
  <c r="K19" i="8" s="1"/>
  <c r="K20" i="8" s="1"/>
  <c r="K23" i="7"/>
  <c r="J13" i="8"/>
  <c r="K15" i="8"/>
  <c r="K16" i="8" s="1"/>
  <c r="J6" i="7"/>
  <c r="J10" i="7" s="1"/>
  <c r="J13" i="7" s="1"/>
  <c r="J26" i="7"/>
  <c r="K25" i="7" l="1"/>
  <c r="K26" i="7" s="1"/>
  <c r="K13" i="8"/>
  <c r="B12" i="9"/>
  <c r="J8" i="9"/>
  <c r="B10" i="9" s="1"/>
  <c r="K6" i="7" l="1"/>
  <c r="K10" i="7" s="1"/>
  <c r="K13" i="7" s="1"/>
  <c r="B14" i="9"/>
  <c r="B15" i="9" l="1"/>
  <c r="B5" i="11" s="1"/>
  <c r="A8" i="11" l="1"/>
  <c r="B16" i="9"/>
  <c r="B18" i="9" s="1"/>
</calcChain>
</file>

<file path=xl/sharedStrings.xml><?xml version="1.0" encoding="utf-8"?>
<sst xmlns="http://schemas.openxmlformats.org/spreadsheetml/2006/main" count="431" uniqueCount="263">
  <si>
    <t>Revenue</t>
  </si>
  <si>
    <t>Operating expenses</t>
  </si>
  <si>
    <t>Total operating expenses</t>
  </si>
  <si>
    <t xml:space="preserve">Operating income </t>
  </si>
  <si>
    <t>Interest expense</t>
  </si>
  <si>
    <t>Other components of net periodic benefit income</t>
  </si>
  <si>
    <t>Other income (loss)</t>
  </si>
  <si>
    <t>Income before income taxes</t>
  </si>
  <si>
    <t>Income tax expense</t>
  </si>
  <si>
    <t>Net income</t>
  </si>
  <si>
    <t>Earnings per share</t>
  </si>
  <si>
    <t>Weighted-average number of shares</t>
  </si>
  <si>
    <t xml:space="preserve">   Labor and fringe benefits</t>
  </si>
  <si>
    <t xml:space="preserve">   Purchased services and material</t>
  </si>
  <si>
    <t xml:space="preserve">   Fuel</t>
  </si>
  <si>
    <t xml:space="preserve">   Depreciation and amortization</t>
  </si>
  <si>
    <t xml:space="preserve">   Equipment rents</t>
  </si>
  <si>
    <t xml:space="preserve">   Other</t>
  </si>
  <si>
    <t xml:space="preserve">   Loss on assets held for sale</t>
  </si>
  <si>
    <t xml:space="preserve">   Basic</t>
  </si>
  <si>
    <t xml:space="preserve">   Diluted</t>
  </si>
  <si>
    <t xml:space="preserve">   Diluted </t>
  </si>
  <si>
    <t>-</t>
  </si>
  <si>
    <t>Transaction-related costs</t>
  </si>
  <si>
    <t>Merger termination fee</t>
  </si>
  <si>
    <t>Assets</t>
  </si>
  <si>
    <t>Current Assets</t>
  </si>
  <si>
    <t xml:space="preserve">   Restricted cash and cash equivalents</t>
  </si>
  <si>
    <t xml:space="preserve">   Accounts receivable</t>
  </si>
  <si>
    <t xml:space="preserve">   Material and supplies</t>
  </si>
  <si>
    <t xml:space="preserve">   Other current assets</t>
  </si>
  <si>
    <t>Properties</t>
  </si>
  <si>
    <t>Operating lease right-of-use assets</t>
  </si>
  <si>
    <t>Pension asset</t>
  </si>
  <si>
    <t>Deferred income tax assets</t>
  </si>
  <si>
    <t>Intangible assets, goodwill and other</t>
  </si>
  <si>
    <t>Total assets</t>
  </si>
  <si>
    <t>Liabilities and shareholders' equity</t>
  </si>
  <si>
    <t>Current liabilities</t>
  </si>
  <si>
    <t xml:space="preserve">   Accounts payable and other</t>
  </si>
  <si>
    <t>Total current liabilities</t>
  </si>
  <si>
    <t>Deferred income tax liabilities</t>
  </si>
  <si>
    <t>Other liabilities and deferred credits</t>
  </si>
  <si>
    <t>Pension and other postretirement benefits</t>
  </si>
  <si>
    <t>Long-term debt</t>
  </si>
  <si>
    <t>Operating lease liabilities</t>
  </si>
  <si>
    <t>Total liabilities</t>
  </si>
  <si>
    <t>Shareholders' equity</t>
  </si>
  <si>
    <t xml:space="preserve">   Common shares</t>
  </si>
  <si>
    <t xml:space="preserve">   Common shares in Share Trusts</t>
  </si>
  <si>
    <t xml:space="preserve">   Additional paid-in capital </t>
  </si>
  <si>
    <t xml:space="preserve">   Retained earnings </t>
  </si>
  <si>
    <t>Total shareholders' equity</t>
  </si>
  <si>
    <t>Total liabilities and shareholders' equity</t>
  </si>
  <si>
    <t xml:space="preserve">   Cash and cash Equivalents</t>
  </si>
  <si>
    <t>Total current assets</t>
  </si>
  <si>
    <t xml:space="preserve">   Current portion of long-term debt</t>
  </si>
  <si>
    <t xml:space="preserve">   Accumulated other comprehensive loss </t>
  </si>
  <si>
    <t>Operating activities</t>
  </si>
  <si>
    <t>Adjustments to reconcile net income to net cash provided by operating activities:</t>
  </si>
  <si>
    <t xml:space="preserve">   Pension income and funding</t>
  </si>
  <si>
    <t xml:space="preserve">   Loss on assets held for sale </t>
  </si>
  <si>
    <t xml:space="preserve">   Gain on disposal of property</t>
  </si>
  <si>
    <t xml:space="preserve">   Deferred income taxes</t>
  </si>
  <si>
    <t xml:space="preserve">      Material and supplies</t>
  </si>
  <si>
    <t xml:space="preserve">      Accounts payable and other </t>
  </si>
  <si>
    <t xml:space="preserve">      Other current assets</t>
  </si>
  <si>
    <t xml:space="preserve">      Accounts recievable </t>
  </si>
  <si>
    <t>Net cash provided by operating activities</t>
  </si>
  <si>
    <t>Investing activities</t>
  </si>
  <si>
    <t>Property additions</t>
  </si>
  <si>
    <t>Business acquisitions and combinations</t>
  </si>
  <si>
    <t>Proceeds from assets held for sale</t>
  </si>
  <si>
    <t>Proceeds from disposal of property</t>
  </si>
  <si>
    <t>Other investing activities, net</t>
  </si>
  <si>
    <t xml:space="preserve">Net cash used in investing activities </t>
  </si>
  <si>
    <t xml:space="preserve">Financing activities </t>
  </si>
  <si>
    <t xml:space="preserve">Issuance of debt </t>
  </si>
  <si>
    <t xml:space="preserve">Repayment of debt </t>
  </si>
  <si>
    <t xml:space="preserve">Change in commercial paper, net </t>
  </si>
  <si>
    <t xml:space="preserve">Settlement of foreign exchange forward contracts on debt </t>
  </si>
  <si>
    <t xml:space="preserve">Issuance of common shares for stock options exercised </t>
  </si>
  <si>
    <t>Withholding taxes remitted on the net settlement of equity settled awards</t>
  </si>
  <si>
    <t>Repurchase of common shares</t>
  </si>
  <si>
    <t>Purchase of common shares for settlement of equity settled awards</t>
  </si>
  <si>
    <t>Purchase of common shares by Share Trusts</t>
  </si>
  <si>
    <t>Dividends paid</t>
  </si>
  <si>
    <t xml:space="preserve">Net cash used in financing activities </t>
  </si>
  <si>
    <t>Effect of foreign exchange fluctuations on cash, cash equivalents, restricted cash, and restricted cash equivalents</t>
  </si>
  <si>
    <t>Net increase (decrease) in cash, cash equivalents, restricted cash, and restricted cash equivalents</t>
  </si>
  <si>
    <t>Cash, cash equivalents, restricted cash, and restricted cash equivalents, beginning of year</t>
  </si>
  <si>
    <t>Cash, cash equivalents, restricted cash, and restricted cash equivalents, end of year</t>
  </si>
  <si>
    <t>Cash and cash equivalents, end of year</t>
  </si>
  <si>
    <t>Restricted cash and cash equivalents, end of year</t>
  </si>
  <si>
    <t>Supplemental cash flow information</t>
  </si>
  <si>
    <t xml:space="preserve">   Interest paid</t>
  </si>
  <si>
    <t xml:space="preserve">   income taxes paid </t>
  </si>
  <si>
    <t xml:space="preserve">   Amortization of bridge financing and other fees</t>
  </si>
  <si>
    <t xml:space="preserve">Other operating activities, net </t>
  </si>
  <si>
    <t>Changes in operating assets and liabilities:</t>
  </si>
  <si>
    <t>Advance for acquisition and other transaction-related costs (Note 4)</t>
  </si>
  <si>
    <t>Refund for advance for acquisition</t>
  </si>
  <si>
    <t>Acquisitions, net of cash acquired</t>
  </si>
  <si>
    <t>Bridge financing and other fees</t>
  </si>
  <si>
    <t>2025F</t>
  </si>
  <si>
    <t>2026F</t>
  </si>
  <si>
    <t>2027F</t>
  </si>
  <si>
    <t>2028F</t>
  </si>
  <si>
    <t>2029F</t>
  </si>
  <si>
    <t>Operating Expenses % of Revenue</t>
  </si>
  <si>
    <t>Value</t>
  </si>
  <si>
    <t>Source</t>
  </si>
  <si>
    <t>Based on 2020–2024 CAGR</t>
  </si>
  <si>
    <t>Revenue Growth Rate</t>
  </si>
  <si>
    <t>Avg. of OpEx % from historicals</t>
  </si>
  <si>
    <t>Interest Expenses % of Revenue</t>
  </si>
  <si>
    <t xml:space="preserve">Avg. of IntEx % from historicals </t>
  </si>
  <si>
    <t>Net Periodic Pension Income</t>
  </si>
  <si>
    <t>Avg. of Net Periodic Pension Income from historicals</t>
  </si>
  <si>
    <t>Other Income (loss)</t>
  </si>
  <si>
    <t>Avg. of Other Income from historicals</t>
  </si>
  <si>
    <t>Effective Tax Rate</t>
  </si>
  <si>
    <t>Based on 5-year historical average</t>
  </si>
  <si>
    <t>Earnings per share - basic</t>
  </si>
  <si>
    <t>Weighted-average number of shares - basic</t>
  </si>
  <si>
    <t xml:space="preserve">   Other components of net periodic benefit income</t>
  </si>
  <si>
    <t xml:space="preserve">   Merger termination fee</t>
  </si>
  <si>
    <t xml:space="preserve">   Other income (loss)</t>
  </si>
  <si>
    <t xml:space="preserve">   Inventory</t>
  </si>
  <si>
    <t xml:space="preserve">   Cash and cash equivalents</t>
  </si>
  <si>
    <t xml:space="preserve">Other non-current assets </t>
  </si>
  <si>
    <t xml:space="preserve">Property, plant &amp; equipment </t>
  </si>
  <si>
    <t xml:space="preserve">   Other current liabilities</t>
  </si>
  <si>
    <t xml:space="preserve">Other liabilities </t>
  </si>
  <si>
    <t xml:space="preserve">   Other equity</t>
  </si>
  <si>
    <t>Assumption</t>
  </si>
  <si>
    <t xml:space="preserve">Income Statement </t>
  </si>
  <si>
    <t>Balance Sheet</t>
  </si>
  <si>
    <t>Inventory % of Revenue</t>
  </si>
  <si>
    <t>Long Term Debt Growth Rate</t>
  </si>
  <si>
    <t>Payout Ratio</t>
  </si>
  <si>
    <t xml:space="preserve">Avg. Payout Ratio from historicals </t>
  </si>
  <si>
    <t>Days Sales Outstanding</t>
  </si>
  <si>
    <t>Avg. DSO from historicals</t>
  </si>
  <si>
    <t>CapEx Margin</t>
  </si>
  <si>
    <t>Depreciation Margin</t>
  </si>
  <si>
    <t>Avg. CapEx Margin from historical</t>
  </si>
  <si>
    <t xml:space="preserve">Avg. of Inventory % from historical </t>
  </si>
  <si>
    <t>Depreciation</t>
  </si>
  <si>
    <t>CapEx</t>
  </si>
  <si>
    <t>Avg. Depreciation Margin from historical</t>
  </si>
  <si>
    <t>Year</t>
  </si>
  <si>
    <t xml:space="preserve">Calculating Cap.Ex and Depreciation Per Year </t>
  </si>
  <si>
    <t>Days Payable Outstanding</t>
  </si>
  <si>
    <t>Avg. DPO from historicals</t>
  </si>
  <si>
    <t>Calculated as avg. YoY growth from historicals</t>
  </si>
  <si>
    <t>EBIT</t>
  </si>
  <si>
    <t>Tax Rate</t>
  </si>
  <si>
    <t>NOPAT</t>
  </si>
  <si>
    <t>ΔNWC</t>
  </si>
  <si>
    <t>FCFF</t>
  </si>
  <si>
    <t>DCF Valuation</t>
  </si>
  <si>
    <t xml:space="preserve">Source </t>
  </si>
  <si>
    <t>Cost of Equity</t>
  </si>
  <si>
    <t>Cost of Debt (After-Tax)</t>
  </si>
  <si>
    <t>Equity Value</t>
  </si>
  <si>
    <t>Debt Value</t>
  </si>
  <si>
    <t>WACC</t>
  </si>
  <si>
    <t>ValueInvesting.io – CN Rail Valuation Summary</t>
  </si>
  <si>
    <t>Finbox – CNR Financials; effective interest rate</t>
  </si>
  <si>
    <t>StockAnalysis.com – CN Rail Capital Structure</t>
  </si>
  <si>
    <t>Calculated</t>
  </si>
  <si>
    <t>Cost of Debt (Pre-Tax)</t>
  </si>
  <si>
    <t>Discount Factor</t>
  </si>
  <si>
    <t>PV of FCFF</t>
  </si>
  <si>
    <t>Sum of PV of FCFF</t>
  </si>
  <si>
    <t>Perpetual Growth Rate (g)</t>
  </si>
  <si>
    <t xml:space="preserve">Estimated based on World Bank GDP forecasts </t>
  </si>
  <si>
    <t>PV of TV</t>
  </si>
  <si>
    <t>Terminal Value (TV)</t>
  </si>
  <si>
    <t>Enterprise Value</t>
  </si>
  <si>
    <t>Less: Net Debt</t>
  </si>
  <si>
    <t>Value of Equity</t>
  </si>
  <si>
    <t>Shares Outstanding</t>
  </si>
  <si>
    <t>Sensitivity Analysis</t>
  </si>
  <si>
    <t>Calculated based on historical revenue</t>
  </si>
  <si>
    <t>Implied Share Price</t>
  </si>
  <si>
    <t>WACC %</t>
  </si>
  <si>
    <t>Terminal Growth %</t>
  </si>
  <si>
    <t>Forecasted Balance Sheet</t>
  </si>
  <si>
    <t>(in $ millions)</t>
  </si>
  <si>
    <t>Forecasted Income Statement</t>
  </si>
  <si>
    <t>Forecasted Cash Flow Statement</t>
  </si>
  <si>
    <t>Income Statement</t>
  </si>
  <si>
    <t>Cash Flow Statement</t>
  </si>
  <si>
    <t xml:space="preserve">Discounted Cash Flow Valuation  </t>
  </si>
  <si>
    <t>($ in millions)</t>
  </si>
  <si>
    <t>Sensitivity Analysis WACC vs Terminal Growth</t>
  </si>
  <si>
    <t>Terminal Growth</t>
  </si>
  <si>
    <t>Base Case:</t>
  </si>
  <si>
    <t>Metric</t>
  </si>
  <si>
    <t>Formula</t>
  </si>
  <si>
    <t>Description</t>
  </si>
  <si>
    <t>CAGR</t>
  </si>
  <si>
    <t>= (Ending Value / Beginning Value) ^ (1 / n) - 1</t>
  </si>
  <si>
    <t>Operating Expenses %</t>
  </si>
  <si>
    <t xml:space="preserve">Operating expenses as a percentage of revenue </t>
  </si>
  <si>
    <t>= Operating Expenses / Revenue</t>
  </si>
  <si>
    <t xml:space="preserve">Operating Expenses </t>
  </si>
  <si>
    <t xml:space="preserve">Operating Income </t>
  </si>
  <si>
    <t xml:space="preserve">= Revenue - Operating Expenses </t>
  </si>
  <si>
    <t>= Revenue * Operating Expenses %</t>
  </si>
  <si>
    <t>Interest Expenses %</t>
  </si>
  <si>
    <t xml:space="preserve">Interest Expenses </t>
  </si>
  <si>
    <t xml:space="preserve">Interest expenses as a percentage of revenue </t>
  </si>
  <si>
    <t>= Revenue * Interest Expenses %</t>
  </si>
  <si>
    <t>Effective Tax Rate</t>
  </si>
  <si>
    <t>= Income Tax Expense / Income Before Tax</t>
  </si>
  <si>
    <t>EPS (Basic)</t>
  </si>
  <si>
    <t>= Net Income / Weighted Average No. of Shares (Basic)</t>
  </si>
  <si>
    <t xml:space="preserve">Formulas Used for Forecasted Income Statement </t>
  </si>
  <si>
    <t xml:space="preserve">Formulas Used for Forecasted Balance Sheet </t>
  </si>
  <si>
    <t>Cash</t>
  </si>
  <si>
    <t xml:space="preserve">= Total Liabilities  + Total Equity - Other Assets </t>
  </si>
  <si>
    <t>Used as a balancing plug</t>
  </si>
  <si>
    <t>DSO</t>
  </si>
  <si>
    <t>= (Accounts Recievable / Revenue) * 365</t>
  </si>
  <si>
    <t xml:space="preserve">Accounts Recievable </t>
  </si>
  <si>
    <t>= (Average DSO * Revenue) / 365</t>
  </si>
  <si>
    <t>PPE</t>
  </si>
  <si>
    <t>= Beginning PPE + CapEx - Depreciation</t>
  </si>
  <si>
    <t xml:space="preserve">= (PPE(t) - PPE (t-1)) + Depreciation </t>
  </si>
  <si>
    <t xml:space="preserve">= CapEx / Revenue </t>
  </si>
  <si>
    <t xml:space="preserve">Depreciation Margin </t>
  </si>
  <si>
    <t>= Depreciation / Revenue</t>
  </si>
  <si>
    <t>Forecasted CapEx and Depreciation</t>
  </si>
  <si>
    <t>= Revenue * Margin</t>
  </si>
  <si>
    <t>Either CapEx Margin or Depreciation Margin</t>
  </si>
  <si>
    <t xml:space="preserve">DPO </t>
  </si>
  <si>
    <t>= (Accounts Payable / (Operating Expenses - Depreciation)) * 365</t>
  </si>
  <si>
    <t>Accounts Payable</t>
  </si>
  <si>
    <t>= (DPO Average / 365) * (Operating Expenses - Forecasted Depreication)</t>
  </si>
  <si>
    <t>Retained Earnings</t>
  </si>
  <si>
    <t>= Previous Retained Earnings + Net Income - Dividends Paid</t>
  </si>
  <si>
    <t>= Dividends Paid / Net Income</t>
  </si>
  <si>
    <t xml:space="preserve">Forecasted Dividends </t>
  </si>
  <si>
    <t>= Forecasted Net Income * Average Payout Ratio</t>
  </si>
  <si>
    <t>Formulas Used for DCF Valuation</t>
  </si>
  <si>
    <t>= Net Income + Interest Expense + Taxes</t>
  </si>
  <si>
    <t>= EBIT * ( 1- Effective Tax Rate)</t>
  </si>
  <si>
    <t>= (ΔAccounts Recievable + Δinventory) - ΔAccountsPayable</t>
  </si>
  <si>
    <t>= NOPAT + Depreciation - CapEx - ΔNWC</t>
  </si>
  <si>
    <t>= 1/ (1 + WACC) ^ n</t>
  </si>
  <si>
    <t>n = number of years from current year</t>
  </si>
  <si>
    <t>Terminal Value</t>
  </si>
  <si>
    <t>= FCFF in 2029 * ( 1 + g) / (WACC - g)</t>
  </si>
  <si>
    <t xml:space="preserve">WACC and g estimated based on research </t>
  </si>
  <si>
    <t xml:space="preserve">Present Value of Terminal Value </t>
  </si>
  <si>
    <t>= Terminal Value / (1+ WACC)^5</t>
  </si>
  <si>
    <t>PV of Terminal Value + Sum of PV of FCFF</t>
  </si>
  <si>
    <t>Net Debt</t>
  </si>
  <si>
    <t xml:space="preserve">Short Term Debt + Long Term Debt - Cash &amp; Equivalents </t>
  </si>
  <si>
    <t>Enterprise Value - Net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</si>
</sst>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  <numFmt numFmtId="167" formatCode="0.000%"/>
    <numFmt numFmtId="168" formatCode="&quot;$&quot;#,##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D1E3F5"/>
        <bgColor indexed="64"/>
      </patternFill>
    </fill>
    <fill>
      <patternFill patternType="solid">
        <fgColor rgb="FF97C0E9"/>
        <bgColor indexed="64"/>
      </patternFill>
    </fill>
    <fill>
      <patternFill patternType="solid">
        <fgColor rgb="FFC7DEF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3">
    <xf numFmtId="0" fontId="0" fillId="0" borderId="0" xfId="0"/>
    <xf numFmtId="0" fontId="2" fillId="0" borderId="0" xfId="0" applyFont="1"/>
    <xf numFmtId="164" fontId="0" fillId="0" borderId="0" xfId="1" applyNumberFormat="1" applyFont="1"/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10" fontId="0" fillId="0" borderId="0" xfId="2" applyNumberFormat="1" applyFont="1"/>
    <xf numFmtId="10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4" fontId="0" fillId="0" borderId="0" xfId="0" applyNumberFormat="1" applyAlignment="1">
      <alignment vertical="center"/>
    </xf>
    <xf numFmtId="9" fontId="0" fillId="0" borderId="0" xfId="2" applyFont="1"/>
    <xf numFmtId="44" fontId="2" fillId="0" borderId="0" xfId="0" applyNumberFormat="1" applyFont="1" applyAlignment="1">
      <alignment horizontal="center" vertical="center"/>
    </xf>
    <xf numFmtId="167" fontId="0" fillId="0" borderId="0" xfId="2" applyNumberFormat="1" applyFont="1"/>
    <xf numFmtId="9" fontId="0" fillId="0" borderId="0" xfId="2" applyFont="1" applyAlignment="1">
      <alignment horizontal="center"/>
    </xf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165" fontId="0" fillId="3" borderId="0" xfId="0" applyNumberFormat="1" applyFill="1"/>
    <xf numFmtId="165" fontId="0" fillId="3" borderId="1" xfId="0" applyNumberFormat="1" applyFill="1" applyBorder="1"/>
    <xf numFmtId="44" fontId="0" fillId="2" borderId="1" xfId="1" applyFont="1" applyFill="1" applyBorder="1"/>
    <xf numFmtId="165" fontId="2" fillId="3" borderId="1" xfId="0" applyNumberFormat="1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1" xfId="0" applyFill="1" applyBorder="1"/>
    <xf numFmtId="165" fontId="0" fillId="3" borderId="1" xfId="1" applyNumberFormat="1" applyFont="1" applyFill="1" applyBorder="1"/>
    <xf numFmtId="44" fontId="2" fillId="3" borderId="1" xfId="1" applyFont="1" applyFill="1" applyBorder="1"/>
    <xf numFmtId="165" fontId="0" fillId="6" borderId="1" xfId="1" applyNumberFormat="1" applyFont="1" applyFill="1" applyBorder="1"/>
    <xf numFmtId="165" fontId="0" fillId="6" borderId="1" xfId="0" applyNumberFormat="1" applyFill="1" applyBorder="1"/>
    <xf numFmtId="165" fontId="2" fillId="6" borderId="1" xfId="0" applyNumberFormat="1" applyFont="1" applyFill="1" applyBorder="1"/>
    <xf numFmtId="0" fontId="0" fillId="6" borderId="1" xfId="0" applyFill="1" applyBorder="1"/>
    <xf numFmtId="165" fontId="2" fillId="6" borderId="1" xfId="1" applyNumberFormat="1" applyFont="1" applyFill="1" applyBorder="1"/>
    <xf numFmtId="0" fontId="0" fillId="2" borderId="8" xfId="0" applyFill="1" applyBorder="1"/>
    <xf numFmtId="0" fontId="2" fillId="2" borderId="6" xfId="0" applyFont="1" applyFill="1" applyBorder="1"/>
    <xf numFmtId="0" fontId="2" fillId="5" borderId="14" xfId="0" applyFont="1" applyFill="1" applyBorder="1" applyAlignment="1">
      <alignment horizontal="center"/>
    </xf>
    <xf numFmtId="0" fontId="0" fillId="3" borderId="6" xfId="0" applyFill="1" applyBorder="1"/>
    <xf numFmtId="165" fontId="0" fillId="3" borderId="4" xfId="0" applyNumberFormat="1" applyFill="1" applyBorder="1"/>
    <xf numFmtId="165" fontId="0" fillId="6" borderId="4" xfId="1" applyNumberFormat="1" applyFont="1" applyFill="1" applyBorder="1"/>
    <xf numFmtId="0" fontId="0" fillId="3" borderId="7" xfId="0" applyFill="1" applyBorder="1"/>
    <xf numFmtId="0" fontId="0" fillId="6" borderId="7" xfId="0" applyFill="1" applyBorder="1"/>
    <xf numFmtId="0" fontId="0" fillId="6" borderId="2" xfId="0" applyFill="1" applyBorder="1"/>
    <xf numFmtId="0" fontId="0" fillId="3" borderId="0" xfId="0" applyFill="1"/>
    <xf numFmtId="165" fontId="0" fillId="3" borderId="0" xfId="1" applyNumberFormat="1" applyFont="1" applyFill="1"/>
    <xf numFmtId="165" fontId="0" fillId="4" borderId="0" xfId="1" applyNumberFormat="1" applyFont="1" applyFill="1"/>
    <xf numFmtId="165" fontId="2" fillId="3" borderId="1" xfId="1" applyNumberFormat="1" applyFont="1" applyFill="1" applyBorder="1"/>
    <xf numFmtId="165" fontId="1" fillId="3" borderId="1" xfId="1" applyNumberFormat="1" applyFont="1" applyFill="1" applyBorder="1"/>
    <xf numFmtId="165" fontId="0" fillId="4" borderId="1" xfId="1" applyNumberFormat="1" applyFont="1" applyFill="1" applyBorder="1"/>
    <xf numFmtId="165" fontId="0" fillId="3" borderId="1" xfId="1" applyNumberFormat="1" applyFont="1" applyFill="1" applyBorder="1" applyAlignment="1">
      <alignment horizontal="center"/>
    </xf>
    <xf numFmtId="44" fontId="0" fillId="6" borderId="1" xfId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" xfId="0" applyFill="1" applyBorder="1"/>
    <xf numFmtId="0" fontId="2" fillId="2" borderId="3" xfId="0" applyFont="1" applyFill="1" applyBorder="1"/>
    <xf numFmtId="165" fontId="0" fillId="3" borderId="3" xfId="1" applyNumberFormat="1" applyFont="1" applyFill="1" applyBorder="1"/>
    <xf numFmtId="165" fontId="0" fillId="4" borderId="3" xfId="1" applyNumberFormat="1" applyFont="1" applyFill="1" applyBorder="1"/>
    <xf numFmtId="165" fontId="0" fillId="3" borderId="7" xfId="1" applyNumberFormat="1" applyFont="1" applyFill="1" applyBorder="1"/>
    <xf numFmtId="165" fontId="0" fillId="4" borderId="7" xfId="1" applyNumberFormat="1" applyFont="1" applyFill="1" applyBorder="1"/>
    <xf numFmtId="165" fontId="0" fillId="4" borderId="2" xfId="1" applyNumberFormat="1" applyFont="1" applyFill="1" applyBorder="1"/>
    <xf numFmtId="165" fontId="0" fillId="3" borderId="4" xfId="1" applyNumberFormat="1" applyFont="1" applyFill="1" applyBorder="1"/>
    <xf numFmtId="165" fontId="0" fillId="4" borderId="4" xfId="1" applyNumberFormat="1" applyFont="1" applyFill="1" applyBorder="1"/>
    <xf numFmtId="165" fontId="2" fillId="4" borderId="1" xfId="1" applyNumberFormat="1" applyFont="1" applyFill="1" applyBorder="1"/>
    <xf numFmtId="165" fontId="2" fillId="3" borderId="3" xfId="1" applyNumberFormat="1" applyFont="1" applyFill="1" applyBorder="1"/>
    <xf numFmtId="165" fontId="2" fillId="4" borderId="3" xfId="1" applyNumberFormat="1" applyFont="1" applyFill="1" applyBorder="1"/>
    <xf numFmtId="0" fontId="0" fillId="3" borderId="2" xfId="0" applyFill="1" applyBorder="1"/>
    <xf numFmtId="0" fontId="0" fillId="6" borderId="6" xfId="0" applyFill="1" applyBorder="1"/>
    <xf numFmtId="165" fontId="2" fillId="3" borderId="0" xfId="0" applyNumberFormat="1" applyFont="1" applyFill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65" fontId="0" fillId="3" borderId="0" xfId="1" applyNumberFormat="1" applyFont="1" applyFill="1" applyBorder="1"/>
    <xf numFmtId="165" fontId="0" fillId="3" borderId="11" xfId="1" applyNumberFormat="1" applyFont="1" applyFill="1" applyBorder="1"/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2" fillId="3" borderId="3" xfId="0" applyNumberFormat="1" applyFont="1" applyFill="1" applyBorder="1"/>
    <xf numFmtId="165" fontId="0" fillId="3" borderId="6" xfId="0" applyNumberFormat="1" applyFill="1" applyBorder="1"/>
    <xf numFmtId="165" fontId="0" fillId="3" borderId="7" xfId="0" applyNumberFormat="1" applyFill="1" applyBorder="1"/>
    <xf numFmtId="165" fontId="0" fillId="3" borderId="2" xfId="1" applyNumberFormat="1" applyFont="1" applyFill="1" applyBorder="1"/>
    <xf numFmtId="44" fontId="0" fillId="3" borderId="1" xfId="0" applyNumberFormat="1" applyFill="1" applyBorder="1"/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5" fontId="0" fillId="3" borderId="2" xfId="0" applyNumberFormat="1" applyFill="1" applyBorder="1"/>
    <xf numFmtId="165" fontId="0" fillId="3" borderId="9" xfId="0" applyNumberFormat="1" applyFill="1" applyBorder="1"/>
    <xf numFmtId="165" fontId="0" fillId="3" borderId="10" xfId="0" applyNumberFormat="1" applyFill="1" applyBorder="1"/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/>
    </xf>
    <xf numFmtId="166" fontId="0" fillId="3" borderId="1" xfId="2" applyNumberFormat="1" applyFont="1" applyFill="1" applyBorder="1"/>
    <xf numFmtId="0" fontId="0" fillId="3" borderId="1" xfId="0" applyFill="1" applyBorder="1" applyAlignment="1">
      <alignment vertical="center"/>
    </xf>
    <xf numFmtId="10" fontId="0" fillId="3" borderId="1" xfId="2" applyNumberFormat="1" applyFont="1" applyFill="1" applyBorder="1"/>
    <xf numFmtId="168" fontId="0" fillId="3" borderId="1" xfId="1" applyNumberFormat="1" applyFont="1" applyFill="1" applyBorder="1"/>
    <xf numFmtId="2" fontId="0" fillId="3" borderId="1" xfId="2" applyNumberFormat="1" applyFont="1" applyFill="1" applyBorder="1"/>
    <xf numFmtId="0" fontId="0" fillId="3" borderId="1" xfId="2" applyNumberFormat="1" applyFont="1" applyFill="1" applyBorder="1"/>
    <xf numFmtId="166" fontId="0" fillId="3" borderId="1" xfId="0" applyNumberFormat="1" applyFill="1" applyBorder="1"/>
    <xf numFmtId="9" fontId="0" fillId="3" borderId="1" xfId="2" applyFont="1" applyFill="1" applyBorder="1"/>
    <xf numFmtId="0" fontId="0" fillId="3" borderId="1" xfId="0" applyFill="1" applyBorder="1" applyAlignment="1">
      <alignment vertical="center" wrapText="1"/>
    </xf>
    <xf numFmtId="9" fontId="0" fillId="3" borderId="1" xfId="0" applyNumberFormat="1" applyFill="1" applyBorder="1"/>
    <xf numFmtId="0" fontId="2" fillId="2" borderId="1" xfId="0" applyFont="1" applyFill="1" applyBorder="1" applyAlignment="1">
      <alignment horizontal="center" vertical="center"/>
    </xf>
    <xf numFmtId="44" fontId="0" fillId="3" borderId="1" xfId="1" applyFont="1" applyFill="1" applyBorder="1" applyAlignment="1">
      <alignment vertical="center"/>
    </xf>
    <xf numFmtId="44" fontId="0" fillId="3" borderId="1" xfId="0" applyNumberForma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166" fontId="0" fillId="3" borderId="1" xfId="2" applyNumberFormat="1" applyFont="1" applyFill="1" applyBorder="1" applyAlignment="1">
      <alignment vertical="center"/>
    </xf>
    <xf numFmtId="2" fontId="0" fillId="3" borderId="1" xfId="1" applyNumberFormat="1" applyFont="1" applyFill="1" applyBorder="1"/>
    <xf numFmtId="165" fontId="0" fillId="3" borderId="4" xfId="1" applyNumberFormat="1" applyFont="1" applyFill="1" applyBorder="1" applyAlignment="1"/>
    <xf numFmtId="166" fontId="2" fillId="2" borderId="17" xfId="0" applyNumberFormat="1" applyFont="1" applyFill="1" applyBorder="1"/>
    <xf numFmtId="9" fontId="2" fillId="2" borderId="18" xfId="0" applyNumberFormat="1" applyFont="1" applyFill="1" applyBorder="1"/>
    <xf numFmtId="9" fontId="2" fillId="2" borderId="20" xfId="0" applyNumberFormat="1" applyFont="1" applyFill="1" applyBorder="1"/>
    <xf numFmtId="165" fontId="0" fillId="3" borderId="5" xfId="1" applyNumberFormat="1" applyFont="1" applyFill="1" applyBorder="1" applyAlignment="1"/>
    <xf numFmtId="165" fontId="0" fillId="3" borderId="2" xfId="1" applyNumberFormat="1" applyFont="1" applyFill="1" applyBorder="1" applyAlignment="1">
      <alignment horizontal="center"/>
    </xf>
    <xf numFmtId="0" fontId="2" fillId="2" borderId="21" xfId="0" applyFont="1" applyFill="1" applyBorder="1" applyAlignment="1">
      <alignment horizontal="right"/>
    </xf>
    <xf numFmtId="0" fontId="2" fillId="2" borderId="22" xfId="0" applyFont="1" applyFill="1" applyBorder="1"/>
    <xf numFmtId="9" fontId="2" fillId="2" borderId="22" xfId="0" applyNumberFormat="1" applyFont="1" applyFill="1" applyBorder="1" applyAlignment="1">
      <alignment horizontal="right"/>
    </xf>
    <xf numFmtId="166" fontId="2" fillId="2" borderId="22" xfId="0" applyNumberFormat="1" applyFont="1" applyFill="1" applyBorder="1" applyAlignment="1">
      <alignment horizontal="right"/>
    </xf>
    <xf numFmtId="9" fontId="2" fillId="2" borderId="23" xfId="0" applyNumberFormat="1" applyFont="1" applyFill="1" applyBorder="1" applyAlignment="1">
      <alignment horizontal="right"/>
    </xf>
    <xf numFmtId="166" fontId="0" fillId="3" borderId="1" xfId="2" quotePrefix="1" applyNumberFormat="1" applyFont="1" applyFill="1" applyBorder="1"/>
    <xf numFmtId="10" fontId="0" fillId="3" borderId="1" xfId="2" quotePrefix="1" applyNumberFormat="1" applyFont="1" applyFill="1" applyBorder="1"/>
    <xf numFmtId="168" fontId="0" fillId="3" borderId="1" xfId="1" quotePrefix="1" applyNumberFormat="1" applyFont="1" applyFill="1" applyBorder="1"/>
    <xf numFmtId="0" fontId="0" fillId="3" borderId="1" xfId="0" quotePrefix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6C0EA"/>
      <color rgb="FFD1E3F5"/>
      <color rgb="FF97C0E9"/>
      <color rgb="FFC7DEF5"/>
      <color rgb="FFCCECFF"/>
      <color rgb="FFBFD9F3"/>
      <color rgb="FFABCDEF"/>
      <color rgb="FFB2D1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55033</xdr:colOff>
      <xdr:row>1</xdr:row>
      <xdr:rowOff>45720</xdr:rowOff>
    </xdr:from>
    <xdr:to>
      <xdr:col>20</xdr:col>
      <xdr:colOff>207433</xdr:colOff>
      <xdr:row>22</xdr:row>
      <xdr:rowOff>160019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F7BED7-7B2B-C009-72DA-0DEAF0E9415D}"/>
            </a:ext>
          </a:extLst>
        </xdr:cNvPr>
        <xdr:cNvSpPr txBox="1"/>
      </xdr:nvSpPr>
      <xdr:spPr>
        <a:xfrm>
          <a:off x="1274233" y="228600"/>
          <a:ext cx="11125200" cy="39547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800"/>
            <a:t>Financial Analysis &amp; Valuation Report</a:t>
          </a:r>
        </a:p>
        <a:p>
          <a:pPr algn="ctr"/>
          <a:endParaRPr lang="en-CA" sz="2800"/>
        </a:p>
        <a:p>
          <a:pPr algn="ctr"/>
          <a:endParaRPr lang="en-CA" sz="2800"/>
        </a:p>
        <a:p>
          <a:pPr algn="ctr"/>
          <a:r>
            <a:rPr lang="en-CA" sz="2000" baseline="0"/>
            <a:t>Canadian National Railway</a:t>
          </a:r>
        </a:p>
        <a:p>
          <a:pPr algn="ctr"/>
          <a:r>
            <a:rPr lang="en-CA" sz="1100" b="1" baseline="0"/>
            <a:t>Prepared By:</a:t>
          </a:r>
        </a:p>
        <a:p>
          <a:pPr algn="ctr"/>
          <a:r>
            <a:rPr lang="en-CA" sz="1100" baseline="0"/>
            <a:t>Nethanya Dhaiphule</a:t>
          </a:r>
        </a:p>
        <a:p>
          <a:pPr algn="ctr"/>
          <a:r>
            <a:rPr lang="en-CA" sz="1100" baseline="0"/>
            <a:t>July 2025</a:t>
          </a:r>
        </a:p>
        <a:p>
          <a:pPr algn="ctr"/>
          <a:endParaRPr lang="en-CA" sz="1100" baseline="0"/>
        </a:p>
        <a:p>
          <a:pPr algn="ctr"/>
          <a:r>
            <a:rPr lang="en-CA" b="1"/>
            <a:t>Included Sections:</a:t>
          </a:r>
          <a:endParaRPr lang="en-CA"/>
        </a:p>
        <a:p>
          <a:pPr algn="ctr"/>
          <a:r>
            <a:rPr lang="en-CA"/>
            <a:t>Assumptions</a:t>
          </a:r>
        </a:p>
        <a:p>
          <a:pPr algn="ctr"/>
          <a:r>
            <a:rPr lang="en-CA"/>
            <a:t>Calculations</a:t>
          </a:r>
        </a:p>
        <a:p>
          <a:pPr algn="ctr"/>
          <a:r>
            <a:rPr lang="en-CA"/>
            <a:t>Forecasted Financial Statements</a:t>
          </a:r>
        </a:p>
        <a:p>
          <a:pPr algn="ctr"/>
          <a:r>
            <a:rPr lang="en-CA"/>
            <a:t>DCF Valuation</a:t>
          </a:r>
        </a:p>
        <a:p>
          <a:pPr algn="ctr"/>
          <a:r>
            <a:rPr lang="en-CA"/>
            <a:t>Sensitivity Analysis</a:t>
          </a:r>
        </a:p>
        <a:p>
          <a:pPr algn="ctr"/>
          <a:r>
            <a:rPr lang="en-CA"/>
            <a:t>Full Historical Financials</a:t>
          </a:r>
        </a:p>
        <a:p>
          <a:pPr algn="ctr"/>
          <a:endParaRPr lang="en-CA" sz="1100"/>
        </a:p>
      </xdr:txBody>
    </xdr:sp>
    <xdr:clientData/>
  </xdr:twoCellAnchor>
  <xdr:twoCellAnchor editAs="oneCell">
    <xdr:from>
      <xdr:col>9</xdr:col>
      <xdr:colOff>261698</xdr:colOff>
      <xdr:row>2</xdr:row>
      <xdr:rowOff>151607</xdr:rowOff>
    </xdr:from>
    <xdr:to>
      <xdr:col>12</xdr:col>
      <xdr:colOff>545741</xdr:colOff>
      <xdr:row>10</xdr:row>
      <xdr:rowOff>102441</xdr:rowOff>
    </xdr:to>
    <xdr:pic>
      <xdr:nvPicPr>
        <xdr:cNvPr id="6" name="Picture 5" descr="Download Canadian National Railway (CN) Logo in SVG Vector or PNG File ...">
          <a:extLst>
            <a:ext uri="{FF2B5EF4-FFF2-40B4-BE49-F238E27FC236}">
              <a16:creationId xmlns:a16="http://schemas.microsoft.com/office/drawing/2014/main" id="{3995FF77-BA3B-8B70-1E4B-ED6B94077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8098" y="517367"/>
          <a:ext cx="2112843" cy="141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41bbc4b8e75d203/Documents/PersonalProjects/Project1/Data_Project1.xlsx" TargetMode="External"/><Relationship Id="rId1" Type="http://schemas.openxmlformats.org/officeDocument/2006/relationships/externalLinkPath" Target="Data_Projec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ecasted Balance Sheet"/>
      <sheetName val="Forecasted Income Statement"/>
      <sheetName val="Forecasted Cash Flow Statement"/>
      <sheetName val="DCF Forecast"/>
      <sheetName val="DCF Valuation"/>
      <sheetName val="Sensitivity Metadata"/>
      <sheetName val="Sensitivity Matrix"/>
    </sheetNames>
    <sheetDataSet>
      <sheetData sheetId="0"/>
      <sheetData sheetId="1">
        <row r="63">
          <cell r="D63">
            <v>679.4799999999999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CD8D-31DC-47AB-B0E4-4F5B6F9DCD95}">
  <dimension ref="A1"/>
  <sheetViews>
    <sheetView topLeftCell="B1" zoomScaleNormal="100" workbookViewId="0">
      <selection activeCell="V16" sqref="V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E322-0809-4213-B278-CE1AA0AB05EB}">
  <dimension ref="A2:H35"/>
  <sheetViews>
    <sheetView topLeftCell="A23" zoomScaleNormal="100" workbookViewId="0">
      <selection activeCell="D15" sqref="D15"/>
    </sheetView>
  </sheetViews>
  <sheetFormatPr defaultRowHeight="14.4" x14ac:dyDescent="0.3"/>
  <cols>
    <col min="1" max="1" width="36.44140625" bestFit="1" customWidth="1"/>
    <col min="2" max="2" width="11.5546875" bestFit="1" customWidth="1"/>
    <col min="3" max="3" width="43.44140625" bestFit="1" customWidth="1"/>
    <col min="4" max="5" width="14.21875" bestFit="1" customWidth="1"/>
    <col min="6" max="6" width="15.88671875" bestFit="1" customWidth="1"/>
    <col min="7" max="7" width="14" bestFit="1" customWidth="1"/>
    <col min="8" max="8" width="15.44140625" bestFit="1" customWidth="1"/>
    <col min="9" max="9" width="11.77734375" bestFit="1" customWidth="1"/>
    <col min="10" max="10" width="10.5546875" bestFit="1" customWidth="1"/>
  </cols>
  <sheetData>
    <row r="2" spans="1:3" x14ac:dyDescent="0.3">
      <c r="A2" s="136" t="s">
        <v>136</v>
      </c>
      <c r="B2" s="137"/>
      <c r="C2" s="138"/>
    </row>
    <row r="3" spans="1:3" x14ac:dyDescent="0.3">
      <c r="A3" s="21" t="s">
        <v>135</v>
      </c>
      <c r="B3" s="21" t="s">
        <v>110</v>
      </c>
      <c r="C3" s="21" t="s">
        <v>111</v>
      </c>
    </row>
    <row r="4" spans="1:3" x14ac:dyDescent="0.3">
      <c r="A4" s="24" t="s">
        <v>113</v>
      </c>
      <c r="B4" s="103">
        <f>('Forecasted Income Statement'!F4/'Forecasted Income Statement'!B4)^(1/4) - 1</f>
        <v>5.3868604641132301E-2</v>
      </c>
      <c r="C4" s="24" t="s">
        <v>112</v>
      </c>
    </row>
    <row r="5" spans="1:3" x14ac:dyDescent="0.3">
      <c r="A5" s="24" t="s">
        <v>109</v>
      </c>
      <c r="B5" s="103">
        <f>SUM(('Forecasted Income Statement'!B5/'Forecasted Income Statement'!B4),('Forecasted Income Statement'!C5/'Forecasted Income Statement'!C4),('Forecasted Income Statement'!D5/'Forecasted Income Statement'!D4),('Forecasted Income Statement'!E5/'Forecasted Income Statement'!E4),('Forecasted Income Statement'!F5/'Forecasted Income Statement'!F4))/5</f>
        <v>0.62161007715386896</v>
      </c>
      <c r="C5" s="104" t="s">
        <v>114</v>
      </c>
    </row>
    <row r="6" spans="1:3" x14ac:dyDescent="0.3">
      <c r="A6" s="24" t="s">
        <v>115</v>
      </c>
      <c r="B6" s="105">
        <f>SUM(('Forecasted Income Statement'!B7/'Forecasted Income Statement'!B4),('Forecasted Income Statement'!C7/'Forecasted Income Statement'!C4),('Forecasted Income Statement'!D7/'Forecasted Income Statement'!D4),('Forecasted Income Statement'!E7/'Forecasted Income Statement'!E4),('Forecasted Income Statement'!F7/'Forecasted Income Statement'!F4))/5</f>
        <v>-4.18868427187968E-2</v>
      </c>
      <c r="C6" s="24" t="s">
        <v>116</v>
      </c>
    </row>
    <row r="7" spans="1:3" x14ac:dyDescent="0.3">
      <c r="A7" s="24" t="s">
        <v>117</v>
      </c>
      <c r="B7" s="106">
        <f>AVERAGE('Forecasted Income Statement'!B8:F8)</f>
        <v>426</v>
      </c>
      <c r="C7" s="24" t="s">
        <v>118</v>
      </c>
    </row>
    <row r="8" spans="1:3" x14ac:dyDescent="0.3">
      <c r="A8" s="24" t="s">
        <v>119</v>
      </c>
      <c r="B8" s="106">
        <f>AVERAGE('Forecasted Income Statement'!B10:F10)</f>
        <v>39.6</v>
      </c>
      <c r="C8" s="24" t="s">
        <v>120</v>
      </c>
    </row>
    <row r="9" spans="1:3" x14ac:dyDescent="0.3">
      <c r="A9" s="24" t="s">
        <v>121</v>
      </c>
      <c r="B9" s="103">
        <f>-(SUM('Forecasted Income Statement'!B12/'Forecasted Income Statement'!B11,'Forecasted Income Statement'!C12/'Forecasted Income Statement'!C11,'Forecasted Income Statement'!D12/'Forecasted Income Statement'!D11,'Forecasted Income Statement'!E12/'Forecasted Income Statement'!E11,'Forecasted Income Statement'!F12/'Forecasted Income Statement'!F11))/5</f>
        <v>0.21191604269861702</v>
      </c>
      <c r="C9" s="24" t="s">
        <v>122</v>
      </c>
    </row>
    <row r="10" spans="1:3" x14ac:dyDescent="0.3">
      <c r="A10" s="24" t="s">
        <v>124</v>
      </c>
      <c r="B10" s="24">
        <f>AVERAGE('Forecasted Income Statement'!B15:F15)</f>
        <v>679.4799999999999</v>
      </c>
      <c r="C10" s="24" t="s">
        <v>122</v>
      </c>
    </row>
    <row r="12" spans="1:3" x14ac:dyDescent="0.3">
      <c r="A12" s="139" t="s">
        <v>137</v>
      </c>
      <c r="B12" s="139"/>
      <c r="C12" s="139"/>
    </row>
    <row r="13" spans="1:3" x14ac:dyDescent="0.3">
      <c r="A13" s="21" t="s">
        <v>135</v>
      </c>
      <c r="B13" s="21" t="s">
        <v>110</v>
      </c>
      <c r="C13" s="21" t="s">
        <v>111</v>
      </c>
    </row>
    <row r="14" spans="1:3" x14ac:dyDescent="0.3">
      <c r="A14" s="24" t="s">
        <v>142</v>
      </c>
      <c r="B14" s="107">
        <f>AVERAGE(SUM(('Forecasted Balance Sheet'!B7/'Forecasted Income Statement'!B4)*365),(('Forecasted Balance Sheet'!C7/'Forecasted Income Statement'!C4)*365),(('Forecasted Balance Sheet'!D7/'Forecasted Income Statement'!D4)*365),(('Forecasted Balance Sheet'!E7/'Forecasted Income Statement'!E4)*365),(('Forecasted Balance Sheet'!F7/'Forecasted Income Statement'!F4)*365))</f>
        <v>27.458153264589981</v>
      </c>
      <c r="C14" s="24" t="s">
        <v>143</v>
      </c>
    </row>
    <row r="15" spans="1:3" x14ac:dyDescent="0.3">
      <c r="A15" s="24" t="s">
        <v>138</v>
      </c>
      <c r="B15" s="103">
        <f>(SUM('Forecasted Balance Sheet'!B8/'Forecasted Income Statement'!B4,'Forecasted Balance Sheet'!C8/'Forecasted Income Statement'!C4,'Forecasted Balance Sheet'!D8/'Forecasted Income Statement'!D4,'Forecasted Balance Sheet'!E8/'Forecasted Income Statement'!E4,'Forecasted Balance Sheet'!F8/'Forecasted Income Statement'!F4)/5)</f>
        <v>4.1420270988491624E-2</v>
      </c>
      <c r="C15" s="24" t="s">
        <v>147</v>
      </c>
    </row>
    <row r="16" spans="1:3" x14ac:dyDescent="0.3">
      <c r="A16" s="24" t="s">
        <v>144</v>
      </c>
      <c r="B16" s="103">
        <v>0.17630412126832001</v>
      </c>
      <c r="C16" s="24" t="s">
        <v>146</v>
      </c>
    </row>
    <row r="17" spans="1:8" x14ac:dyDescent="0.3">
      <c r="A17" s="24" t="s">
        <v>145</v>
      </c>
      <c r="B17" s="103">
        <v>0.10760507704571591</v>
      </c>
      <c r="C17" s="24" t="s">
        <v>150</v>
      </c>
    </row>
    <row r="18" spans="1:8" x14ac:dyDescent="0.3">
      <c r="A18" s="24" t="s">
        <v>153</v>
      </c>
      <c r="B18" s="108">
        <v>119.63</v>
      </c>
      <c r="C18" s="24" t="s">
        <v>154</v>
      </c>
    </row>
    <row r="19" spans="1:8" x14ac:dyDescent="0.3">
      <c r="A19" s="24" t="s">
        <v>139</v>
      </c>
      <c r="B19" s="103">
        <f>AVERAGE((('Forecasted Balance Sheet'!C19-'Forecasted Balance Sheet'!B19)/'Forecasted Balance Sheet'!B19),(('Forecasted Balance Sheet'!D19-'Forecasted Balance Sheet'!C19)/'Forecasted Balance Sheet'!C19),(('Forecasted Balance Sheet'!E19-'Forecasted Balance Sheet'!D19)/'Forecasted Balance Sheet'!D19),(('Forecasted Balance Sheet'!F19-'Forecasted Balance Sheet'!E19)/'Forecasted Balance Sheet'!E19))</f>
        <v>0.13593696080014767</v>
      </c>
      <c r="C19" s="24" t="s">
        <v>155</v>
      </c>
    </row>
    <row r="20" spans="1:8" x14ac:dyDescent="0.3">
      <c r="A20" s="24" t="s">
        <v>140</v>
      </c>
      <c r="B20" s="103">
        <f>-AVERAGE(('Cash Flow Statement - Full'!B41/'Income Statement - Full'!B21),('Cash Flow Statement - Full'!C41/'Income Statement - Full'!C21),('Cash Flow Statement - Full'!D41/'Income Statement - Full'!D21),('Cash Flow Statement - Full'!E41/'Income Statement - Full'!E21),('Cash Flow Statement - Full'!F41/'Income Statement - Full'!F21))</f>
        <v>-0.64425247765185267</v>
      </c>
      <c r="C20" s="24" t="s">
        <v>141</v>
      </c>
      <c r="D20" s="4"/>
      <c r="E20" s="4"/>
    </row>
    <row r="21" spans="1:8" x14ac:dyDescent="0.3">
      <c r="B21" s="3"/>
      <c r="D21" s="4"/>
      <c r="E21" s="4"/>
      <c r="F21" s="4"/>
      <c r="G21" s="4"/>
      <c r="H21" s="4"/>
    </row>
    <row r="22" spans="1:8" x14ac:dyDescent="0.3">
      <c r="A22" s="139" t="s">
        <v>161</v>
      </c>
      <c r="B22" s="139"/>
      <c r="C22" s="139"/>
    </row>
    <row r="23" spans="1:8" x14ac:dyDescent="0.3">
      <c r="A23" s="21" t="s">
        <v>135</v>
      </c>
      <c r="B23" s="28" t="s">
        <v>110</v>
      </c>
      <c r="C23" s="21" t="s">
        <v>162</v>
      </c>
    </row>
    <row r="24" spans="1:8" x14ac:dyDescent="0.3">
      <c r="A24" s="24" t="s">
        <v>163</v>
      </c>
      <c r="B24" s="103">
        <v>8.5000000000000006E-2</v>
      </c>
      <c r="C24" s="24" t="s">
        <v>168</v>
      </c>
    </row>
    <row r="25" spans="1:8" x14ac:dyDescent="0.3">
      <c r="A25" s="24" t="s">
        <v>172</v>
      </c>
      <c r="B25" s="109">
        <v>3.6999999999999998E-2</v>
      </c>
      <c r="C25" s="24" t="s">
        <v>169</v>
      </c>
    </row>
    <row r="26" spans="1:8" x14ac:dyDescent="0.3">
      <c r="A26" s="24" t="s">
        <v>164</v>
      </c>
      <c r="B26" s="103">
        <f>B25*(1-B27)</f>
        <v>2.9159106420151168E-2</v>
      </c>
      <c r="C26" s="24" t="s">
        <v>171</v>
      </c>
    </row>
    <row r="27" spans="1:8" x14ac:dyDescent="0.3">
      <c r="A27" s="24" t="s">
        <v>157</v>
      </c>
      <c r="B27" s="103">
        <f>B9</f>
        <v>0.21191604269861702</v>
      </c>
      <c r="C27" s="24" t="s">
        <v>122</v>
      </c>
    </row>
    <row r="28" spans="1:8" x14ac:dyDescent="0.3">
      <c r="A28" s="24" t="s">
        <v>165</v>
      </c>
      <c r="B28" s="110">
        <f>75%</f>
        <v>0.75</v>
      </c>
      <c r="C28" s="111" t="s">
        <v>170</v>
      </c>
    </row>
    <row r="29" spans="1:8" x14ac:dyDescent="0.3">
      <c r="A29" s="24" t="s">
        <v>166</v>
      </c>
      <c r="B29" s="110">
        <f>25%</f>
        <v>0.25</v>
      </c>
      <c r="C29" s="111" t="s">
        <v>170</v>
      </c>
    </row>
    <row r="30" spans="1:8" x14ac:dyDescent="0.3">
      <c r="A30" s="24" t="s">
        <v>167</v>
      </c>
      <c r="B30" s="103">
        <f>(B28*B24)+(B26*B29)</f>
        <v>7.1039776605037797E-2</v>
      </c>
      <c r="C30" s="24" t="s">
        <v>171</v>
      </c>
    </row>
    <row r="31" spans="1:8" x14ac:dyDescent="0.3">
      <c r="A31" s="24" t="s">
        <v>176</v>
      </c>
      <c r="B31" s="112">
        <v>0.02</v>
      </c>
      <c r="C31" s="24" t="s">
        <v>177</v>
      </c>
    </row>
    <row r="32" spans="1:8" x14ac:dyDescent="0.3">
      <c r="A32" s="1"/>
    </row>
    <row r="33" spans="1:3" x14ac:dyDescent="0.3">
      <c r="A33" s="139" t="s">
        <v>184</v>
      </c>
      <c r="B33" s="139"/>
      <c r="C33" s="139"/>
    </row>
    <row r="34" spans="1:3" x14ac:dyDescent="0.3">
      <c r="A34" s="21" t="s">
        <v>135</v>
      </c>
      <c r="B34" s="28" t="s">
        <v>110</v>
      </c>
      <c r="C34" s="21" t="s">
        <v>162</v>
      </c>
    </row>
    <row r="35" spans="1:3" x14ac:dyDescent="0.3">
      <c r="A35" s="24" t="s">
        <v>113</v>
      </c>
      <c r="B35" s="103">
        <f>('Forecasted Income Statement'!K4/'Forecasted Income Statement'!F4)^(1/5) -1</f>
        <v>5.3868604641132301E-2</v>
      </c>
      <c r="C35" s="24" t="s">
        <v>185</v>
      </c>
    </row>
  </sheetData>
  <mergeCells count="4">
    <mergeCell ref="A2:C2"/>
    <mergeCell ref="A12:C12"/>
    <mergeCell ref="A22:C22"/>
    <mergeCell ref="A33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B07B-4A27-41A7-94F9-D8D1D0A115FC}">
  <dimension ref="A1:D8"/>
  <sheetViews>
    <sheetView workbookViewId="0">
      <selection activeCell="K12" sqref="K12"/>
    </sheetView>
  </sheetViews>
  <sheetFormatPr defaultRowHeight="14.4" x14ac:dyDescent="0.3"/>
  <cols>
    <col min="2" max="2" width="13.33203125" bestFit="1" customWidth="1"/>
    <col min="3" max="3" width="10.21875" customWidth="1"/>
    <col min="4" max="4" width="11.33203125" customWidth="1"/>
  </cols>
  <sheetData>
    <row r="1" spans="1:4" x14ac:dyDescent="0.3">
      <c r="A1" s="1"/>
      <c r="B1" s="1"/>
      <c r="C1" s="1"/>
      <c r="D1" s="1"/>
    </row>
    <row r="2" spans="1:4" x14ac:dyDescent="0.3">
      <c r="A2" s="139" t="s">
        <v>152</v>
      </c>
      <c r="B2" s="139"/>
      <c r="C2" s="139"/>
      <c r="D2" s="139"/>
    </row>
    <row r="3" spans="1:4" x14ac:dyDescent="0.3">
      <c r="A3" s="24" t="s">
        <v>151</v>
      </c>
      <c r="B3" s="24" t="s">
        <v>0</v>
      </c>
      <c r="C3" s="24" t="s">
        <v>149</v>
      </c>
      <c r="D3" s="24" t="s">
        <v>148</v>
      </c>
    </row>
    <row r="4" spans="1:4" x14ac:dyDescent="0.3">
      <c r="A4" s="24" t="s">
        <v>104</v>
      </c>
      <c r="B4" s="27">
        <f>'Forecasted Income Statement'!G4</f>
        <v>17964.24423471274</v>
      </c>
      <c r="C4" s="27">
        <f>Assumptions!$B$16*B4</f>
        <v>3167.1702940505133</v>
      </c>
      <c r="D4" s="27">
        <f>Assumptions!$B$17*B4</f>
        <v>1933.0438849443221</v>
      </c>
    </row>
    <row r="5" spans="1:4" x14ac:dyDescent="0.3">
      <c r="A5" s="24" t="s">
        <v>105</v>
      </c>
      <c r="B5" s="27">
        <f>'Forecasted Income Statement'!H4</f>
        <v>18931.953005069219</v>
      </c>
      <c r="C5" s="27">
        <f>Assumptions!$B$16*B5</f>
        <v>3337.781338451859</v>
      </c>
      <c r="D5" s="27">
        <f>Assumptions!$B$17*B5</f>
        <v>2037.1742617363461</v>
      </c>
    </row>
    <row r="6" spans="1:4" x14ac:dyDescent="0.3">
      <c r="A6" s="24" t="s">
        <v>106</v>
      </c>
      <c r="B6" s="27">
        <f>'Forecasted Income Statement'!I4</f>
        <v>19951.790896583789</v>
      </c>
      <c r="C6" s="27">
        <f>Assumptions!$B$16*B6</f>
        <v>3517.5829617514714</v>
      </c>
      <c r="D6" s="27">
        <f>Assumptions!$B$17*B6</f>
        <v>2146.9139966269117</v>
      </c>
    </row>
    <row r="7" spans="1:4" x14ac:dyDescent="0.3">
      <c r="A7" s="24" t="s">
        <v>107</v>
      </c>
      <c r="B7" s="27">
        <f>'Forecasted Income Statement'!J4</f>
        <v>21026.566032274404</v>
      </c>
      <c r="C7" s="27">
        <f>Assumptions!$B$16*B7</f>
        <v>3707.0702476104448</v>
      </c>
      <c r="D7" s="27">
        <f>Assumptions!$B$17*B7</f>
        <v>2262.5652579097205</v>
      </c>
    </row>
    <row r="8" spans="1:4" x14ac:dyDescent="0.3">
      <c r="A8" s="24" t="s">
        <v>108</v>
      </c>
      <c r="B8" s="27">
        <f>'Forecasted Income Statement'!K4</f>
        <v>22159.237804827655</v>
      </c>
      <c r="C8" s="27">
        <f>Assumptions!$B$16*B8</f>
        <v>3906.7649491558764</v>
      </c>
      <c r="D8" s="27">
        <f>Assumptions!$B$17*B8</f>
        <v>2384.4464912628205</v>
      </c>
    </row>
  </sheetData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0E7D-A10F-4803-B3C5-8C8FA8ED59B1}">
  <dimension ref="A1:C41"/>
  <sheetViews>
    <sheetView zoomScaleNormal="100" workbookViewId="0">
      <selection activeCell="D49" sqref="D49"/>
    </sheetView>
  </sheetViews>
  <sheetFormatPr defaultRowHeight="14.4" x14ac:dyDescent="0.3"/>
  <cols>
    <col min="1" max="1" width="36.109375" bestFit="1" customWidth="1"/>
    <col min="2" max="2" width="63" bestFit="1" customWidth="1"/>
    <col min="3" max="3" width="43.21875" bestFit="1" customWidth="1"/>
  </cols>
  <sheetData>
    <row r="1" spans="1:3" x14ac:dyDescent="0.3">
      <c r="A1" s="136" t="s">
        <v>220</v>
      </c>
      <c r="B1" s="137"/>
      <c r="C1" s="138"/>
    </row>
    <row r="2" spans="1:3" x14ac:dyDescent="0.3">
      <c r="A2" s="21" t="s">
        <v>200</v>
      </c>
      <c r="B2" s="21" t="s">
        <v>201</v>
      </c>
      <c r="C2" s="21" t="s">
        <v>202</v>
      </c>
    </row>
    <row r="3" spans="1:3" x14ac:dyDescent="0.3">
      <c r="A3" s="24" t="s">
        <v>203</v>
      </c>
      <c r="B3" s="132" t="s">
        <v>204</v>
      </c>
      <c r="C3" s="24"/>
    </row>
    <row r="4" spans="1:3" x14ac:dyDescent="0.3">
      <c r="A4" s="24" t="s">
        <v>205</v>
      </c>
      <c r="B4" s="132" t="s">
        <v>207</v>
      </c>
      <c r="C4" s="104" t="s">
        <v>206</v>
      </c>
    </row>
    <row r="5" spans="1:3" x14ac:dyDescent="0.3">
      <c r="A5" s="24" t="s">
        <v>208</v>
      </c>
      <c r="B5" s="133" t="s">
        <v>211</v>
      </c>
      <c r="C5" s="24"/>
    </row>
    <row r="6" spans="1:3" x14ac:dyDescent="0.3">
      <c r="A6" s="24" t="s">
        <v>209</v>
      </c>
      <c r="B6" s="134" t="s">
        <v>210</v>
      </c>
      <c r="C6" s="24"/>
    </row>
    <row r="7" spans="1:3" x14ac:dyDescent="0.3">
      <c r="A7" s="24" t="s">
        <v>212</v>
      </c>
      <c r="B7" s="132" t="s">
        <v>207</v>
      </c>
      <c r="C7" s="104" t="s">
        <v>214</v>
      </c>
    </row>
    <row r="8" spans="1:3" x14ac:dyDescent="0.3">
      <c r="A8" s="24" t="s">
        <v>213</v>
      </c>
      <c r="B8" s="133" t="s">
        <v>215</v>
      </c>
      <c r="C8" s="24"/>
    </row>
    <row r="9" spans="1:3" x14ac:dyDescent="0.3">
      <c r="A9" s="24" t="s">
        <v>216</v>
      </c>
      <c r="B9" s="135" t="s">
        <v>217</v>
      </c>
      <c r="C9" s="24"/>
    </row>
    <row r="10" spans="1:3" x14ac:dyDescent="0.3">
      <c r="A10" s="24" t="s">
        <v>218</v>
      </c>
      <c r="B10" s="135" t="s">
        <v>219</v>
      </c>
      <c r="C10" s="24"/>
    </row>
    <row r="13" spans="1:3" x14ac:dyDescent="0.3">
      <c r="A13" s="136" t="s">
        <v>221</v>
      </c>
      <c r="B13" s="137"/>
      <c r="C13" s="138"/>
    </row>
    <row r="14" spans="1:3" x14ac:dyDescent="0.3">
      <c r="A14" s="21" t="s">
        <v>200</v>
      </c>
      <c r="B14" s="21" t="s">
        <v>201</v>
      </c>
      <c r="C14" s="21" t="s">
        <v>202</v>
      </c>
    </row>
    <row r="15" spans="1:3" x14ac:dyDescent="0.3">
      <c r="A15" s="24" t="s">
        <v>222</v>
      </c>
      <c r="B15" s="132" t="s">
        <v>223</v>
      </c>
      <c r="C15" s="24" t="s">
        <v>224</v>
      </c>
    </row>
    <row r="16" spans="1:3" x14ac:dyDescent="0.3">
      <c r="A16" s="24" t="s">
        <v>225</v>
      </c>
      <c r="B16" s="132" t="s">
        <v>226</v>
      </c>
      <c r="C16" s="104"/>
    </row>
    <row r="17" spans="1:3" x14ac:dyDescent="0.3">
      <c r="A17" s="24" t="s">
        <v>227</v>
      </c>
      <c r="B17" s="133" t="s">
        <v>228</v>
      </c>
      <c r="C17" s="24"/>
    </row>
    <row r="18" spans="1:3" x14ac:dyDescent="0.3">
      <c r="A18" s="24" t="s">
        <v>149</v>
      </c>
      <c r="B18" s="132" t="s">
        <v>231</v>
      </c>
      <c r="C18" s="104"/>
    </row>
    <row r="19" spans="1:3" x14ac:dyDescent="0.3">
      <c r="A19" s="24" t="s">
        <v>144</v>
      </c>
      <c r="B19" s="133" t="s">
        <v>232</v>
      </c>
      <c r="C19" s="24"/>
    </row>
    <row r="20" spans="1:3" x14ac:dyDescent="0.3">
      <c r="A20" s="24" t="s">
        <v>233</v>
      </c>
      <c r="B20" s="135" t="s">
        <v>234</v>
      </c>
      <c r="C20" s="24"/>
    </row>
    <row r="21" spans="1:3" x14ac:dyDescent="0.3">
      <c r="A21" s="24" t="s">
        <v>235</v>
      </c>
      <c r="B21" s="135" t="s">
        <v>236</v>
      </c>
      <c r="C21" s="24" t="s">
        <v>237</v>
      </c>
    </row>
    <row r="22" spans="1:3" x14ac:dyDescent="0.3">
      <c r="A22" s="24" t="s">
        <v>229</v>
      </c>
      <c r="B22" s="134" t="s">
        <v>230</v>
      </c>
      <c r="C22" s="24"/>
    </row>
    <row r="23" spans="1:3" x14ac:dyDescent="0.3">
      <c r="A23" s="24" t="s">
        <v>238</v>
      </c>
      <c r="B23" s="134" t="s">
        <v>239</v>
      </c>
      <c r="C23" s="24"/>
    </row>
    <row r="24" spans="1:3" x14ac:dyDescent="0.3">
      <c r="A24" s="24" t="s">
        <v>240</v>
      </c>
      <c r="B24" s="135" t="s">
        <v>241</v>
      </c>
      <c r="C24" s="24"/>
    </row>
    <row r="25" spans="1:3" x14ac:dyDescent="0.3">
      <c r="A25" s="24" t="s">
        <v>140</v>
      </c>
      <c r="B25" s="135" t="s">
        <v>244</v>
      </c>
      <c r="C25" s="24"/>
    </row>
    <row r="26" spans="1:3" x14ac:dyDescent="0.3">
      <c r="A26" s="24" t="s">
        <v>245</v>
      </c>
      <c r="B26" s="135" t="s">
        <v>246</v>
      </c>
      <c r="C26" s="24"/>
    </row>
    <row r="27" spans="1:3" x14ac:dyDescent="0.3">
      <c r="A27" s="24" t="s">
        <v>242</v>
      </c>
      <c r="B27" s="135" t="s">
        <v>243</v>
      </c>
      <c r="C27" s="24"/>
    </row>
    <row r="30" spans="1:3" x14ac:dyDescent="0.3">
      <c r="A30" s="136" t="s">
        <v>247</v>
      </c>
      <c r="B30" s="137"/>
      <c r="C30" s="138"/>
    </row>
    <row r="31" spans="1:3" x14ac:dyDescent="0.3">
      <c r="A31" s="21" t="s">
        <v>200</v>
      </c>
      <c r="B31" s="21" t="s">
        <v>201</v>
      </c>
      <c r="C31" s="21" t="s">
        <v>202</v>
      </c>
    </row>
    <row r="32" spans="1:3" x14ac:dyDescent="0.3">
      <c r="A32" s="24" t="s">
        <v>156</v>
      </c>
      <c r="B32" s="132" t="s">
        <v>248</v>
      </c>
      <c r="C32" s="24"/>
    </row>
    <row r="33" spans="1:3" x14ac:dyDescent="0.3">
      <c r="A33" s="24" t="s">
        <v>158</v>
      </c>
      <c r="B33" s="132" t="s">
        <v>249</v>
      </c>
      <c r="C33" s="104"/>
    </row>
    <row r="34" spans="1:3" x14ac:dyDescent="0.3">
      <c r="A34" s="24" t="s">
        <v>159</v>
      </c>
      <c r="B34" s="133" t="s">
        <v>250</v>
      </c>
      <c r="C34" s="24"/>
    </row>
    <row r="35" spans="1:3" x14ac:dyDescent="0.3">
      <c r="A35" s="24" t="s">
        <v>160</v>
      </c>
      <c r="B35" s="132" t="s">
        <v>251</v>
      </c>
      <c r="C35" s="104"/>
    </row>
    <row r="36" spans="1:3" x14ac:dyDescent="0.3">
      <c r="A36" s="24" t="s">
        <v>173</v>
      </c>
      <c r="B36" s="133" t="s">
        <v>252</v>
      </c>
      <c r="C36" s="24" t="s">
        <v>253</v>
      </c>
    </row>
    <row r="37" spans="1:3" x14ac:dyDescent="0.3">
      <c r="A37" s="24" t="s">
        <v>254</v>
      </c>
      <c r="B37" s="135" t="s">
        <v>255</v>
      </c>
      <c r="C37" s="24" t="s">
        <v>256</v>
      </c>
    </row>
    <row r="38" spans="1:3" x14ac:dyDescent="0.3">
      <c r="A38" s="24" t="s">
        <v>257</v>
      </c>
      <c r="B38" s="135" t="s">
        <v>258</v>
      </c>
      <c r="C38" s="24"/>
    </row>
    <row r="39" spans="1:3" x14ac:dyDescent="0.3">
      <c r="A39" s="24" t="s">
        <v>180</v>
      </c>
      <c r="B39" s="134" t="s">
        <v>259</v>
      </c>
      <c r="C39" s="24"/>
    </row>
    <row r="40" spans="1:3" x14ac:dyDescent="0.3">
      <c r="A40" s="24" t="s">
        <v>260</v>
      </c>
      <c r="B40" s="134" t="s">
        <v>261</v>
      </c>
      <c r="C40" s="24"/>
    </row>
    <row r="41" spans="1:3" x14ac:dyDescent="0.3">
      <c r="A41" s="24" t="s">
        <v>165</v>
      </c>
      <c r="B41" s="135" t="s">
        <v>262</v>
      </c>
      <c r="C41" s="24"/>
    </row>
  </sheetData>
  <mergeCells count="3">
    <mergeCell ref="A1:C1"/>
    <mergeCell ref="A13:C13"/>
    <mergeCell ref="A30:C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FC11-D34A-4D1F-AD86-D3FED2982669}">
  <dimension ref="A1:L27"/>
  <sheetViews>
    <sheetView zoomScaleNormal="100" workbookViewId="0">
      <selection activeCell="J17" sqref="J17"/>
    </sheetView>
  </sheetViews>
  <sheetFormatPr defaultRowHeight="14.4" x14ac:dyDescent="0.3"/>
  <cols>
    <col min="1" max="1" width="42.77734375" bestFit="1" customWidth="1"/>
    <col min="2" max="3" width="11.6640625" bestFit="1" customWidth="1"/>
    <col min="4" max="4" width="11.77734375" bestFit="1" customWidth="1"/>
    <col min="5" max="5" width="11.6640625" bestFit="1" customWidth="1"/>
    <col min="6" max="6" width="12.33203125" bestFit="1" customWidth="1"/>
    <col min="7" max="7" width="13.6640625" bestFit="1" customWidth="1"/>
    <col min="8" max="11" width="12.44140625" bestFit="1" customWidth="1"/>
  </cols>
  <sheetData>
    <row r="1" spans="1:12" x14ac:dyDescent="0.3">
      <c r="A1" s="140" t="s">
        <v>191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2" x14ac:dyDescent="0.3">
      <c r="A2" s="143" t="s">
        <v>190</v>
      </c>
      <c r="B2" s="144"/>
      <c r="C2" s="144"/>
      <c r="D2" s="144"/>
      <c r="E2" s="144"/>
      <c r="F2" s="144"/>
      <c r="G2" s="144"/>
      <c r="H2" s="144"/>
      <c r="I2" s="144"/>
      <c r="J2" s="144"/>
      <c r="K2" s="145"/>
    </row>
    <row r="3" spans="1:12" x14ac:dyDescent="0.3">
      <c r="A3" s="21"/>
      <c r="B3" s="22">
        <v>2020</v>
      </c>
      <c r="C3" s="22">
        <v>2021</v>
      </c>
      <c r="D3" s="22">
        <v>2022</v>
      </c>
      <c r="E3" s="22">
        <v>2023</v>
      </c>
      <c r="F3" s="22">
        <v>2024</v>
      </c>
      <c r="G3" s="22" t="s">
        <v>104</v>
      </c>
      <c r="H3" s="22" t="s">
        <v>105</v>
      </c>
      <c r="I3" s="22" t="s">
        <v>106</v>
      </c>
      <c r="J3" s="22" t="s">
        <v>107</v>
      </c>
      <c r="K3" s="22" t="s">
        <v>108</v>
      </c>
    </row>
    <row r="4" spans="1:12" x14ac:dyDescent="0.3">
      <c r="A4" s="23" t="s">
        <v>0</v>
      </c>
      <c r="B4" s="59">
        <v>13819</v>
      </c>
      <c r="C4" s="59">
        <v>14477</v>
      </c>
      <c r="D4" s="59">
        <v>17107</v>
      </c>
      <c r="E4" s="59">
        <v>16828</v>
      </c>
      <c r="F4" s="59">
        <v>17046</v>
      </c>
      <c r="G4" s="46">
        <f>F4*(1+Assumptions!$B$4)</f>
        <v>17964.24423471274</v>
      </c>
      <c r="H4" s="46">
        <f>G4*(1+Assumptions!$B$4)</f>
        <v>18931.953005069219</v>
      </c>
      <c r="I4" s="46">
        <f>H4*(1+Assumptions!$B$4)</f>
        <v>19951.790896583789</v>
      </c>
      <c r="J4" s="46">
        <f>I4*(1+Assumptions!$B$4)</f>
        <v>21026.566032274404</v>
      </c>
      <c r="K4" s="46">
        <f>J4*(1+Assumptions!$B$4)</f>
        <v>22159.237804827655</v>
      </c>
    </row>
    <row r="5" spans="1:12" x14ac:dyDescent="0.3">
      <c r="A5" s="24" t="s">
        <v>2</v>
      </c>
      <c r="B5" s="60">
        <v>9042</v>
      </c>
      <c r="C5" s="60">
        <v>8861</v>
      </c>
      <c r="D5" s="60">
        <v>10267</v>
      </c>
      <c r="E5" s="40">
        <v>10231</v>
      </c>
      <c r="F5" s="60">
        <v>10799</v>
      </c>
      <c r="G5" s="42">
        <f>G4*Assumptions!$B$5</f>
        <v>11166.755244750731</v>
      </c>
      <c r="H5" s="42">
        <f>H4*Assumptions!$B$5</f>
        <v>11768.292768154499</v>
      </c>
      <c r="I5" s="42">
        <f>I4*Assumptions!$B$5</f>
        <v>12402.23427858331</v>
      </c>
      <c r="J5" s="42">
        <f>J4*Assumptions!$B$5</f>
        <v>13070.325333603012</v>
      </c>
      <c r="K5" s="42">
        <f>K4*Assumptions!$B$5</f>
        <v>13774.405521529849</v>
      </c>
    </row>
    <row r="6" spans="1:12" x14ac:dyDescent="0.3">
      <c r="A6" s="23" t="s">
        <v>3</v>
      </c>
      <c r="B6" s="59">
        <v>4777</v>
      </c>
      <c r="C6" s="59">
        <v>5616</v>
      </c>
      <c r="D6" s="59">
        <v>6840</v>
      </c>
      <c r="E6" s="59">
        <v>6597</v>
      </c>
      <c r="F6" s="59">
        <v>6247</v>
      </c>
      <c r="G6" s="46">
        <f>G4-G5</f>
        <v>6797.4889899620084</v>
      </c>
      <c r="H6" s="46">
        <f t="shared" ref="H6:K6" si="0">H4-H5</f>
        <v>7163.6602369147204</v>
      </c>
      <c r="I6" s="46">
        <f t="shared" si="0"/>
        <v>7549.5566180004789</v>
      </c>
      <c r="J6" s="46">
        <f t="shared" si="0"/>
        <v>7956.2406986713922</v>
      </c>
      <c r="K6" s="46">
        <f t="shared" si="0"/>
        <v>8384.8322832978065</v>
      </c>
    </row>
    <row r="7" spans="1:12" x14ac:dyDescent="0.3">
      <c r="A7" s="24" t="s">
        <v>4</v>
      </c>
      <c r="B7" s="40">
        <v>-554</v>
      </c>
      <c r="C7" s="40">
        <v>-610</v>
      </c>
      <c r="D7" s="40">
        <v>-548</v>
      </c>
      <c r="E7" s="40">
        <v>-722</v>
      </c>
      <c r="F7" s="40">
        <v>-891</v>
      </c>
      <c r="G7" s="42">
        <v>-891</v>
      </c>
      <c r="H7" s="42">
        <v>-891</v>
      </c>
      <c r="I7" s="42">
        <v>-891</v>
      </c>
      <c r="J7" s="42">
        <v>-891</v>
      </c>
      <c r="K7" s="42">
        <v>-891</v>
      </c>
      <c r="L7" s="3"/>
    </row>
    <row r="8" spans="1:12" x14ac:dyDescent="0.3">
      <c r="A8" s="24" t="s">
        <v>125</v>
      </c>
      <c r="B8" s="40">
        <v>292</v>
      </c>
      <c r="C8" s="40">
        <v>407</v>
      </c>
      <c r="D8" s="40">
        <v>498</v>
      </c>
      <c r="E8" s="40">
        <v>479</v>
      </c>
      <c r="F8" s="40">
        <v>454</v>
      </c>
      <c r="G8" s="42">
        <f>Assumptions!B7</f>
        <v>426</v>
      </c>
      <c r="H8" s="42">
        <f>Assumptions!B7</f>
        <v>426</v>
      </c>
      <c r="I8" s="42">
        <f>Assumptions!B7</f>
        <v>426</v>
      </c>
      <c r="J8" s="42">
        <f>Assumptions!B7</f>
        <v>426</v>
      </c>
      <c r="K8" s="42">
        <f>Assumptions!B7</f>
        <v>426</v>
      </c>
    </row>
    <row r="9" spans="1:12" x14ac:dyDescent="0.3">
      <c r="A9" s="24" t="s">
        <v>126</v>
      </c>
      <c r="B9" s="62" t="s">
        <v>22</v>
      </c>
      <c r="C9" s="40">
        <v>886</v>
      </c>
      <c r="D9" s="62" t="s">
        <v>22</v>
      </c>
      <c r="E9" s="62" t="s">
        <v>22</v>
      </c>
      <c r="F9" s="62" t="s">
        <v>22</v>
      </c>
      <c r="G9" s="63" t="s">
        <v>22</v>
      </c>
      <c r="H9" s="63" t="s">
        <v>22</v>
      </c>
      <c r="I9" s="63" t="s">
        <v>22</v>
      </c>
      <c r="J9" s="63" t="s">
        <v>22</v>
      </c>
      <c r="K9" s="63" t="s">
        <v>22</v>
      </c>
    </row>
    <row r="10" spans="1:12" x14ac:dyDescent="0.3">
      <c r="A10" s="24" t="s">
        <v>127</v>
      </c>
      <c r="B10" s="40">
        <v>6</v>
      </c>
      <c r="C10" s="40">
        <v>43</v>
      </c>
      <c r="D10" s="40">
        <v>-27</v>
      </c>
      <c r="E10" s="40">
        <v>134</v>
      </c>
      <c r="F10" s="40">
        <v>42</v>
      </c>
      <c r="G10" s="42">
        <f>Assumptions!B8</f>
        <v>39.6</v>
      </c>
      <c r="H10" s="42">
        <f>Assumptions!B8</f>
        <v>39.6</v>
      </c>
      <c r="I10" s="42">
        <f>Assumptions!B8</f>
        <v>39.6</v>
      </c>
      <c r="J10" s="42">
        <f>Assumptions!B8</f>
        <v>39.6</v>
      </c>
      <c r="K10" s="42">
        <f>Assumptions!B8</f>
        <v>39.6</v>
      </c>
    </row>
    <row r="11" spans="1:12" x14ac:dyDescent="0.3">
      <c r="A11" s="23" t="s">
        <v>7</v>
      </c>
      <c r="B11" s="59">
        <v>4521</v>
      </c>
      <c r="C11" s="59">
        <v>6342</v>
      </c>
      <c r="D11" s="59">
        <v>6763</v>
      </c>
      <c r="E11" s="59">
        <v>6488</v>
      </c>
      <c r="F11" s="59">
        <v>5852</v>
      </c>
      <c r="G11" s="46">
        <f>SUM(G6:G10)</f>
        <v>6372.0889899620088</v>
      </c>
      <c r="H11" s="46">
        <f>SUM(H6:H10)</f>
        <v>6738.2602369147207</v>
      </c>
      <c r="I11" s="46">
        <f>SUM(I6:I10)</f>
        <v>7124.1566180004793</v>
      </c>
      <c r="J11" s="46">
        <f>SUM(J6:J10)</f>
        <v>7530.8406986713926</v>
      </c>
      <c r="K11" s="46">
        <f t="shared" ref="K11" si="1">SUM(K6:K10)</f>
        <v>7959.4322832978069</v>
      </c>
    </row>
    <row r="12" spans="1:12" x14ac:dyDescent="0.3">
      <c r="A12" s="24" t="s">
        <v>8</v>
      </c>
      <c r="B12" s="40">
        <v>-976</v>
      </c>
      <c r="C12" s="40">
        <v>-1443</v>
      </c>
      <c r="D12" s="40">
        <v>-1645</v>
      </c>
      <c r="E12" s="40">
        <v>-863</v>
      </c>
      <c r="F12" s="40">
        <v>-1404</v>
      </c>
      <c r="G12" s="42">
        <f>-G11*Assumptions!$B$9</f>
        <v>-1350.3478824761764</v>
      </c>
      <c r="H12" s="42">
        <f>-H11*Assumptions!$B$9</f>
        <v>-1427.9454440804132</v>
      </c>
      <c r="I12" s="42">
        <f>-I11*Assumptions!$B$9</f>
        <v>-1509.7230780518246</v>
      </c>
      <c r="J12" s="42">
        <f>-J11*Assumptions!$B$9</f>
        <v>-1595.9059590561296</v>
      </c>
      <c r="K12" s="42">
        <f>-K11*Assumptions!$B$9</f>
        <v>-1686.7313916040889</v>
      </c>
    </row>
    <row r="13" spans="1:12" x14ac:dyDescent="0.3">
      <c r="A13" s="23" t="s">
        <v>9</v>
      </c>
      <c r="B13" s="59">
        <v>3545</v>
      </c>
      <c r="C13" s="59">
        <v>4899</v>
      </c>
      <c r="D13" s="59">
        <v>5118</v>
      </c>
      <c r="E13" s="59">
        <v>5625</v>
      </c>
      <c r="F13" s="59">
        <v>4448</v>
      </c>
      <c r="G13" s="46">
        <f>SUM(G11:G12)</f>
        <v>5021.7411074858319</v>
      </c>
      <c r="H13" s="46">
        <f t="shared" ref="H13:K13" si="2">SUM(H11:H12)</f>
        <v>5310.3147928343078</v>
      </c>
      <c r="I13" s="46">
        <f t="shared" si="2"/>
        <v>5614.4335399486545</v>
      </c>
      <c r="J13" s="46">
        <f t="shared" si="2"/>
        <v>5934.9347396152625</v>
      </c>
      <c r="K13" s="46">
        <f t="shared" si="2"/>
        <v>6272.7008916937175</v>
      </c>
    </row>
    <row r="14" spans="1:12" x14ac:dyDescent="0.3">
      <c r="A14" s="23" t="s">
        <v>123</v>
      </c>
      <c r="B14" s="41">
        <v>4.9800000000000004</v>
      </c>
      <c r="C14" s="41">
        <v>6.91</v>
      </c>
      <c r="D14" s="41">
        <v>7.46</v>
      </c>
      <c r="E14" s="41">
        <v>8.5500000000000007</v>
      </c>
      <c r="F14" s="41">
        <v>7.02</v>
      </c>
      <c r="G14" s="46">
        <f>G13/H15</f>
        <v>7.3905650018923774</v>
      </c>
      <c r="H14" s="46">
        <f>H13/'[1]Forecasted Income Statement'!D63</f>
        <v>7.8152628375144353</v>
      </c>
      <c r="I14" s="46">
        <f>I13/I15</f>
        <v>8.2628385529355608</v>
      </c>
      <c r="J14" s="46">
        <f>J13/J15</f>
        <v>8.7345245476176832</v>
      </c>
      <c r="K14" s="46">
        <f>K13/K15</f>
        <v>9.2316196086620916</v>
      </c>
    </row>
    <row r="15" spans="1:12" x14ac:dyDescent="0.3">
      <c r="A15" s="24" t="s">
        <v>124</v>
      </c>
      <c r="B15" s="40">
        <v>711.3</v>
      </c>
      <c r="C15" s="40">
        <v>708.5</v>
      </c>
      <c r="D15" s="40">
        <v>686.4</v>
      </c>
      <c r="E15" s="40">
        <v>657.7</v>
      </c>
      <c r="F15" s="40">
        <v>633.5</v>
      </c>
      <c r="G15" s="42">
        <f>Assumptions!B10</f>
        <v>679.4799999999999</v>
      </c>
      <c r="H15" s="42">
        <f>Assumptions!B10</f>
        <v>679.4799999999999</v>
      </c>
      <c r="I15" s="42">
        <f>Assumptions!B10</f>
        <v>679.4799999999999</v>
      </c>
      <c r="J15" s="42">
        <f>Assumptions!B10</f>
        <v>679.4799999999999</v>
      </c>
      <c r="K15" s="42">
        <f>Assumptions!B10</f>
        <v>679.4799999999999</v>
      </c>
    </row>
    <row r="16" spans="1:12" x14ac:dyDescent="0.3">
      <c r="C16" s="19"/>
      <c r="D16" s="19"/>
      <c r="E16" s="19"/>
      <c r="F16" s="19"/>
      <c r="G16" s="6"/>
    </row>
    <row r="17" spans="2:11" x14ac:dyDescent="0.3">
      <c r="C17" s="19"/>
      <c r="D17" s="19"/>
      <c r="E17" s="19"/>
      <c r="F17" s="19"/>
      <c r="G17" s="19"/>
      <c r="H17" s="19"/>
      <c r="I17" s="19"/>
      <c r="J17" s="19"/>
      <c r="K17" s="19"/>
    </row>
    <row r="18" spans="2:11" x14ac:dyDescent="0.3"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21" spans="2:11" x14ac:dyDescent="0.3">
      <c r="B21" s="6"/>
    </row>
    <row r="24" spans="2:11" x14ac:dyDescent="0.3">
      <c r="B24" s="3"/>
      <c r="C24" s="4"/>
      <c r="D24" s="3"/>
      <c r="E24" s="3"/>
      <c r="F24" s="3"/>
    </row>
    <row r="25" spans="2:11" x14ac:dyDescent="0.3">
      <c r="B25" s="3"/>
      <c r="C25" s="4"/>
      <c r="D25" s="3"/>
      <c r="E25" s="5"/>
      <c r="F25" s="6"/>
    </row>
    <row r="26" spans="2:11" x14ac:dyDescent="0.3">
      <c r="B26" s="2"/>
      <c r="C26" s="5"/>
      <c r="D26" s="2"/>
      <c r="E26" s="2"/>
      <c r="F26" s="2"/>
    </row>
    <row r="27" spans="2:11" x14ac:dyDescent="0.3">
      <c r="B27" s="2"/>
      <c r="C27" s="5"/>
      <c r="D27" s="2"/>
      <c r="E27" s="2"/>
      <c r="F27" s="2"/>
    </row>
  </sheetData>
  <mergeCells count="2">
    <mergeCell ref="A1:K1"/>
    <mergeCell ref="A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96B9-16E4-4A00-A294-A45EAE91532C}">
  <dimension ref="A1:L33"/>
  <sheetViews>
    <sheetView zoomScaleNormal="100" workbookViewId="0">
      <selection activeCell="E18" sqref="E18"/>
    </sheetView>
  </sheetViews>
  <sheetFormatPr defaultRowHeight="14.4" x14ac:dyDescent="0.3"/>
  <cols>
    <col min="1" max="1" width="36" bestFit="1" customWidth="1"/>
    <col min="2" max="2" width="13.21875" bestFit="1" customWidth="1"/>
    <col min="3" max="3" width="13.5546875" bestFit="1" customWidth="1"/>
    <col min="4" max="5" width="13.88671875" bestFit="1" customWidth="1"/>
    <col min="6" max="6" width="11.6640625" bestFit="1" customWidth="1"/>
    <col min="7" max="11" width="16" bestFit="1" customWidth="1"/>
  </cols>
  <sheetData>
    <row r="1" spans="1:12" x14ac:dyDescent="0.3">
      <c r="A1" s="140" t="s">
        <v>189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2" x14ac:dyDescent="0.3">
      <c r="A2" s="35"/>
      <c r="B2" s="36"/>
      <c r="C2" s="36"/>
      <c r="D2" s="144" t="s">
        <v>190</v>
      </c>
      <c r="E2" s="144"/>
      <c r="F2" s="144"/>
      <c r="G2" s="144"/>
      <c r="H2" s="36"/>
      <c r="I2" s="36"/>
      <c r="J2" s="36"/>
      <c r="K2" s="37"/>
    </row>
    <row r="3" spans="1:12" x14ac:dyDescent="0.3">
      <c r="A3" s="38"/>
      <c r="B3" s="49">
        <v>2020</v>
      </c>
      <c r="C3" s="49">
        <v>2021</v>
      </c>
      <c r="D3" s="49">
        <v>2022</v>
      </c>
      <c r="E3" s="49">
        <v>2023</v>
      </c>
      <c r="F3" s="49">
        <v>2024</v>
      </c>
      <c r="G3" s="49" t="s">
        <v>104</v>
      </c>
      <c r="H3" s="49" t="s">
        <v>105</v>
      </c>
      <c r="I3" s="49" t="s">
        <v>106</v>
      </c>
      <c r="J3" s="49" t="s">
        <v>107</v>
      </c>
      <c r="K3" s="49" t="s">
        <v>108</v>
      </c>
    </row>
    <row r="4" spans="1:12" x14ac:dyDescent="0.3">
      <c r="A4" s="48" t="s">
        <v>25</v>
      </c>
      <c r="B4" s="50"/>
      <c r="C4" s="53"/>
      <c r="D4" s="53"/>
      <c r="E4" s="53"/>
      <c r="F4" s="81"/>
      <c r="G4" s="82"/>
      <c r="H4" s="54"/>
      <c r="I4" s="54"/>
      <c r="J4" s="54"/>
      <c r="K4" s="55"/>
    </row>
    <row r="5" spans="1:12" x14ac:dyDescent="0.3">
      <c r="A5" s="50" t="s">
        <v>26</v>
      </c>
      <c r="B5" s="50"/>
      <c r="C5" s="53"/>
      <c r="D5" s="53"/>
      <c r="E5" s="53"/>
      <c r="F5" s="81"/>
      <c r="G5" s="82"/>
      <c r="H5" s="54"/>
      <c r="I5" s="54"/>
      <c r="J5" s="54"/>
      <c r="K5" s="55"/>
    </row>
    <row r="6" spans="1:12" x14ac:dyDescent="0.3">
      <c r="A6" s="24" t="s">
        <v>129</v>
      </c>
      <c r="B6" s="51">
        <v>569</v>
      </c>
      <c r="C6" s="51">
        <v>838</v>
      </c>
      <c r="D6" s="51">
        <v>328</v>
      </c>
      <c r="E6" s="51">
        <v>475</v>
      </c>
      <c r="F6" s="51">
        <v>389</v>
      </c>
      <c r="G6" s="52">
        <f>G21+G25-(SUM(G7:G9,G11:G12))</f>
        <v>7416.7696244089093</v>
      </c>
      <c r="H6" s="52">
        <f t="shared" ref="H6:K6" si="0">H21+H25-(SUM(H7:H9,H11:H12))</f>
        <v>15565.497161632135</v>
      </c>
      <c r="I6" s="52">
        <f t="shared" si="0"/>
        <v>23515.188815985544</v>
      </c>
      <c r="J6" s="52">
        <f t="shared" si="0"/>
        <v>31922.813643093687</v>
      </c>
      <c r="K6" s="52">
        <f t="shared" si="0"/>
        <v>40813.039863991755</v>
      </c>
    </row>
    <row r="7" spans="1:12" x14ac:dyDescent="0.3">
      <c r="A7" s="24" t="s">
        <v>28</v>
      </c>
      <c r="B7" s="27">
        <v>1054</v>
      </c>
      <c r="C7" s="27">
        <v>1074</v>
      </c>
      <c r="D7" s="27">
        <v>1371</v>
      </c>
      <c r="E7" s="27">
        <v>1300</v>
      </c>
      <c r="F7" s="27">
        <v>1164</v>
      </c>
      <c r="G7" s="43">
        <f>(Assumptions!$B$14*'Forecasted Income Statement'!G4)/365</f>
        <v>1351.4108807651216</v>
      </c>
      <c r="H7" s="43">
        <f>(Assumptions!$B$14*'Forecasted Income Statement'!H4)/365</f>
        <v>1424.2094992087823</v>
      </c>
      <c r="I7" s="43">
        <f>(Assumptions!$B$14*'Forecasted Income Statement'!I4)/365</f>
        <v>1500.9296776478052</v>
      </c>
      <c r="J7" s="43">
        <f>(Assumptions!$B$14*'Forecasted Income Statement'!J4)/365</f>
        <v>1581.7826650471568</v>
      </c>
      <c r="K7" s="43">
        <f>(Assumptions!$B$14*'Forecasted Income Statement'!K4)/365</f>
        <v>1666.9910900587786</v>
      </c>
      <c r="L7" s="6"/>
    </row>
    <row r="8" spans="1:12" x14ac:dyDescent="0.3">
      <c r="A8" s="24" t="s">
        <v>128</v>
      </c>
      <c r="B8" s="27">
        <v>583</v>
      </c>
      <c r="C8" s="27">
        <v>589</v>
      </c>
      <c r="D8" s="27">
        <v>692</v>
      </c>
      <c r="E8" s="27">
        <v>699</v>
      </c>
      <c r="F8" s="27">
        <v>720</v>
      </c>
      <c r="G8" s="43">
        <f>'Forecasted Income Statement'!G4*Assumptions!$B$15</f>
        <v>744.08386430525002</v>
      </c>
      <c r="H8" s="43">
        <f>'Forecasted Income Statement'!H4*Assumptions!$B$15</f>
        <v>784.16662381135541</v>
      </c>
      <c r="I8" s="43">
        <f>'Forecasted Income Statement'!I4*Assumptions!$B$15</f>
        <v>826.40858564222083</v>
      </c>
      <c r="J8" s="43">
        <f>'Forecasted Income Statement'!J4*Assumptions!$B$15</f>
        <v>870.92606301421893</v>
      </c>
      <c r="K8" s="43">
        <f>'Forecasted Income Statement'!K4*Assumptions!$B$15</f>
        <v>917.84163477438972</v>
      </c>
    </row>
    <row r="9" spans="1:12" x14ac:dyDescent="0.3">
      <c r="A9" s="24" t="s">
        <v>30</v>
      </c>
      <c r="B9" s="27">
        <v>896</v>
      </c>
      <c r="C9" s="27">
        <v>925</v>
      </c>
      <c r="D9" s="27">
        <v>826</v>
      </c>
      <c r="E9" s="27">
        <v>615</v>
      </c>
      <c r="F9" s="27">
        <v>346</v>
      </c>
      <c r="G9" s="42">
        <f>F9</f>
        <v>346</v>
      </c>
      <c r="H9" s="42">
        <f>G9</f>
        <v>346</v>
      </c>
      <c r="I9" s="42">
        <f>H9</f>
        <v>346</v>
      </c>
      <c r="J9" s="42">
        <f>I9</f>
        <v>346</v>
      </c>
      <c r="K9" s="42">
        <f>J9</f>
        <v>346</v>
      </c>
    </row>
    <row r="10" spans="1:12" x14ac:dyDescent="0.3">
      <c r="A10" s="23" t="s">
        <v>55</v>
      </c>
      <c r="B10" s="29">
        <v>3102</v>
      </c>
      <c r="C10" s="29">
        <v>3426</v>
      </c>
      <c r="D10" s="29">
        <v>3217</v>
      </c>
      <c r="E10" s="29">
        <v>3089</v>
      </c>
      <c r="F10" s="29">
        <v>2619</v>
      </c>
      <c r="G10" s="44">
        <f>SUM(G6:G9)</f>
        <v>9858.2643694792805</v>
      </c>
      <c r="H10" s="44">
        <f t="shared" ref="H10:K10" si="1">SUM(H6:H9)</f>
        <v>18119.873284652269</v>
      </c>
      <c r="I10" s="44">
        <f t="shared" si="1"/>
        <v>26188.527079275569</v>
      </c>
      <c r="J10" s="44">
        <f t="shared" si="1"/>
        <v>34721.522371155057</v>
      </c>
      <c r="K10" s="44">
        <f t="shared" si="1"/>
        <v>43743.872588824925</v>
      </c>
    </row>
    <row r="11" spans="1:12" x14ac:dyDescent="0.3">
      <c r="A11" s="24" t="s">
        <v>131</v>
      </c>
      <c r="B11" s="27">
        <v>40069</v>
      </c>
      <c r="C11" s="27">
        <v>41178</v>
      </c>
      <c r="D11" s="27">
        <v>43537</v>
      </c>
      <c r="E11" s="27">
        <v>44617</v>
      </c>
      <c r="F11" s="27">
        <v>47960</v>
      </c>
      <c r="G11" s="43">
        <f>F11+Calculations!C4-Calculations!D4</f>
        <v>49194.126409106189</v>
      </c>
      <c r="H11" s="43">
        <f>G11+Calculations!C5-Calculations!D5</f>
        <v>50494.7334858217</v>
      </c>
      <c r="I11" s="43">
        <f>H11+Calculations!C6-Calculations!D6</f>
        <v>51865.402450946254</v>
      </c>
      <c r="J11" s="43">
        <f>I11+Calculations!C7-Calculations!D7</f>
        <v>53309.907440646974</v>
      </c>
      <c r="K11" s="43">
        <f>J11+Calculations!C8-Calculations!D8</f>
        <v>54832.225898540033</v>
      </c>
    </row>
    <row r="12" spans="1:12" x14ac:dyDescent="0.3">
      <c r="A12" s="24" t="s">
        <v>130</v>
      </c>
      <c r="B12" s="27">
        <v>1633</v>
      </c>
      <c r="C12" s="27">
        <v>3934</v>
      </c>
      <c r="D12" s="27">
        <v>3908</v>
      </c>
      <c r="E12" s="27">
        <v>4960</v>
      </c>
      <c r="F12" s="27">
        <v>6488</v>
      </c>
      <c r="G12" s="43">
        <v>6488</v>
      </c>
      <c r="H12" s="43">
        <v>6488</v>
      </c>
      <c r="I12" s="43">
        <v>6488</v>
      </c>
      <c r="J12" s="43">
        <v>6488</v>
      </c>
      <c r="K12" s="43">
        <v>6488</v>
      </c>
    </row>
    <row r="13" spans="1:12" x14ac:dyDescent="0.3">
      <c r="A13" s="23" t="s">
        <v>36</v>
      </c>
      <c r="B13" s="29">
        <v>44804</v>
      </c>
      <c r="C13" s="29">
        <v>48538</v>
      </c>
      <c r="D13" s="29">
        <v>50662</v>
      </c>
      <c r="E13" s="29">
        <v>52666</v>
      </c>
      <c r="F13" s="29">
        <v>57067</v>
      </c>
      <c r="G13" s="46">
        <f>SUM(G10,G11:G12)</f>
        <v>65540.390778585468</v>
      </c>
      <c r="H13" s="46">
        <f t="shared" ref="H13:K13" si="2">SUM(H10,H11:H12)</f>
        <v>75102.606770473969</v>
      </c>
      <c r="I13" s="46">
        <f t="shared" si="2"/>
        <v>84541.929530221823</v>
      </c>
      <c r="J13" s="46">
        <f t="shared" si="2"/>
        <v>94519.429811802023</v>
      </c>
      <c r="K13" s="46">
        <f t="shared" si="2"/>
        <v>105064.09848736496</v>
      </c>
      <c r="L13" s="6"/>
    </row>
    <row r="14" spans="1:12" x14ac:dyDescent="0.3">
      <c r="A14" s="23" t="s">
        <v>37</v>
      </c>
      <c r="B14" s="27"/>
      <c r="C14" s="27"/>
      <c r="D14" s="27"/>
      <c r="E14" s="27"/>
      <c r="F14" s="27"/>
      <c r="G14" s="43"/>
      <c r="H14" s="43"/>
      <c r="I14" s="43"/>
      <c r="J14" s="43"/>
      <c r="K14" s="43"/>
    </row>
    <row r="15" spans="1:12" x14ac:dyDescent="0.3">
      <c r="A15" s="24" t="s">
        <v>38</v>
      </c>
      <c r="B15" s="24"/>
      <c r="C15" s="24"/>
      <c r="D15" s="27"/>
      <c r="E15" s="27"/>
      <c r="F15" s="27"/>
      <c r="G15" s="45"/>
      <c r="H15" s="45"/>
      <c r="I15" s="45"/>
      <c r="J15" s="45"/>
      <c r="K15" s="45"/>
    </row>
    <row r="16" spans="1:12" x14ac:dyDescent="0.3">
      <c r="A16" s="24" t="s">
        <v>39</v>
      </c>
      <c r="B16" s="27">
        <v>2364</v>
      </c>
      <c r="C16" s="27">
        <v>2612</v>
      </c>
      <c r="D16" s="27">
        <v>2785</v>
      </c>
      <c r="E16" s="27">
        <v>2695</v>
      </c>
      <c r="F16" s="27">
        <v>2810</v>
      </c>
      <c r="G16" s="43">
        <f>(Assumptions!$B$18/365)*('Forecasted Income Statement'!G5-Calculations!D4)</f>
        <v>3026.3805204757277</v>
      </c>
      <c r="H16" s="43">
        <f>(Assumptions!$B$18/365)*('Forecasted Income Statement'!H5-Assumptions!H15)</f>
        <v>3857.0982571351301</v>
      </c>
      <c r="I16" s="43">
        <f>(Assumptions!$B$18/365)*('Forecasted Income Statement'!I5-Assumptions!I15)</f>
        <v>4064.874758210743</v>
      </c>
      <c r="J16" s="43">
        <f>(Assumptions!$B$18/365)*('Forecasted Income Statement'!J5-Assumptions!J15)</f>
        <v>4283.8438894765159</v>
      </c>
      <c r="K16" s="43">
        <f>(Assumptions!$B$18/365)*('Forecasted Income Statement'!K5-Assumptions!K15)</f>
        <v>4514.6085823030562</v>
      </c>
    </row>
    <row r="17" spans="1:12" x14ac:dyDescent="0.3">
      <c r="A17" s="24" t="s">
        <v>132</v>
      </c>
      <c r="B17" s="27">
        <v>910</v>
      </c>
      <c r="C17" s="27">
        <v>508</v>
      </c>
      <c r="D17" s="27">
        <v>1057</v>
      </c>
      <c r="E17" s="27">
        <v>2340</v>
      </c>
      <c r="F17" s="27">
        <v>1166</v>
      </c>
      <c r="G17" s="43">
        <v>1166</v>
      </c>
      <c r="H17" s="43">
        <v>1166</v>
      </c>
      <c r="I17" s="43">
        <v>1166</v>
      </c>
      <c r="J17" s="43">
        <v>1166</v>
      </c>
      <c r="K17" s="43">
        <v>1166</v>
      </c>
    </row>
    <row r="18" spans="1:12" x14ac:dyDescent="0.3">
      <c r="A18" s="23" t="s">
        <v>40</v>
      </c>
      <c r="B18" s="29">
        <v>3274</v>
      </c>
      <c r="C18" s="29">
        <v>3120</v>
      </c>
      <c r="D18" s="29">
        <v>3842</v>
      </c>
      <c r="E18" s="29">
        <v>5035</v>
      </c>
      <c r="F18" s="29">
        <v>3976</v>
      </c>
      <c r="G18" s="44">
        <f>SUM(G16:G17)</f>
        <v>4192.3805204757282</v>
      </c>
      <c r="H18" s="44">
        <f t="shared" ref="H18:K18" si="3">SUM(H16:H17)</f>
        <v>5023.0982571351306</v>
      </c>
      <c r="I18" s="44">
        <f t="shared" si="3"/>
        <v>5230.8747582107426</v>
      </c>
      <c r="J18" s="44">
        <f t="shared" si="3"/>
        <v>5449.8438894765159</v>
      </c>
      <c r="K18" s="44">
        <f t="shared" si="3"/>
        <v>5680.6085823030562</v>
      </c>
    </row>
    <row r="19" spans="1:12" x14ac:dyDescent="0.3">
      <c r="A19" s="24" t="s">
        <v>44</v>
      </c>
      <c r="B19" s="27">
        <v>11996</v>
      </c>
      <c r="C19" s="27">
        <v>11977</v>
      </c>
      <c r="D19" s="27">
        <v>14372</v>
      </c>
      <c r="E19" s="27">
        <v>16133</v>
      </c>
      <c r="F19" s="27">
        <v>19728</v>
      </c>
      <c r="G19" s="43">
        <f>F19</f>
        <v>19728</v>
      </c>
      <c r="H19" s="43">
        <f>G19</f>
        <v>19728</v>
      </c>
      <c r="I19" s="43">
        <f>H19</f>
        <v>19728</v>
      </c>
      <c r="J19" s="43">
        <f>I19</f>
        <v>19728</v>
      </c>
      <c r="K19" s="43">
        <f>J19</f>
        <v>19728</v>
      </c>
    </row>
    <row r="20" spans="1:12" x14ac:dyDescent="0.3">
      <c r="A20" s="25" t="s">
        <v>133</v>
      </c>
      <c r="B20" s="27">
        <v>9883</v>
      </c>
      <c r="C20" s="27">
        <v>10697</v>
      </c>
      <c r="D20" s="27">
        <v>11064</v>
      </c>
      <c r="E20" s="27">
        <v>11381</v>
      </c>
      <c r="F20" s="27">
        <v>12312</v>
      </c>
      <c r="G20" s="43">
        <v>12312</v>
      </c>
      <c r="H20" s="43">
        <v>12312</v>
      </c>
      <c r="I20" s="43">
        <v>12312</v>
      </c>
      <c r="J20" s="43">
        <v>12312</v>
      </c>
      <c r="K20" s="43">
        <v>12312</v>
      </c>
    </row>
    <row r="21" spans="1:12" x14ac:dyDescent="0.3">
      <c r="A21" s="23" t="s">
        <v>46</v>
      </c>
      <c r="B21" s="29">
        <v>25153</v>
      </c>
      <c r="C21" s="29">
        <v>25794</v>
      </c>
      <c r="D21" s="29">
        <v>33120</v>
      </c>
      <c r="E21" s="29">
        <v>32549</v>
      </c>
      <c r="F21" s="29">
        <v>36016</v>
      </c>
      <c r="G21" s="44">
        <f>SUM(G16:G17,G19:G20)</f>
        <v>36232.38052047573</v>
      </c>
      <c r="H21" s="44">
        <f t="shared" ref="H21:K21" si="4">SUM(H16:H17,H19:H20)</f>
        <v>37063.098257135134</v>
      </c>
      <c r="I21" s="44">
        <f t="shared" si="4"/>
        <v>37270.874758210746</v>
      </c>
      <c r="J21" s="44">
        <f t="shared" si="4"/>
        <v>37489.843889476513</v>
      </c>
      <c r="K21" s="44">
        <f t="shared" si="4"/>
        <v>37720.608582303059</v>
      </c>
    </row>
    <row r="22" spans="1:12" x14ac:dyDescent="0.3">
      <c r="A22" s="24" t="s">
        <v>47</v>
      </c>
      <c r="B22" s="27"/>
      <c r="C22" s="24"/>
      <c r="D22" s="24"/>
      <c r="E22" s="24"/>
      <c r="F22" s="24"/>
      <c r="G22" s="45"/>
      <c r="H22" s="45"/>
      <c r="I22" s="45"/>
      <c r="J22" s="45"/>
      <c r="K22" s="45"/>
    </row>
    <row r="23" spans="1:12" x14ac:dyDescent="0.3">
      <c r="A23" s="24" t="s">
        <v>51</v>
      </c>
      <c r="B23" s="27">
        <v>19161</v>
      </c>
      <c r="C23" s="27">
        <v>20987</v>
      </c>
      <c r="D23" s="27">
        <v>19529</v>
      </c>
      <c r="E23" s="27">
        <v>18655</v>
      </c>
      <c r="F23" s="27">
        <v>18354</v>
      </c>
      <c r="G23" s="43">
        <f>F23+'Forecasted Income Statement'!G13-('Forecasted Income Statement'!G13*Assumptions!$B$20)</f>
        <v>26611.010258109738</v>
      </c>
      <c r="H23" s="43">
        <f>G23+'Forecasted Income Statement'!H13-('Forecasted Income Statement'!H13*Assumptions!$B$20)</f>
        <v>35342.508513338835</v>
      </c>
      <c r="I23" s="43">
        <f>H23+'Forecasted Income Statement'!I13-('Forecasted Income Statement'!I13*Assumptions!$B$20)</f>
        <v>44574.05477201107</v>
      </c>
      <c r="J23" s="43">
        <f>I23+'Forecasted Income Statement'!J13-('Forecasted Income Statement'!J13*Assumptions!$B$20)</f>
        <v>54332.585922325525</v>
      </c>
      <c r="K23" s="43">
        <f>J23+'Forecasted Income Statement'!K13-('Forecasted Income Statement'!K13*Assumptions!$B$20)</f>
        <v>64646.489905061906</v>
      </c>
      <c r="L23" s="6"/>
    </row>
    <row r="24" spans="1:12" x14ac:dyDescent="0.3">
      <c r="A24" s="24" t="s">
        <v>134</v>
      </c>
      <c r="B24" s="27">
        <v>490</v>
      </c>
      <c r="C24" s="27">
        <v>1757</v>
      </c>
      <c r="D24" s="27">
        <v>1855</v>
      </c>
      <c r="E24" s="27">
        <v>1462</v>
      </c>
      <c r="F24" s="27">
        <v>2697</v>
      </c>
      <c r="G24" s="43">
        <v>2697</v>
      </c>
      <c r="H24" s="43">
        <v>2697</v>
      </c>
      <c r="I24" s="43">
        <v>2697</v>
      </c>
      <c r="J24" s="43">
        <v>2697</v>
      </c>
      <c r="K24" s="43">
        <v>2697</v>
      </c>
    </row>
    <row r="25" spans="1:12" x14ac:dyDescent="0.3">
      <c r="A25" s="23" t="s">
        <v>52</v>
      </c>
      <c r="B25" s="29">
        <v>19651</v>
      </c>
      <c r="C25" s="29">
        <v>22744</v>
      </c>
      <c r="D25" s="29">
        <v>21384</v>
      </c>
      <c r="E25" s="29">
        <v>20117</v>
      </c>
      <c r="F25" s="29">
        <v>21051</v>
      </c>
      <c r="G25" s="44">
        <f>SUM(G23:G24)</f>
        <v>29308.010258109738</v>
      </c>
      <c r="H25" s="44">
        <f t="shared" ref="H25:K25" si="5">SUM(H23:H24)</f>
        <v>38039.508513338835</v>
      </c>
      <c r="I25" s="44">
        <f t="shared" si="5"/>
        <v>47271.05477201107</v>
      </c>
      <c r="J25" s="44">
        <f t="shared" si="5"/>
        <v>57029.585922325525</v>
      </c>
      <c r="K25" s="44">
        <f t="shared" si="5"/>
        <v>67343.489905061899</v>
      </c>
    </row>
    <row r="26" spans="1:12" x14ac:dyDescent="0.3">
      <c r="A26" s="23" t="s">
        <v>53</v>
      </c>
      <c r="B26" s="29">
        <v>44804</v>
      </c>
      <c r="C26" s="29">
        <v>48538</v>
      </c>
      <c r="D26" s="29">
        <v>50662</v>
      </c>
      <c r="E26" s="29">
        <v>52666</v>
      </c>
      <c r="F26" s="29">
        <v>57067</v>
      </c>
      <c r="G26" s="44">
        <f>SUM(G21,G25)</f>
        <v>65540.390778585468</v>
      </c>
      <c r="H26" s="44">
        <f t="shared" ref="H26:K26" si="6">SUM(H21,H25)</f>
        <v>75102.606770473969</v>
      </c>
      <c r="I26" s="44">
        <f t="shared" si="6"/>
        <v>84541.929530221823</v>
      </c>
      <c r="J26" s="44">
        <f t="shared" si="6"/>
        <v>94519.429811802038</v>
      </c>
      <c r="K26" s="44">
        <f t="shared" si="6"/>
        <v>105064.09848736496</v>
      </c>
    </row>
    <row r="27" spans="1:12" x14ac:dyDescent="0.3">
      <c r="B27" s="6"/>
      <c r="C27" s="6"/>
      <c r="D27" s="6"/>
      <c r="E27" s="6"/>
      <c r="F27" s="6"/>
    </row>
    <row r="28" spans="1:12" x14ac:dyDescent="0.3">
      <c r="C28" s="16"/>
      <c r="D28" s="16"/>
      <c r="E28" s="16"/>
      <c r="F28" s="16"/>
      <c r="G28" s="16"/>
      <c r="H28" s="16"/>
      <c r="I28" s="16"/>
      <c r="J28" s="16"/>
      <c r="K28" s="16"/>
    </row>
    <row r="29" spans="1:12" x14ac:dyDescent="0.3">
      <c r="K29" s="16"/>
    </row>
    <row r="30" spans="1:12" x14ac:dyDescent="0.3">
      <c r="B30" s="6"/>
      <c r="C30" s="11"/>
      <c r="D30" s="11"/>
      <c r="E30" s="11"/>
      <c r="F30" s="11"/>
      <c r="G30" s="12"/>
    </row>
    <row r="31" spans="1:12" x14ac:dyDescent="0.3">
      <c r="B31" s="6"/>
      <c r="C31" s="6"/>
      <c r="D31" s="6"/>
      <c r="E31" s="6"/>
      <c r="F31" s="6"/>
    </row>
    <row r="32" spans="1:12" x14ac:dyDescent="0.3">
      <c r="B32" s="6"/>
      <c r="C32" s="6"/>
      <c r="D32" s="6"/>
      <c r="E32" s="6"/>
      <c r="F32" s="6"/>
    </row>
    <row r="33" spans="2:6" x14ac:dyDescent="0.3">
      <c r="B33" s="6"/>
      <c r="C33" s="6"/>
      <c r="D33" s="6"/>
      <c r="E33" s="6"/>
      <c r="F33" s="6"/>
    </row>
  </sheetData>
  <mergeCells count="2">
    <mergeCell ref="A1:K1"/>
    <mergeCell ref="D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593F-C8BC-4826-A82C-BC6AE5A06C84}">
  <dimension ref="A1:K51"/>
  <sheetViews>
    <sheetView zoomScaleNormal="100" workbookViewId="0">
      <selection activeCell="A25" sqref="A25"/>
    </sheetView>
  </sheetViews>
  <sheetFormatPr defaultRowHeight="14.4" x14ac:dyDescent="0.3"/>
  <cols>
    <col min="1" max="1" width="67" customWidth="1"/>
    <col min="2" max="6" width="11.33203125" bestFit="1" customWidth="1"/>
    <col min="7" max="11" width="13.109375" bestFit="1" customWidth="1"/>
  </cols>
  <sheetData>
    <row r="1" spans="1:11" x14ac:dyDescent="0.3">
      <c r="A1" s="140" t="s">
        <v>192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x14ac:dyDescent="0.3">
      <c r="A2" s="143" t="s">
        <v>190</v>
      </c>
      <c r="B2" s="144"/>
      <c r="C2" s="144"/>
      <c r="D2" s="144"/>
      <c r="E2" s="144"/>
      <c r="F2" s="144"/>
      <c r="G2" s="144"/>
      <c r="H2" s="144"/>
      <c r="I2" s="144"/>
      <c r="J2" s="144"/>
      <c r="K2" s="145"/>
    </row>
    <row r="3" spans="1:11" x14ac:dyDescent="0.3">
      <c r="A3" s="39"/>
      <c r="B3" s="64">
        <v>2020</v>
      </c>
      <c r="C3" s="64">
        <v>2021</v>
      </c>
      <c r="D3" s="64">
        <v>2022</v>
      </c>
      <c r="E3" s="64">
        <v>2023</v>
      </c>
      <c r="F3" s="64">
        <v>2024</v>
      </c>
      <c r="G3" s="64" t="s">
        <v>104</v>
      </c>
      <c r="H3" s="64" t="s">
        <v>105</v>
      </c>
      <c r="I3" s="64" t="s">
        <v>106</v>
      </c>
      <c r="J3" s="64" t="s">
        <v>107</v>
      </c>
      <c r="K3" s="64" t="s">
        <v>108</v>
      </c>
    </row>
    <row r="4" spans="1:11" x14ac:dyDescent="0.3">
      <c r="A4" s="23" t="s">
        <v>58</v>
      </c>
      <c r="B4" s="56"/>
      <c r="C4" s="56"/>
      <c r="D4" s="56"/>
      <c r="E4" s="56"/>
      <c r="F4" s="56"/>
      <c r="G4" s="67"/>
      <c r="H4" s="68"/>
      <c r="I4" s="68"/>
      <c r="J4" s="68"/>
      <c r="K4" s="69"/>
    </row>
    <row r="5" spans="1:11" x14ac:dyDescent="0.3">
      <c r="A5" s="65" t="s">
        <v>9</v>
      </c>
      <c r="B5" s="71">
        <v>3545</v>
      </c>
      <c r="C5" s="71">
        <v>4899</v>
      </c>
      <c r="D5" s="71">
        <v>5118</v>
      </c>
      <c r="E5" s="71">
        <v>5625</v>
      </c>
      <c r="F5" s="71">
        <v>4448</v>
      </c>
      <c r="G5" s="72">
        <f>'Forecasted Income Statement'!G13</f>
        <v>5021.7411074858319</v>
      </c>
      <c r="H5" s="72">
        <f>'Forecasted Income Statement'!H13</f>
        <v>5310.3147928343078</v>
      </c>
      <c r="I5" s="72">
        <f>'Forecasted Income Statement'!I13</f>
        <v>5614.4335399486545</v>
      </c>
      <c r="J5" s="72">
        <f>'Forecasted Income Statement'!J13</f>
        <v>5934.9347396152625</v>
      </c>
      <c r="K5" s="72">
        <f>'Forecasted Income Statement'!K13</f>
        <v>6272.7008916937175</v>
      </c>
    </row>
    <row r="6" spans="1:11" x14ac:dyDescent="0.3">
      <c r="A6" s="50" t="s">
        <v>59</v>
      </c>
      <c r="B6" s="73"/>
      <c r="C6" s="73"/>
      <c r="D6" s="73"/>
      <c r="E6" s="73"/>
      <c r="F6" s="73"/>
      <c r="G6" s="74"/>
      <c r="H6" s="74"/>
      <c r="I6" s="74"/>
      <c r="J6" s="74"/>
      <c r="K6" s="75"/>
    </row>
    <row r="7" spans="1:11" x14ac:dyDescent="0.3">
      <c r="A7" s="66" t="s">
        <v>15</v>
      </c>
      <c r="B7" s="76">
        <v>1589</v>
      </c>
      <c r="C7" s="76">
        <v>1598</v>
      </c>
      <c r="D7" s="76">
        <v>1729</v>
      </c>
      <c r="E7" s="76">
        <v>1817</v>
      </c>
      <c r="F7" s="76">
        <v>1892</v>
      </c>
      <c r="G7" s="77">
        <f>Calculations!D4</f>
        <v>1933.0438849443221</v>
      </c>
      <c r="H7" s="77">
        <f>Calculations!D5</f>
        <v>2037.1742617363461</v>
      </c>
      <c r="I7" s="77">
        <f>Calculations!D6</f>
        <v>2146.9139966269117</v>
      </c>
      <c r="J7" s="77">
        <f>Calculations!D7</f>
        <v>2262.5652579097205</v>
      </c>
      <c r="K7" s="77">
        <f>Calculations!D8</f>
        <v>2384.4464912628205</v>
      </c>
    </row>
    <row r="8" spans="1:11" x14ac:dyDescent="0.3">
      <c r="A8" s="24" t="s">
        <v>99</v>
      </c>
      <c r="B8" s="40"/>
      <c r="C8" s="40"/>
      <c r="D8" s="40"/>
      <c r="E8" s="40"/>
      <c r="F8" s="40"/>
      <c r="G8" s="78"/>
      <c r="H8" s="78"/>
      <c r="I8" s="78"/>
      <c r="J8" s="78"/>
      <c r="K8" s="78"/>
    </row>
    <row r="9" spans="1:11" x14ac:dyDescent="0.3">
      <c r="A9" s="24" t="s">
        <v>67</v>
      </c>
      <c r="B9" s="40">
        <v>158</v>
      </c>
      <c r="C9" s="40">
        <v>-22</v>
      </c>
      <c r="D9" s="40">
        <v>-290</v>
      </c>
      <c r="E9" s="40">
        <v>71</v>
      </c>
      <c r="F9" s="40">
        <v>205</v>
      </c>
      <c r="G9" s="61">
        <f>'Forecasted Balance Sheet'!G7-'Forecasted Balance Sheet'!F7</f>
        <v>187.41088076512165</v>
      </c>
      <c r="H9" s="61">
        <f>'Forecasted Balance Sheet'!H7-'Forecasted Balance Sheet'!G7</f>
        <v>72.798618443660644</v>
      </c>
      <c r="I9" s="61">
        <f>'Forecasted Balance Sheet'!I7-'Forecasted Balance Sheet'!H7</f>
        <v>76.720178439022902</v>
      </c>
      <c r="J9" s="61">
        <f>'Forecasted Balance Sheet'!J7-'Forecasted Balance Sheet'!I7</f>
        <v>80.852987399351605</v>
      </c>
      <c r="K9" s="61">
        <f>'Forecasted Balance Sheet'!K7-'Forecasted Balance Sheet'!J7</f>
        <v>85.208425011621785</v>
      </c>
    </row>
    <row r="10" spans="1:11" x14ac:dyDescent="0.3">
      <c r="A10" s="24" t="s">
        <v>64</v>
      </c>
      <c r="B10" s="40">
        <v>20</v>
      </c>
      <c r="C10" s="40">
        <v>-7</v>
      </c>
      <c r="D10" s="40">
        <v>-82</v>
      </c>
      <c r="E10" s="40">
        <v>-18</v>
      </c>
      <c r="F10" s="40">
        <v>-6</v>
      </c>
      <c r="G10" s="61">
        <f>'Forecasted Balance Sheet'!G8-'Forecasted Balance Sheet'!F8</f>
        <v>24.083864305250017</v>
      </c>
      <c r="H10" s="61">
        <f>'Forecasted Balance Sheet'!H8-'Forecasted Balance Sheet'!G8</f>
        <v>40.08275950610539</v>
      </c>
      <c r="I10" s="61">
        <f>'Forecasted Balance Sheet'!I8-'Forecasted Balance Sheet'!H8</f>
        <v>42.241961830865421</v>
      </c>
      <c r="J10" s="61">
        <f>'Forecasted Balance Sheet'!J8-'Forecasted Balance Sheet'!I8</f>
        <v>44.517477371998098</v>
      </c>
      <c r="K10" s="61">
        <f>'Forecasted Balance Sheet'!K8-'Forecasted Balance Sheet'!J8</f>
        <v>46.915571760170792</v>
      </c>
    </row>
    <row r="11" spans="1:11" x14ac:dyDescent="0.3">
      <c r="A11" s="24" t="s">
        <v>65</v>
      </c>
      <c r="B11" s="40">
        <v>-49</v>
      </c>
      <c r="C11" s="40">
        <v>141</v>
      </c>
      <c r="D11" s="40">
        <v>-9</v>
      </c>
      <c r="E11" s="40">
        <v>-191</v>
      </c>
      <c r="F11" s="40">
        <v>-107</v>
      </c>
      <c r="G11" s="61">
        <f>'Forecasted Balance Sheet'!G16-'Forecasted Balance Sheet'!F16</f>
        <v>216.38052047572774</v>
      </c>
      <c r="H11" s="61">
        <f>'Forecasted Balance Sheet'!H16-'Forecasted Balance Sheet'!G16</f>
        <v>830.71773665940236</v>
      </c>
      <c r="I11" s="61">
        <f>'Forecasted Balance Sheet'!I16-'Forecasted Balance Sheet'!H16</f>
        <v>207.77650107561294</v>
      </c>
      <c r="J11" s="61">
        <f>'Forecasted Balance Sheet'!J16-'Forecasted Balance Sheet'!I16</f>
        <v>218.96913126577283</v>
      </c>
      <c r="K11" s="61">
        <f>'Forecasted Balance Sheet'!K16-'Forecasted Balance Sheet'!J16</f>
        <v>230.76469282654034</v>
      </c>
    </row>
    <row r="12" spans="1:11" x14ac:dyDescent="0.3">
      <c r="A12" s="24" t="s">
        <v>66</v>
      </c>
      <c r="B12" s="40">
        <v>0</v>
      </c>
      <c r="C12" s="40">
        <v>35</v>
      </c>
      <c r="D12" s="40">
        <v>-30</v>
      </c>
      <c r="E12" s="40">
        <v>85</v>
      </c>
      <c r="F12" s="62">
        <v>0</v>
      </c>
      <c r="G12" s="61">
        <v>0</v>
      </c>
      <c r="H12" s="61">
        <f>'Forecasted Balance Sheet'!H9-'Forecasted Balance Sheet'!G9</f>
        <v>0</v>
      </c>
      <c r="I12" s="61">
        <f>'Forecasted Balance Sheet'!I9-'Forecasted Balance Sheet'!H9</f>
        <v>0</v>
      </c>
      <c r="J12" s="61">
        <f>'Forecasted Balance Sheet'!J9-'Forecasted Balance Sheet'!I9</f>
        <v>0</v>
      </c>
      <c r="K12" s="61">
        <f>'Forecasted Balance Sheet'!K9-'Forecasted Balance Sheet'!J9</f>
        <v>0</v>
      </c>
    </row>
    <row r="13" spans="1:11" x14ac:dyDescent="0.3">
      <c r="A13" s="70" t="s">
        <v>68</v>
      </c>
      <c r="B13" s="79">
        <f>B5+B7+(B9*-1)+(B10*-1)+(B11)+(B12*-1)</f>
        <v>4907</v>
      </c>
      <c r="C13" s="79">
        <f t="shared" ref="C13:K13" si="0">C5+C7+(C9*-1)+(C10*-1)+(C11)+(C12*-1)</f>
        <v>6632</v>
      </c>
      <c r="D13" s="79">
        <f t="shared" si="0"/>
        <v>7240</v>
      </c>
      <c r="E13" s="79">
        <f t="shared" si="0"/>
        <v>7113</v>
      </c>
      <c r="F13" s="79">
        <f t="shared" si="0"/>
        <v>6034</v>
      </c>
      <c r="G13" s="80">
        <f t="shared" si="0"/>
        <v>6959.6707678355087</v>
      </c>
      <c r="H13" s="80">
        <f t="shared" si="0"/>
        <v>8065.3254132802904</v>
      </c>
      <c r="I13" s="80">
        <f t="shared" si="0"/>
        <v>7850.1618973812901</v>
      </c>
      <c r="J13" s="80">
        <f t="shared" si="0"/>
        <v>8291.098664019406</v>
      </c>
      <c r="K13" s="80">
        <f t="shared" si="0"/>
        <v>8755.7880790112849</v>
      </c>
    </row>
    <row r="14" spans="1:11" x14ac:dyDescent="0.3">
      <c r="A14" s="23" t="s">
        <v>69</v>
      </c>
      <c r="B14" s="73"/>
      <c r="C14" s="73"/>
      <c r="D14" s="73"/>
      <c r="E14" s="73"/>
      <c r="F14" s="73"/>
      <c r="G14" s="74"/>
      <c r="H14" s="74"/>
      <c r="I14" s="74"/>
      <c r="J14" s="74"/>
      <c r="K14" s="75"/>
    </row>
    <row r="15" spans="1:11" x14ac:dyDescent="0.3">
      <c r="A15" s="66" t="s">
        <v>70</v>
      </c>
      <c r="B15" s="76">
        <v>-2863</v>
      </c>
      <c r="C15" s="76">
        <v>-2891</v>
      </c>
      <c r="D15" s="76">
        <v>-2750</v>
      </c>
      <c r="E15" s="76">
        <v>-3187</v>
      </c>
      <c r="F15" s="76">
        <v>-3549</v>
      </c>
      <c r="G15" s="77">
        <f>(('Forecasted Balance Sheet'!G11-'Forecasted Balance Sheet'!F11)+'Forecasted Cash Flow Statement '!G7) * -1</f>
        <v>-3167.1702940505115</v>
      </c>
      <c r="H15" s="77">
        <f>(('Forecasted Balance Sheet'!H11-'Forecasted Balance Sheet'!G11)+'Forecasted Cash Flow Statement '!H7) * -1</f>
        <v>-3337.7813384518568</v>
      </c>
      <c r="I15" s="77">
        <f>(('Forecasted Balance Sheet'!I11-'Forecasted Balance Sheet'!H11)+'Forecasted Cash Flow Statement '!I7) * -1</f>
        <v>-3517.582961751466</v>
      </c>
      <c r="J15" s="77">
        <f>(('Forecasted Balance Sheet'!J11-'Forecasted Balance Sheet'!I11)+'Forecasted Cash Flow Statement '!J7) * -1</f>
        <v>-3707.0702476104398</v>
      </c>
      <c r="K15" s="77">
        <f>(('Forecasted Balance Sheet'!K11-'Forecasted Balance Sheet'!J11)+'Forecasted Cash Flow Statement '!K7) * -1</f>
        <v>-3906.76494915588</v>
      </c>
    </row>
    <row r="16" spans="1:11" x14ac:dyDescent="0.3">
      <c r="A16" s="23" t="s">
        <v>75</v>
      </c>
      <c r="B16" s="59">
        <v>-2863</v>
      </c>
      <c r="C16" s="59">
        <v>-2891</v>
      </c>
      <c r="D16" s="59">
        <v>-2750</v>
      </c>
      <c r="E16" s="59">
        <v>-3187</v>
      </c>
      <c r="F16" s="59">
        <v>-3549</v>
      </c>
      <c r="G16" s="78">
        <f>G15</f>
        <v>-3167.1702940505115</v>
      </c>
      <c r="H16" s="78">
        <f t="shared" ref="H16:K16" si="1">H15</f>
        <v>-3337.7813384518568</v>
      </c>
      <c r="I16" s="78">
        <f t="shared" si="1"/>
        <v>-3517.582961751466</v>
      </c>
      <c r="J16" s="78">
        <f t="shared" si="1"/>
        <v>-3707.0702476104398</v>
      </c>
      <c r="K16" s="78">
        <f t="shared" si="1"/>
        <v>-3906.76494915588</v>
      </c>
    </row>
    <row r="17" spans="1:11" x14ac:dyDescent="0.3">
      <c r="A17" s="23" t="s">
        <v>76</v>
      </c>
      <c r="B17" s="57"/>
      <c r="C17" s="57"/>
      <c r="D17" s="57"/>
      <c r="E17" s="57"/>
      <c r="F17" s="57"/>
      <c r="G17" s="58"/>
      <c r="H17" s="58"/>
      <c r="I17" s="58"/>
      <c r="J17" s="58"/>
      <c r="K17" s="58"/>
    </row>
    <row r="18" spans="1:11" x14ac:dyDescent="0.3">
      <c r="A18" s="24" t="s">
        <v>77</v>
      </c>
      <c r="B18" s="40">
        <v>1789</v>
      </c>
      <c r="C18" s="40">
        <v>403</v>
      </c>
      <c r="D18" s="40">
        <v>1899</v>
      </c>
      <c r="E18" s="40">
        <v>2554</v>
      </c>
      <c r="F18" s="40">
        <v>3483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</row>
    <row r="19" spans="1:11" x14ac:dyDescent="0.3">
      <c r="A19" s="24" t="s">
        <v>86</v>
      </c>
      <c r="B19" s="40">
        <v>-1634</v>
      </c>
      <c r="C19" s="40">
        <v>-1740</v>
      </c>
      <c r="D19" s="40">
        <v>-2004</v>
      </c>
      <c r="E19" s="40">
        <v>-2071</v>
      </c>
      <c r="F19" s="40">
        <v>-2138</v>
      </c>
      <c r="G19" s="61">
        <f>Assumptions!$B$20*'Forecasted Cash Flow Statement '!G5 * -1</f>
        <v>3235.2691506239057</v>
      </c>
      <c r="H19" s="61">
        <f>Assumptions!$B$20*'Forecasted Cash Flow Statement '!H5 * -1</f>
        <v>3421.1834623947875</v>
      </c>
      <c r="I19" s="61">
        <f>Assumptions!$B$20*'Forecasted Cash Flow Statement '!I5 * -1</f>
        <v>3617.1127187235825</v>
      </c>
      <c r="J19" s="61">
        <f>Assumptions!$B$20*'Forecasted Cash Flow Statement '!J5 * -1</f>
        <v>3823.596410699186</v>
      </c>
      <c r="K19" s="61">
        <f>Assumptions!$B$20*'Forecasted Cash Flow Statement '!K5 * -1</f>
        <v>4041.2030910426629</v>
      </c>
    </row>
    <row r="20" spans="1:11" x14ac:dyDescent="0.3">
      <c r="A20" s="23" t="s">
        <v>87</v>
      </c>
      <c r="B20" s="59">
        <f t="shared" ref="B20:F20" si="2">SUM(B18:B19)</f>
        <v>155</v>
      </c>
      <c r="C20" s="59">
        <f t="shared" si="2"/>
        <v>-1337</v>
      </c>
      <c r="D20" s="59">
        <f t="shared" si="2"/>
        <v>-105</v>
      </c>
      <c r="E20" s="59">
        <f t="shared" si="2"/>
        <v>483</v>
      </c>
      <c r="F20" s="59">
        <f t="shared" si="2"/>
        <v>1345</v>
      </c>
      <c r="G20" s="78">
        <f>SUM(G18:G19)</f>
        <v>3235.2691506239057</v>
      </c>
      <c r="H20" s="78">
        <f t="shared" ref="H20:K20" si="3">SUM(H18:H19)</f>
        <v>3421.1834623947875</v>
      </c>
      <c r="I20" s="78">
        <f t="shared" si="3"/>
        <v>3617.1127187235825</v>
      </c>
      <c r="J20" s="78">
        <f t="shared" si="3"/>
        <v>3823.596410699186</v>
      </c>
      <c r="K20" s="78">
        <f t="shared" si="3"/>
        <v>4041.2030910426629</v>
      </c>
    </row>
    <row r="24" spans="1:11" x14ac:dyDescent="0.3">
      <c r="B24" s="6"/>
      <c r="C24" s="7"/>
      <c r="D24" s="7"/>
      <c r="E24" s="7"/>
      <c r="F24" s="7"/>
    </row>
    <row r="25" spans="1:11" x14ac:dyDescent="0.3">
      <c r="B25" s="7"/>
      <c r="C25" s="7"/>
      <c r="D25" s="6"/>
      <c r="E25" s="6"/>
      <c r="F25" s="7"/>
    </row>
    <row r="26" spans="1:11" x14ac:dyDescent="0.3">
      <c r="B26" s="7"/>
      <c r="C26" s="7"/>
      <c r="D26" s="7"/>
      <c r="E26" s="6"/>
      <c r="F26" s="7"/>
    </row>
    <row r="27" spans="1:11" x14ac:dyDescent="0.3">
      <c r="B27" s="6"/>
      <c r="C27" s="6"/>
      <c r="D27" s="6"/>
      <c r="E27" s="6"/>
      <c r="F27" s="6"/>
    </row>
    <row r="31" spans="1:11" x14ac:dyDescent="0.3">
      <c r="B31" s="6"/>
      <c r="C31" s="6"/>
      <c r="D31" s="6"/>
      <c r="E31" s="6"/>
      <c r="F31" s="6"/>
    </row>
    <row r="32" spans="1:11" x14ac:dyDescent="0.3">
      <c r="B32" s="6"/>
      <c r="C32" s="6"/>
      <c r="D32" s="6"/>
      <c r="E32" s="6"/>
      <c r="F32" s="6"/>
    </row>
    <row r="33" spans="1:6" x14ac:dyDescent="0.3">
      <c r="B33" s="7"/>
      <c r="C33" s="6"/>
      <c r="D33" s="7"/>
      <c r="E33" s="7"/>
      <c r="F33" s="7"/>
    </row>
    <row r="34" spans="1:6" x14ac:dyDescent="0.3">
      <c r="B34" s="6"/>
      <c r="C34" s="6"/>
      <c r="D34" s="6"/>
      <c r="E34" s="6"/>
      <c r="F34" s="6"/>
    </row>
    <row r="35" spans="1:6" x14ac:dyDescent="0.3">
      <c r="B35" s="6"/>
      <c r="C35" s="6"/>
      <c r="D35" s="6"/>
      <c r="E35" s="6"/>
      <c r="F35" s="6"/>
    </row>
    <row r="36" spans="1:6" x14ac:dyDescent="0.3">
      <c r="B36" s="6"/>
      <c r="C36" s="6"/>
      <c r="D36" s="6"/>
      <c r="E36" s="6"/>
      <c r="F36" s="6"/>
    </row>
    <row r="37" spans="1:6" x14ac:dyDescent="0.3">
      <c r="B37" s="6"/>
      <c r="C37" s="6"/>
      <c r="D37" s="6"/>
      <c r="E37" s="6"/>
      <c r="F37" s="6"/>
    </row>
    <row r="38" spans="1:6" x14ac:dyDescent="0.3">
      <c r="B38" s="6"/>
      <c r="C38" s="6"/>
      <c r="D38" s="6"/>
      <c r="E38" s="6"/>
      <c r="F38" s="6"/>
    </row>
    <row r="39" spans="1:6" x14ac:dyDescent="0.3">
      <c r="B39" s="6"/>
      <c r="C39" s="6"/>
      <c r="D39" s="6"/>
      <c r="E39" s="6"/>
      <c r="F39" s="6"/>
    </row>
    <row r="42" spans="1:6" x14ac:dyDescent="0.3">
      <c r="A42" s="8"/>
      <c r="B42" s="7"/>
      <c r="C42" s="7"/>
      <c r="D42" s="6"/>
      <c r="E42" s="6"/>
      <c r="F42" s="6"/>
    </row>
    <row r="43" spans="1:6" x14ac:dyDescent="0.3">
      <c r="A43" s="9"/>
      <c r="B43" s="6"/>
      <c r="C43" s="6"/>
      <c r="D43" s="6"/>
      <c r="E43" s="6"/>
      <c r="F43" s="6"/>
    </row>
    <row r="44" spans="1:6" x14ac:dyDescent="0.3">
      <c r="A44" s="8"/>
      <c r="B44" s="6"/>
      <c r="C44" s="6"/>
      <c r="D44" s="6"/>
      <c r="E44" s="6"/>
      <c r="F44" s="6"/>
    </row>
    <row r="45" spans="1:6" x14ac:dyDescent="0.3">
      <c r="A45" s="9"/>
      <c r="B45" s="6"/>
      <c r="C45" s="6"/>
      <c r="D45" s="6"/>
      <c r="E45" s="6"/>
      <c r="F45" s="6"/>
    </row>
    <row r="46" spans="1:6" x14ac:dyDescent="0.3">
      <c r="A46" s="8"/>
      <c r="B46" s="6"/>
      <c r="C46" s="6"/>
      <c r="D46" s="6"/>
      <c r="E46" s="6"/>
      <c r="F46" s="6"/>
    </row>
    <row r="47" spans="1:6" x14ac:dyDescent="0.3">
      <c r="A47" s="8"/>
      <c r="B47" s="6"/>
      <c r="C47" s="6"/>
      <c r="D47" s="6"/>
      <c r="E47" s="6"/>
      <c r="F47" s="6"/>
    </row>
    <row r="48" spans="1:6" x14ac:dyDescent="0.3">
      <c r="A48" s="9"/>
      <c r="B48" s="6"/>
      <c r="C48" s="6"/>
      <c r="D48" s="6"/>
      <c r="E48" s="6"/>
      <c r="F48" s="6"/>
    </row>
    <row r="49" spans="1:6" x14ac:dyDescent="0.3">
      <c r="A49" s="8"/>
      <c r="B49" s="6"/>
      <c r="C49" s="6"/>
      <c r="D49" s="6"/>
      <c r="E49" s="6"/>
      <c r="F49" s="6"/>
    </row>
    <row r="50" spans="1:6" x14ac:dyDescent="0.3">
      <c r="A50" s="8"/>
      <c r="B50" s="6"/>
      <c r="C50" s="6"/>
      <c r="D50" s="6"/>
      <c r="E50" s="6"/>
      <c r="F50" s="6"/>
    </row>
    <row r="51" spans="1:6" x14ac:dyDescent="0.3">
      <c r="A51" s="8"/>
      <c r="B51" s="6"/>
      <c r="C51" s="6"/>
      <c r="D51" s="6"/>
      <c r="E51" s="6"/>
      <c r="F51" s="6"/>
    </row>
  </sheetData>
  <mergeCells count="2">
    <mergeCell ref="A1:K1"/>
    <mergeCell ref="A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2F83-556E-4D8E-8DB7-658BA43A339E}">
  <dimension ref="A1:L18"/>
  <sheetViews>
    <sheetView zoomScale="110" zoomScaleNormal="129" workbookViewId="0">
      <selection activeCell="I17" sqref="I17"/>
    </sheetView>
  </sheetViews>
  <sheetFormatPr defaultRowHeight="14.4" x14ac:dyDescent="0.3"/>
  <cols>
    <col min="1" max="1" width="19.5546875" bestFit="1" customWidth="1"/>
    <col min="2" max="2" width="12.77734375" bestFit="1" customWidth="1"/>
    <col min="3" max="3" width="14.109375" bestFit="1" customWidth="1"/>
    <col min="4" max="4" width="11.6640625" bestFit="1" customWidth="1"/>
    <col min="5" max="5" width="12.21875" bestFit="1" customWidth="1"/>
    <col min="6" max="6" width="10.77734375" bestFit="1" customWidth="1"/>
    <col min="7" max="7" width="9.77734375" bestFit="1" customWidth="1"/>
    <col min="8" max="8" width="11.88671875" bestFit="1" customWidth="1"/>
    <col min="9" max="9" width="14.33203125" bestFit="1" customWidth="1"/>
    <col min="10" max="10" width="10.77734375" bestFit="1" customWidth="1"/>
    <col min="12" max="12" width="10.44140625" bestFit="1" customWidth="1"/>
  </cols>
  <sheetData>
    <row r="1" spans="1:12" x14ac:dyDescent="0.3">
      <c r="A1" s="139" t="s">
        <v>195</v>
      </c>
      <c r="B1" s="139"/>
      <c r="C1" s="139"/>
      <c r="D1" s="139"/>
      <c r="E1" s="139"/>
      <c r="F1" s="139"/>
      <c r="G1" s="139"/>
      <c r="H1" s="139"/>
      <c r="I1" s="139"/>
      <c r="J1" s="139"/>
    </row>
    <row r="2" spans="1:12" x14ac:dyDescent="0.3">
      <c r="A2" s="146" t="s">
        <v>196</v>
      </c>
      <c r="B2" s="146"/>
      <c r="C2" s="146"/>
      <c r="D2" s="146"/>
      <c r="E2" s="146"/>
      <c r="F2" s="146"/>
      <c r="G2" s="146"/>
      <c r="H2" s="146"/>
      <c r="I2" s="146"/>
      <c r="J2" s="146"/>
    </row>
    <row r="3" spans="1:12" x14ac:dyDescent="0.3">
      <c r="A3" s="113" t="s">
        <v>151</v>
      </c>
      <c r="B3" s="113" t="s">
        <v>156</v>
      </c>
      <c r="C3" s="113" t="s">
        <v>157</v>
      </c>
      <c r="D3" s="113" t="s">
        <v>158</v>
      </c>
      <c r="E3" s="113" t="s">
        <v>148</v>
      </c>
      <c r="F3" s="113" t="s">
        <v>149</v>
      </c>
      <c r="G3" s="22" t="s">
        <v>159</v>
      </c>
      <c r="H3" s="113" t="s">
        <v>160</v>
      </c>
      <c r="I3" s="113" t="s">
        <v>173</v>
      </c>
      <c r="J3" s="113" t="s">
        <v>174</v>
      </c>
      <c r="K3" s="4"/>
      <c r="L3" s="4"/>
    </row>
    <row r="4" spans="1:12" x14ac:dyDescent="0.3">
      <c r="A4" s="118" t="s">
        <v>104</v>
      </c>
      <c r="B4" s="115">
        <f>'Forecasted Income Statement'!G4-'Forecasted Income Statement'!G5</f>
        <v>6797.4889899620084</v>
      </c>
      <c r="C4" s="119">
        <f>Assumptions!$B$9</f>
        <v>0.21191604269861702</v>
      </c>
      <c r="D4" s="115">
        <f>B4*(1-C4)</f>
        <v>5356.9920229218396</v>
      </c>
      <c r="E4" s="115">
        <f>Calculations!D4</f>
        <v>1933.0438849443221</v>
      </c>
      <c r="F4" s="115">
        <f>Calculations!C4</f>
        <v>3167.1702940505133</v>
      </c>
      <c r="G4" s="94">
        <f>(('Forecasted Balance Sheet'!G7-'Forecasted Balance Sheet'!F7)+('Forecasted Balance Sheet'!G8-'Forecasted Balance Sheet'!F8))-('Forecasted Balance Sheet'!G16-'Forecasted Balance Sheet'!F16)</f>
        <v>-4.8857754053560711</v>
      </c>
      <c r="H4" s="94">
        <f>D4+E4-F4-G4</f>
        <v>4127.7513892210054</v>
      </c>
      <c r="I4" s="120">
        <f>(1/(1+Assumptions!$B$30)^1)</f>
        <v>0.93367213976849817</v>
      </c>
      <c r="J4" s="94">
        <f>H4*I4</f>
        <v>3853.966472006367</v>
      </c>
    </row>
    <row r="5" spans="1:12" x14ac:dyDescent="0.3">
      <c r="A5" s="118" t="s">
        <v>105</v>
      </c>
      <c r="B5" s="115">
        <f>'Forecasted Income Statement'!H4-'Forecasted Income Statement'!H5</f>
        <v>7163.6602369147204</v>
      </c>
      <c r="C5" s="119">
        <f>Assumptions!$B$9</f>
        <v>0.21191604269861702</v>
      </c>
      <c r="D5" s="115">
        <f t="shared" ref="D5:D8" si="0">B5*(1-C5)</f>
        <v>5645.5657082703156</v>
      </c>
      <c r="E5" s="115">
        <f>Calculations!D5</f>
        <v>2037.1742617363461</v>
      </c>
      <c r="F5" s="115">
        <f>Calculations!C5</f>
        <v>3337.781338451859</v>
      </c>
      <c r="G5" s="94">
        <f>('Forecasted Balance Sheet'!H7-'Forecasted Balance Sheet'!G7)+('Forecasted Balance Sheet'!H8-'Forecasted Balance Sheet'!G8)-('Forecasted Balance Sheet'!H16-'Forecasted Balance Sheet'!G16)</f>
        <v>-717.83635870963633</v>
      </c>
      <c r="H5" s="94">
        <f t="shared" ref="H5:H7" si="1">D5+E5-F5-G5</f>
        <v>5062.7949902644386</v>
      </c>
      <c r="I5" s="120">
        <f>(1/(1+Assumptions!$B$30)^2)</f>
        <v>0.87174366457988606</v>
      </c>
      <c r="J5" s="94">
        <f t="shared" ref="J5:J8" si="2">H5*I5</f>
        <v>4413.4594578298102</v>
      </c>
    </row>
    <row r="6" spans="1:12" x14ac:dyDescent="0.3">
      <c r="A6" s="118" t="s">
        <v>106</v>
      </c>
      <c r="B6" s="115">
        <f>'Forecasted Income Statement'!I4-'Forecasted Income Statement'!I5</f>
        <v>7549.5566180004789</v>
      </c>
      <c r="C6" s="119">
        <f>Assumptions!$B$9</f>
        <v>0.21191604269861702</v>
      </c>
      <c r="D6" s="115">
        <f t="shared" si="0"/>
        <v>5949.6844553846622</v>
      </c>
      <c r="E6" s="115">
        <f>Calculations!D6</f>
        <v>2146.9139966269117</v>
      </c>
      <c r="F6" s="115">
        <f>Calculations!C6</f>
        <v>3517.5829617514714</v>
      </c>
      <c r="G6" s="94">
        <f>('Forecasted Balance Sheet'!I7-'Forecasted Balance Sheet'!H7)+('Forecasted Balance Sheet'!I8-'Forecasted Balance Sheet'!H8)-('Forecasted Balance Sheet'!I16-'Forecasted Balance Sheet'!H16)</f>
        <v>-88.814360805724618</v>
      </c>
      <c r="H6" s="94">
        <f t="shared" si="1"/>
        <v>4667.8298510658269</v>
      </c>
      <c r="I6" s="120">
        <f>(1/(1+Assumptions!$B$30)^3)</f>
        <v>0.81392277263793422</v>
      </c>
      <c r="J6" s="94">
        <f t="shared" si="2"/>
        <v>3799.2530145816136</v>
      </c>
    </row>
    <row r="7" spans="1:12" x14ac:dyDescent="0.3">
      <c r="A7" s="118" t="s">
        <v>107</v>
      </c>
      <c r="B7" s="115">
        <f>'Forecasted Income Statement'!J4-'Forecasted Income Statement'!J5</f>
        <v>7956.2406986713922</v>
      </c>
      <c r="C7" s="119">
        <f>Assumptions!$B$9</f>
        <v>0.21191604269861702</v>
      </c>
      <c r="D7" s="115">
        <f t="shared" si="0"/>
        <v>6270.1856550512703</v>
      </c>
      <c r="E7" s="115">
        <f>Calculations!D7</f>
        <v>2262.5652579097205</v>
      </c>
      <c r="F7" s="115">
        <f>Calculations!C7</f>
        <v>3707.0702476104448</v>
      </c>
      <c r="G7" s="94">
        <f>('Forecasted Balance Sheet'!J7-'Forecasted Balance Sheet'!I7)+('Forecasted Balance Sheet'!J8-'Forecasted Balance Sheet'!I8)-('Forecasted Balance Sheet'!J16-'Forecasted Balance Sheet'!I16)</f>
        <v>-93.598666494423128</v>
      </c>
      <c r="H7" s="94">
        <f t="shared" si="1"/>
        <v>4919.2793318449676</v>
      </c>
      <c r="I7" s="120">
        <f>(1/(1+Assumptions!$B$30)^4)</f>
        <v>0.75993701673516878</v>
      </c>
      <c r="J7" s="94">
        <f t="shared" si="2"/>
        <v>3738.3424599292389</v>
      </c>
    </row>
    <row r="8" spans="1:12" x14ac:dyDescent="0.3">
      <c r="A8" s="118" t="s">
        <v>108</v>
      </c>
      <c r="B8" s="115">
        <f>'Forecasted Income Statement'!K4-'Forecasted Income Statement'!K5</f>
        <v>8384.8322832978065</v>
      </c>
      <c r="C8" s="119">
        <f>Assumptions!$B$9</f>
        <v>0.21191604269861702</v>
      </c>
      <c r="D8" s="115">
        <f t="shared" si="0"/>
        <v>6607.9518071297252</v>
      </c>
      <c r="E8" s="115">
        <f>Calculations!D8</f>
        <v>2384.4464912628205</v>
      </c>
      <c r="F8" s="115">
        <f>Calculations!C8</f>
        <v>3906.7649491558764</v>
      </c>
      <c r="G8" s="94">
        <f>('Forecasted Balance Sheet'!K7-'Forecasted Balance Sheet'!J7)+('Forecasted Balance Sheet'!K8-'Forecasted Balance Sheet'!J8)-('Forecasted Balance Sheet'!K16-'Forecasted Balance Sheet'!J16)</f>
        <v>-98.640696054747764</v>
      </c>
      <c r="H8" s="94">
        <f>D8+E8-F8-G8</f>
        <v>5184.2740452914159</v>
      </c>
      <c r="I8" s="120">
        <f>(1/(1+Assumptions!$B$30)^5)</f>
        <v>0.709532020504414</v>
      </c>
      <c r="J8" s="94">
        <f t="shared" si="2"/>
        <v>3678.4084382042101</v>
      </c>
    </row>
    <row r="9" spans="1:12" x14ac:dyDescent="0.3">
      <c r="A9" s="13"/>
      <c r="B9" s="15"/>
      <c r="C9" s="10"/>
      <c r="D9" s="10"/>
      <c r="E9" s="10"/>
      <c r="F9" s="10"/>
      <c r="H9" s="4"/>
    </row>
    <row r="10" spans="1:12" x14ac:dyDescent="0.3">
      <c r="A10" s="116" t="s">
        <v>175</v>
      </c>
      <c r="B10" s="114">
        <f>SUM(J4:J8)</f>
        <v>19483.429842551242</v>
      </c>
      <c r="C10" s="10"/>
      <c r="D10" s="10"/>
      <c r="E10" s="10"/>
      <c r="F10" s="10"/>
    </row>
    <row r="11" spans="1:12" x14ac:dyDescent="0.3">
      <c r="A11" s="116" t="s">
        <v>179</v>
      </c>
      <c r="B11" s="115">
        <f>(H8*(1+Assumptions!B31))/(Assumptions!B30-Assumptions!B31)</f>
        <v>103604.6761551716</v>
      </c>
      <c r="C11" s="10"/>
      <c r="D11" s="10"/>
      <c r="E11" s="10"/>
      <c r="F11" s="10"/>
    </row>
    <row r="12" spans="1:12" x14ac:dyDescent="0.3">
      <c r="A12" s="117" t="s">
        <v>178</v>
      </c>
      <c r="B12" s="115">
        <f>B11*I8</f>
        <v>73510.83520608439</v>
      </c>
      <c r="C12" s="10"/>
      <c r="D12" s="10"/>
      <c r="E12" s="10"/>
      <c r="F12" s="10"/>
    </row>
    <row r="13" spans="1:12" x14ac:dyDescent="0.3">
      <c r="A13" s="14"/>
      <c r="B13" s="17"/>
      <c r="E13" s="10"/>
      <c r="F13" s="10"/>
    </row>
    <row r="14" spans="1:12" x14ac:dyDescent="0.3">
      <c r="A14" s="117" t="s">
        <v>180</v>
      </c>
      <c r="B14" s="115">
        <f>B12+B10</f>
        <v>92994.265048635629</v>
      </c>
      <c r="C14" s="10"/>
      <c r="D14" s="10"/>
      <c r="E14" s="10"/>
      <c r="F14" s="10"/>
    </row>
    <row r="15" spans="1:12" x14ac:dyDescent="0.3">
      <c r="A15" s="21" t="s">
        <v>181</v>
      </c>
      <c r="B15" s="94">
        <f>'Balance Sheet - Full'!F22+'Balance Sheet - Full'!F27-'Forecasted Balance Sheet'!K6</f>
        <v>-19919.039863991755</v>
      </c>
    </row>
    <row r="16" spans="1:12" x14ac:dyDescent="0.3">
      <c r="A16" s="21" t="s">
        <v>182</v>
      </c>
      <c r="B16" s="94">
        <f>B14-B15</f>
        <v>112913.30491262738</v>
      </c>
    </row>
    <row r="17" spans="1:2" x14ac:dyDescent="0.3">
      <c r="A17" s="21" t="s">
        <v>183</v>
      </c>
      <c r="B17" s="24">
        <v>627.5</v>
      </c>
    </row>
    <row r="18" spans="1:2" x14ac:dyDescent="0.3">
      <c r="A18" s="21" t="s">
        <v>186</v>
      </c>
      <c r="B18" s="94">
        <f>B16/B17</f>
        <v>179.94152177311136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5157-CC2B-411F-86EE-5D16D980F930}">
  <dimension ref="A1:L13"/>
  <sheetViews>
    <sheetView workbookViewId="0">
      <selection activeCell="H5" sqref="H5"/>
    </sheetView>
  </sheetViews>
  <sheetFormatPr defaultRowHeight="14.4" x14ac:dyDescent="0.3"/>
  <cols>
    <col min="1" max="1" width="16.5546875" bestFit="1" customWidth="1"/>
    <col min="2" max="2" width="11.6640625" customWidth="1"/>
    <col min="3" max="3" width="12.44140625" bestFit="1" customWidth="1"/>
    <col min="4" max="4" width="10.6640625" bestFit="1" customWidth="1"/>
    <col min="5" max="5" width="11.77734375" customWidth="1"/>
    <col min="6" max="6" width="10.6640625" bestFit="1" customWidth="1"/>
  </cols>
  <sheetData>
    <row r="1" spans="1:12" x14ac:dyDescent="0.3">
      <c r="A1" s="150" t="s">
        <v>197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</row>
    <row r="2" spans="1:12" x14ac:dyDescent="0.3">
      <c r="A2" s="1" t="s">
        <v>199</v>
      </c>
    </row>
    <row r="3" spans="1:12" x14ac:dyDescent="0.3">
      <c r="A3" s="21" t="s">
        <v>187</v>
      </c>
      <c r="B3" s="109">
        <f>Assumptions!B30</f>
        <v>7.1039776605037797E-2</v>
      </c>
      <c r="C3" s="4"/>
    </row>
    <row r="4" spans="1:12" x14ac:dyDescent="0.3">
      <c r="A4" s="21" t="s">
        <v>188</v>
      </c>
      <c r="B4" s="112">
        <f>Assumptions!B31</f>
        <v>0.02</v>
      </c>
    </row>
    <row r="5" spans="1:12" x14ac:dyDescent="0.3">
      <c r="A5" s="21" t="s">
        <v>186</v>
      </c>
      <c r="B5" s="27">
        <f>((('DCF Valuation'!I8*('DCF Valuation'!H8*(1+B4))/(B3-B4))+'DCF Valuation'!B10)-'DCF Valuation'!B15)/'DCF Valuation'!B17</f>
        <v>179.94152177311136</v>
      </c>
    </row>
    <row r="6" spans="1:12" ht="15" thickBot="1" x14ac:dyDescent="0.35"/>
    <row r="7" spans="1:12" x14ac:dyDescent="0.3">
      <c r="A7" s="127" t="s">
        <v>198</v>
      </c>
      <c r="B7" s="147" t="s">
        <v>167</v>
      </c>
      <c r="C7" s="148"/>
      <c r="D7" s="148"/>
      <c r="E7" s="148"/>
      <c r="F7" s="149"/>
      <c r="G7" s="12"/>
    </row>
    <row r="8" spans="1:12" ht="15" thickBot="1" x14ac:dyDescent="0.35">
      <c r="A8" s="128">
        <f>((('DCF Valuation'!I8*('DCF Valuation'!H8*(1+B4))/(B3-B4))+'DCF Valuation'!B10)-'DCF Valuation'!B15)/'DCF Valuation'!B17</f>
        <v>179.94152177311136</v>
      </c>
      <c r="B8" s="124">
        <v>0.06</v>
      </c>
      <c r="C8" s="122">
        <v>6.5000000000000002E-2</v>
      </c>
      <c r="D8" s="122">
        <f>Assumptions!B30</f>
        <v>7.1039776605037797E-2</v>
      </c>
      <c r="E8" s="122">
        <v>7.4999999999999997E-2</v>
      </c>
      <c r="F8" s="123">
        <v>0.08</v>
      </c>
      <c r="H8" s="1"/>
      <c r="I8" s="1"/>
      <c r="J8" s="1"/>
      <c r="K8" s="1"/>
      <c r="L8" s="1"/>
    </row>
    <row r="9" spans="1:12" x14ac:dyDescent="0.3">
      <c r="A9" s="129">
        <v>0.01</v>
      </c>
      <c r="B9" s="125">
        <f t="dataTable" ref="B9:F13" dt2D="1" dtr="1" r1="B3" r2="B4"/>
        <v>181.20529108887337</v>
      </c>
      <c r="C9" s="121">
        <v>170.44051739068792</v>
      </c>
      <c r="D9" s="121">
        <v>159.78896655662726</v>
      </c>
      <c r="E9" s="121">
        <v>153.87932708578722</v>
      </c>
      <c r="F9" s="121">
        <v>147.37314518029052</v>
      </c>
    </row>
    <row r="10" spans="1:12" x14ac:dyDescent="0.3">
      <c r="A10" s="130">
        <v>1.4999999999999999E-2</v>
      </c>
      <c r="B10" s="126">
        <v>195.01357066212333</v>
      </c>
      <c r="C10" s="62">
        <v>181.79149163679435</v>
      </c>
      <c r="D10" s="62">
        <v>168.96621509849217</v>
      </c>
      <c r="E10" s="62">
        <v>161.95837309880088</v>
      </c>
      <c r="F10" s="62">
        <v>154.33025058418798</v>
      </c>
    </row>
    <row r="11" spans="1:12" x14ac:dyDescent="0.3">
      <c r="A11" s="129">
        <f>Assumptions!B31</f>
        <v>0.02</v>
      </c>
      <c r="B11" s="93">
        <v>212.27392012868586</v>
      </c>
      <c r="C11" s="40">
        <v>195.6649046042578</v>
      </c>
      <c r="D11" s="40">
        <v>179.94152177311136</v>
      </c>
      <c r="E11" s="40">
        <v>171.50633656872611</v>
      </c>
      <c r="F11" s="40">
        <v>162.44687355540171</v>
      </c>
    </row>
    <row r="12" spans="1:12" x14ac:dyDescent="0.3">
      <c r="A12" s="130">
        <v>2.5000000000000001E-2</v>
      </c>
      <c r="B12" s="93">
        <v>234.46579801426611</v>
      </c>
      <c r="C12" s="40">
        <v>213.00667081358702</v>
      </c>
      <c r="D12" s="40">
        <v>193.30070332374765</v>
      </c>
      <c r="E12" s="40">
        <v>182.96389273263634</v>
      </c>
      <c r="F12" s="40">
        <v>172.03924615774514</v>
      </c>
    </row>
    <row r="13" spans="1:12" ht="15" thickBot="1" x14ac:dyDescent="0.35">
      <c r="A13" s="131">
        <v>0.03</v>
      </c>
      <c r="B13" s="93">
        <v>264.05496852837325</v>
      </c>
      <c r="C13" s="40">
        <v>235.303227368439</v>
      </c>
      <c r="D13" s="40">
        <v>209.91506379000134</v>
      </c>
      <c r="E13" s="40">
        <v>196.96757248852666</v>
      </c>
      <c r="F13" s="40">
        <v>183.55009328055732</v>
      </c>
    </row>
  </sheetData>
  <mergeCells count="2">
    <mergeCell ref="B7:F7"/>
    <mergeCell ref="A1:L1"/>
  </mergeCells>
  <conditionalFormatting sqref="B9:F13">
    <cfRule type="colorScale" priority="1">
      <colorScale>
        <cfvo type="min"/>
        <cfvo type="max"/>
        <color theme="3" tint="0.89999084444715716"/>
        <color theme="3" tint="0.499984740745262"/>
      </colorScale>
    </cfRule>
    <cfRule type="colorScale" priority="2">
      <colorScale>
        <cfvo type="min"/>
        <cfvo type="max"/>
        <color theme="3" tint="0.89999084444715716"/>
        <color theme="3" tint="0.249977111117893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7529-0E47-4582-A03C-D42AC93602FD}">
  <dimension ref="A1:G37"/>
  <sheetViews>
    <sheetView tabSelected="1" zoomScale="82" zoomScaleNormal="82" workbookViewId="0">
      <selection activeCell="K23" sqref="K23"/>
    </sheetView>
  </sheetViews>
  <sheetFormatPr defaultRowHeight="14.4" x14ac:dyDescent="0.3"/>
  <cols>
    <col min="1" max="1" width="35" bestFit="1" customWidth="1"/>
    <col min="2" max="2" width="13.109375" bestFit="1" customWidth="1"/>
    <col min="3" max="3" width="13.44140625" bestFit="1" customWidth="1"/>
    <col min="4" max="5" width="13.77734375" bestFit="1" customWidth="1"/>
    <col min="6" max="6" width="11.5546875" bestFit="1" customWidth="1"/>
  </cols>
  <sheetData>
    <row r="1" spans="1:7" x14ac:dyDescent="0.3">
      <c r="A1" s="151" t="s">
        <v>137</v>
      </c>
      <c r="B1" s="152"/>
      <c r="C1" s="152"/>
      <c r="D1" s="152"/>
      <c r="E1" s="152"/>
      <c r="F1" s="152"/>
    </row>
    <row r="2" spans="1:7" x14ac:dyDescent="0.3">
      <c r="A2" s="143" t="s">
        <v>190</v>
      </c>
      <c r="B2" s="144"/>
      <c r="C2" s="144"/>
      <c r="D2" s="144"/>
      <c r="E2" s="144"/>
      <c r="F2" s="144"/>
    </row>
    <row r="3" spans="1:7" x14ac:dyDescent="0.3">
      <c r="A3" s="47"/>
      <c r="B3" s="84">
        <v>2020</v>
      </c>
      <c r="C3" s="84">
        <v>2021</v>
      </c>
      <c r="D3" s="84">
        <v>2022</v>
      </c>
      <c r="E3" s="84">
        <v>2023</v>
      </c>
      <c r="F3" s="85">
        <v>2024</v>
      </c>
    </row>
    <row r="4" spans="1:7" x14ac:dyDescent="0.3">
      <c r="A4" s="23" t="s">
        <v>25</v>
      </c>
      <c r="B4" s="53"/>
      <c r="C4" s="53"/>
      <c r="D4" s="53"/>
      <c r="E4" s="53"/>
      <c r="F4" s="81"/>
    </row>
    <row r="5" spans="1:7" x14ac:dyDescent="0.3">
      <c r="A5" s="32" t="s">
        <v>26</v>
      </c>
      <c r="B5" s="32"/>
      <c r="C5" s="33"/>
      <c r="D5" s="33"/>
      <c r="E5" s="33"/>
      <c r="F5" s="34"/>
    </row>
    <row r="6" spans="1:7" x14ac:dyDescent="0.3">
      <c r="A6" s="24" t="s">
        <v>54</v>
      </c>
      <c r="B6" s="27">
        <v>569</v>
      </c>
      <c r="C6" s="27">
        <v>838</v>
      </c>
      <c r="D6" s="27">
        <v>328</v>
      </c>
      <c r="E6" s="27">
        <v>475</v>
      </c>
      <c r="F6" s="27">
        <v>389</v>
      </c>
    </row>
    <row r="7" spans="1:7" x14ac:dyDescent="0.3">
      <c r="A7" s="24" t="s">
        <v>27</v>
      </c>
      <c r="B7" s="27">
        <v>531</v>
      </c>
      <c r="C7" s="27">
        <v>503</v>
      </c>
      <c r="D7" s="27">
        <v>506</v>
      </c>
      <c r="E7" s="27">
        <v>449</v>
      </c>
      <c r="F7" s="27">
        <v>12</v>
      </c>
    </row>
    <row r="8" spans="1:7" x14ac:dyDescent="0.3">
      <c r="A8" s="24" t="s">
        <v>28</v>
      </c>
      <c r="B8" s="27">
        <v>1054</v>
      </c>
      <c r="C8" s="27">
        <v>1074</v>
      </c>
      <c r="D8" s="27">
        <v>1371</v>
      </c>
      <c r="E8" s="27">
        <v>1300</v>
      </c>
      <c r="F8" s="27">
        <v>1164</v>
      </c>
      <c r="G8" s="6"/>
    </row>
    <row r="9" spans="1:7" x14ac:dyDescent="0.3">
      <c r="A9" s="24" t="s">
        <v>29</v>
      </c>
      <c r="B9" s="27">
        <v>583</v>
      </c>
      <c r="C9" s="27">
        <v>589</v>
      </c>
      <c r="D9" s="27">
        <v>692</v>
      </c>
      <c r="E9" s="27">
        <v>699</v>
      </c>
      <c r="F9" s="27">
        <v>720</v>
      </c>
    </row>
    <row r="10" spans="1:7" x14ac:dyDescent="0.3">
      <c r="A10" s="24" t="s">
        <v>30</v>
      </c>
      <c r="B10" s="27">
        <v>365</v>
      </c>
      <c r="C10" s="27">
        <v>422</v>
      </c>
      <c r="D10" s="27">
        <v>320</v>
      </c>
      <c r="E10" s="27">
        <v>166</v>
      </c>
      <c r="F10" s="27">
        <v>334</v>
      </c>
    </row>
    <row r="11" spans="1:7" x14ac:dyDescent="0.3">
      <c r="A11" s="23" t="s">
        <v>55</v>
      </c>
      <c r="B11" s="83">
        <v>3102</v>
      </c>
      <c r="C11" s="83">
        <v>3426</v>
      </c>
      <c r="D11" s="83">
        <v>3217</v>
      </c>
      <c r="E11" s="83">
        <v>3089</v>
      </c>
      <c r="F11" s="83">
        <v>2619</v>
      </c>
    </row>
    <row r="12" spans="1:7" x14ac:dyDescent="0.3">
      <c r="A12" s="24" t="s">
        <v>31</v>
      </c>
      <c r="B12" s="27">
        <v>40069</v>
      </c>
      <c r="C12" s="27">
        <v>41178</v>
      </c>
      <c r="D12" s="27">
        <v>43537</v>
      </c>
      <c r="E12" s="27">
        <v>44617</v>
      </c>
      <c r="F12" s="27">
        <v>47960</v>
      </c>
    </row>
    <row r="13" spans="1:7" x14ac:dyDescent="0.3">
      <c r="A13" s="24" t="s">
        <v>32</v>
      </c>
      <c r="B13" s="27">
        <v>435</v>
      </c>
      <c r="C13" s="27">
        <v>445</v>
      </c>
      <c r="D13" s="27">
        <v>470</v>
      </c>
      <c r="E13" s="27">
        <v>424</v>
      </c>
      <c r="F13" s="27">
        <v>485</v>
      </c>
    </row>
    <row r="14" spans="1:7" x14ac:dyDescent="0.3">
      <c r="A14" s="24" t="s">
        <v>33</v>
      </c>
      <c r="B14" s="27">
        <v>777</v>
      </c>
      <c r="C14" s="27">
        <v>3050</v>
      </c>
      <c r="D14" s="27">
        <v>3033</v>
      </c>
      <c r="E14" s="27">
        <v>3140</v>
      </c>
      <c r="F14" s="27">
        <v>4541</v>
      </c>
    </row>
    <row r="15" spans="1:7" x14ac:dyDescent="0.3">
      <c r="A15" s="24" t="s">
        <v>34</v>
      </c>
      <c r="B15" s="88" t="s">
        <v>22</v>
      </c>
      <c r="C15" s="89" t="s">
        <v>22</v>
      </c>
      <c r="D15" s="88" t="s">
        <v>22</v>
      </c>
      <c r="E15" s="27">
        <v>682</v>
      </c>
      <c r="F15" s="27">
        <v>689</v>
      </c>
    </row>
    <row r="16" spans="1:7" x14ac:dyDescent="0.3">
      <c r="A16" s="24" t="s">
        <v>35</v>
      </c>
      <c r="B16" s="27">
        <v>421</v>
      </c>
      <c r="C16" s="27">
        <v>439</v>
      </c>
      <c r="D16" s="27">
        <v>405</v>
      </c>
      <c r="E16" s="27">
        <v>714</v>
      </c>
      <c r="F16" s="27">
        <v>773</v>
      </c>
    </row>
    <row r="17" spans="1:6" x14ac:dyDescent="0.3">
      <c r="A17" s="20" t="s">
        <v>36</v>
      </c>
      <c r="B17" s="90">
        <v>44804</v>
      </c>
      <c r="C17" s="90">
        <v>48538</v>
      </c>
      <c r="D17" s="90">
        <v>50662</v>
      </c>
      <c r="E17" s="90">
        <v>52666</v>
      </c>
      <c r="F17" s="90">
        <v>57067</v>
      </c>
    </row>
    <row r="18" spans="1:6" x14ac:dyDescent="0.3">
      <c r="A18" s="50"/>
      <c r="B18" s="31"/>
      <c r="C18" s="31"/>
      <c r="D18" s="98"/>
      <c r="E18" s="98"/>
      <c r="F18" s="99"/>
    </row>
    <row r="19" spans="1:6" x14ac:dyDescent="0.3">
      <c r="A19" s="20" t="s">
        <v>37</v>
      </c>
      <c r="B19" s="30"/>
      <c r="C19" s="31"/>
      <c r="D19" s="98"/>
      <c r="E19" s="98"/>
      <c r="F19" s="99"/>
    </row>
    <row r="20" spans="1:6" x14ac:dyDescent="0.3">
      <c r="A20" s="50" t="s">
        <v>38</v>
      </c>
      <c r="B20" s="50"/>
      <c r="C20" s="53"/>
      <c r="D20" s="92"/>
      <c r="E20" s="92"/>
      <c r="F20" s="97"/>
    </row>
    <row r="21" spans="1:6" x14ac:dyDescent="0.3">
      <c r="A21" s="24" t="s">
        <v>39</v>
      </c>
      <c r="B21" s="51">
        <v>2364</v>
      </c>
      <c r="C21" s="51">
        <v>2612</v>
      </c>
      <c r="D21" s="51">
        <v>2785</v>
      </c>
      <c r="E21" s="51">
        <v>2695</v>
      </c>
      <c r="F21" s="26">
        <v>2810</v>
      </c>
    </row>
    <row r="22" spans="1:6" x14ac:dyDescent="0.3">
      <c r="A22" s="24" t="s">
        <v>56</v>
      </c>
      <c r="B22" s="27">
        <v>910</v>
      </c>
      <c r="C22" s="27">
        <v>508</v>
      </c>
      <c r="D22" s="27">
        <v>1057</v>
      </c>
      <c r="E22" s="27">
        <v>2340</v>
      </c>
      <c r="F22" s="27">
        <v>1166</v>
      </c>
    </row>
    <row r="23" spans="1:6" x14ac:dyDescent="0.3">
      <c r="A23" s="20" t="s">
        <v>40</v>
      </c>
      <c r="B23" s="29">
        <v>3274</v>
      </c>
      <c r="C23" s="29">
        <v>3120</v>
      </c>
      <c r="D23" s="29">
        <v>3842</v>
      </c>
      <c r="E23" s="29">
        <v>5035</v>
      </c>
      <c r="F23" s="29">
        <v>3976</v>
      </c>
    </row>
    <row r="24" spans="1:6" x14ac:dyDescent="0.3">
      <c r="A24" s="24" t="s">
        <v>41</v>
      </c>
      <c r="B24" s="27">
        <v>8271</v>
      </c>
      <c r="C24" s="27">
        <v>9303</v>
      </c>
      <c r="D24" s="27">
        <v>9796</v>
      </c>
      <c r="E24" s="27">
        <v>10066</v>
      </c>
      <c r="F24" s="27">
        <v>10874</v>
      </c>
    </row>
    <row r="25" spans="1:6" x14ac:dyDescent="0.3">
      <c r="A25" s="24" t="s">
        <v>42</v>
      </c>
      <c r="B25" s="27">
        <v>534</v>
      </c>
      <c r="C25" s="27">
        <v>427</v>
      </c>
      <c r="D25" s="27">
        <v>441</v>
      </c>
      <c r="E25" s="27">
        <v>522</v>
      </c>
      <c r="F25" s="27">
        <v>612</v>
      </c>
    </row>
    <row r="26" spans="1:6" x14ac:dyDescent="0.3">
      <c r="A26" s="24" t="s">
        <v>43</v>
      </c>
      <c r="B26" s="27">
        <v>767</v>
      </c>
      <c r="C26" s="27">
        <v>645</v>
      </c>
      <c r="D26" s="27">
        <v>486</v>
      </c>
      <c r="E26" s="27">
        <v>495</v>
      </c>
      <c r="F26" s="27">
        <v>483</v>
      </c>
    </row>
    <row r="27" spans="1:6" x14ac:dyDescent="0.3">
      <c r="A27" s="24" t="s">
        <v>44</v>
      </c>
      <c r="B27" s="27">
        <v>11996</v>
      </c>
      <c r="C27" s="27">
        <v>11977</v>
      </c>
      <c r="D27" s="27">
        <v>14372</v>
      </c>
      <c r="E27" s="27">
        <v>16133</v>
      </c>
      <c r="F27" s="27">
        <v>19728</v>
      </c>
    </row>
    <row r="28" spans="1:6" x14ac:dyDescent="0.3">
      <c r="A28" s="24" t="s">
        <v>45</v>
      </c>
      <c r="B28" s="27">
        <v>311</v>
      </c>
      <c r="C28" s="27">
        <v>322</v>
      </c>
      <c r="D28" s="27">
        <v>341</v>
      </c>
      <c r="E28" s="27">
        <v>298</v>
      </c>
      <c r="F28" s="27">
        <v>343</v>
      </c>
    </row>
    <row r="29" spans="1:6" x14ac:dyDescent="0.3">
      <c r="A29" s="20" t="s">
        <v>46</v>
      </c>
      <c r="B29" s="90">
        <v>25153</v>
      </c>
      <c r="C29" s="90">
        <v>25794</v>
      </c>
      <c r="D29" s="90">
        <v>33120</v>
      </c>
      <c r="E29" s="90">
        <v>32549</v>
      </c>
      <c r="F29" s="90">
        <v>36016</v>
      </c>
    </row>
    <row r="30" spans="1:6" x14ac:dyDescent="0.3">
      <c r="A30" s="50" t="s">
        <v>47</v>
      </c>
      <c r="B30" s="50"/>
      <c r="C30" s="53"/>
      <c r="D30" s="92"/>
      <c r="E30" s="92"/>
      <c r="F30" s="97"/>
    </row>
    <row r="31" spans="1:6" x14ac:dyDescent="0.3">
      <c r="A31" s="24" t="s">
        <v>48</v>
      </c>
      <c r="B31" s="51">
        <v>3698</v>
      </c>
      <c r="C31" s="51">
        <v>3704</v>
      </c>
      <c r="D31" s="51">
        <v>3613</v>
      </c>
      <c r="E31" s="51">
        <v>3512</v>
      </c>
      <c r="F31" s="51">
        <v>3474</v>
      </c>
    </row>
    <row r="32" spans="1:6" x14ac:dyDescent="0.3">
      <c r="A32" s="24" t="s">
        <v>49</v>
      </c>
      <c r="B32" s="27">
        <v>-115</v>
      </c>
      <c r="C32" s="27">
        <v>-103</v>
      </c>
      <c r="D32" s="27">
        <v>-170</v>
      </c>
      <c r="E32" s="27">
        <v>-144</v>
      </c>
      <c r="F32" s="27">
        <v>-129</v>
      </c>
    </row>
    <row r="33" spans="1:6" x14ac:dyDescent="0.3">
      <c r="A33" s="24" t="s">
        <v>50</v>
      </c>
      <c r="B33" s="27">
        <v>379</v>
      </c>
      <c r="C33" s="27">
        <v>397</v>
      </c>
      <c r="D33" s="27">
        <v>381</v>
      </c>
      <c r="E33" s="27">
        <v>373</v>
      </c>
      <c r="F33" s="27">
        <v>372</v>
      </c>
    </row>
    <row r="34" spans="1:6" x14ac:dyDescent="0.3">
      <c r="A34" s="24" t="s">
        <v>57</v>
      </c>
      <c r="B34" s="27">
        <v>-3472</v>
      </c>
      <c r="C34" s="27">
        <v>-2241</v>
      </c>
      <c r="D34" s="27">
        <v>-1969</v>
      </c>
      <c r="E34" s="27">
        <v>-2279</v>
      </c>
      <c r="F34" s="27">
        <v>-1020</v>
      </c>
    </row>
    <row r="35" spans="1:6" x14ac:dyDescent="0.3">
      <c r="A35" s="24" t="s">
        <v>51</v>
      </c>
      <c r="B35" s="27">
        <v>19161</v>
      </c>
      <c r="C35" s="27">
        <v>20987</v>
      </c>
      <c r="D35" s="27">
        <v>19529</v>
      </c>
      <c r="E35" s="27">
        <v>18655</v>
      </c>
      <c r="F35" s="27">
        <v>18354</v>
      </c>
    </row>
    <row r="36" spans="1:6" x14ac:dyDescent="0.3">
      <c r="A36" s="23" t="s">
        <v>52</v>
      </c>
      <c r="B36" s="29">
        <v>19651</v>
      </c>
      <c r="C36" s="29">
        <v>22744</v>
      </c>
      <c r="D36" s="29">
        <v>21384</v>
      </c>
      <c r="E36" s="29">
        <v>20117</v>
      </c>
      <c r="F36" s="29">
        <v>21051</v>
      </c>
    </row>
    <row r="37" spans="1:6" x14ac:dyDescent="0.3">
      <c r="A37" s="23" t="s">
        <v>53</v>
      </c>
      <c r="B37" s="29">
        <v>44804</v>
      </c>
      <c r="C37" s="29">
        <v>48538</v>
      </c>
      <c r="D37" s="29">
        <v>50662</v>
      </c>
      <c r="E37" s="29">
        <v>52666</v>
      </c>
      <c r="F37" s="29">
        <v>57067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614C-24B6-466E-9D77-9538DEC2509B}">
  <dimension ref="A1:F29"/>
  <sheetViews>
    <sheetView zoomScale="90" zoomScaleNormal="90" workbookViewId="0">
      <selection activeCell="J22" sqref="J22"/>
    </sheetView>
  </sheetViews>
  <sheetFormatPr defaultRowHeight="14.4" x14ac:dyDescent="0.3"/>
  <cols>
    <col min="1" max="1" width="43.21875" bestFit="1" customWidth="1"/>
    <col min="2" max="6" width="12.44140625" bestFit="1" customWidth="1"/>
    <col min="7" max="7" width="8.33203125" customWidth="1"/>
    <col min="9" max="9" width="8.88671875" bestFit="1" customWidth="1"/>
  </cols>
  <sheetData>
    <row r="1" spans="1:6" x14ac:dyDescent="0.3">
      <c r="A1" s="151" t="s">
        <v>193</v>
      </c>
      <c r="B1" s="152"/>
      <c r="C1" s="152"/>
      <c r="D1" s="152"/>
      <c r="E1" s="152"/>
      <c r="F1" s="152"/>
    </row>
    <row r="2" spans="1:6" x14ac:dyDescent="0.3">
      <c r="A2" s="143" t="s">
        <v>190</v>
      </c>
      <c r="B2" s="144"/>
      <c r="C2" s="144"/>
      <c r="D2" s="144"/>
      <c r="E2" s="144"/>
      <c r="F2" s="144"/>
    </row>
    <row r="3" spans="1:6" x14ac:dyDescent="0.3">
      <c r="A3" s="47"/>
      <c r="B3" s="84">
        <v>2020</v>
      </c>
      <c r="C3" s="84">
        <v>2021</v>
      </c>
      <c r="D3" s="84">
        <v>2022</v>
      </c>
      <c r="E3" s="84">
        <v>2023</v>
      </c>
      <c r="F3" s="85">
        <v>2024</v>
      </c>
    </row>
    <row r="4" spans="1:6" x14ac:dyDescent="0.3">
      <c r="A4" s="23" t="s">
        <v>0</v>
      </c>
      <c r="B4" s="79">
        <v>13819</v>
      </c>
      <c r="C4" s="79">
        <v>14477</v>
      </c>
      <c r="D4" s="79">
        <v>17107</v>
      </c>
      <c r="E4" s="90">
        <v>16828</v>
      </c>
      <c r="F4" s="79">
        <v>17046</v>
      </c>
    </row>
    <row r="5" spans="1:6" x14ac:dyDescent="0.3">
      <c r="A5" s="50" t="s">
        <v>1</v>
      </c>
      <c r="B5" s="91"/>
      <c r="C5" s="92"/>
      <c r="D5" s="73"/>
      <c r="E5" s="92"/>
      <c r="F5" s="93"/>
    </row>
    <row r="6" spans="1:6" x14ac:dyDescent="0.3">
      <c r="A6" s="24" t="s">
        <v>12</v>
      </c>
      <c r="B6" s="76">
        <v>2723</v>
      </c>
      <c r="C6" s="76">
        <v>2879</v>
      </c>
      <c r="D6" s="76">
        <v>2935</v>
      </c>
      <c r="E6" s="51">
        <v>3150</v>
      </c>
      <c r="F6" s="76">
        <v>3422</v>
      </c>
    </row>
    <row r="7" spans="1:6" x14ac:dyDescent="0.3">
      <c r="A7" s="24" t="s">
        <v>13</v>
      </c>
      <c r="B7" s="40">
        <v>2152</v>
      </c>
      <c r="C7" s="40">
        <v>2082</v>
      </c>
      <c r="D7" s="40">
        <v>2191</v>
      </c>
      <c r="E7" s="27">
        <v>2254</v>
      </c>
      <c r="F7" s="40">
        <v>2313</v>
      </c>
    </row>
    <row r="8" spans="1:6" x14ac:dyDescent="0.3">
      <c r="A8" s="24" t="s">
        <v>14</v>
      </c>
      <c r="B8" s="40">
        <v>1152</v>
      </c>
      <c r="C8" s="40">
        <v>1513</v>
      </c>
      <c r="D8" s="40">
        <v>2518</v>
      </c>
      <c r="E8" s="27">
        <v>2097</v>
      </c>
      <c r="F8" s="40">
        <v>2060</v>
      </c>
    </row>
    <row r="9" spans="1:6" x14ac:dyDescent="0.3">
      <c r="A9" s="24" t="s">
        <v>15</v>
      </c>
      <c r="B9" s="40">
        <v>1589</v>
      </c>
      <c r="C9" s="40">
        <v>1598</v>
      </c>
      <c r="D9" s="40">
        <v>1729</v>
      </c>
      <c r="E9" s="27">
        <v>1817</v>
      </c>
      <c r="F9" s="40">
        <v>1892</v>
      </c>
    </row>
    <row r="10" spans="1:6" x14ac:dyDescent="0.3">
      <c r="A10" s="24" t="s">
        <v>16</v>
      </c>
      <c r="B10" s="40">
        <v>432</v>
      </c>
      <c r="C10" s="40">
        <v>336</v>
      </c>
      <c r="D10" s="40">
        <v>338</v>
      </c>
      <c r="E10" s="27">
        <v>359</v>
      </c>
      <c r="F10" s="40">
        <v>392</v>
      </c>
    </row>
    <row r="11" spans="1:6" x14ac:dyDescent="0.3">
      <c r="A11" s="24" t="s">
        <v>17</v>
      </c>
      <c r="B11" s="40">
        <v>508</v>
      </c>
      <c r="C11" s="40">
        <v>506</v>
      </c>
      <c r="D11" s="40">
        <v>556</v>
      </c>
      <c r="E11" s="27">
        <v>554</v>
      </c>
      <c r="F11" s="40">
        <v>642</v>
      </c>
    </row>
    <row r="12" spans="1:6" x14ac:dyDescent="0.3">
      <c r="A12" s="24" t="s">
        <v>18</v>
      </c>
      <c r="B12" s="40">
        <v>486</v>
      </c>
      <c r="C12" s="40">
        <v>-137</v>
      </c>
      <c r="D12" s="62" t="s">
        <v>22</v>
      </c>
      <c r="E12" s="88" t="s">
        <v>22</v>
      </c>
      <c r="F12" s="40">
        <v>78</v>
      </c>
    </row>
    <row r="13" spans="1:6" x14ac:dyDescent="0.3">
      <c r="A13" s="24" t="s">
        <v>23</v>
      </c>
      <c r="B13" s="88" t="s">
        <v>22</v>
      </c>
      <c r="C13" s="40">
        <v>84</v>
      </c>
      <c r="D13" s="88" t="s">
        <v>22</v>
      </c>
      <c r="E13" s="88" t="s">
        <v>22</v>
      </c>
      <c r="F13" s="88" t="s">
        <v>22</v>
      </c>
    </row>
    <row r="14" spans="1:6" x14ac:dyDescent="0.3">
      <c r="A14" s="23" t="s">
        <v>2</v>
      </c>
      <c r="B14" s="59">
        <v>9042</v>
      </c>
      <c r="C14" s="59">
        <v>8861</v>
      </c>
      <c r="D14" s="59">
        <v>10267</v>
      </c>
      <c r="E14" s="29">
        <v>10231</v>
      </c>
      <c r="F14" s="59">
        <v>10799</v>
      </c>
    </row>
    <row r="15" spans="1:6" x14ac:dyDescent="0.3">
      <c r="A15" s="23" t="s">
        <v>3</v>
      </c>
      <c r="B15" s="59">
        <v>4777</v>
      </c>
      <c r="C15" s="59">
        <v>5616</v>
      </c>
      <c r="D15" s="59">
        <v>6840</v>
      </c>
      <c r="E15" s="29">
        <v>6597</v>
      </c>
      <c r="F15" s="59">
        <v>6247</v>
      </c>
    </row>
    <row r="16" spans="1:6" x14ac:dyDescent="0.3">
      <c r="A16" s="24" t="s">
        <v>4</v>
      </c>
      <c r="B16" s="27">
        <v>-554</v>
      </c>
      <c r="C16" s="40">
        <v>-610</v>
      </c>
      <c r="D16" s="40">
        <v>-548</v>
      </c>
      <c r="E16" s="27">
        <v>-722</v>
      </c>
      <c r="F16" s="40">
        <v>-891</v>
      </c>
    </row>
    <row r="17" spans="1:6" x14ac:dyDescent="0.3">
      <c r="A17" s="24" t="s">
        <v>5</v>
      </c>
      <c r="B17" s="40">
        <v>292</v>
      </c>
      <c r="C17" s="40">
        <v>407</v>
      </c>
      <c r="D17" s="40">
        <v>498</v>
      </c>
      <c r="E17" s="27">
        <v>479</v>
      </c>
      <c r="F17" s="40">
        <v>454</v>
      </c>
    </row>
    <row r="18" spans="1:6" x14ac:dyDescent="0.3">
      <c r="A18" s="24" t="s">
        <v>24</v>
      </c>
      <c r="B18" s="88" t="s">
        <v>22</v>
      </c>
      <c r="C18" s="40">
        <v>886</v>
      </c>
      <c r="D18" s="88" t="s">
        <v>22</v>
      </c>
      <c r="E18" s="88" t="s">
        <v>22</v>
      </c>
      <c r="F18" s="88" t="s">
        <v>22</v>
      </c>
    </row>
    <row r="19" spans="1:6" x14ac:dyDescent="0.3">
      <c r="A19" s="24" t="s">
        <v>6</v>
      </c>
      <c r="B19" s="40">
        <v>6</v>
      </c>
      <c r="C19" s="40">
        <v>43</v>
      </c>
      <c r="D19" s="40">
        <v>-27</v>
      </c>
      <c r="E19" s="27">
        <v>134</v>
      </c>
      <c r="F19" s="40">
        <v>42</v>
      </c>
    </row>
    <row r="20" spans="1:6" x14ac:dyDescent="0.3">
      <c r="A20" s="23" t="s">
        <v>7</v>
      </c>
      <c r="B20" s="59">
        <v>4521</v>
      </c>
      <c r="C20" s="59">
        <v>6342</v>
      </c>
      <c r="D20" s="59">
        <v>6763</v>
      </c>
      <c r="E20" s="29">
        <v>6488</v>
      </c>
      <c r="F20" s="59">
        <v>5852</v>
      </c>
    </row>
    <row r="21" spans="1:6" x14ac:dyDescent="0.3">
      <c r="A21" s="24" t="s">
        <v>8</v>
      </c>
      <c r="B21" s="40">
        <v>-976</v>
      </c>
      <c r="C21" s="40">
        <v>-1443</v>
      </c>
      <c r="D21" s="40">
        <v>-1645</v>
      </c>
      <c r="E21" s="27">
        <v>863</v>
      </c>
      <c r="F21" s="40">
        <v>-1404</v>
      </c>
    </row>
    <row r="22" spans="1:6" x14ac:dyDescent="0.3">
      <c r="A22" s="23" t="s">
        <v>9</v>
      </c>
      <c r="B22" s="59">
        <v>3545</v>
      </c>
      <c r="C22" s="59">
        <v>4899</v>
      </c>
      <c r="D22" s="59">
        <v>5118</v>
      </c>
      <c r="E22" s="29">
        <v>5625</v>
      </c>
      <c r="F22" s="59">
        <v>4448</v>
      </c>
    </row>
    <row r="23" spans="1:6" x14ac:dyDescent="0.3">
      <c r="A23" s="24" t="s">
        <v>10</v>
      </c>
      <c r="B23" s="26"/>
      <c r="C23" s="26"/>
      <c r="D23" s="86"/>
      <c r="E23" s="26"/>
      <c r="F23" s="87"/>
    </row>
    <row r="24" spans="1:6" x14ac:dyDescent="0.3">
      <c r="A24" s="24" t="s">
        <v>19</v>
      </c>
      <c r="B24" s="40">
        <v>4.9800000000000004</v>
      </c>
      <c r="C24" s="40">
        <v>6.91</v>
      </c>
      <c r="D24" s="40">
        <v>7.46</v>
      </c>
      <c r="E24" s="27">
        <v>8.5500000000000007</v>
      </c>
      <c r="F24" s="40">
        <v>7.02</v>
      </c>
    </row>
    <row r="25" spans="1:6" x14ac:dyDescent="0.3">
      <c r="A25" s="24" t="s">
        <v>20</v>
      </c>
      <c r="B25" s="40">
        <v>4.97</v>
      </c>
      <c r="C25" s="40">
        <v>6.9</v>
      </c>
      <c r="D25" s="40">
        <v>7.44</v>
      </c>
      <c r="E25" s="27">
        <v>8.5299999999999994</v>
      </c>
      <c r="F25" s="40">
        <v>7.01</v>
      </c>
    </row>
    <row r="26" spans="1:6" x14ac:dyDescent="0.3">
      <c r="A26" s="24" t="s">
        <v>11</v>
      </c>
      <c r="B26" s="26"/>
      <c r="C26" s="26"/>
      <c r="D26" s="86"/>
      <c r="E26" s="26"/>
      <c r="F26" s="87"/>
    </row>
    <row r="27" spans="1:6" x14ac:dyDescent="0.3">
      <c r="A27" s="24" t="s">
        <v>19</v>
      </c>
      <c r="B27" s="40">
        <v>711.3</v>
      </c>
      <c r="C27" s="40">
        <v>708.5</v>
      </c>
      <c r="D27" s="40">
        <v>686.4</v>
      </c>
      <c r="E27" s="27">
        <v>657.7</v>
      </c>
      <c r="F27" s="40">
        <v>633.5</v>
      </c>
    </row>
    <row r="28" spans="1:6" x14ac:dyDescent="0.3">
      <c r="A28" s="24" t="s">
        <v>21</v>
      </c>
      <c r="B28" s="40">
        <v>713</v>
      </c>
      <c r="C28" s="40">
        <v>710.3</v>
      </c>
      <c r="D28" s="40">
        <v>688.3</v>
      </c>
      <c r="E28" s="27">
        <v>659.1</v>
      </c>
      <c r="F28" s="40">
        <v>634.5</v>
      </c>
    </row>
    <row r="29" spans="1:6" x14ac:dyDescent="0.3">
      <c r="B29" s="6"/>
      <c r="C29" s="6"/>
      <c r="D29" s="6"/>
      <c r="E29" s="6"/>
      <c r="F29" s="6"/>
    </row>
  </sheetData>
  <mergeCells count="2">
    <mergeCell ref="A1:F1"/>
    <mergeCell ref="A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29A3-3DEE-45F7-9E7D-8195D59C29E4}">
  <dimension ref="A1:F52"/>
  <sheetViews>
    <sheetView zoomScale="92" zoomScaleNormal="92" workbookViewId="0">
      <selection activeCell="E55" sqref="E55"/>
    </sheetView>
  </sheetViews>
  <sheetFormatPr defaultRowHeight="14.4" x14ac:dyDescent="0.3"/>
  <cols>
    <col min="1" max="1" width="68.44140625" customWidth="1"/>
    <col min="2" max="6" width="11.33203125" bestFit="1" customWidth="1"/>
    <col min="9" max="9" width="9" customWidth="1"/>
  </cols>
  <sheetData>
    <row r="1" spans="1:6" x14ac:dyDescent="0.3">
      <c r="A1" s="151" t="s">
        <v>194</v>
      </c>
      <c r="B1" s="152"/>
      <c r="C1" s="152"/>
      <c r="D1" s="152"/>
      <c r="E1" s="152"/>
      <c r="F1" s="152"/>
    </row>
    <row r="2" spans="1:6" x14ac:dyDescent="0.3">
      <c r="A2" s="143" t="s">
        <v>190</v>
      </c>
      <c r="B2" s="144"/>
      <c r="C2" s="144"/>
      <c r="D2" s="144"/>
      <c r="E2" s="144"/>
      <c r="F2" s="144"/>
    </row>
    <row r="3" spans="1:6" x14ac:dyDescent="0.3">
      <c r="A3" s="21"/>
      <c r="B3" s="102">
        <v>2020</v>
      </c>
      <c r="C3" s="95">
        <v>2021</v>
      </c>
      <c r="D3" s="95">
        <v>2022</v>
      </c>
      <c r="E3" s="95">
        <v>2023</v>
      </c>
      <c r="F3" s="96">
        <v>2024</v>
      </c>
    </row>
    <row r="4" spans="1:6" x14ac:dyDescent="0.3">
      <c r="A4" s="23" t="s">
        <v>58</v>
      </c>
      <c r="B4" s="50"/>
      <c r="C4" s="53"/>
      <c r="D4" s="53"/>
      <c r="E4" s="53"/>
      <c r="F4" s="81"/>
    </row>
    <row r="5" spans="1:6" x14ac:dyDescent="0.3">
      <c r="A5" s="24" t="s">
        <v>9</v>
      </c>
      <c r="B5" s="27">
        <v>3545</v>
      </c>
      <c r="C5" s="27">
        <v>4899</v>
      </c>
      <c r="D5" s="27">
        <v>5118</v>
      </c>
      <c r="E5" s="27">
        <v>5625</v>
      </c>
      <c r="F5" s="27">
        <v>4448</v>
      </c>
    </row>
    <row r="6" spans="1:6" x14ac:dyDescent="0.3">
      <c r="A6" s="24" t="s">
        <v>59</v>
      </c>
      <c r="B6" s="27"/>
      <c r="C6" s="27"/>
      <c r="D6" s="27"/>
      <c r="E6" s="27"/>
      <c r="F6" s="27"/>
    </row>
    <row r="7" spans="1:6" x14ac:dyDescent="0.3">
      <c r="A7" s="24" t="s">
        <v>15</v>
      </c>
      <c r="B7" s="27">
        <v>1589</v>
      </c>
      <c r="C7" s="27">
        <v>1598</v>
      </c>
      <c r="D7" s="27">
        <v>1729</v>
      </c>
      <c r="E7" s="27">
        <v>1817</v>
      </c>
      <c r="F7" s="27">
        <v>1892</v>
      </c>
    </row>
    <row r="8" spans="1:6" x14ac:dyDescent="0.3">
      <c r="A8" s="24" t="s">
        <v>60</v>
      </c>
      <c r="B8" s="27">
        <v>-211</v>
      </c>
      <c r="C8" s="27">
        <v>-314</v>
      </c>
      <c r="D8" s="27">
        <v>-387</v>
      </c>
      <c r="E8" s="27">
        <v>-418</v>
      </c>
      <c r="F8" s="27">
        <v>-385</v>
      </c>
    </row>
    <row r="9" spans="1:6" x14ac:dyDescent="0.3">
      <c r="A9" s="24" t="s">
        <v>97</v>
      </c>
      <c r="B9" s="27" t="s">
        <v>22</v>
      </c>
      <c r="C9" s="27">
        <v>97</v>
      </c>
      <c r="D9" s="88" t="s">
        <v>22</v>
      </c>
      <c r="E9" s="88" t="s">
        <v>22</v>
      </c>
      <c r="F9" s="88" t="s">
        <v>22</v>
      </c>
    </row>
    <row r="10" spans="1:6" x14ac:dyDescent="0.3">
      <c r="A10" s="24" t="s">
        <v>61</v>
      </c>
      <c r="B10" s="27">
        <v>486</v>
      </c>
      <c r="C10" s="27">
        <v>-137</v>
      </c>
      <c r="D10" s="88" t="s">
        <v>22</v>
      </c>
      <c r="E10" s="88" t="s">
        <v>22</v>
      </c>
      <c r="F10" s="27">
        <v>78</v>
      </c>
    </row>
    <row r="11" spans="1:6" x14ac:dyDescent="0.3">
      <c r="A11" s="24" t="s">
        <v>62</v>
      </c>
      <c r="B11" s="88" t="s">
        <v>22</v>
      </c>
      <c r="C11" s="88" t="s">
        <v>22</v>
      </c>
      <c r="D11" s="88" t="s">
        <v>22</v>
      </c>
      <c r="E11" s="27">
        <v>-129</v>
      </c>
      <c r="F11" s="88" t="s">
        <v>22</v>
      </c>
    </row>
    <row r="12" spans="1:6" x14ac:dyDescent="0.3">
      <c r="A12" s="24" t="s">
        <v>63</v>
      </c>
      <c r="B12" s="27">
        <v>481</v>
      </c>
      <c r="C12" s="27">
        <v>513</v>
      </c>
      <c r="D12" s="27">
        <v>404</v>
      </c>
      <c r="E12" s="27">
        <v>-288</v>
      </c>
      <c r="F12" s="27">
        <v>325</v>
      </c>
    </row>
    <row r="13" spans="1:6" x14ac:dyDescent="0.3">
      <c r="A13" s="24" t="s">
        <v>99</v>
      </c>
      <c r="B13" s="27"/>
      <c r="C13" s="27"/>
      <c r="D13" s="27"/>
      <c r="E13" s="27"/>
      <c r="F13" s="27"/>
    </row>
    <row r="14" spans="1:6" x14ac:dyDescent="0.3">
      <c r="A14" s="24" t="s">
        <v>67</v>
      </c>
      <c r="B14" s="27">
        <v>158</v>
      </c>
      <c r="C14" s="27">
        <v>-22</v>
      </c>
      <c r="D14" s="27">
        <v>-290</v>
      </c>
      <c r="E14" s="27">
        <v>71</v>
      </c>
      <c r="F14" s="27">
        <v>205</v>
      </c>
    </row>
    <row r="15" spans="1:6" x14ac:dyDescent="0.3">
      <c r="A15" s="24" t="s">
        <v>64</v>
      </c>
      <c r="B15" s="27">
        <v>20</v>
      </c>
      <c r="C15" s="27">
        <v>-7</v>
      </c>
      <c r="D15" s="27">
        <v>-82</v>
      </c>
      <c r="E15" s="27">
        <v>-18</v>
      </c>
      <c r="F15" s="27">
        <v>-6</v>
      </c>
    </row>
    <row r="16" spans="1:6" x14ac:dyDescent="0.3">
      <c r="A16" s="24" t="s">
        <v>65</v>
      </c>
      <c r="B16" s="27">
        <v>-49</v>
      </c>
      <c r="C16" s="27">
        <v>141</v>
      </c>
      <c r="D16" s="27">
        <v>-9</v>
      </c>
      <c r="E16" s="27">
        <v>-191</v>
      </c>
      <c r="F16" s="27">
        <v>-107</v>
      </c>
    </row>
    <row r="17" spans="1:6" x14ac:dyDescent="0.3">
      <c r="A17" s="24" t="s">
        <v>66</v>
      </c>
      <c r="B17" s="27" t="s">
        <v>22</v>
      </c>
      <c r="C17" s="27">
        <v>35</v>
      </c>
      <c r="D17" s="27">
        <v>-30</v>
      </c>
      <c r="E17" s="27">
        <v>85</v>
      </c>
      <c r="F17" s="88" t="s">
        <v>22</v>
      </c>
    </row>
    <row r="18" spans="1:6" x14ac:dyDescent="0.3">
      <c r="A18" s="24" t="s">
        <v>98</v>
      </c>
      <c r="B18" s="27">
        <v>146</v>
      </c>
      <c r="C18" s="27">
        <v>168</v>
      </c>
      <c r="D18" s="27">
        <v>214</v>
      </c>
      <c r="E18" s="27">
        <v>411</v>
      </c>
      <c r="F18" s="27">
        <v>249</v>
      </c>
    </row>
    <row r="19" spans="1:6" x14ac:dyDescent="0.3">
      <c r="A19" s="23" t="s">
        <v>68</v>
      </c>
      <c r="B19" s="29">
        <v>6165</v>
      </c>
      <c r="C19" s="29">
        <v>6971</v>
      </c>
      <c r="D19" s="29">
        <v>6667</v>
      </c>
      <c r="E19" s="29">
        <v>6965</v>
      </c>
      <c r="F19" s="29">
        <v>6699</v>
      </c>
    </row>
    <row r="20" spans="1:6" x14ac:dyDescent="0.3">
      <c r="A20" s="23" t="s">
        <v>69</v>
      </c>
      <c r="B20" s="26"/>
      <c r="C20" s="26"/>
      <c r="D20" s="26"/>
      <c r="E20" s="26"/>
      <c r="F20" s="26"/>
    </row>
    <row r="21" spans="1:6" x14ac:dyDescent="0.3">
      <c r="A21" s="24" t="s">
        <v>70</v>
      </c>
      <c r="B21" s="27">
        <v>-2863</v>
      </c>
      <c r="C21" s="27">
        <v>-2891</v>
      </c>
      <c r="D21" s="27">
        <v>-2750</v>
      </c>
      <c r="E21" s="27">
        <v>-3187</v>
      </c>
      <c r="F21" s="27">
        <v>-3549</v>
      </c>
    </row>
    <row r="22" spans="1:6" x14ac:dyDescent="0.3">
      <c r="A22" s="24" t="s">
        <v>71</v>
      </c>
      <c r="B22" s="88" t="s">
        <v>22</v>
      </c>
      <c r="C22" s="88" t="s">
        <v>22</v>
      </c>
      <c r="D22" s="88" t="s">
        <v>22</v>
      </c>
      <c r="E22" s="27">
        <v>-390</v>
      </c>
      <c r="F22" s="88" t="s">
        <v>22</v>
      </c>
    </row>
    <row r="23" spans="1:6" x14ac:dyDescent="0.3">
      <c r="A23" s="24" t="s">
        <v>100</v>
      </c>
      <c r="B23" s="88" t="s">
        <v>22</v>
      </c>
      <c r="C23" s="27">
        <v>-908</v>
      </c>
      <c r="D23" s="88" t="s">
        <v>22</v>
      </c>
      <c r="E23" s="88" t="s">
        <v>22</v>
      </c>
      <c r="F23" s="88" t="s">
        <v>22</v>
      </c>
    </row>
    <row r="24" spans="1:6" x14ac:dyDescent="0.3">
      <c r="A24" s="24" t="s">
        <v>101</v>
      </c>
      <c r="B24" s="88" t="s">
        <v>22</v>
      </c>
      <c r="C24" s="27">
        <v>886</v>
      </c>
      <c r="D24" s="88" t="s">
        <v>22</v>
      </c>
      <c r="E24" s="88" t="s">
        <v>22</v>
      </c>
      <c r="F24" s="88" t="s">
        <v>22</v>
      </c>
    </row>
    <row r="25" spans="1:6" x14ac:dyDescent="0.3">
      <c r="A25" s="24" t="s">
        <v>102</v>
      </c>
      <c r="B25" s="27">
        <v>-8</v>
      </c>
      <c r="C25" s="88" t="s">
        <v>22</v>
      </c>
      <c r="D25" s="88" t="s">
        <v>22</v>
      </c>
      <c r="E25" s="88"/>
      <c r="F25" s="88"/>
    </row>
    <row r="26" spans="1:6" x14ac:dyDescent="0.3">
      <c r="A26" s="24" t="s">
        <v>72</v>
      </c>
      <c r="B26" s="88" t="s">
        <v>22</v>
      </c>
      <c r="C26" s="88" t="s">
        <v>22</v>
      </c>
      <c r="D26" s="27">
        <v>273</v>
      </c>
      <c r="E26" s="27"/>
      <c r="F26" s="88" t="s">
        <v>22</v>
      </c>
    </row>
    <row r="27" spans="1:6" x14ac:dyDescent="0.3">
      <c r="A27" s="24" t="s">
        <v>73</v>
      </c>
      <c r="B27" s="88" t="s">
        <v>22</v>
      </c>
      <c r="C27" s="88" t="s">
        <v>22</v>
      </c>
      <c r="D27" s="88" t="s">
        <v>22</v>
      </c>
      <c r="E27" s="27">
        <v>129</v>
      </c>
      <c r="F27" s="88" t="s">
        <v>22</v>
      </c>
    </row>
    <row r="28" spans="1:6" x14ac:dyDescent="0.3">
      <c r="A28" s="24" t="s">
        <v>74</v>
      </c>
      <c r="B28" s="27">
        <v>-75</v>
      </c>
      <c r="C28" s="27">
        <v>40</v>
      </c>
      <c r="D28" s="27">
        <v>-33</v>
      </c>
      <c r="E28" s="27">
        <v>-20</v>
      </c>
      <c r="F28" s="27">
        <v>-58</v>
      </c>
    </row>
    <row r="29" spans="1:6" x14ac:dyDescent="0.3">
      <c r="A29" s="23" t="s">
        <v>75</v>
      </c>
      <c r="B29" s="29">
        <v>-2946</v>
      </c>
      <c r="C29" s="29">
        <v>-2873</v>
      </c>
      <c r="D29" s="29">
        <v>-2510</v>
      </c>
      <c r="E29" s="29">
        <v>-3468</v>
      </c>
      <c r="F29" s="29">
        <v>-3607</v>
      </c>
    </row>
    <row r="30" spans="1:6" x14ac:dyDescent="0.3">
      <c r="A30" s="23" t="s">
        <v>76</v>
      </c>
      <c r="B30" s="26"/>
      <c r="C30" s="26"/>
      <c r="D30" s="26"/>
      <c r="E30" s="26"/>
      <c r="F30" s="26"/>
    </row>
    <row r="31" spans="1:6" x14ac:dyDescent="0.3">
      <c r="A31" s="24" t="s">
        <v>77</v>
      </c>
      <c r="B31" s="27">
        <v>1789</v>
      </c>
      <c r="C31" s="27">
        <v>403</v>
      </c>
      <c r="D31" s="27">
        <v>1899</v>
      </c>
      <c r="E31" s="27">
        <v>2554</v>
      </c>
      <c r="F31" s="27">
        <v>3483</v>
      </c>
    </row>
    <row r="32" spans="1:6" x14ac:dyDescent="0.3">
      <c r="A32" s="24" t="s">
        <v>78</v>
      </c>
      <c r="B32" s="27">
        <v>-1221</v>
      </c>
      <c r="C32" s="27">
        <v>-861</v>
      </c>
      <c r="D32" s="27">
        <v>-383</v>
      </c>
      <c r="E32" s="27">
        <v>-250</v>
      </c>
      <c r="F32" s="27">
        <v>-1038</v>
      </c>
    </row>
    <row r="33" spans="1:6" x14ac:dyDescent="0.3">
      <c r="A33" s="24" t="s">
        <v>79</v>
      </c>
      <c r="B33" s="27">
        <v>-1273</v>
      </c>
      <c r="C33" s="27">
        <v>66</v>
      </c>
      <c r="D33" s="27">
        <v>563</v>
      </c>
      <c r="E33" s="27">
        <v>908</v>
      </c>
      <c r="F33" s="27">
        <v>-1381</v>
      </c>
    </row>
    <row r="34" spans="1:6" x14ac:dyDescent="0.3">
      <c r="A34" s="24" t="s">
        <v>103</v>
      </c>
      <c r="B34" s="88" t="s">
        <v>22</v>
      </c>
      <c r="C34" s="27">
        <v>-97</v>
      </c>
      <c r="D34" s="88" t="s">
        <v>22</v>
      </c>
      <c r="E34" s="88" t="s">
        <v>22</v>
      </c>
      <c r="F34" s="88" t="s">
        <v>22</v>
      </c>
    </row>
    <row r="35" spans="1:6" x14ac:dyDescent="0.3">
      <c r="A35" s="24" t="s">
        <v>80</v>
      </c>
      <c r="B35" s="27">
        <v>26</v>
      </c>
      <c r="C35" s="27">
        <v>-8</v>
      </c>
      <c r="D35" s="27">
        <v>79</v>
      </c>
      <c r="E35" s="27">
        <v>38</v>
      </c>
      <c r="F35" s="27">
        <v>120</v>
      </c>
    </row>
    <row r="36" spans="1:6" x14ac:dyDescent="0.3">
      <c r="A36" s="24" t="s">
        <v>81</v>
      </c>
      <c r="B36" s="27">
        <v>56</v>
      </c>
      <c r="C36" s="27">
        <v>52</v>
      </c>
      <c r="D36" s="27">
        <v>61</v>
      </c>
      <c r="E36" s="27">
        <v>49</v>
      </c>
      <c r="F36" s="27">
        <v>41</v>
      </c>
    </row>
    <row r="37" spans="1:6" x14ac:dyDescent="0.3">
      <c r="A37" s="24" t="s">
        <v>82</v>
      </c>
      <c r="B37" s="27">
        <v>-48</v>
      </c>
      <c r="C37" s="27">
        <v>-37</v>
      </c>
      <c r="D37" s="27">
        <v>-44</v>
      </c>
      <c r="E37" s="27">
        <v>-51</v>
      </c>
      <c r="F37" s="27">
        <v>-52</v>
      </c>
    </row>
    <row r="38" spans="1:6" x14ac:dyDescent="0.3">
      <c r="A38" s="24" t="s">
        <v>83</v>
      </c>
      <c r="B38" s="27">
        <v>-379</v>
      </c>
      <c r="C38" s="27">
        <v>-1582</v>
      </c>
      <c r="D38" s="27">
        <v>-4709</v>
      </c>
      <c r="E38" s="27">
        <v>-4551</v>
      </c>
      <c r="F38" s="27">
        <v>-2600</v>
      </c>
    </row>
    <row r="39" spans="1:6" x14ac:dyDescent="0.3">
      <c r="A39" s="24" t="s">
        <v>84</v>
      </c>
      <c r="B39" s="27">
        <v>-9</v>
      </c>
      <c r="C39" s="27">
        <v>-27</v>
      </c>
      <c r="D39" s="27">
        <v>-24</v>
      </c>
      <c r="E39" s="27">
        <v>-4</v>
      </c>
      <c r="F39" s="27">
        <v>-5</v>
      </c>
    </row>
    <row r="40" spans="1:6" x14ac:dyDescent="0.3">
      <c r="A40" s="24" t="s">
        <v>85</v>
      </c>
      <c r="B40" s="27">
        <v>-14</v>
      </c>
      <c r="C40" s="27">
        <v>-26</v>
      </c>
      <c r="D40" s="27">
        <v>-105</v>
      </c>
      <c r="E40" s="27">
        <v>-28</v>
      </c>
      <c r="F40" s="27">
        <v>-50</v>
      </c>
    </row>
    <row r="41" spans="1:6" x14ac:dyDescent="0.3">
      <c r="A41" s="24" t="s">
        <v>86</v>
      </c>
      <c r="B41" s="27">
        <v>-1634</v>
      </c>
      <c r="C41" s="27">
        <v>-1740</v>
      </c>
      <c r="D41" s="27">
        <v>-2004</v>
      </c>
      <c r="E41" s="27">
        <v>-2071</v>
      </c>
      <c r="F41" s="27">
        <v>-2138</v>
      </c>
    </row>
    <row r="42" spans="1:6" x14ac:dyDescent="0.3">
      <c r="A42" s="23" t="s">
        <v>87</v>
      </c>
      <c r="B42" s="29">
        <v>2707</v>
      </c>
      <c r="C42" s="29">
        <v>-3857</v>
      </c>
      <c r="D42" s="29">
        <v>-4667</v>
      </c>
      <c r="E42" s="29">
        <v>-3406</v>
      </c>
      <c r="F42" s="29">
        <v>-3620</v>
      </c>
    </row>
    <row r="43" spans="1:6" ht="28.8" x14ac:dyDescent="0.3">
      <c r="A43" s="100" t="s">
        <v>88</v>
      </c>
      <c r="B43" s="88" t="s">
        <v>22</v>
      </c>
      <c r="C43" s="88" t="s">
        <v>22</v>
      </c>
      <c r="D43" s="27">
        <v>3</v>
      </c>
      <c r="E43" s="27">
        <v>-1</v>
      </c>
      <c r="F43" s="27">
        <v>5</v>
      </c>
    </row>
    <row r="44" spans="1:6" ht="28.8" x14ac:dyDescent="0.3">
      <c r="A44" s="101" t="s">
        <v>89</v>
      </c>
      <c r="B44" s="29">
        <v>512</v>
      </c>
      <c r="C44" s="29">
        <v>241</v>
      </c>
      <c r="D44" s="29">
        <v>-507</v>
      </c>
      <c r="E44" s="29">
        <v>90</v>
      </c>
      <c r="F44" s="29">
        <v>-523</v>
      </c>
    </row>
    <row r="45" spans="1:6" ht="28.8" x14ac:dyDescent="0.3">
      <c r="A45" s="100" t="s">
        <v>90</v>
      </c>
      <c r="B45" s="27">
        <v>588</v>
      </c>
      <c r="C45" s="27">
        <v>1100</v>
      </c>
      <c r="D45" s="27">
        <v>1341</v>
      </c>
      <c r="E45" s="27">
        <v>834</v>
      </c>
      <c r="F45" s="27">
        <v>924</v>
      </c>
    </row>
    <row r="46" spans="1:6" ht="28.8" x14ac:dyDescent="0.3">
      <c r="A46" s="101" t="s">
        <v>91</v>
      </c>
      <c r="B46" s="27">
        <v>1100</v>
      </c>
      <c r="C46" s="27">
        <v>1341</v>
      </c>
      <c r="D46" s="27">
        <v>834</v>
      </c>
      <c r="E46" s="27">
        <v>924</v>
      </c>
      <c r="F46" s="27">
        <v>401</v>
      </c>
    </row>
    <row r="47" spans="1:6" x14ac:dyDescent="0.3">
      <c r="A47" s="100" t="s">
        <v>92</v>
      </c>
      <c r="B47" s="27">
        <v>569</v>
      </c>
      <c r="C47" s="27">
        <v>838</v>
      </c>
      <c r="D47" s="27">
        <v>328</v>
      </c>
      <c r="E47" s="27">
        <v>475</v>
      </c>
      <c r="F47" s="27">
        <v>389</v>
      </c>
    </row>
    <row r="48" spans="1:6" x14ac:dyDescent="0.3">
      <c r="A48" s="100" t="s">
        <v>93</v>
      </c>
      <c r="B48" s="27">
        <v>531</v>
      </c>
      <c r="C48" s="27">
        <v>503</v>
      </c>
      <c r="D48" s="27">
        <v>506</v>
      </c>
      <c r="E48" s="27">
        <v>449</v>
      </c>
      <c r="F48" s="27">
        <v>12</v>
      </c>
    </row>
    <row r="49" spans="1:6" ht="28.8" x14ac:dyDescent="0.3">
      <c r="A49" s="101" t="s">
        <v>91</v>
      </c>
      <c r="B49" s="29">
        <v>1100</v>
      </c>
      <c r="C49" s="29">
        <v>1341</v>
      </c>
      <c r="D49" s="29">
        <v>834</v>
      </c>
      <c r="E49" s="29">
        <v>924</v>
      </c>
      <c r="F49" s="29">
        <v>401</v>
      </c>
    </row>
    <row r="50" spans="1:6" x14ac:dyDescent="0.3">
      <c r="A50" s="100" t="s">
        <v>94</v>
      </c>
      <c r="B50" s="27"/>
      <c r="C50" s="27"/>
      <c r="D50" s="27"/>
      <c r="E50" s="27"/>
      <c r="F50" s="27"/>
    </row>
    <row r="51" spans="1:6" x14ac:dyDescent="0.3">
      <c r="A51" s="100" t="s">
        <v>95</v>
      </c>
      <c r="B51" s="27">
        <v>-551</v>
      </c>
      <c r="C51" s="27">
        <v>-512</v>
      </c>
      <c r="D51" s="27">
        <v>-542</v>
      </c>
      <c r="E51" s="27">
        <v>-776</v>
      </c>
      <c r="F51" s="27">
        <v>-926</v>
      </c>
    </row>
    <row r="52" spans="1:6" x14ac:dyDescent="0.3">
      <c r="A52" s="100" t="s">
        <v>96</v>
      </c>
      <c r="B52" s="27">
        <v>-353</v>
      </c>
      <c r="C52" s="27">
        <v>-759</v>
      </c>
      <c r="D52" s="27">
        <v>-1288</v>
      </c>
      <c r="E52" s="27">
        <v>-1197</v>
      </c>
      <c r="F52" s="27">
        <v>-1221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 Page</vt:lpstr>
      <vt:lpstr>Assumptions</vt:lpstr>
      <vt:lpstr>Calculations</vt:lpstr>
      <vt:lpstr>Formula Reference</vt:lpstr>
      <vt:lpstr>Forecasted Income Statement</vt:lpstr>
      <vt:lpstr>Forecasted Balance Sheet</vt:lpstr>
      <vt:lpstr>Forecasted Cash Flow Statement </vt:lpstr>
      <vt:lpstr>DCF Valuation</vt:lpstr>
      <vt:lpstr>Sensitivity Analysis</vt:lpstr>
      <vt:lpstr>Balance Sheet - Full</vt:lpstr>
      <vt:lpstr>Income Statement - Full</vt:lpstr>
      <vt:lpstr>Cash Flow Statement -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Nethanya Dhaiphule</dc:creator>
  <cp:lastModifiedBy>Nethanya Dhaiphule</cp:lastModifiedBy>
  <dcterms:created xsi:type="dcterms:W3CDTF">2025-07-09T06:03:57Z</dcterms:created>
  <dcterms:modified xsi:type="dcterms:W3CDTF">2025-08-07T05:23:12Z</dcterms:modified>
</cp:coreProperties>
</file>