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la\Desktop\"/>
    </mc:Choice>
  </mc:AlternateContent>
  <xr:revisionPtr revIDLastSave="0" documentId="8_{AEA42ABB-879B-4684-852F-C5FCAFB517D9}" xr6:coauthVersionLast="47" xr6:coauthVersionMax="47" xr10:uidLastSave="{00000000-0000-0000-0000-000000000000}"/>
  <bookViews>
    <workbookView xWindow="28680" yWindow="-3540" windowWidth="38640" windowHeight="2124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AY26" i="1"/>
  <c r="AY27" i="1" s="1"/>
  <c r="AY28" i="1" s="1"/>
  <c r="AV26" i="1"/>
  <c r="AV27" i="1" s="1"/>
  <c r="AU26" i="1"/>
  <c r="AU27" i="1" s="1"/>
  <c r="AR26" i="1"/>
  <c r="AR27" i="1" s="1"/>
  <c r="AN26" i="1"/>
  <c r="AL26" i="1"/>
  <c r="AL27" i="1" s="1"/>
  <c r="AK26" i="1"/>
  <c r="AK27" i="1" s="1"/>
  <c r="AJ26" i="1"/>
  <c r="AJ27" i="1" s="1"/>
  <c r="AI26" i="1"/>
  <c r="AM26" i="1" s="1"/>
  <c r="AE26" i="1"/>
  <c r="AE27" i="1" s="1"/>
  <c r="AA26" i="1"/>
  <c r="AA27" i="1" s="1"/>
  <c r="X26" i="1"/>
  <c r="U26" i="1"/>
  <c r="R26" i="1"/>
  <c r="R27" i="1" s="1"/>
  <c r="R28" i="1" s="1"/>
  <c r="O26" i="1"/>
  <c r="O27" i="1" s="1"/>
  <c r="L26" i="1"/>
  <c r="L27" i="1" s="1"/>
  <c r="H26" i="1"/>
  <c r="E26" i="1"/>
  <c r="B26" i="1"/>
  <c r="B27" i="1" s="1"/>
  <c r="AW25" i="1"/>
  <c r="AV25" i="1"/>
  <c r="AX25" i="1" s="1"/>
  <c r="AT25" i="1"/>
  <c r="AO25" i="1"/>
  <c r="AQ25" i="1" s="1"/>
  <c r="AM25" i="1"/>
  <c r="AH25" i="1"/>
  <c r="AG25" i="1"/>
  <c r="AD25" i="1"/>
  <c r="AC25" i="1"/>
  <c r="Z25" i="1"/>
  <c r="W25" i="1"/>
  <c r="S25" i="1"/>
  <c r="T25" i="1" s="1"/>
  <c r="Q25" i="1"/>
  <c r="N25" i="1"/>
  <c r="M25" i="1"/>
  <c r="J25" i="1"/>
  <c r="I25" i="1"/>
  <c r="K25" i="1" s="1"/>
  <c r="F25" i="1"/>
  <c r="G25" i="1" s="1"/>
  <c r="D25" i="1"/>
  <c r="AX24" i="1"/>
  <c r="AV24" i="1"/>
  <c r="AT24" i="1"/>
  <c r="AQ24" i="1"/>
  <c r="AM24" i="1"/>
  <c r="AH24" i="1"/>
  <c r="AC24" i="1"/>
  <c r="AD24" i="1" s="1"/>
  <c r="Z24" i="1"/>
  <c r="W24" i="1"/>
  <c r="T24" i="1"/>
  <c r="Q24" i="1"/>
  <c r="M24" i="1"/>
  <c r="N24" i="1" s="1"/>
  <c r="I24" i="1"/>
  <c r="K24" i="1" s="1"/>
  <c r="F24" i="1"/>
  <c r="G24" i="1" s="1"/>
  <c r="D24" i="1"/>
  <c r="AW23" i="1"/>
  <c r="AX23" i="1" s="1"/>
  <c r="AT23" i="1"/>
  <c r="AQ23" i="1"/>
  <c r="AO23" i="1"/>
  <c r="AM23" i="1"/>
  <c r="AG23" i="1"/>
  <c r="AH23" i="1" s="1"/>
  <c r="AD23" i="1"/>
  <c r="AC23" i="1"/>
  <c r="Z23" i="1"/>
  <c r="W23" i="1"/>
  <c r="T23" i="1"/>
  <c r="S23" i="1"/>
  <c r="Q23" i="1"/>
  <c r="N23" i="1"/>
  <c r="J23" i="1"/>
  <c r="I23" i="1"/>
  <c r="F23" i="1"/>
  <c r="G23" i="1" s="1"/>
  <c r="D23" i="1"/>
  <c r="AW22" i="1"/>
  <c r="AX22" i="1" s="1"/>
  <c r="AT22" i="1"/>
  <c r="AQ22" i="1"/>
  <c r="AM22" i="1"/>
  <c r="AH22" i="1"/>
  <c r="AG22" i="1"/>
  <c r="AD22" i="1"/>
  <c r="Z22" i="1"/>
  <c r="W22" i="1"/>
  <c r="T22" i="1"/>
  <c r="Q22" i="1"/>
  <c r="N22" i="1"/>
  <c r="K22" i="1"/>
  <c r="G22" i="1"/>
  <c r="D22" i="1"/>
  <c r="AX21" i="1"/>
  <c r="AW21" i="1"/>
  <c r="AT21" i="1"/>
  <c r="AO21" i="1"/>
  <c r="AQ21" i="1" s="1"/>
  <c r="AM21" i="1"/>
  <c r="AH21" i="1"/>
  <c r="AC21" i="1"/>
  <c r="AD21" i="1" s="1"/>
  <c r="Z21" i="1"/>
  <c r="W21" i="1"/>
  <c r="T21" i="1"/>
  <c r="P21" i="1"/>
  <c r="Q21" i="1" s="1"/>
  <c r="N21" i="1"/>
  <c r="K21" i="1"/>
  <c r="G21" i="1"/>
  <c r="D21" i="1"/>
  <c r="AW20" i="1"/>
  <c r="AX20" i="1" s="1"/>
  <c r="AT20" i="1"/>
  <c r="AP20" i="1"/>
  <c r="AO20" i="1"/>
  <c r="AM20" i="1"/>
  <c r="AG20" i="1"/>
  <c r="AH20" i="1" s="1"/>
  <c r="AD20" i="1"/>
  <c r="Z20" i="1"/>
  <c r="V20" i="1"/>
  <c r="W20" i="1" s="1"/>
  <c r="S20" i="1"/>
  <c r="T20" i="1" s="1"/>
  <c r="Q20" i="1"/>
  <c r="N20" i="1"/>
  <c r="K20" i="1"/>
  <c r="F20" i="1"/>
  <c r="G20" i="1" s="1"/>
  <c r="C20" i="1"/>
  <c r="D20" i="1" s="1"/>
  <c r="AW19" i="1"/>
  <c r="AX19" i="1" s="1"/>
  <c r="AS19" i="1"/>
  <c r="AS26" i="1" s="1"/>
  <c r="AS27" i="1" s="1"/>
  <c r="AP19" i="1"/>
  <c r="AO19" i="1"/>
  <c r="AQ19" i="1" s="1"/>
  <c r="AM19" i="1"/>
  <c r="AH19" i="1"/>
  <c r="AC19" i="1"/>
  <c r="AD19" i="1" s="1"/>
  <c r="Y19" i="1"/>
  <c r="Z19" i="1" s="1"/>
  <c r="W19" i="1"/>
  <c r="T19" i="1"/>
  <c r="P19" i="1"/>
  <c r="Q19" i="1" s="1"/>
  <c r="M19" i="1"/>
  <c r="N19" i="1" s="1"/>
  <c r="J19" i="1"/>
  <c r="I19" i="1"/>
  <c r="K19" i="1" s="1"/>
  <c r="G19" i="1"/>
  <c r="D19" i="1"/>
  <c r="AW18" i="1"/>
  <c r="AX18" i="1" s="1"/>
  <c r="AT18" i="1"/>
  <c r="AQ18" i="1"/>
  <c r="AM18" i="1"/>
  <c r="AH18" i="1"/>
  <c r="AC18" i="1"/>
  <c r="AD18" i="1" s="1"/>
  <c r="Z18" i="1"/>
  <c r="W18" i="1"/>
  <c r="T18" i="1"/>
  <c r="Q18" i="1"/>
  <c r="N18" i="1"/>
  <c r="K18" i="1"/>
  <c r="G18" i="1"/>
  <c r="D18" i="1"/>
  <c r="AX17" i="1"/>
  <c r="AT17" i="1"/>
  <c r="AQ17" i="1"/>
  <c r="AO17" i="1"/>
  <c r="AM17" i="1"/>
  <c r="AH17" i="1"/>
  <c r="AD17" i="1"/>
  <c r="AC17" i="1"/>
  <c r="Z17" i="1"/>
  <c r="W17" i="1"/>
  <c r="T17" i="1"/>
  <c r="Q17" i="1"/>
  <c r="N17" i="1"/>
  <c r="K17" i="1"/>
  <c r="G17" i="1"/>
  <c r="D17" i="1"/>
  <c r="AW16" i="1"/>
  <c r="AX16" i="1" s="1"/>
  <c r="AV16" i="1"/>
  <c r="AT16" i="1"/>
  <c r="AO16" i="1"/>
  <c r="AQ16" i="1" s="1"/>
  <c r="AM16" i="1"/>
  <c r="AG16" i="1"/>
  <c r="AH16" i="1" s="1"/>
  <c r="AD16" i="1"/>
  <c r="AC16" i="1"/>
  <c r="Z16" i="1"/>
  <c r="W16" i="1"/>
  <c r="T16" i="1"/>
  <c r="Q16" i="1"/>
  <c r="M16" i="1"/>
  <c r="N16" i="1" s="1"/>
  <c r="J16" i="1"/>
  <c r="I16" i="1"/>
  <c r="K16" i="1" s="1"/>
  <c r="F16" i="1"/>
  <c r="G16" i="1" s="1"/>
  <c r="D16" i="1"/>
  <c r="AX15" i="1"/>
  <c r="AT15" i="1"/>
  <c r="AQ15" i="1"/>
  <c r="AM15" i="1"/>
  <c r="AG15" i="1"/>
  <c r="AF15" i="1"/>
  <c r="AD15" i="1"/>
  <c r="Z15" i="1"/>
  <c r="W15" i="1"/>
  <c r="T15" i="1"/>
  <c r="Q15" i="1"/>
  <c r="M15" i="1"/>
  <c r="N15" i="1" s="1"/>
  <c r="J15" i="1"/>
  <c r="K15" i="1" s="1"/>
  <c r="I15" i="1"/>
  <c r="G15" i="1"/>
  <c r="F15" i="1"/>
  <c r="D15" i="1"/>
  <c r="AW14" i="1"/>
  <c r="AX14" i="1" s="1"/>
  <c r="AT14" i="1"/>
  <c r="AO14" i="1"/>
  <c r="AQ14" i="1" s="1"/>
  <c r="AM14" i="1"/>
  <c r="AH14" i="1"/>
  <c r="AC14" i="1"/>
  <c r="AD14" i="1" s="1"/>
  <c r="Z14" i="1"/>
  <c r="W14" i="1"/>
  <c r="S14" i="1"/>
  <c r="T14" i="1" s="1"/>
  <c r="Q14" i="1"/>
  <c r="N14" i="1"/>
  <c r="J14" i="1"/>
  <c r="K14" i="1" s="1"/>
  <c r="G14" i="1"/>
  <c r="D14" i="1"/>
  <c r="AX13" i="1"/>
  <c r="AT13" i="1"/>
  <c r="AQ13" i="1"/>
  <c r="AM13" i="1"/>
  <c r="AG13" i="1"/>
  <c r="AG26" i="1" s="1"/>
  <c r="AG27" i="1" s="1"/>
  <c r="AF13" i="1"/>
  <c r="AC13" i="1"/>
  <c r="AD13" i="1" s="1"/>
  <c r="AB13" i="1"/>
  <c r="Z13" i="1"/>
  <c r="V13" i="1"/>
  <c r="W13" i="1" s="1"/>
  <c r="S13" i="1"/>
  <c r="T13" i="1" s="1"/>
  <c r="Q13" i="1"/>
  <c r="M13" i="1"/>
  <c r="J13" i="1"/>
  <c r="I13" i="1"/>
  <c r="K13" i="1" s="1"/>
  <c r="F13" i="1"/>
  <c r="G13" i="1" s="1"/>
  <c r="D13" i="1"/>
  <c r="AW12" i="1"/>
  <c r="AX12" i="1" s="1"/>
  <c r="AT12" i="1"/>
  <c r="AQ12" i="1"/>
  <c r="AO12" i="1"/>
  <c r="AM12" i="1"/>
  <c r="AH12" i="1"/>
  <c r="AC12" i="1"/>
  <c r="AD12" i="1" s="1"/>
  <c r="Z12" i="1"/>
  <c r="W12" i="1"/>
  <c r="T12" i="1"/>
  <c r="Q12" i="1"/>
  <c r="N12" i="1"/>
  <c r="K12" i="1"/>
  <c r="F12" i="1"/>
  <c r="G12" i="1" s="1"/>
  <c r="D12" i="1"/>
  <c r="AW11" i="1"/>
  <c r="AX11" i="1" s="1"/>
  <c r="AT11" i="1"/>
  <c r="AO11" i="1"/>
  <c r="AQ11" i="1" s="1"/>
  <c r="AM11" i="1"/>
  <c r="AG11" i="1"/>
  <c r="AH11" i="1" s="1"/>
  <c r="AC11" i="1"/>
  <c r="AD11" i="1" s="1"/>
  <c r="Z11" i="1"/>
  <c r="W11" i="1"/>
  <c r="T11" i="1"/>
  <c r="S11" i="1"/>
  <c r="Q11" i="1"/>
  <c r="N11" i="1"/>
  <c r="J11" i="1"/>
  <c r="I11" i="1"/>
  <c r="F11" i="1"/>
  <c r="F26" i="1" s="1"/>
  <c r="F27" i="1" s="1"/>
  <c r="D11" i="1"/>
  <c r="AX10" i="1"/>
  <c r="AT10" i="1"/>
  <c r="AQ10" i="1"/>
  <c r="AM10" i="1"/>
  <c r="AG10" i="1"/>
  <c r="AH10" i="1" s="1"/>
  <c r="AC10" i="1"/>
  <c r="AB10" i="1"/>
  <c r="AB26" i="1" s="1"/>
  <c r="AB27" i="1" s="1"/>
  <c r="Z10" i="1"/>
  <c r="V10" i="1"/>
  <c r="T10" i="1"/>
  <c r="Q10" i="1"/>
  <c r="N10" i="1"/>
  <c r="J10" i="1"/>
  <c r="I10" i="1"/>
  <c r="K10" i="1" s="1"/>
  <c r="G10" i="1"/>
  <c r="D10" i="1"/>
  <c r="AY8" i="1"/>
  <c r="AW8" i="1"/>
  <c r="AV8" i="1"/>
  <c r="AU8" i="1"/>
  <c r="AS8" i="1"/>
  <c r="AT8" i="1" s="1"/>
  <c r="AR8" i="1"/>
  <c r="AR28" i="1" s="1"/>
  <c r="AP8" i="1"/>
  <c r="AO8" i="1"/>
  <c r="AN8" i="1"/>
  <c r="AL8" i="1"/>
  <c r="AK8" i="1"/>
  <c r="AJ8" i="1"/>
  <c r="AI8" i="1"/>
  <c r="AE8" i="1"/>
  <c r="AB8" i="1"/>
  <c r="AA8" i="1"/>
  <c r="AD8" i="1" s="1"/>
  <c r="Y8" i="1"/>
  <c r="X8" i="1"/>
  <c r="V8" i="1"/>
  <c r="W8" i="1" s="1"/>
  <c r="U8" i="1"/>
  <c r="R8" i="1"/>
  <c r="P8" i="1"/>
  <c r="O8" i="1"/>
  <c r="L8" i="1"/>
  <c r="H8" i="1"/>
  <c r="E8" i="1"/>
  <c r="C8" i="1"/>
  <c r="D8" i="1" s="1"/>
  <c r="B8" i="1"/>
  <c r="AX7" i="1"/>
  <c r="AT7" i="1"/>
  <c r="AQ7" i="1"/>
  <c r="AM7" i="1"/>
  <c r="AG7" i="1"/>
  <c r="AH7" i="1" s="1"/>
  <c r="AF7" i="1"/>
  <c r="AF8" i="1" s="1"/>
  <c r="AD7" i="1"/>
  <c r="AC7" i="1"/>
  <c r="AC8" i="1" s="1"/>
  <c r="Z7" i="1"/>
  <c r="W7" i="1"/>
  <c r="S7" i="1"/>
  <c r="S8" i="1" s="1"/>
  <c r="T8" i="1" s="1"/>
  <c r="Q7" i="1"/>
  <c r="M7" i="1"/>
  <c r="M8" i="1" s="1"/>
  <c r="J7" i="1"/>
  <c r="J8" i="1" s="1"/>
  <c r="I7" i="1"/>
  <c r="F7" i="1"/>
  <c r="F8" i="1" s="1"/>
  <c r="G8" i="1" s="1"/>
  <c r="D7" i="1"/>
  <c r="L28" i="1" l="1"/>
  <c r="K11" i="1"/>
  <c r="G7" i="1"/>
  <c r="N8" i="1"/>
  <c r="Y28" i="1"/>
  <c r="AL28" i="1"/>
  <c r="AV28" i="1"/>
  <c r="U27" i="1"/>
  <c r="J26" i="1"/>
  <c r="J27" i="1" s="1"/>
  <c r="J28" i="1" s="1"/>
  <c r="AC26" i="1"/>
  <c r="AC27" i="1" s="1"/>
  <c r="AD27" i="1" s="1"/>
  <c r="AB28" i="1"/>
  <c r="AO28" i="1"/>
  <c r="V26" i="1"/>
  <c r="V27" i="1" s="1"/>
  <c r="W27" i="1" s="1"/>
  <c r="S26" i="1"/>
  <c r="S27" i="1" s="1"/>
  <c r="AP26" i="1"/>
  <c r="AP27" i="1" s="1"/>
  <c r="AP28" i="1" s="1"/>
  <c r="B28" i="1"/>
  <c r="Y26" i="1"/>
  <c r="Y27" i="1" s="1"/>
  <c r="AO26" i="1"/>
  <c r="AO27" i="1" s="1"/>
  <c r="AK28" i="1"/>
  <c r="E28" i="1"/>
  <c r="G28" i="1" s="1"/>
  <c r="W10" i="1"/>
  <c r="M26" i="1"/>
  <c r="M27" i="1" s="1"/>
  <c r="AZ16" i="1"/>
  <c r="G26" i="1"/>
  <c r="AA28" i="1"/>
  <c r="AT27" i="1"/>
  <c r="T7" i="1"/>
  <c r="AH13" i="1"/>
  <c r="AZ25" i="1"/>
  <c r="AZ24" i="1"/>
  <c r="U28" i="1"/>
  <c r="N13" i="1"/>
  <c r="AZ17" i="1"/>
  <c r="AZ18" i="1"/>
  <c r="AT19" i="1"/>
  <c r="AZ19" i="1" s="1"/>
  <c r="AQ20" i="1"/>
  <c r="AZ20" i="1" s="1"/>
  <c r="K23" i="1"/>
  <c r="AZ23" i="1" s="1"/>
  <c r="N27" i="1"/>
  <c r="H27" i="1"/>
  <c r="I8" i="1"/>
  <c r="K7" i="1"/>
  <c r="AC28" i="1"/>
  <c r="AD28" i="1" s="1"/>
  <c r="O28" i="1"/>
  <c r="Q8" i="1"/>
  <c r="AM8" i="1"/>
  <c r="AZ12" i="1"/>
  <c r="I26" i="1"/>
  <c r="I27" i="1" s="1"/>
  <c r="G27" i="1"/>
  <c r="X27" i="1"/>
  <c r="Z27" i="1" s="1"/>
  <c r="Z26" i="1"/>
  <c r="AZ13" i="1"/>
  <c r="AH15" i="1"/>
  <c r="AZ15" i="1" s="1"/>
  <c r="AZ21" i="1"/>
  <c r="AN27" i="1"/>
  <c r="AQ27" i="1" s="1"/>
  <c r="AQ26" i="1"/>
  <c r="S28" i="1"/>
  <c r="AZ14" i="1"/>
  <c r="AZ22" i="1"/>
  <c r="F28" i="1"/>
  <c r="AE28" i="1"/>
  <c r="P26" i="1"/>
  <c r="AF26" i="1"/>
  <c r="AF27" i="1" s="1"/>
  <c r="AF28" i="1" s="1"/>
  <c r="M28" i="1"/>
  <c r="N28" i="1" s="1"/>
  <c r="AX27" i="1"/>
  <c r="AW26" i="1"/>
  <c r="AW27" i="1" s="1"/>
  <c r="AW28" i="1" s="1"/>
  <c r="AU28" i="1"/>
  <c r="AX8" i="1"/>
  <c r="H28" i="1"/>
  <c r="AJ28" i="1"/>
  <c r="AS28" i="1"/>
  <c r="T27" i="1"/>
  <c r="AX26" i="1"/>
  <c r="AG8" i="1"/>
  <c r="AG28" i="1" s="1"/>
  <c r="C26" i="1"/>
  <c r="C27" i="1" s="1"/>
  <c r="C28" i="1" s="1"/>
  <c r="N7" i="1"/>
  <c r="AZ7" i="1" s="1"/>
  <c r="Z8" i="1"/>
  <c r="AD10" i="1"/>
  <c r="AZ10" i="1" s="1"/>
  <c r="T26" i="1"/>
  <c r="K8" i="1"/>
  <c r="AQ8" i="1"/>
  <c r="G11" i="1"/>
  <c r="AZ11" i="1" s="1"/>
  <c r="N26" i="1"/>
  <c r="AD26" i="1"/>
  <c r="AT26" i="1"/>
  <c r="AI27" i="1"/>
  <c r="V28" i="1" l="1"/>
  <c r="K26" i="1"/>
  <c r="K27" i="1"/>
  <c r="W26" i="1"/>
  <c r="AH26" i="1"/>
  <c r="AH27" i="1"/>
  <c r="X28" i="1"/>
  <c r="AH8" i="1"/>
  <c r="AZ8" i="1" s="1"/>
  <c r="AM27" i="1"/>
  <c r="AI28" i="1"/>
  <c r="P27" i="1"/>
  <c r="Q26" i="1"/>
  <c r="D26" i="1"/>
  <c r="AZ26" i="1" s="1"/>
  <c r="D27" i="1"/>
  <c r="AH28" i="1"/>
  <c r="AN28" i="1"/>
  <c r="AT28" i="1"/>
  <c r="W28" i="1"/>
  <c r="T28" i="1"/>
  <c r="D28" i="1"/>
  <c r="AX28" i="1"/>
  <c r="I28" i="1"/>
  <c r="P28" i="1" l="1"/>
  <c r="Q27" i="1"/>
  <c r="AQ28" i="1"/>
  <c r="AM28" i="1"/>
  <c r="K28" i="1"/>
  <c r="AZ27" i="1"/>
  <c r="Z28" i="1"/>
  <c r="Q28" i="1" l="1"/>
  <c r="AZ28" i="1" s="1"/>
</calcChain>
</file>

<file path=xl/sharedStrings.xml><?xml version="1.0" encoding="utf-8"?>
<sst xmlns="http://schemas.openxmlformats.org/spreadsheetml/2006/main" count="78" uniqueCount="78">
  <si>
    <t>Altalink</t>
  </si>
  <si>
    <t>NMCP22118 ALtalink Bull Wind</t>
  </si>
  <si>
    <t>Total Altalink</t>
  </si>
  <si>
    <t>Ameren</t>
  </si>
  <si>
    <t>NMIP23005 Ameren Spring 2023</t>
  </si>
  <si>
    <t>Total Ameren</t>
  </si>
  <si>
    <t>Avangrid Inc</t>
  </si>
  <si>
    <t>NMIP22135 Avangrid NYSEG RGE</t>
  </si>
  <si>
    <t>NMIP23014 Avangrid</t>
  </si>
  <si>
    <t>Total Avangrid Inc</t>
  </si>
  <si>
    <t>Florida Power &amp; Light Company</t>
  </si>
  <si>
    <t>NMIP23020 FPL Tx Spring 2023</t>
  </si>
  <si>
    <t>Total Florida Power &amp; Light Company</t>
  </si>
  <si>
    <t>Hydro One</t>
  </si>
  <si>
    <t>NMCP23017 HONI 2023</t>
  </si>
  <si>
    <t>Total Hydro One</t>
  </si>
  <si>
    <t>Kentucky Utilities Company</t>
  </si>
  <si>
    <t>NMIP23027 LGE Spring 2023</t>
  </si>
  <si>
    <t>Total Kentucky Utilities Company</t>
  </si>
  <si>
    <t>LS Power</t>
  </si>
  <si>
    <t>NMIP23016 LS Power</t>
  </si>
  <si>
    <t>Total LS Power</t>
  </si>
  <si>
    <t>Minnkota Power Cooperative</t>
  </si>
  <si>
    <t>NMIP23060 Minnkota 2023</t>
  </si>
  <si>
    <t>Total Minnkota Power Cooperative</t>
  </si>
  <si>
    <t>National Grid US</t>
  </si>
  <si>
    <t>NMIP22126 NGUS Indian River-Lyme Junction</t>
  </si>
  <si>
    <t>NMIP23042 NGUS TLE 2023</t>
  </si>
  <si>
    <t>Total National Grid US</t>
  </si>
  <si>
    <t>New York Power Authority</t>
  </si>
  <si>
    <t>NMIP22035 NYPA Group A 2022</t>
  </si>
  <si>
    <t>NMIP23035 NYPA Group B</t>
  </si>
  <si>
    <t>Total New York Power Authority</t>
  </si>
  <si>
    <t>NMG General</t>
  </si>
  <si>
    <t>NMGX0706 Operations General</t>
  </si>
  <si>
    <t>NMGX0708 Sales and Marketing</t>
  </si>
  <si>
    <t>NMGX0709 G&amp;A</t>
  </si>
  <si>
    <t>Total NMG General</t>
  </si>
  <si>
    <t>Southern Company</t>
  </si>
  <si>
    <t>NMIP23019 GPC SoCo VM 2023</t>
  </si>
  <si>
    <t>NMIP23056 APC SoCo VM 2023</t>
  </si>
  <si>
    <t>Total Southern Company</t>
  </si>
  <si>
    <t>Transgrid - NSW ELECTRICITY NETWORKS OPERATIONS PTY LTD</t>
  </si>
  <si>
    <t>NMAP23006 Transgrid 2023</t>
  </si>
  <si>
    <t>Total Transgrid - NSW ELECTRICITY NETWORKS OPERATIONS PTY LTD</t>
  </si>
  <si>
    <t>Xcel Energy</t>
  </si>
  <si>
    <t>NMIP23026 Xcel Energy SPS 2023 HB</t>
  </si>
  <si>
    <t>NMIP23028 Xcel SPC</t>
  </si>
  <si>
    <t>Total Xcel Energy</t>
  </si>
  <si>
    <t>Not Specified</t>
  </si>
  <si>
    <t>TOTAL</t>
  </si>
  <si>
    <t>Income</t>
  </si>
  <si>
    <t xml:space="preserve">   Services</t>
  </si>
  <si>
    <t>Total Income</t>
  </si>
  <si>
    <t>Cost of Goods Sold</t>
  </si>
  <si>
    <t xml:space="preserve">   Projects</t>
  </si>
  <si>
    <t xml:space="preserve">      Accommodation</t>
  </si>
  <si>
    <t xml:space="preserve">      Air fares</t>
  </si>
  <si>
    <t xml:space="preserve">      Aviation</t>
  </si>
  <si>
    <t xml:space="preserve">      Car Hire</t>
  </si>
  <si>
    <t xml:space="preserve">      Data Processing (Internal)</t>
  </si>
  <si>
    <t xml:space="preserve">      Equipment</t>
  </si>
  <si>
    <t xml:space="preserve">      Professional Services</t>
  </si>
  <si>
    <t xml:space="preserve">      Project IS</t>
  </si>
  <si>
    <t xml:space="preserve">      Salaries - Field OPS</t>
  </si>
  <si>
    <t xml:space="preserve">      Salaries - Project Management</t>
  </si>
  <si>
    <t xml:space="preserve">      Shipping</t>
  </si>
  <si>
    <t xml:space="preserve">      Sub-Contractors</t>
  </si>
  <si>
    <t xml:space="preserve">      Subsistence</t>
  </si>
  <si>
    <t xml:space="preserve">      Telephone</t>
  </si>
  <si>
    <t xml:space="preserve">      Travel</t>
  </si>
  <si>
    <t xml:space="preserve">   Total Projects</t>
  </si>
  <si>
    <t>Total Cost of Goods Sold</t>
  </si>
  <si>
    <t>Gross Profit</t>
  </si>
  <si>
    <t>Monday, Jul 10, 2023 05:49:50 AM GMT-7 - Accrual Basis</t>
  </si>
  <si>
    <t>Network Mapping Inc</t>
  </si>
  <si>
    <t>Profit and Loss</t>
  </si>
  <si>
    <t>June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</si>
</sst>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0"/>
  <sheetViews>
    <sheetView tabSelected="1" workbookViewId="0">
      <selection activeCell="D53" sqref="D53"/>
    </sheetView>
  </sheetViews>
  <sheetFormatPr defaultRowHeight="15" x14ac:dyDescent="0.25"/>
  <cols>
    <col min="1" max="1" width="43.85546875" customWidth="1"/>
    <col min="2" max="2" width="7.7109375" customWidth="1"/>
    <col min="3" max="4" width="8.5703125" customWidth="1"/>
    <col min="5" max="5" width="7.7109375" customWidth="1"/>
    <col min="6" max="7" width="10.28515625" customWidth="1"/>
    <col min="8" max="8" width="7.7109375" customWidth="1"/>
    <col min="9" max="9" width="11.140625" customWidth="1"/>
    <col min="10" max="10" width="10.28515625" customWidth="1"/>
    <col min="11" max="11" width="11.140625" customWidth="1"/>
    <col min="12" max="12" width="7.7109375" customWidth="1"/>
    <col min="13" max="14" width="10.28515625" customWidth="1"/>
    <col min="15" max="15" width="7.7109375" customWidth="1"/>
    <col min="16" max="17" width="8.5703125" customWidth="1"/>
    <col min="18" max="18" width="7.7109375" customWidth="1"/>
    <col min="19" max="20" width="10.28515625" customWidth="1"/>
    <col min="21" max="21" width="7.7109375" customWidth="1"/>
    <col min="22" max="23" width="11.140625" customWidth="1"/>
    <col min="24" max="24" width="7.7109375" customWidth="1"/>
    <col min="25" max="26" width="8.5703125" customWidth="1"/>
    <col min="27" max="27" width="7.7109375" customWidth="1"/>
    <col min="28" max="30" width="10.28515625" customWidth="1"/>
    <col min="31" max="31" width="7.7109375" customWidth="1"/>
    <col min="32" max="34" width="10.28515625" customWidth="1"/>
    <col min="35" max="35" width="7.7109375" customWidth="1"/>
    <col min="36" max="36" width="11.140625" customWidth="1"/>
    <col min="37" max="37" width="10.28515625" customWidth="1"/>
    <col min="38" max="39" width="11.140625" customWidth="1"/>
    <col min="40" max="40" width="7.7109375" customWidth="1"/>
    <col min="41" max="41" width="11.140625" customWidth="1"/>
    <col min="42" max="42" width="10.28515625" customWidth="1"/>
    <col min="43" max="43" width="11.140625" customWidth="1"/>
    <col min="44" max="44" width="7.7109375" customWidth="1"/>
    <col min="45" max="46" width="8.5703125" customWidth="1"/>
    <col min="47" max="47" width="7.7109375" customWidth="1"/>
    <col min="48" max="48" width="8.5703125" customWidth="1"/>
    <col min="49" max="51" width="11.140625" customWidth="1"/>
    <col min="52" max="52" width="12" customWidth="1"/>
  </cols>
  <sheetData>
    <row r="1" spans="1:52" ht="18" x14ac:dyDescent="0.25">
      <c r="A1" s="9" t="s">
        <v>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2" ht="18" x14ac:dyDescent="0.25">
      <c r="A2" s="9" t="s">
        <v>76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x14ac:dyDescent="0.25">
      <c r="A3" s="10" t="s">
        <v>77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5" spans="1:52" ht="120.75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 s="2" t="s">
        <v>15</v>
      </c>
      <c r="R5" s="2" t="s">
        <v>16</v>
      </c>
      <c r="S5" s="2" t="s">
        <v>17</v>
      </c>
      <c r="T5" s="2" t="s">
        <v>18</v>
      </c>
      <c r="U5" s="2" t="s">
        <v>19</v>
      </c>
      <c r="V5" s="2" t="s">
        <v>20</v>
      </c>
      <c r="W5" s="2" t="s">
        <v>21</v>
      </c>
      <c r="X5" s="2" t="s">
        <v>22</v>
      </c>
      <c r="Y5" s="2" t="s">
        <v>23</v>
      </c>
      <c r="Z5" s="2" t="s">
        <v>24</v>
      </c>
      <c r="AA5" s="2" t="s">
        <v>25</v>
      </c>
      <c r="AB5" s="2" t="s">
        <v>26</v>
      </c>
      <c r="AC5" s="2" t="s">
        <v>27</v>
      </c>
      <c r="AD5" s="2" t="s">
        <v>28</v>
      </c>
      <c r="AE5" s="2" t="s">
        <v>29</v>
      </c>
      <c r="AF5" s="2" t="s">
        <v>30</v>
      </c>
      <c r="AG5" s="2" t="s">
        <v>31</v>
      </c>
      <c r="AH5" s="2" t="s">
        <v>32</v>
      </c>
      <c r="AI5" s="2" t="s">
        <v>33</v>
      </c>
      <c r="AJ5" s="2" t="s">
        <v>34</v>
      </c>
      <c r="AK5" s="2" t="s">
        <v>35</v>
      </c>
      <c r="AL5" s="2" t="s">
        <v>36</v>
      </c>
      <c r="AM5" s="2" t="s">
        <v>37</v>
      </c>
      <c r="AN5" s="2" t="s">
        <v>38</v>
      </c>
      <c r="AO5" s="2" t="s">
        <v>39</v>
      </c>
      <c r="AP5" s="2" t="s">
        <v>40</v>
      </c>
      <c r="AQ5" s="2" t="s">
        <v>41</v>
      </c>
      <c r="AR5" s="2" t="s">
        <v>42</v>
      </c>
      <c r="AS5" s="2" t="s">
        <v>43</v>
      </c>
      <c r="AT5" s="2" t="s">
        <v>44</v>
      </c>
      <c r="AU5" s="2" t="s">
        <v>45</v>
      </c>
      <c r="AV5" s="2" t="s">
        <v>46</v>
      </c>
      <c r="AW5" s="2" t="s">
        <v>47</v>
      </c>
      <c r="AX5" s="2" t="s">
        <v>48</v>
      </c>
      <c r="AY5" s="2" t="s">
        <v>49</v>
      </c>
      <c r="AZ5" s="2" t="s">
        <v>50</v>
      </c>
    </row>
    <row r="6" spans="1:52" x14ac:dyDescent="0.25">
      <c r="A6" s="3" t="s">
        <v>51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x14ac:dyDescent="0.25">
      <c r="A7" s="3" t="s">
        <v>52</v>
      </c>
      <c r="B7" s="4"/>
      <c r="C7" s="4"/>
      <c r="D7" s="5">
        <f>(B7)+(C7)</f>
        <v>0</v>
      </c>
      <c r="E7" s="4"/>
      <c r="F7" s="5">
        <f>288576.4</f>
        <v>288576.40000000002</v>
      </c>
      <c r="G7" s="5">
        <f>(E7)+(F7)</f>
        <v>288576.40000000002</v>
      </c>
      <c r="H7" s="4"/>
      <c r="I7" s="5">
        <f>41578.49</f>
        <v>41578.49</v>
      </c>
      <c r="J7" s="5">
        <f>36804</f>
        <v>36804</v>
      </c>
      <c r="K7" s="5">
        <f>((H7)+(I7))+(J7)</f>
        <v>78382.489999999991</v>
      </c>
      <c r="L7" s="4"/>
      <c r="M7" s="5">
        <f>119033.01</f>
        <v>119033.01</v>
      </c>
      <c r="N7" s="5">
        <f>(L7)+(M7)</f>
        <v>119033.01</v>
      </c>
      <c r="O7" s="4"/>
      <c r="P7" s="4"/>
      <c r="Q7" s="5">
        <f>(O7)+(P7)</f>
        <v>0</v>
      </c>
      <c r="R7" s="4"/>
      <c r="S7" s="5">
        <f>176948.35</f>
        <v>176948.35</v>
      </c>
      <c r="T7" s="5">
        <f>(R7)+(S7)</f>
        <v>176948.35</v>
      </c>
      <c r="U7" s="4"/>
      <c r="V7" s="4"/>
      <c r="W7" s="5">
        <f>(U7)+(V7)</f>
        <v>0</v>
      </c>
      <c r="X7" s="4"/>
      <c r="Y7" s="4"/>
      <c r="Z7" s="5">
        <f>(X7)+(Y7)</f>
        <v>0</v>
      </c>
      <c r="AA7" s="4"/>
      <c r="AB7" s="4"/>
      <c r="AC7" s="5">
        <f>447087</f>
        <v>447087</v>
      </c>
      <c r="AD7" s="5">
        <f>((AA7)+(AB7))+(AC7)</f>
        <v>447087</v>
      </c>
      <c r="AE7" s="4"/>
      <c r="AF7" s="5">
        <f>157190</f>
        <v>157190</v>
      </c>
      <c r="AG7" s="5">
        <f>123450</f>
        <v>123450</v>
      </c>
      <c r="AH7" s="5">
        <f>((AE7)+(AF7))+(AG7)</f>
        <v>280640</v>
      </c>
      <c r="AI7" s="4"/>
      <c r="AJ7" s="4"/>
      <c r="AK7" s="4"/>
      <c r="AL7" s="4"/>
      <c r="AM7" s="5">
        <f>(((AI7)+(AJ7))+(AK7))+(AL7)</f>
        <v>0</v>
      </c>
      <c r="AN7" s="4"/>
      <c r="AO7" s="4"/>
      <c r="AP7" s="4"/>
      <c r="AQ7" s="5">
        <f>((AN7)+(AO7))+(AP7)</f>
        <v>0</v>
      </c>
      <c r="AR7" s="4"/>
      <c r="AS7" s="4"/>
      <c r="AT7" s="5">
        <f>(AR7)+(AS7)</f>
        <v>0</v>
      </c>
      <c r="AU7" s="4"/>
      <c r="AV7" s="4"/>
      <c r="AW7" s="4"/>
      <c r="AX7" s="5">
        <f>((AU7)+(AV7))+(AW7)</f>
        <v>0</v>
      </c>
      <c r="AY7" s="4"/>
      <c r="AZ7" s="5">
        <f>((((((((((((((D7)+(G7))+(K7))+(N7))+(Q7))+(T7))+(W7))+(Z7))+(AD7))+(AH7))+(AM7))+(AQ7))+(AT7))+(AX7))+(AY7)</f>
        <v>1390667.25</v>
      </c>
    </row>
    <row r="8" spans="1:52" x14ac:dyDescent="0.25">
      <c r="A8" s="3" t="s">
        <v>53</v>
      </c>
      <c r="B8" s="6">
        <f>B7</f>
        <v>0</v>
      </c>
      <c r="C8" s="6">
        <f>C7</f>
        <v>0</v>
      </c>
      <c r="D8" s="6">
        <f>(B8)+(C8)</f>
        <v>0</v>
      </c>
      <c r="E8" s="6">
        <f>E7</f>
        <v>0</v>
      </c>
      <c r="F8" s="6">
        <f>F7</f>
        <v>288576.40000000002</v>
      </c>
      <c r="G8" s="6">
        <f>(E8)+(F8)</f>
        <v>288576.40000000002</v>
      </c>
      <c r="H8" s="6">
        <f>H7</f>
        <v>0</v>
      </c>
      <c r="I8" s="6">
        <f>I7</f>
        <v>41578.49</v>
      </c>
      <c r="J8" s="6">
        <f>J7</f>
        <v>36804</v>
      </c>
      <c r="K8" s="6">
        <f>((H8)+(I8))+(J8)</f>
        <v>78382.489999999991</v>
      </c>
      <c r="L8" s="6">
        <f>L7</f>
        <v>0</v>
      </c>
      <c r="M8" s="6">
        <f>M7</f>
        <v>119033.01</v>
      </c>
      <c r="N8" s="6">
        <f>(L8)+(M8)</f>
        <v>119033.01</v>
      </c>
      <c r="O8" s="6">
        <f>O7</f>
        <v>0</v>
      </c>
      <c r="P8" s="6">
        <f>P7</f>
        <v>0</v>
      </c>
      <c r="Q8" s="6">
        <f>(O8)+(P8)</f>
        <v>0</v>
      </c>
      <c r="R8" s="6">
        <f>R7</f>
        <v>0</v>
      </c>
      <c r="S8" s="6">
        <f>S7</f>
        <v>176948.35</v>
      </c>
      <c r="T8" s="6">
        <f>(R8)+(S8)</f>
        <v>176948.35</v>
      </c>
      <c r="U8" s="6">
        <f>U7</f>
        <v>0</v>
      </c>
      <c r="V8" s="6">
        <f>V7</f>
        <v>0</v>
      </c>
      <c r="W8" s="6">
        <f>(U8)+(V8)</f>
        <v>0</v>
      </c>
      <c r="X8" s="6">
        <f>X7</f>
        <v>0</v>
      </c>
      <c r="Y8" s="6">
        <f>Y7</f>
        <v>0</v>
      </c>
      <c r="Z8" s="6">
        <f>(X8)+(Y8)</f>
        <v>0</v>
      </c>
      <c r="AA8" s="6">
        <f>AA7</f>
        <v>0</v>
      </c>
      <c r="AB8" s="6">
        <f>AB7</f>
        <v>0</v>
      </c>
      <c r="AC8" s="6">
        <f>AC7</f>
        <v>447087</v>
      </c>
      <c r="AD8" s="6">
        <f>((AA8)+(AB8))+(AC8)</f>
        <v>447087</v>
      </c>
      <c r="AE8" s="6">
        <f>AE7</f>
        <v>0</v>
      </c>
      <c r="AF8" s="6">
        <f>AF7</f>
        <v>157190</v>
      </c>
      <c r="AG8" s="6">
        <f>AG7</f>
        <v>123450</v>
      </c>
      <c r="AH8" s="6">
        <f>((AE8)+(AF8))+(AG8)</f>
        <v>280640</v>
      </c>
      <c r="AI8" s="6">
        <f>AI7</f>
        <v>0</v>
      </c>
      <c r="AJ8" s="6">
        <f>AJ7</f>
        <v>0</v>
      </c>
      <c r="AK8" s="6">
        <f>AK7</f>
        <v>0</v>
      </c>
      <c r="AL8" s="6">
        <f>AL7</f>
        <v>0</v>
      </c>
      <c r="AM8" s="6">
        <f>(((AI8)+(AJ8))+(AK8))+(AL8)</f>
        <v>0</v>
      </c>
      <c r="AN8" s="6">
        <f>AN7</f>
        <v>0</v>
      </c>
      <c r="AO8" s="6">
        <f>AO7</f>
        <v>0</v>
      </c>
      <c r="AP8" s="6">
        <f>AP7</f>
        <v>0</v>
      </c>
      <c r="AQ8" s="6">
        <f>((AN8)+(AO8))+(AP8)</f>
        <v>0</v>
      </c>
      <c r="AR8" s="6">
        <f>AR7</f>
        <v>0</v>
      </c>
      <c r="AS8" s="6">
        <f>AS7</f>
        <v>0</v>
      </c>
      <c r="AT8" s="6">
        <f>(AR8)+(AS8)</f>
        <v>0</v>
      </c>
      <c r="AU8" s="6">
        <f>AU7</f>
        <v>0</v>
      </c>
      <c r="AV8" s="6">
        <f>AV7</f>
        <v>0</v>
      </c>
      <c r="AW8" s="6">
        <f>AW7</f>
        <v>0</v>
      </c>
      <c r="AX8" s="6">
        <f>((AU8)+(AV8))+(AW8)</f>
        <v>0</v>
      </c>
      <c r="AY8" s="6">
        <f>AY7</f>
        <v>0</v>
      </c>
      <c r="AZ8" s="6">
        <f>((((((((((((((D8)+(G8))+(K8))+(N8))+(Q8))+(T8))+(W8))+(Z8))+(AD8))+(AH8))+(AM8))+(AQ8))+(AT8))+(AX8))+(AY8)</f>
        <v>1390667.25</v>
      </c>
    </row>
    <row r="9" spans="1:52" x14ac:dyDescent="0.25">
      <c r="A9" s="3" t="s">
        <v>54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x14ac:dyDescent="0.25">
      <c r="A10" s="3" t="s">
        <v>55</v>
      </c>
      <c r="B10" s="4"/>
      <c r="C10" s="4"/>
      <c r="D10" s="5">
        <f t="shared" ref="D10:D28" si="0">(B10)+(C10)</f>
        <v>0</v>
      </c>
      <c r="E10" s="4"/>
      <c r="F10" s="4"/>
      <c r="G10" s="5">
        <f t="shared" ref="G10:G28" si="1">(E10)+(F10)</f>
        <v>0</v>
      </c>
      <c r="H10" s="4"/>
      <c r="I10" s="5">
        <f>-28957.15</f>
        <v>-28957.15</v>
      </c>
      <c r="J10" s="5">
        <f>3850.85</f>
        <v>3850.85</v>
      </c>
      <c r="K10" s="5">
        <f t="shared" ref="K10:K28" si="2">((H10)+(I10))+(J10)</f>
        <v>-25106.300000000003</v>
      </c>
      <c r="L10" s="4"/>
      <c r="M10" s="4"/>
      <c r="N10" s="5">
        <f t="shared" ref="N10:N28" si="3">(L10)+(M10)</f>
        <v>0</v>
      </c>
      <c r="O10" s="4"/>
      <c r="P10" s="4"/>
      <c r="Q10" s="5">
        <f t="shared" ref="Q10:Q28" si="4">(O10)+(P10)</f>
        <v>0</v>
      </c>
      <c r="R10" s="4"/>
      <c r="S10" s="4"/>
      <c r="T10" s="5">
        <f t="shared" ref="T10:T28" si="5">(R10)+(S10)</f>
        <v>0</v>
      </c>
      <c r="U10" s="4"/>
      <c r="V10" s="5">
        <f>3943.15</f>
        <v>3943.15</v>
      </c>
      <c r="W10" s="5">
        <f t="shared" ref="W10:W28" si="6">(U10)+(V10)</f>
        <v>3943.15</v>
      </c>
      <c r="X10" s="4"/>
      <c r="Y10" s="4"/>
      <c r="Z10" s="5">
        <f t="shared" ref="Z10:Z28" si="7">(X10)+(Y10)</f>
        <v>0</v>
      </c>
      <c r="AA10" s="4"/>
      <c r="AB10" s="5">
        <f>2586.49</f>
        <v>2586.4899999999998</v>
      </c>
      <c r="AC10" s="5">
        <f>17572.96</f>
        <v>17572.96</v>
      </c>
      <c r="AD10" s="5">
        <f t="shared" ref="AD10:AD28" si="8">((AA10)+(AB10))+(AC10)</f>
        <v>20159.449999999997</v>
      </c>
      <c r="AE10" s="4"/>
      <c r="AF10" s="4"/>
      <c r="AG10" s="5">
        <f>1003.7</f>
        <v>1003.7</v>
      </c>
      <c r="AH10" s="5">
        <f t="shared" ref="AH10:AH28" si="9">((AE10)+(AF10))+(AG10)</f>
        <v>1003.7</v>
      </c>
      <c r="AI10" s="4"/>
      <c r="AJ10" s="4"/>
      <c r="AK10" s="4"/>
      <c r="AL10" s="4"/>
      <c r="AM10" s="5">
        <f t="shared" ref="AM10:AM28" si="10">(((AI10)+(AJ10))+(AK10))+(AL10)</f>
        <v>0</v>
      </c>
      <c r="AN10" s="4"/>
      <c r="AO10" s="4"/>
      <c r="AP10" s="4"/>
      <c r="AQ10" s="5">
        <f t="shared" ref="AQ10:AQ28" si="11">((AN10)+(AO10))+(AP10)</f>
        <v>0</v>
      </c>
      <c r="AR10" s="4"/>
      <c r="AS10" s="4"/>
      <c r="AT10" s="5">
        <f t="shared" ref="AT10:AT28" si="12">(AR10)+(AS10)</f>
        <v>0</v>
      </c>
      <c r="AU10" s="4"/>
      <c r="AV10" s="4"/>
      <c r="AW10" s="4"/>
      <c r="AX10" s="5">
        <f t="shared" ref="AX10:AX28" si="13">((AU10)+(AV10))+(AW10)</f>
        <v>0</v>
      </c>
      <c r="AY10" s="4"/>
      <c r="AZ10" s="5">
        <f t="shared" ref="AZ10:AZ28" si="14">((((((((((((((D10)+(G10))+(K10))+(N10))+(Q10))+(T10))+(W10))+(Z10))+(AD10))+(AH10))+(AM10))+(AQ10))+(AT10))+(AX10))+(AY10)</f>
        <v>-4.3200998334214091E-12</v>
      </c>
    </row>
    <row r="11" spans="1:52" x14ac:dyDescent="0.25">
      <c r="A11" s="3" t="s">
        <v>56</v>
      </c>
      <c r="B11" s="4"/>
      <c r="C11" s="4"/>
      <c r="D11" s="5">
        <f t="shared" si="0"/>
        <v>0</v>
      </c>
      <c r="E11" s="4"/>
      <c r="F11" s="5">
        <f>620.43</f>
        <v>620.42999999999995</v>
      </c>
      <c r="G11" s="5">
        <f t="shared" si="1"/>
        <v>620.42999999999995</v>
      </c>
      <c r="H11" s="4"/>
      <c r="I11" s="5">
        <f>175.81</f>
        <v>175.81</v>
      </c>
      <c r="J11" s="5">
        <f>431.31</f>
        <v>431.31</v>
      </c>
      <c r="K11" s="5">
        <f t="shared" si="2"/>
        <v>607.12</v>
      </c>
      <c r="L11" s="4"/>
      <c r="M11" s="4"/>
      <c r="N11" s="5">
        <f t="shared" si="3"/>
        <v>0</v>
      </c>
      <c r="O11" s="4"/>
      <c r="P11" s="4"/>
      <c r="Q11" s="5">
        <f t="shared" si="4"/>
        <v>0</v>
      </c>
      <c r="R11" s="4"/>
      <c r="S11" s="5">
        <f>379.04</f>
        <v>379.04</v>
      </c>
      <c r="T11" s="5">
        <f t="shared" si="5"/>
        <v>379.04</v>
      </c>
      <c r="U11" s="4"/>
      <c r="V11" s="4"/>
      <c r="W11" s="5">
        <f t="shared" si="6"/>
        <v>0</v>
      </c>
      <c r="X11" s="4"/>
      <c r="Y11" s="4"/>
      <c r="Z11" s="5">
        <f t="shared" si="7"/>
        <v>0</v>
      </c>
      <c r="AA11" s="4"/>
      <c r="AB11" s="4"/>
      <c r="AC11" s="5">
        <f>10546.37</f>
        <v>10546.37</v>
      </c>
      <c r="AD11" s="5">
        <f t="shared" si="8"/>
        <v>10546.37</v>
      </c>
      <c r="AE11" s="4"/>
      <c r="AF11" s="4"/>
      <c r="AG11" s="5">
        <f>3998.03</f>
        <v>3998.03</v>
      </c>
      <c r="AH11" s="5">
        <f t="shared" si="9"/>
        <v>3998.03</v>
      </c>
      <c r="AI11" s="4"/>
      <c r="AJ11" s="4"/>
      <c r="AK11" s="4"/>
      <c r="AL11" s="4"/>
      <c r="AM11" s="5">
        <f t="shared" si="10"/>
        <v>0</v>
      </c>
      <c r="AN11" s="4"/>
      <c r="AO11" s="5">
        <f>1455.52</f>
        <v>1455.52</v>
      </c>
      <c r="AP11" s="4"/>
      <c r="AQ11" s="5">
        <f t="shared" si="11"/>
        <v>1455.52</v>
      </c>
      <c r="AR11" s="4"/>
      <c r="AS11" s="4"/>
      <c r="AT11" s="5">
        <f t="shared" si="12"/>
        <v>0</v>
      </c>
      <c r="AU11" s="4"/>
      <c r="AV11" s="4"/>
      <c r="AW11" s="5">
        <f>5814.81</f>
        <v>5814.81</v>
      </c>
      <c r="AX11" s="5">
        <f t="shared" si="13"/>
        <v>5814.81</v>
      </c>
      <c r="AY11" s="4"/>
      <c r="AZ11" s="5">
        <f t="shared" si="14"/>
        <v>23421.320000000003</v>
      </c>
    </row>
    <row r="12" spans="1:52" x14ac:dyDescent="0.25">
      <c r="A12" s="3" t="s">
        <v>57</v>
      </c>
      <c r="B12" s="4"/>
      <c r="C12" s="4"/>
      <c r="D12" s="5">
        <f t="shared" si="0"/>
        <v>0</v>
      </c>
      <c r="E12" s="4"/>
      <c r="F12" s="5">
        <f>1048.4</f>
        <v>1048.4000000000001</v>
      </c>
      <c r="G12" s="5">
        <f t="shared" si="1"/>
        <v>1048.4000000000001</v>
      </c>
      <c r="H12" s="4"/>
      <c r="I12" s="4"/>
      <c r="J12" s="4"/>
      <c r="K12" s="5">
        <f t="shared" si="2"/>
        <v>0</v>
      </c>
      <c r="L12" s="4"/>
      <c r="M12" s="4"/>
      <c r="N12" s="5">
        <f t="shared" si="3"/>
        <v>0</v>
      </c>
      <c r="O12" s="4"/>
      <c r="P12" s="4"/>
      <c r="Q12" s="5">
        <f t="shared" si="4"/>
        <v>0</v>
      </c>
      <c r="R12" s="4"/>
      <c r="S12" s="4"/>
      <c r="T12" s="5">
        <f t="shared" si="5"/>
        <v>0</v>
      </c>
      <c r="U12" s="4"/>
      <c r="V12" s="4"/>
      <c r="W12" s="5">
        <f t="shared" si="6"/>
        <v>0</v>
      </c>
      <c r="X12" s="4"/>
      <c r="Y12" s="4"/>
      <c r="Z12" s="5">
        <f t="shared" si="7"/>
        <v>0</v>
      </c>
      <c r="AA12" s="4"/>
      <c r="AB12" s="4"/>
      <c r="AC12" s="5">
        <f>2254.3</f>
        <v>2254.3000000000002</v>
      </c>
      <c r="AD12" s="5">
        <f t="shared" si="8"/>
        <v>2254.3000000000002</v>
      </c>
      <c r="AE12" s="4"/>
      <c r="AF12" s="4"/>
      <c r="AG12" s="4"/>
      <c r="AH12" s="5">
        <f t="shared" si="9"/>
        <v>0</v>
      </c>
      <c r="AI12" s="4"/>
      <c r="AJ12" s="4"/>
      <c r="AK12" s="4"/>
      <c r="AL12" s="4"/>
      <c r="AM12" s="5">
        <f t="shared" si="10"/>
        <v>0</v>
      </c>
      <c r="AN12" s="4"/>
      <c r="AO12" s="5">
        <f>462.2</f>
        <v>462.2</v>
      </c>
      <c r="AP12" s="4"/>
      <c r="AQ12" s="5">
        <f t="shared" si="11"/>
        <v>462.2</v>
      </c>
      <c r="AR12" s="4"/>
      <c r="AS12" s="4"/>
      <c r="AT12" s="5">
        <f t="shared" si="12"/>
        <v>0</v>
      </c>
      <c r="AU12" s="4"/>
      <c r="AV12" s="4"/>
      <c r="AW12" s="5">
        <f>805.67</f>
        <v>805.67</v>
      </c>
      <c r="AX12" s="5">
        <f t="shared" si="13"/>
        <v>805.67</v>
      </c>
      <c r="AY12" s="4"/>
      <c r="AZ12" s="5">
        <f t="shared" si="14"/>
        <v>4570.57</v>
      </c>
    </row>
    <row r="13" spans="1:52" x14ac:dyDescent="0.25">
      <c r="A13" s="3" t="s">
        <v>58</v>
      </c>
      <c r="B13" s="4"/>
      <c r="C13" s="4"/>
      <c r="D13" s="5">
        <f t="shared" si="0"/>
        <v>0</v>
      </c>
      <c r="E13" s="4"/>
      <c r="F13" s="5">
        <f>79993</f>
        <v>79993</v>
      </c>
      <c r="G13" s="5">
        <f t="shared" si="1"/>
        <v>79993</v>
      </c>
      <c r="H13" s="4"/>
      <c r="I13" s="5">
        <f>89139.02</f>
        <v>89139.02</v>
      </c>
      <c r="J13" s="5">
        <f>11576.5</f>
        <v>11576.5</v>
      </c>
      <c r="K13" s="5">
        <f t="shared" si="2"/>
        <v>100715.52</v>
      </c>
      <c r="L13" s="4"/>
      <c r="M13" s="5">
        <f>19196.05</f>
        <v>19196.05</v>
      </c>
      <c r="N13" s="5">
        <f t="shared" si="3"/>
        <v>19196.05</v>
      </c>
      <c r="O13" s="4"/>
      <c r="P13" s="4"/>
      <c r="Q13" s="5">
        <f t="shared" si="4"/>
        <v>0</v>
      </c>
      <c r="R13" s="4"/>
      <c r="S13" s="5">
        <f>15100</f>
        <v>15100</v>
      </c>
      <c r="T13" s="5">
        <f t="shared" si="5"/>
        <v>15100</v>
      </c>
      <c r="U13" s="4"/>
      <c r="V13" s="5">
        <f>11576.5</f>
        <v>11576.5</v>
      </c>
      <c r="W13" s="5">
        <f t="shared" si="6"/>
        <v>11576.5</v>
      </c>
      <c r="X13" s="4"/>
      <c r="Y13" s="4"/>
      <c r="Z13" s="5">
        <f t="shared" si="7"/>
        <v>0</v>
      </c>
      <c r="AA13" s="4"/>
      <c r="AB13" s="5">
        <f>3472.94</f>
        <v>3472.94</v>
      </c>
      <c r="AC13" s="5">
        <f>153827.42</f>
        <v>153827.42000000001</v>
      </c>
      <c r="AD13" s="5">
        <f t="shared" si="8"/>
        <v>157300.36000000002</v>
      </c>
      <c r="AE13" s="4"/>
      <c r="AF13" s="5">
        <f>13503.41</f>
        <v>13503.41</v>
      </c>
      <c r="AG13" s="5">
        <f>38456.85</f>
        <v>38456.85</v>
      </c>
      <c r="AH13" s="5">
        <f t="shared" si="9"/>
        <v>51960.259999999995</v>
      </c>
      <c r="AI13" s="4"/>
      <c r="AJ13" s="4"/>
      <c r="AK13" s="4"/>
      <c r="AL13" s="4"/>
      <c r="AM13" s="5">
        <f t="shared" si="10"/>
        <v>0</v>
      </c>
      <c r="AN13" s="4"/>
      <c r="AO13" s="4"/>
      <c r="AP13" s="4"/>
      <c r="AQ13" s="5">
        <f t="shared" si="11"/>
        <v>0</v>
      </c>
      <c r="AR13" s="4"/>
      <c r="AS13" s="4"/>
      <c r="AT13" s="5">
        <f t="shared" si="12"/>
        <v>0</v>
      </c>
      <c r="AU13" s="4"/>
      <c r="AV13" s="4"/>
      <c r="AW13" s="4"/>
      <c r="AX13" s="5">
        <f t="shared" si="13"/>
        <v>0</v>
      </c>
      <c r="AY13" s="4"/>
      <c r="AZ13" s="5">
        <f t="shared" si="14"/>
        <v>435841.69000000006</v>
      </c>
    </row>
    <row r="14" spans="1:52" x14ac:dyDescent="0.25">
      <c r="A14" s="3" t="s">
        <v>59</v>
      </c>
      <c r="B14" s="4"/>
      <c r="C14" s="4"/>
      <c r="D14" s="5">
        <f t="shared" si="0"/>
        <v>0</v>
      </c>
      <c r="E14" s="4"/>
      <c r="F14" s="4"/>
      <c r="G14" s="5">
        <f t="shared" si="1"/>
        <v>0</v>
      </c>
      <c r="H14" s="4"/>
      <c r="I14" s="4"/>
      <c r="J14" s="5">
        <f>108.47</f>
        <v>108.47</v>
      </c>
      <c r="K14" s="5">
        <f t="shared" si="2"/>
        <v>108.47</v>
      </c>
      <c r="L14" s="4"/>
      <c r="M14" s="4"/>
      <c r="N14" s="5">
        <f t="shared" si="3"/>
        <v>0</v>
      </c>
      <c r="O14" s="4"/>
      <c r="P14" s="4"/>
      <c r="Q14" s="5">
        <f t="shared" si="4"/>
        <v>0</v>
      </c>
      <c r="R14" s="4"/>
      <c r="S14" s="5">
        <f>677.33</f>
        <v>677.33</v>
      </c>
      <c r="T14" s="5">
        <f t="shared" si="5"/>
        <v>677.33</v>
      </c>
      <c r="U14" s="4"/>
      <c r="V14" s="4"/>
      <c r="W14" s="5">
        <f t="shared" si="6"/>
        <v>0</v>
      </c>
      <c r="X14" s="4"/>
      <c r="Y14" s="4"/>
      <c r="Z14" s="5">
        <f t="shared" si="7"/>
        <v>0</v>
      </c>
      <c r="AA14" s="4"/>
      <c r="AB14" s="4"/>
      <c r="AC14" s="5">
        <f>3364.71</f>
        <v>3364.71</v>
      </c>
      <c r="AD14" s="5">
        <f t="shared" si="8"/>
        <v>3364.71</v>
      </c>
      <c r="AE14" s="4"/>
      <c r="AF14" s="4"/>
      <c r="AG14" s="4"/>
      <c r="AH14" s="5">
        <f t="shared" si="9"/>
        <v>0</v>
      </c>
      <c r="AI14" s="4"/>
      <c r="AJ14" s="4"/>
      <c r="AK14" s="4"/>
      <c r="AL14" s="4"/>
      <c r="AM14" s="5">
        <f t="shared" si="10"/>
        <v>0</v>
      </c>
      <c r="AN14" s="4"/>
      <c r="AO14" s="5">
        <f>109.95</f>
        <v>109.95</v>
      </c>
      <c r="AP14" s="4"/>
      <c r="AQ14" s="5">
        <f t="shared" si="11"/>
        <v>109.95</v>
      </c>
      <c r="AR14" s="4"/>
      <c r="AS14" s="4"/>
      <c r="AT14" s="5">
        <f t="shared" si="12"/>
        <v>0</v>
      </c>
      <c r="AU14" s="4"/>
      <c r="AV14" s="4"/>
      <c r="AW14" s="5">
        <f>1617.57</f>
        <v>1617.57</v>
      </c>
      <c r="AX14" s="5">
        <f t="shared" si="13"/>
        <v>1617.57</v>
      </c>
      <c r="AY14" s="4"/>
      <c r="AZ14" s="5">
        <f t="shared" si="14"/>
        <v>5878.03</v>
      </c>
    </row>
    <row r="15" spans="1:52" x14ac:dyDescent="0.25">
      <c r="A15" s="3" t="s">
        <v>60</v>
      </c>
      <c r="B15" s="4"/>
      <c r="C15" s="4"/>
      <c r="D15" s="5">
        <f t="shared" si="0"/>
        <v>0</v>
      </c>
      <c r="E15" s="4"/>
      <c r="F15" s="5">
        <f>165827</f>
        <v>165827</v>
      </c>
      <c r="G15" s="5">
        <f t="shared" si="1"/>
        <v>165827</v>
      </c>
      <c r="H15" s="4"/>
      <c r="I15" s="5">
        <f>28837</f>
        <v>28837</v>
      </c>
      <c r="J15" s="5">
        <f>22171</f>
        <v>22171</v>
      </c>
      <c r="K15" s="5">
        <f t="shared" si="2"/>
        <v>51008</v>
      </c>
      <c r="L15" s="4"/>
      <c r="M15" s="5">
        <f>78938.23</f>
        <v>78938.23</v>
      </c>
      <c r="N15" s="5">
        <f t="shared" si="3"/>
        <v>78938.23</v>
      </c>
      <c r="O15" s="4"/>
      <c r="P15" s="4"/>
      <c r="Q15" s="5">
        <f t="shared" si="4"/>
        <v>0</v>
      </c>
      <c r="R15" s="4"/>
      <c r="S15" s="4"/>
      <c r="T15" s="5">
        <f t="shared" si="5"/>
        <v>0</v>
      </c>
      <c r="U15" s="4"/>
      <c r="V15" s="4"/>
      <c r="W15" s="5">
        <f t="shared" si="6"/>
        <v>0</v>
      </c>
      <c r="X15" s="4"/>
      <c r="Y15" s="4"/>
      <c r="Z15" s="5">
        <f t="shared" si="7"/>
        <v>0</v>
      </c>
      <c r="AA15" s="4"/>
      <c r="AB15" s="4"/>
      <c r="AC15" s="4"/>
      <c r="AD15" s="5">
        <f t="shared" si="8"/>
        <v>0</v>
      </c>
      <c r="AE15" s="4"/>
      <c r="AF15" s="5">
        <f>140862</f>
        <v>140862</v>
      </c>
      <c r="AG15" s="5">
        <f>79366</f>
        <v>79366</v>
      </c>
      <c r="AH15" s="5">
        <f t="shared" si="9"/>
        <v>220228</v>
      </c>
      <c r="AI15" s="4"/>
      <c r="AJ15" s="4"/>
      <c r="AK15" s="4"/>
      <c r="AL15" s="4"/>
      <c r="AM15" s="5">
        <f t="shared" si="10"/>
        <v>0</v>
      </c>
      <c r="AN15" s="4"/>
      <c r="AO15" s="4"/>
      <c r="AP15" s="4"/>
      <c r="AQ15" s="5">
        <f t="shared" si="11"/>
        <v>0</v>
      </c>
      <c r="AR15" s="4"/>
      <c r="AS15" s="4"/>
      <c r="AT15" s="5">
        <f t="shared" si="12"/>
        <v>0</v>
      </c>
      <c r="AU15" s="4"/>
      <c r="AV15" s="4"/>
      <c r="AW15" s="4"/>
      <c r="AX15" s="5">
        <f t="shared" si="13"/>
        <v>0</v>
      </c>
      <c r="AY15" s="4"/>
      <c r="AZ15" s="5">
        <f t="shared" si="14"/>
        <v>516001.23</v>
      </c>
    </row>
    <row r="16" spans="1:52" x14ac:dyDescent="0.25">
      <c r="A16" s="3" t="s">
        <v>61</v>
      </c>
      <c r="B16" s="4"/>
      <c r="C16" s="4"/>
      <c r="D16" s="5">
        <f t="shared" si="0"/>
        <v>0</v>
      </c>
      <c r="E16" s="4"/>
      <c r="F16" s="5">
        <f>83</f>
        <v>83</v>
      </c>
      <c r="G16" s="5">
        <f t="shared" si="1"/>
        <v>83</v>
      </c>
      <c r="H16" s="4"/>
      <c r="I16" s="5">
        <f>750</f>
        <v>750</v>
      </c>
      <c r="J16" s="5">
        <f>27.86</f>
        <v>27.86</v>
      </c>
      <c r="K16" s="5">
        <f t="shared" si="2"/>
        <v>777.86</v>
      </c>
      <c r="L16" s="4"/>
      <c r="M16" s="5">
        <f>83</f>
        <v>83</v>
      </c>
      <c r="N16" s="5">
        <f t="shared" si="3"/>
        <v>83</v>
      </c>
      <c r="O16" s="4"/>
      <c r="P16" s="4"/>
      <c r="Q16" s="5">
        <f t="shared" si="4"/>
        <v>0</v>
      </c>
      <c r="R16" s="4"/>
      <c r="S16" s="4"/>
      <c r="T16" s="5">
        <f t="shared" si="5"/>
        <v>0</v>
      </c>
      <c r="U16" s="4"/>
      <c r="V16" s="4"/>
      <c r="W16" s="5">
        <f t="shared" si="6"/>
        <v>0</v>
      </c>
      <c r="X16" s="4"/>
      <c r="Y16" s="4"/>
      <c r="Z16" s="5">
        <f t="shared" si="7"/>
        <v>0</v>
      </c>
      <c r="AA16" s="4"/>
      <c r="AB16" s="4"/>
      <c r="AC16" s="5">
        <f>310.8</f>
        <v>310.8</v>
      </c>
      <c r="AD16" s="5">
        <f t="shared" si="8"/>
        <v>310.8</v>
      </c>
      <c r="AE16" s="4"/>
      <c r="AF16" s="4"/>
      <c r="AG16" s="5">
        <f>33.39</f>
        <v>33.39</v>
      </c>
      <c r="AH16" s="5">
        <f t="shared" si="9"/>
        <v>33.39</v>
      </c>
      <c r="AI16" s="4"/>
      <c r="AJ16" s="4"/>
      <c r="AK16" s="4"/>
      <c r="AL16" s="4"/>
      <c r="AM16" s="5">
        <f t="shared" si="10"/>
        <v>0</v>
      </c>
      <c r="AN16" s="4"/>
      <c r="AO16" s="5">
        <f>104.71</f>
        <v>104.71</v>
      </c>
      <c r="AP16" s="4"/>
      <c r="AQ16" s="5">
        <f t="shared" si="11"/>
        <v>104.71</v>
      </c>
      <c r="AR16" s="4"/>
      <c r="AS16" s="4"/>
      <c r="AT16" s="5">
        <f t="shared" si="12"/>
        <v>0</v>
      </c>
      <c r="AU16" s="4"/>
      <c r="AV16" s="5">
        <f>83</f>
        <v>83</v>
      </c>
      <c r="AW16" s="5">
        <f>175.16</f>
        <v>175.16</v>
      </c>
      <c r="AX16" s="5">
        <f t="shared" si="13"/>
        <v>258.15999999999997</v>
      </c>
      <c r="AY16" s="4"/>
      <c r="AZ16" s="5">
        <f t="shared" si="14"/>
        <v>1650.92</v>
      </c>
    </row>
    <row r="17" spans="1:52" x14ac:dyDescent="0.25">
      <c r="A17" s="3" t="s">
        <v>62</v>
      </c>
      <c r="B17" s="4"/>
      <c r="C17" s="4"/>
      <c r="D17" s="5">
        <f t="shared" si="0"/>
        <v>0</v>
      </c>
      <c r="E17" s="4"/>
      <c r="F17" s="4"/>
      <c r="G17" s="5">
        <f t="shared" si="1"/>
        <v>0</v>
      </c>
      <c r="H17" s="4"/>
      <c r="I17" s="4"/>
      <c r="J17" s="4"/>
      <c r="K17" s="5">
        <f t="shared" si="2"/>
        <v>0</v>
      </c>
      <c r="L17" s="4"/>
      <c r="M17" s="4"/>
      <c r="N17" s="5">
        <f t="shared" si="3"/>
        <v>0</v>
      </c>
      <c r="O17" s="4"/>
      <c r="P17" s="4"/>
      <c r="Q17" s="5">
        <f t="shared" si="4"/>
        <v>0</v>
      </c>
      <c r="R17" s="4"/>
      <c r="S17" s="4"/>
      <c r="T17" s="5">
        <f t="shared" si="5"/>
        <v>0</v>
      </c>
      <c r="U17" s="4"/>
      <c r="V17" s="4"/>
      <c r="W17" s="5">
        <f t="shared" si="6"/>
        <v>0</v>
      </c>
      <c r="X17" s="4"/>
      <c r="Y17" s="4"/>
      <c r="Z17" s="5">
        <f t="shared" si="7"/>
        <v>0</v>
      </c>
      <c r="AA17" s="4"/>
      <c r="AB17" s="4"/>
      <c r="AC17" s="5">
        <f>80</f>
        <v>80</v>
      </c>
      <c r="AD17" s="5">
        <f t="shared" si="8"/>
        <v>80</v>
      </c>
      <c r="AE17" s="4"/>
      <c r="AF17" s="4"/>
      <c r="AG17" s="4"/>
      <c r="AH17" s="5">
        <f t="shared" si="9"/>
        <v>0</v>
      </c>
      <c r="AI17" s="4"/>
      <c r="AJ17" s="4"/>
      <c r="AK17" s="4"/>
      <c r="AL17" s="4"/>
      <c r="AM17" s="5">
        <f t="shared" si="10"/>
        <v>0</v>
      </c>
      <c r="AN17" s="4"/>
      <c r="AO17" s="5">
        <f>80</f>
        <v>80</v>
      </c>
      <c r="AP17" s="4"/>
      <c r="AQ17" s="5">
        <f t="shared" si="11"/>
        <v>80</v>
      </c>
      <c r="AR17" s="4"/>
      <c r="AS17" s="4"/>
      <c r="AT17" s="5">
        <f t="shared" si="12"/>
        <v>0</v>
      </c>
      <c r="AU17" s="4"/>
      <c r="AV17" s="4"/>
      <c r="AW17" s="4"/>
      <c r="AX17" s="5">
        <f t="shared" si="13"/>
        <v>0</v>
      </c>
      <c r="AY17" s="4"/>
      <c r="AZ17" s="5">
        <f t="shared" si="14"/>
        <v>160</v>
      </c>
    </row>
    <row r="18" spans="1:52" x14ac:dyDescent="0.25">
      <c r="A18" s="3" t="s">
        <v>63</v>
      </c>
      <c r="B18" s="4"/>
      <c r="C18" s="4"/>
      <c r="D18" s="5">
        <f t="shared" si="0"/>
        <v>0</v>
      </c>
      <c r="E18" s="4"/>
      <c r="F18" s="4"/>
      <c r="G18" s="5">
        <f t="shared" si="1"/>
        <v>0</v>
      </c>
      <c r="H18" s="4"/>
      <c r="I18" s="4"/>
      <c r="J18" s="4"/>
      <c r="K18" s="5">
        <f t="shared" si="2"/>
        <v>0</v>
      </c>
      <c r="L18" s="4"/>
      <c r="M18" s="4"/>
      <c r="N18" s="5">
        <f t="shared" si="3"/>
        <v>0</v>
      </c>
      <c r="O18" s="4"/>
      <c r="P18" s="4"/>
      <c r="Q18" s="5">
        <f t="shared" si="4"/>
        <v>0</v>
      </c>
      <c r="R18" s="4"/>
      <c r="S18" s="4"/>
      <c r="T18" s="5">
        <f t="shared" si="5"/>
        <v>0</v>
      </c>
      <c r="U18" s="4"/>
      <c r="V18" s="4"/>
      <c r="W18" s="5">
        <f t="shared" si="6"/>
        <v>0</v>
      </c>
      <c r="X18" s="4"/>
      <c r="Y18" s="4"/>
      <c r="Z18" s="5">
        <f t="shared" si="7"/>
        <v>0</v>
      </c>
      <c r="AA18" s="4"/>
      <c r="AB18" s="4"/>
      <c r="AC18" s="5">
        <f>74.03</f>
        <v>74.03</v>
      </c>
      <c r="AD18" s="5">
        <f t="shared" si="8"/>
        <v>74.03</v>
      </c>
      <c r="AE18" s="4"/>
      <c r="AF18" s="4"/>
      <c r="AG18" s="4"/>
      <c r="AH18" s="5">
        <f t="shared" si="9"/>
        <v>0</v>
      </c>
      <c r="AI18" s="4"/>
      <c r="AJ18" s="4"/>
      <c r="AK18" s="4"/>
      <c r="AL18" s="4"/>
      <c r="AM18" s="5">
        <f t="shared" si="10"/>
        <v>0</v>
      </c>
      <c r="AN18" s="4"/>
      <c r="AO18" s="4"/>
      <c r="AP18" s="4"/>
      <c r="AQ18" s="5">
        <f t="shared" si="11"/>
        <v>0</v>
      </c>
      <c r="AR18" s="4"/>
      <c r="AS18" s="4"/>
      <c r="AT18" s="5">
        <f t="shared" si="12"/>
        <v>0</v>
      </c>
      <c r="AU18" s="4"/>
      <c r="AV18" s="4"/>
      <c r="AW18" s="5">
        <f>16</f>
        <v>16</v>
      </c>
      <c r="AX18" s="5">
        <f t="shared" si="13"/>
        <v>16</v>
      </c>
      <c r="AY18" s="4"/>
      <c r="AZ18" s="5">
        <f t="shared" si="14"/>
        <v>90.03</v>
      </c>
    </row>
    <row r="19" spans="1:52" x14ac:dyDescent="0.25">
      <c r="A19" s="3" t="s">
        <v>64</v>
      </c>
      <c r="B19" s="4"/>
      <c r="C19" s="4"/>
      <c r="D19" s="5">
        <f t="shared" si="0"/>
        <v>0</v>
      </c>
      <c r="E19" s="4"/>
      <c r="F19" s="4"/>
      <c r="G19" s="5">
        <f t="shared" si="1"/>
        <v>0</v>
      </c>
      <c r="H19" s="4"/>
      <c r="I19" s="5">
        <f>162.75</f>
        <v>162.75</v>
      </c>
      <c r="J19" s="5">
        <f>81.37</f>
        <v>81.37</v>
      </c>
      <c r="K19" s="5">
        <f t="shared" si="2"/>
        <v>244.12</v>
      </c>
      <c r="L19" s="4"/>
      <c r="M19" s="5">
        <f>1790.39</f>
        <v>1790.39</v>
      </c>
      <c r="N19" s="5">
        <f t="shared" si="3"/>
        <v>1790.39</v>
      </c>
      <c r="O19" s="4"/>
      <c r="P19" s="5">
        <f>81.38</f>
        <v>81.38</v>
      </c>
      <c r="Q19" s="5">
        <f t="shared" si="4"/>
        <v>81.38</v>
      </c>
      <c r="R19" s="4"/>
      <c r="S19" s="4"/>
      <c r="T19" s="5">
        <f t="shared" si="5"/>
        <v>0</v>
      </c>
      <c r="U19" s="4"/>
      <c r="V19" s="4"/>
      <c r="W19" s="5">
        <f t="shared" si="6"/>
        <v>0</v>
      </c>
      <c r="X19" s="4"/>
      <c r="Y19" s="5">
        <f>259.78</f>
        <v>259.77999999999997</v>
      </c>
      <c r="Z19" s="5">
        <f t="shared" si="7"/>
        <v>259.77999999999997</v>
      </c>
      <c r="AA19" s="4"/>
      <c r="AB19" s="4"/>
      <c r="AC19" s="5">
        <f>3227.01</f>
        <v>3227.01</v>
      </c>
      <c r="AD19" s="5">
        <f t="shared" si="8"/>
        <v>3227.01</v>
      </c>
      <c r="AE19" s="4"/>
      <c r="AF19" s="4"/>
      <c r="AG19" s="4"/>
      <c r="AH19" s="5">
        <f t="shared" si="9"/>
        <v>0</v>
      </c>
      <c r="AI19" s="4"/>
      <c r="AJ19" s="4"/>
      <c r="AK19" s="4"/>
      <c r="AL19" s="4"/>
      <c r="AM19" s="5">
        <f t="shared" si="10"/>
        <v>0</v>
      </c>
      <c r="AN19" s="4"/>
      <c r="AO19" s="5">
        <f>15587.64</f>
        <v>15587.64</v>
      </c>
      <c r="AP19" s="5">
        <f>5862.31</f>
        <v>5862.31</v>
      </c>
      <c r="AQ19" s="5">
        <f t="shared" si="11"/>
        <v>21449.95</v>
      </c>
      <c r="AR19" s="4"/>
      <c r="AS19" s="5">
        <f>325.48</f>
        <v>325.48</v>
      </c>
      <c r="AT19" s="5">
        <f t="shared" si="12"/>
        <v>325.48</v>
      </c>
      <c r="AU19" s="4"/>
      <c r="AV19" s="4"/>
      <c r="AW19" s="5">
        <f>162.75</f>
        <v>162.75</v>
      </c>
      <c r="AX19" s="5">
        <f t="shared" si="13"/>
        <v>162.75</v>
      </c>
      <c r="AY19" s="4"/>
      <c r="AZ19" s="5">
        <f t="shared" si="14"/>
        <v>27540.86</v>
      </c>
    </row>
    <row r="20" spans="1:52" x14ac:dyDescent="0.25">
      <c r="A20" s="3" t="s">
        <v>65</v>
      </c>
      <c r="B20" s="4"/>
      <c r="C20" s="5">
        <f>300.84</f>
        <v>300.83999999999997</v>
      </c>
      <c r="D20" s="5">
        <f t="shared" si="0"/>
        <v>300.83999999999997</v>
      </c>
      <c r="E20" s="4"/>
      <c r="F20" s="5">
        <f>639.26</f>
        <v>639.26</v>
      </c>
      <c r="G20" s="5">
        <f t="shared" si="1"/>
        <v>639.26</v>
      </c>
      <c r="H20" s="4"/>
      <c r="I20" s="4"/>
      <c r="J20" s="4"/>
      <c r="K20" s="5">
        <f t="shared" si="2"/>
        <v>0</v>
      </c>
      <c r="L20" s="4"/>
      <c r="M20" s="4"/>
      <c r="N20" s="5">
        <f t="shared" si="3"/>
        <v>0</v>
      </c>
      <c r="O20" s="4"/>
      <c r="P20" s="4"/>
      <c r="Q20" s="5">
        <f t="shared" si="4"/>
        <v>0</v>
      </c>
      <c r="R20" s="4"/>
      <c r="S20" s="5">
        <f>827.3</f>
        <v>827.3</v>
      </c>
      <c r="T20" s="5">
        <f t="shared" si="5"/>
        <v>827.3</v>
      </c>
      <c r="U20" s="4"/>
      <c r="V20" s="5">
        <f>150.42</f>
        <v>150.41999999999999</v>
      </c>
      <c r="W20" s="5">
        <f t="shared" si="6"/>
        <v>150.41999999999999</v>
      </c>
      <c r="X20" s="4"/>
      <c r="Y20" s="4"/>
      <c r="Z20" s="5">
        <f t="shared" si="7"/>
        <v>0</v>
      </c>
      <c r="AA20" s="4"/>
      <c r="AB20" s="4"/>
      <c r="AC20" s="4"/>
      <c r="AD20" s="5">
        <f t="shared" si="8"/>
        <v>0</v>
      </c>
      <c r="AE20" s="4"/>
      <c r="AF20" s="4"/>
      <c r="AG20" s="5">
        <f>639.27</f>
        <v>639.27</v>
      </c>
      <c r="AH20" s="5">
        <f t="shared" si="9"/>
        <v>639.27</v>
      </c>
      <c r="AI20" s="4"/>
      <c r="AJ20" s="4"/>
      <c r="AK20" s="4"/>
      <c r="AL20" s="4"/>
      <c r="AM20" s="5">
        <f t="shared" si="10"/>
        <v>0</v>
      </c>
      <c r="AN20" s="4"/>
      <c r="AO20" s="5">
        <f>488.85</f>
        <v>488.85</v>
      </c>
      <c r="AP20" s="5">
        <f>564.06</f>
        <v>564.05999999999995</v>
      </c>
      <c r="AQ20" s="5">
        <f t="shared" si="11"/>
        <v>1052.9099999999999</v>
      </c>
      <c r="AR20" s="4"/>
      <c r="AS20" s="4"/>
      <c r="AT20" s="5">
        <f t="shared" si="12"/>
        <v>0</v>
      </c>
      <c r="AU20" s="4"/>
      <c r="AV20" s="4"/>
      <c r="AW20" s="5">
        <f>864.89</f>
        <v>864.89</v>
      </c>
      <c r="AX20" s="5">
        <f t="shared" si="13"/>
        <v>864.89</v>
      </c>
      <c r="AY20" s="4"/>
      <c r="AZ20" s="5">
        <f t="shared" si="14"/>
        <v>4474.8900000000003</v>
      </c>
    </row>
    <row r="21" spans="1:52" x14ac:dyDescent="0.25">
      <c r="A21" s="3" t="s">
        <v>66</v>
      </c>
      <c r="B21" s="4"/>
      <c r="C21" s="4"/>
      <c r="D21" s="5">
        <f t="shared" si="0"/>
        <v>0</v>
      </c>
      <c r="E21" s="4"/>
      <c r="F21" s="4"/>
      <c r="G21" s="5">
        <f t="shared" si="1"/>
        <v>0</v>
      </c>
      <c r="H21" s="4"/>
      <c r="I21" s="4"/>
      <c r="J21" s="4"/>
      <c r="K21" s="5">
        <f t="shared" si="2"/>
        <v>0</v>
      </c>
      <c r="L21" s="4"/>
      <c r="M21" s="4"/>
      <c r="N21" s="5">
        <f t="shared" si="3"/>
        <v>0</v>
      </c>
      <c r="O21" s="4"/>
      <c r="P21" s="5">
        <f>736</f>
        <v>736</v>
      </c>
      <c r="Q21" s="5">
        <f t="shared" si="4"/>
        <v>736</v>
      </c>
      <c r="R21" s="4"/>
      <c r="S21" s="4"/>
      <c r="T21" s="5">
        <f t="shared" si="5"/>
        <v>0</v>
      </c>
      <c r="U21" s="4"/>
      <c r="V21" s="4"/>
      <c r="W21" s="5">
        <f t="shared" si="6"/>
        <v>0</v>
      </c>
      <c r="X21" s="4"/>
      <c r="Y21" s="4"/>
      <c r="Z21" s="5">
        <f t="shared" si="7"/>
        <v>0</v>
      </c>
      <c r="AA21" s="4"/>
      <c r="AB21" s="4"/>
      <c r="AC21" s="5">
        <f>359.07</f>
        <v>359.07</v>
      </c>
      <c r="AD21" s="5">
        <f t="shared" si="8"/>
        <v>359.07</v>
      </c>
      <c r="AE21" s="4"/>
      <c r="AF21" s="4"/>
      <c r="AG21" s="4"/>
      <c r="AH21" s="5">
        <f t="shared" si="9"/>
        <v>0</v>
      </c>
      <c r="AI21" s="4"/>
      <c r="AJ21" s="4"/>
      <c r="AK21" s="4"/>
      <c r="AL21" s="4"/>
      <c r="AM21" s="5">
        <f t="shared" si="10"/>
        <v>0</v>
      </c>
      <c r="AN21" s="4"/>
      <c r="AO21" s="5">
        <f>872</f>
        <v>872</v>
      </c>
      <c r="AP21" s="4"/>
      <c r="AQ21" s="5">
        <f t="shared" si="11"/>
        <v>872</v>
      </c>
      <c r="AR21" s="4"/>
      <c r="AS21" s="4"/>
      <c r="AT21" s="5">
        <f t="shared" si="12"/>
        <v>0</v>
      </c>
      <c r="AU21" s="4"/>
      <c r="AV21" s="4"/>
      <c r="AW21" s="5">
        <f>774.53</f>
        <v>774.53</v>
      </c>
      <c r="AX21" s="5">
        <f t="shared" si="13"/>
        <v>774.53</v>
      </c>
      <c r="AY21" s="4"/>
      <c r="AZ21" s="5">
        <f t="shared" si="14"/>
        <v>2741.6</v>
      </c>
    </row>
    <row r="22" spans="1:52" x14ac:dyDescent="0.25">
      <c r="A22" s="3" t="s">
        <v>67</v>
      </c>
      <c r="B22" s="4"/>
      <c r="C22" s="4"/>
      <c r="D22" s="5">
        <f t="shared" si="0"/>
        <v>0</v>
      </c>
      <c r="E22" s="4"/>
      <c r="F22" s="4"/>
      <c r="G22" s="5">
        <f t="shared" si="1"/>
        <v>0</v>
      </c>
      <c r="H22" s="4"/>
      <c r="I22" s="4"/>
      <c r="J22" s="4"/>
      <c r="K22" s="5">
        <f t="shared" si="2"/>
        <v>0</v>
      </c>
      <c r="L22" s="4"/>
      <c r="M22" s="4"/>
      <c r="N22" s="5">
        <f t="shared" si="3"/>
        <v>0</v>
      </c>
      <c r="O22" s="4"/>
      <c r="P22" s="4"/>
      <c r="Q22" s="5">
        <f t="shared" si="4"/>
        <v>0</v>
      </c>
      <c r="R22" s="4"/>
      <c r="S22" s="4"/>
      <c r="T22" s="5">
        <f t="shared" si="5"/>
        <v>0</v>
      </c>
      <c r="U22" s="4"/>
      <c r="V22" s="4"/>
      <c r="W22" s="5">
        <f t="shared" si="6"/>
        <v>0</v>
      </c>
      <c r="X22" s="4"/>
      <c r="Y22" s="4"/>
      <c r="Z22" s="5">
        <f t="shared" si="7"/>
        <v>0</v>
      </c>
      <c r="AA22" s="4"/>
      <c r="AB22" s="4"/>
      <c r="AC22" s="4"/>
      <c r="AD22" s="5">
        <f t="shared" si="8"/>
        <v>0</v>
      </c>
      <c r="AE22" s="4"/>
      <c r="AF22" s="4"/>
      <c r="AG22" s="5">
        <f>965.25</f>
        <v>965.25</v>
      </c>
      <c r="AH22" s="5">
        <f t="shared" si="9"/>
        <v>965.25</v>
      </c>
      <c r="AI22" s="4"/>
      <c r="AJ22" s="4"/>
      <c r="AK22" s="4"/>
      <c r="AL22" s="4"/>
      <c r="AM22" s="5">
        <f t="shared" si="10"/>
        <v>0</v>
      </c>
      <c r="AN22" s="4"/>
      <c r="AO22" s="4"/>
      <c r="AP22" s="4"/>
      <c r="AQ22" s="5">
        <f t="shared" si="11"/>
        <v>0</v>
      </c>
      <c r="AR22" s="4"/>
      <c r="AS22" s="4"/>
      <c r="AT22" s="5">
        <f t="shared" si="12"/>
        <v>0</v>
      </c>
      <c r="AU22" s="4"/>
      <c r="AV22" s="4"/>
      <c r="AW22" s="5">
        <f>3860</f>
        <v>3860</v>
      </c>
      <c r="AX22" s="5">
        <f t="shared" si="13"/>
        <v>3860</v>
      </c>
      <c r="AY22" s="4"/>
      <c r="AZ22" s="5">
        <f t="shared" si="14"/>
        <v>4825.25</v>
      </c>
    </row>
    <row r="23" spans="1:52" x14ac:dyDescent="0.25">
      <c r="A23" s="3" t="s">
        <v>68</v>
      </c>
      <c r="B23" s="4"/>
      <c r="C23" s="4"/>
      <c r="D23" s="5">
        <f t="shared" si="0"/>
        <v>0</v>
      </c>
      <c r="E23" s="4"/>
      <c r="F23" s="5">
        <f>166.56</f>
        <v>166.56</v>
      </c>
      <c r="G23" s="5">
        <f t="shared" si="1"/>
        <v>166.56</v>
      </c>
      <c r="H23" s="4"/>
      <c r="I23" s="5">
        <f>240.42</f>
        <v>240.42</v>
      </c>
      <c r="J23" s="5">
        <f>486.77</f>
        <v>486.77</v>
      </c>
      <c r="K23" s="5">
        <f t="shared" si="2"/>
        <v>727.18999999999994</v>
      </c>
      <c r="L23" s="4"/>
      <c r="M23" s="4"/>
      <c r="N23" s="5">
        <f t="shared" si="3"/>
        <v>0</v>
      </c>
      <c r="O23" s="4"/>
      <c r="P23" s="4"/>
      <c r="Q23" s="5">
        <f t="shared" si="4"/>
        <v>0</v>
      </c>
      <c r="R23" s="4"/>
      <c r="S23" s="5">
        <f>321.53</f>
        <v>321.52999999999997</v>
      </c>
      <c r="T23" s="5">
        <f t="shared" si="5"/>
        <v>321.52999999999997</v>
      </c>
      <c r="U23" s="4"/>
      <c r="V23" s="4"/>
      <c r="W23" s="5">
        <f t="shared" si="6"/>
        <v>0</v>
      </c>
      <c r="X23" s="4"/>
      <c r="Y23" s="4"/>
      <c r="Z23" s="5">
        <f t="shared" si="7"/>
        <v>0</v>
      </c>
      <c r="AA23" s="4"/>
      <c r="AB23" s="4"/>
      <c r="AC23" s="5">
        <f>3460.78</f>
        <v>3460.78</v>
      </c>
      <c r="AD23" s="5">
        <f t="shared" si="8"/>
        <v>3460.78</v>
      </c>
      <c r="AE23" s="4"/>
      <c r="AF23" s="4"/>
      <c r="AG23" s="5">
        <f>925.97</f>
        <v>925.97</v>
      </c>
      <c r="AH23" s="5">
        <f t="shared" si="9"/>
        <v>925.97</v>
      </c>
      <c r="AI23" s="4"/>
      <c r="AJ23" s="4"/>
      <c r="AK23" s="4"/>
      <c r="AL23" s="4"/>
      <c r="AM23" s="5">
        <f t="shared" si="10"/>
        <v>0</v>
      </c>
      <c r="AN23" s="4"/>
      <c r="AO23" s="5">
        <f>226.54</f>
        <v>226.54</v>
      </c>
      <c r="AP23" s="4"/>
      <c r="AQ23" s="5">
        <f t="shared" si="11"/>
        <v>226.54</v>
      </c>
      <c r="AR23" s="4"/>
      <c r="AS23" s="4"/>
      <c r="AT23" s="5">
        <f t="shared" si="12"/>
        <v>0</v>
      </c>
      <c r="AU23" s="4"/>
      <c r="AV23" s="4"/>
      <c r="AW23" s="5">
        <f>963.31</f>
        <v>963.31</v>
      </c>
      <c r="AX23" s="5">
        <f t="shared" si="13"/>
        <v>963.31</v>
      </c>
      <c r="AY23" s="4"/>
      <c r="AZ23" s="5">
        <f t="shared" si="14"/>
        <v>6791.880000000001</v>
      </c>
    </row>
    <row r="24" spans="1:52" x14ac:dyDescent="0.25">
      <c r="A24" s="3" t="s">
        <v>69</v>
      </c>
      <c r="B24" s="4"/>
      <c r="C24" s="4"/>
      <c r="D24" s="5">
        <f t="shared" si="0"/>
        <v>0</v>
      </c>
      <c r="E24" s="4"/>
      <c r="F24" s="5">
        <f>121.63</f>
        <v>121.63</v>
      </c>
      <c r="G24" s="5">
        <f t="shared" si="1"/>
        <v>121.63</v>
      </c>
      <c r="H24" s="4"/>
      <c r="I24" s="5">
        <f>332.96</f>
        <v>332.96</v>
      </c>
      <c r="J24" s="4"/>
      <c r="K24" s="5">
        <f t="shared" si="2"/>
        <v>332.96</v>
      </c>
      <c r="L24" s="4"/>
      <c r="M24" s="5">
        <f>228.51</f>
        <v>228.51</v>
      </c>
      <c r="N24" s="5">
        <f t="shared" si="3"/>
        <v>228.51</v>
      </c>
      <c r="O24" s="4"/>
      <c r="P24" s="4"/>
      <c r="Q24" s="5">
        <f t="shared" si="4"/>
        <v>0</v>
      </c>
      <c r="R24" s="4"/>
      <c r="S24" s="4"/>
      <c r="T24" s="5">
        <f t="shared" si="5"/>
        <v>0</v>
      </c>
      <c r="U24" s="4"/>
      <c r="V24" s="4"/>
      <c r="W24" s="5">
        <f t="shared" si="6"/>
        <v>0</v>
      </c>
      <c r="X24" s="4"/>
      <c r="Y24" s="4"/>
      <c r="Z24" s="5">
        <f t="shared" si="7"/>
        <v>0</v>
      </c>
      <c r="AA24" s="4"/>
      <c r="AB24" s="4"/>
      <c r="AC24" s="5">
        <f>620.33</f>
        <v>620.33000000000004</v>
      </c>
      <c r="AD24" s="5">
        <f t="shared" si="8"/>
        <v>620.33000000000004</v>
      </c>
      <c r="AE24" s="4"/>
      <c r="AF24" s="4"/>
      <c r="AG24" s="4"/>
      <c r="AH24" s="5">
        <f t="shared" si="9"/>
        <v>0</v>
      </c>
      <c r="AI24" s="4"/>
      <c r="AJ24" s="4"/>
      <c r="AK24" s="4"/>
      <c r="AL24" s="4"/>
      <c r="AM24" s="5">
        <f t="shared" si="10"/>
        <v>0</v>
      </c>
      <c r="AN24" s="4"/>
      <c r="AO24" s="4"/>
      <c r="AP24" s="4"/>
      <c r="AQ24" s="5">
        <f t="shared" si="11"/>
        <v>0</v>
      </c>
      <c r="AR24" s="4"/>
      <c r="AS24" s="4"/>
      <c r="AT24" s="5">
        <f t="shared" si="12"/>
        <v>0</v>
      </c>
      <c r="AU24" s="4"/>
      <c r="AV24" s="5">
        <f>151.29</f>
        <v>151.29</v>
      </c>
      <c r="AW24" s="4"/>
      <c r="AX24" s="5">
        <f t="shared" si="13"/>
        <v>151.29</v>
      </c>
      <c r="AY24" s="4"/>
      <c r="AZ24" s="5">
        <f t="shared" si="14"/>
        <v>1454.7199999999998</v>
      </c>
    </row>
    <row r="25" spans="1:52" x14ac:dyDescent="0.25">
      <c r="A25" s="3" t="s">
        <v>70</v>
      </c>
      <c r="B25" s="4"/>
      <c r="C25" s="4"/>
      <c r="D25" s="5">
        <f t="shared" si="0"/>
        <v>0</v>
      </c>
      <c r="E25" s="4"/>
      <c r="F25" s="5">
        <f>227.5</f>
        <v>227.5</v>
      </c>
      <c r="G25" s="5">
        <f t="shared" si="1"/>
        <v>227.5</v>
      </c>
      <c r="H25" s="4"/>
      <c r="I25" s="5">
        <f>39.39</f>
        <v>39.39</v>
      </c>
      <c r="J25" s="5">
        <f>182.51</f>
        <v>182.51</v>
      </c>
      <c r="K25" s="5">
        <f t="shared" si="2"/>
        <v>221.89999999999998</v>
      </c>
      <c r="L25" s="4"/>
      <c r="M25" s="5">
        <f>17</f>
        <v>17</v>
      </c>
      <c r="N25" s="5">
        <f t="shared" si="3"/>
        <v>17</v>
      </c>
      <c r="O25" s="4"/>
      <c r="P25" s="4"/>
      <c r="Q25" s="5">
        <f t="shared" si="4"/>
        <v>0</v>
      </c>
      <c r="R25" s="4"/>
      <c r="S25" s="5">
        <f>124.01</f>
        <v>124.01</v>
      </c>
      <c r="T25" s="5">
        <f t="shared" si="5"/>
        <v>124.01</v>
      </c>
      <c r="U25" s="4"/>
      <c r="V25" s="4"/>
      <c r="W25" s="5">
        <f t="shared" si="6"/>
        <v>0</v>
      </c>
      <c r="X25" s="4"/>
      <c r="Y25" s="4"/>
      <c r="Z25" s="5">
        <f t="shared" si="7"/>
        <v>0</v>
      </c>
      <c r="AA25" s="4"/>
      <c r="AB25" s="4"/>
      <c r="AC25" s="5">
        <f>1083.37</f>
        <v>1083.3699999999999</v>
      </c>
      <c r="AD25" s="5">
        <f t="shared" si="8"/>
        <v>1083.3699999999999</v>
      </c>
      <c r="AE25" s="4"/>
      <c r="AF25" s="4"/>
      <c r="AG25" s="5">
        <f>196.65</f>
        <v>196.65</v>
      </c>
      <c r="AH25" s="5">
        <f t="shared" si="9"/>
        <v>196.65</v>
      </c>
      <c r="AI25" s="4"/>
      <c r="AJ25" s="4"/>
      <c r="AK25" s="4"/>
      <c r="AL25" s="4"/>
      <c r="AM25" s="5">
        <f t="shared" si="10"/>
        <v>0</v>
      </c>
      <c r="AN25" s="4"/>
      <c r="AO25" s="5">
        <f>202.8</f>
        <v>202.8</v>
      </c>
      <c r="AP25" s="4"/>
      <c r="AQ25" s="5">
        <f t="shared" si="11"/>
        <v>202.8</v>
      </c>
      <c r="AR25" s="4"/>
      <c r="AS25" s="4"/>
      <c r="AT25" s="5">
        <f t="shared" si="12"/>
        <v>0</v>
      </c>
      <c r="AU25" s="4"/>
      <c r="AV25" s="5">
        <f>10.5</f>
        <v>10.5</v>
      </c>
      <c r="AW25" s="5">
        <f>1203.53</f>
        <v>1203.53</v>
      </c>
      <c r="AX25" s="5">
        <f t="shared" si="13"/>
        <v>1214.03</v>
      </c>
      <c r="AY25" s="4"/>
      <c r="AZ25" s="5">
        <f t="shared" si="14"/>
        <v>3287.26</v>
      </c>
    </row>
    <row r="26" spans="1:52" x14ac:dyDescent="0.25">
      <c r="A26" s="3" t="s">
        <v>71</v>
      </c>
      <c r="B26" s="6">
        <f>(((((((((((((((B10)+(B11))+(B12))+(B13))+(B14))+(B15))+(B16))+(B17))+(B18))+(B19))+(B20))+(B21))+(B22))+(B23))+(B24))+(B25)</f>
        <v>0</v>
      </c>
      <c r="C26" s="6">
        <f>(((((((((((((((C10)+(C11))+(C12))+(C13))+(C14))+(C15))+(C16))+(C17))+(C18))+(C19))+(C20))+(C21))+(C22))+(C23))+(C24))+(C25)</f>
        <v>300.83999999999997</v>
      </c>
      <c r="D26" s="6">
        <f t="shared" si="0"/>
        <v>300.83999999999997</v>
      </c>
      <c r="E26" s="6">
        <f>(((((((((((((((E10)+(E11))+(E12))+(E13))+(E14))+(E15))+(E16))+(E17))+(E18))+(E19))+(E20))+(E21))+(E22))+(E23))+(E24))+(E25)</f>
        <v>0</v>
      </c>
      <c r="F26" s="6">
        <f>(((((((((((((((F10)+(F11))+(F12))+(F13))+(F14))+(F15))+(F16))+(F17))+(F18))+(F19))+(F20))+(F21))+(F22))+(F23))+(F24))+(F25)</f>
        <v>248726.78000000003</v>
      </c>
      <c r="G26" s="6">
        <f t="shared" si="1"/>
        <v>248726.78000000003</v>
      </c>
      <c r="H26" s="6">
        <f>(((((((((((((((H10)+(H11))+(H12))+(H13))+(H14))+(H15))+(H16))+(H17))+(H18))+(H19))+(H20))+(H21))+(H22))+(H23))+(H24))+(H25)</f>
        <v>0</v>
      </c>
      <c r="I26" s="6">
        <f>(((((((((((((((I10)+(I11))+(I12))+(I13))+(I14))+(I15))+(I16))+(I17))+(I18))+(I19))+(I20))+(I21))+(I22))+(I23))+(I24))+(I25)</f>
        <v>90720.200000000012</v>
      </c>
      <c r="J26" s="6">
        <f>(((((((((((((((J10)+(J11))+(J12))+(J13))+(J14))+(J15))+(J16))+(J17))+(J18))+(J19))+(J20))+(J21))+(J22))+(J23))+(J24))+(J25)</f>
        <v>38916.639999999999</v>
      </c>
      <c r="K26" s="6">
        <f t="shared" si="2"/>
        <v>129636.84000000001</v>
      </c>
      <c r="L26" s="6">
        <f>(((((((((((((((L10)+(L11))+(L12))+(L13))+(L14))+(L15))+(L16))+(L17))+(L18))+(L19))+(L20))+(L21))+(L22))+(L23))+(L24))+(L25)</f>
        <v>0</v>
      </c>
      <c r="M26" s="6">
        <f>(((((((((((((((M10)+(M11))+(M12))+(M13))+(M14))+(M15))+(M16))+(M17))+(M18))+(M19))+(M20))+(M21))+(M22))+(M23))+(M24))+(M25)</f>
        <v>100253.18</v>
      </c>
      <c r="N26" s="6">
        <f t="shared" si="3"/>
        <v>100253.18</v>
      </c>
      <c r="O26" s="6">
        <f>(((((((((((((((O10)+(O11))+(O12))+(O13))+(O14))+(O15))+(O16))+(O17))+(O18))+(O19))+(O20))+(O21))+(O22))+(O23))+(O24))+(O25)</f>
        <v>0</v>
      </c>
      <c r="P26" s="6">
        <f>(((((((((((((((P10)+(P11))+(P12))+(P13))+(P14))+(P15))+(P16))+(P17))+(P18))+(P19))+(P20))+(P21))+(P22))+(P23))+(P24))+(P25)</f>
        <v>817.38</v>
      </c>
      <c r="Q26" s="6">
        <f t="shared" si="4"/>
        <v>817.38</v>
      </c>
      <c r="R26" s="6">
        <f>(((((((((((((((R10)+(R11))+(R12))+(R13))+(R14))+(R15))+(R16))+(R17))+(R18))+(R19))+(R20))+(R21))+(R22))+(R23))+(R24))+(R25)</f>
        <v>0</v>
      </c>
      <c r="S26" s="6">
        <f>(((((((((((((((S10)+(S11))+(S12))+(S13))+(S14))+(S15))+(S16))+(S17))+(S18))+(S19))+(S20))+(S21))+(S22))+(S23))+(S24))+(S25)</f>
        <v>17429.21</v>
      </c>
      <c r="T26" s="6">
        <f t="shared" si="5"/>
        <v>17429.21</v>
      </c>
      <c r="U26" s="6">
        <f>(((((((((((((((U10)+(U11))+(U12))+(U13))+(U14))+(U15))+(U16))+(U17))+(U18))+(U19))+(U20))+(U21))+(U22))+(U23))+(U24))+(U25)</f>
        <v>0</v>
      </c>
      <c r="V26" s="6">
        <f>(((((((((((((((V10)+(V11))+(V12))+(V13))+(V14))+(V15))+(V16))+(V17))+(V18))+(V19))+(V20))+(V21))+(V22))+(V23))+(V24))+(V25)</f>
        <v>15670.07</v>
      </c>
      <c r="W26" s="6">
        <f t="shared" si="6"/>
        <v>15670.07</v>
      </c>
      <c r="X26" s="6">
        <f>(((((((((((((((X10)+(X11))+(X12))+(X13))+(X14))+(X15))+(X16))+(X17))+(X18))+(X19))+(X20))+(X21))+(X22))+(X23))+(X24))+(X25)</f>
        <v>0</v>
      </c>
      <c r="Y26" s="6">
        <f>(((((((((((((((Y10)+(Y11))+(Y12))+(Y13))+(Y14))+(Y15))+(Y16))+(Y17))+(Y18))+(Y19))+(Y20))+(Y21))+(Y22))+(Y23))+(Y24))+(Y25)</f>
        <v>259.77999999999997</v>
      </c>
      <c r="Z26" s="6">
        <f t="shared" si="7"/>
        <v>259.77999999999997</v>
      </c>
      <c r="AA26" s="6">
        <f>(((((((((((((((AA10)+(AA11))+(AA12))+(AA13))+(AA14))+(AA15))+(AA16))+(AA17))+(AA18))+(AA19))+(AA20))+(AA21))+(AA22))+(AA23))+(AA24))+(AA25)</f>
        <v>0</v>
      </c>
      <c r="AB26" s="6">
        <f>(((((((((((((((AB10)+(AB11))+(AB12))+(AB13))+(AB14))+(AB15))+(AB16))+(AB17))+(AB18))+(AB19))+(AB20))+(AB21))+(AB22))+(AB23))+(AB24))+(AB25)</f>
        <v>6059.43</v>
      </c>
      <c r="AC26" s="6">
        <f>(((((((((((((((AC10)+(AC11))+(AC12))+(AC13))+(AC14))+(AC15))+(AC16))+(AC17))+(AC18))+(AC19))+(AC20))+(AC21))+(AC22))+(AC23))+(AC24))+(AC25)</f>
        <v>196781.15</v>
      </c>
      <c r="AD26" s="6">
        <f t="shared" si="8"/>
        <v>202840.58</v>
      </c>
      <c r="AE26" s="6">
        <f>(((((((((((((((AE10)+(AE11))+(AE12))+(AE13))+(AE14))+(AE15))+(AE16))+(AE17))+(AE18))+(AE19))+(AE20))+(AE21))+(AE22))+(AE23))+(AE24))+(AE25)</f>
        <v>0</v>
      </c>
      <c r="AF26" s="6">
        <f>(((((((((((((((AF10)+(AF11))+(AF12))+(AF13))+(AF14))+(AF15))+(AF16))+(AF17))+(AF18))+(AF19))+(AF20))+(AF21))+(AF22))+(AF23))+(AF24))+(AF25)</f>
        <v>154365.41</v>
      </c>
      <c r="AG26" s="6">
        <f>(((((((((((((((AG10)+(AG11))+(AG12))+(AG13))+(AG14))+(AG15))+(AG16))+(AG17))+(AG18))+(AG19))+(AG20))+(AG21))+(AG22))+(AG23))+(AG24))+(AG25)</f>
        <v>125585.11</v>
      </c>
      <c r="AH26" s="6">
        <f t="shared" si="9"/>
        <v>279950.52</v>
      </c>
      <c r="AI26" s="6">
        <f>(((((((((((((((AI10)+(AI11))+(AI12))+(AI13))+(AI14))+(AI15))+(AI16))+(AI17))+(AI18))+(AI19))+(AI20))+(AI21))+(AI22))+(AI23))+(AI24))+(AI25)</f>
        <v>0</v>
      </c>
      <c r="AJ26" s="6">
        <f>(((((((((((((((AJ10)+(AJ11))+(AJ12))+(AJ13))+(AJ14))+(AJ15))+(AJ16))+(AJ17))+(AJ18))+(AJ19))+(AJ20))+(AJ21))+(AJ22))+(AJ23))+(AJ24))+(AJ25)</f>
        <v>0</v>
      </c>
      <c r="AK26" s="6">
        <f>(((((((((((((((AK10)+(AK11))+(AK12))+(AK13))+(AK14))+(AK15))+(AK16))+(AK17))+(AK18))+(AK19))+(AK20))+(AK21))+(AK22))+(AK23))+(AK24))+(AK25)</f>
        <v>0</v>
      </c>
      <c r="AL26" s="6">
        <f>(((((((((((((((AL10)+(AL11))+(AL12))+(AL13))+(AL14))+(AL15))+(AL16))+(AL17))+(AL18))+(AL19))+(AL20))+(AL21))+(AL22))+(AL23))+(AL24))+(AL25)</f>
        <v>0</v>
      </c>
      <c r="AM26" s="6">
        <f t="shared" si="10"/>
        <v>0</v>
      </c>
      <c r="AN26" s="6">
        <f>(((((((((((((((AN10)+(AN11))+(AN12))+(AN13))+(AN14))+(AN15))+(AN16))+(AN17))+(AN18))+(AN19))+(AN20))+(AN21))+(AN22))+(AN23))+(AN24))+(AN25)</f>
        <v>0</v>
      </c>
      <c r="AO26" s="6">
        <f>(((((((((((((((AO10)+(AO11))+(AO12))+(AO13))+(AO14))+(AO15))+(AO16))+(AO17))+(AO18))+(AO19))+(AO20))+(AO21))+(AO22))+(AO23))+(AO24))+(AO25)</f>
        <v>19590.21</v>
      </c>
      <c r="AP26" s="6">
        <f>(((((((((((((((AP10)+(AP11))+(AP12))+(AP13))+(AP14))+(AP15))+(AP16))+(AP17))+(AP18))+(AP19))+(AP20))+(AP21))+(AP22))+(AP23))+(AP24))+(AP25)</f>
        <v>6426.3700000000008</v>
      </c>
      <c r="AQ26" s="6">
        <f t="shared" si="11"/>
        <v>26016.58</v>
      </c>
      <c r="AR26" s="6">
        <f>(((((((((((((((AR10)+(AR11))+(AR12))+(AR13))+(AR14))+(AR15))+(AR16))+(AR17))+(AR18))+(AR19))+(AR20))+(AR21))+(AR22))+(AR23))+(AR24))+(AR25)</f>
        <v>0</v>
      </c>
      <c r="AS26" s="6">
        <f>(((((((((((((((AS10)+(AS11))+(AS12))+(AS13))+(AS14))+(AS15))+(AS16))+(AS17))+(AS18))+(AS19))+(AS20))+(AS21))+(AS22))+(AS23))+(AS24))+(AS25)</f>
        <v>325.48</v>
      </c>
      <c r="AT26" s="6">
        <f t="shared" si="12"/>
        <v>325.48</v>
      </c>
      <c r="AU26" s="6">
        <f>(((((((((((((((AU10)+(AU11))+(AU12))+(AU13))+(AU14))+(AU15))+(AU16))+(AU17))+(AU18))+(AU19))+(AU20))+(AU21))+(AU22))+(AU23))+(AU24))+(AU25)</f>
        <v>0</v>
      </c>
      <c r="AV26" s="6">
        <f>(((((((((((((((AV10)+(AV11))+(AV12))+(AV13))+(AV14))+(AV15))+(AV16))+(AV17))+(AV18))+(AV19))+(AV20))+(AV21))+(AV22))+(AV23))+(AV24))+(AV25)</f>
        <v>244.79</v>
      </c>
      <c r="AW26" s="6">
        <f>(((((((((((((((AW10)+(AW11))+(AW12))+(AW13))+(AW14))+(AW15))+(AW16))+(AW17))+(AW18))+(AW19))+(AW20))+(AW21))+(AW22))+(AW23))+(AW24))+(AW25)</f>
        <v>16258.220000000001</v>
      </c>
      <c r="AX26" s="6">
        <f t="shared" si="13"/>
        <v>16503.010000000002</v>
      </c>
      <c r="AY26" s="6">
        <f>(((((((((((((((AY10)+(AY11))+(AY12))+(AY13))+(AY14))+(AY15))+(AY16))+(AY17))+(AY18))+(AY19))+(AY20))+(AY21))+(AY22))+(AY23))+(AY24))+(AY25)</f>
        <v>0</v>
      </c>
      <c r="AZ26" s="6">
        <f t="shared" si="14"/>
        <v>1038730.25</v>
      </c>
    </row>
    <row r="27" spans="1:52" x14ac:dyDescent="0.25">
      <c r="A27" s="3" t="s">
        <v>72</v>
      </c>
      <c r="B27" s="6">
        <f>B26</f>
        <v>0</v>
      </c>
      <c r="C27" s="6">
        <f>C26</f>
        <v>300.83999999999997</v>
      </c>
      <c r="D27" s="6">
        <f t="shared" si="0"/>
        <v>300.83999999999997</v>
      </c>
      <c r="E27" s="6">
        <f>E26</f>
        <v>0</v>
      </c>
      <c r="F27" s="6">
        <f>F26</f>
        <v>248726.78000000003</v>
      </c>
      <c r="G27" s="6">
        <f t="shared" si="1"/>
        <v>248726.78000000003</v>
      </c>
      <c r="H27" s="6">
        <f>H26</f>
        <v>0</v>
      </c>
      <c r="I27" s="6">
        <f>I26</f>
        <v>90720.200000000012</v>
      </c>
      <c r="J27" s="6">
        <f>J26</f>
        <v>38916.639999999999</v>
      </c>
      <c r="K27" s="6">
        <f t="shared" si="2"/>
        <v>129636.84000000001</v>
      </c>
      <c r="L27" s="6">
        <f>L26</f>
        <v>0</v>
      </c>
      <c r="M27" s="6">
        <f>M26</f>
        <v>100253.18</v>
      </c>
      <c r="N27" s="6">
        <f t="shared" si="3"/>
        <v>100253.18</v>
      </c>
      <c r="O27" s="6">
        <f>O26</f>
        <v>0</v>
      </c>
      <c r="P27" s="6">
        <f>P26</f>
        <v>817.38</v>
      </c>
      <c r="Q27" s="6">
        <f t="shared" si="4"/>
        <v>817.38</v>
      </c>
      <c r="R27" s="6">
        <f>R26</f>
        <v>0</v>
      </c>
      <c r="S27" s="6">
        <f>S26</f>
        <v>17429.21</v>
      </c>
      <c r="T27" s="6">
        <f t="shared" si="5"/>
        <v>17429.21</v>
      </c>
      <c r="U27" s="6">
        <f>U26</f>
        <v>0</v>
      </c>
      <c r="V27" s="6">
        <f>V26</f>
        <v>15670.07</v>
      </c>
      <c r="W27" s="6">
        <f t="shared" si="6"/>
        <v>15670.07</v>
      </c>
      <c r="X27" s="6">
        <f>X26</f>
        <v>0</v>
      </c>
      <c r="Y27" s="6">
        <f>Y26</f>
        <v>259.77999999999997</v>
      </c>
      <c r="Z27" s="6">
        <f t="shared" si="7"/>
        <v>259.77999999999997</v>
      </c>
      <c r="AA27" s="6">
        <f>AA26</f>
        <v>0</v>
      </c>
      <c r="AB27" s="6">
        <f>AB26</f>
        <v>6059.43</v>
      </c>
      <c r="AC27" s="6">
        <f>AC26</f>
        <v>196781.15</v>
      </c>
      <c r="AD27" s="6">
        <f t="shared" si="8"/>
        <v>202840.58</v>
      </c>
      <c r="AE27" s="6">
        <f>AE26</f>
        <v>0</v>
      </c>
      <c r="AF27" s="6">
        <f>AF26</f>
        <v>154365.41</v>
      </c>
      <c r="AG27" s="6">
        <f>AG26</f>
        <v>125585.11</v>
      </c>
      <c r="AH27" s="6">
        <f t="shared" si="9"/>
        <v>279950.52</v>
      </c>
      <c r="AI27" s="6">
        <f>AI26</f>
        <v>0</v>
      </c>
      <c r="AJ27" s="6">
        <f>AJ26</f>
        <v>0</v>
      </c>
      <c r="AK27" s="6">
        <f>AK26</f>
        <v>0</v>
      </c>
      <c r="AL27" s="6">
        <f>AL26</f>
        <v>0</v>
      </c>
      <c r="AM27" s="6">
        <f t="shared" si="10"/>
        <v>0</v>
      </c>
      <c r="AN27" s="6">
        <f>AN26</f>
        <v>0</v>
      </c>
      <c r="AO27" s="6">
        <f>AO26</f>
        <v>19590.21</v>
      </c>
      <c r="AP27" s="6">
        <f>AP26</f>
        <v>6426.3700000000008</v>
      </c>
      <c r="AQ27" s="6">
        <f t="shared" si="11"/>
        <v>26016.58</v>
      </c>
      <c r="AR27" s="6">
        <f>AR26</f>
        <v>0</v>
      </c>
      <c r="AS27" s="6">
        <f>AS26</f>
        <v>325.48</v>
      </c>
      <c r="AT27" s="6">
        <f t="shared" si="12"/>
        <v>325.48</v>
      </c>
      <c r="AU27" s="6">
        <f>AU26</f>
        <v>0</v>
      </c>
      <c r="AV27" s="6">
        <f>AV26</f>
        <v>244.79</v>
      </c>
      <c r="AW27" s="6">
        <f>AW26</f>
        <v>16258.220000000001</v>
      </c>
      <c r="AX27" s="6">
        <f t="shared" si="13"/>
        <v>16503.010000000002</v>
      </c>
      <c r="AY27" s="6">
        <f>AY26</f>
        <v>0</v>
      </c>
      <c r="AZ27" s="6">
        <f t="shared" si="14"/>
        <v>1038730.25</v>
      </c>
    </row>
    <row r="28" spans="1:52" x14ac:dyDescent="0.25">
      <c r="A28" s="3" t="s">
        <v>73</v>
      </c>
      <c r="B28" s="6">
        <f>(B8)-(B27)</f>
        <v>0</v>
      </c>
      <c r="C28" s="6">
        <f>(C8)-(C27)</f>
        <v>-300.83999999999997</v>
      </c>
      <c r="D28" s="6">
        <f t="shared" si="0"/>
        <v>-300.83999999999997</v>
      </c>
      <c r="E28" s="6">
        <f>(E8)-(E27)</f>
        <v>0</v>
      </c>
      <c r="F28" s="6">
        <f>(F8)-(F27)</f>
        <v>39849.619999999995</v>
      </c>
      <c r="G28" s="6">
        <f t="shared" si="1"/>
        <v>39849.619999999995</v>
      </c>
      <c r="H28" s="6">
        <f>(H8)-(H27)</f>
        <v>0</v>
      </c>
      <c r="I28" s="6">
        <f>(I8)-(I27)</f>
        <v>-49141.710000000014</v>
      </c>
      <c r="J28" s="6">
        <f>(J8)-(J27)</f>
        <v>-2112.6399999999994</v>
      </c>
      <c r="K28" s="6">
        <f t="shared" si="2"/>
        <v>-51254.350000000013</v>
      </c>
      <c r="L28" s="6">
        <f>(L8)-(L27)</f>
        <v>0</v>
      </c>
      <c r="M28" s="6">
        <f>(M8)-(M27)</f>
        <v>18779.830000000002</v>
      </c>
      <c r="N28" s="6">
        <f t="shared" si="3"/>
        <v>18779.830000000002</v>
      </c>
      <c r="O28" s="6">
        <f>(O8)-(O27)</f>
        <v>0</v>
      </c>
      <c r="P28" s="6">
        <f>(P8)-(P27)</f>
        <v>-817.38</v>
      </c>
      <c r="Q28" s="6">
        <f t="shared" si="4"/>
        <v>-817.38</v>
      </c>
      <c r="R28" s="6">
        <f>(R8)-(R27)</f>
        <v>0</v>
      </c>
      <c r="S28" s="6">
        <f>(S8)-(S27)</f>
        <v>159519.14000000001</v>
      </c>
      <c r="T28" s="6">
        <f t="shared" si="5"/>
        <v>159519.14000000001</v>
      </c>
      <c r="U28" s="6">
        <f>(U8)-(U27)</f>
        <v>0</v>
      </c>
      <c r="V28" s="6">
        <f>(V8)-(V27)</f>
        <v>-15670.07</v>
      </c>
      <c r="W28" s="6">
        <f t="shared" si="6"/>
        <v>-15670.07</v>
      </c>
      <c r="X28" s="6">
        <f>(X8)-(X27)</f>
        <v>0</v>
      </c>
      <c r="Y28" s="6">
        <f>(Y8)-(Y27)</f>
        <v>-259.77999999999997</v>
      </c>
      <c r="Z28" s="6">
        <f t="shared" si="7"/>
        <v>-259.77999999999997</v>
      </c>
      <c r="AA28" s="6">
        <f>(AA8)-(AA27)</f>
        <v>0</v>
      </c>
      <c r="AB28" s="6">
        <f>(AB8)-(AB27)</f>
        <v>-6059.43</v>
      </c>
      <c r="AC28" s="6">
        <f>(AC8)-(AC27)</f>
        <v>250305.85</v>
      </c>
      <c r="AD28" s="6">
        <f t="shared" si="8"/>
        <v>244246.42</v>
      </c>
      <c r="AE28" s="6">
        <f>(AE8)-(AE27)</f>
        <v>0</v>
      </c>
      <c r="AF28" s="6">
        <f>(AF8)-(AF27)</f>
        <v>2824.5899999999965</v>
      </c>
      <c r="AG28" s="6">
        <f>(AG8)-(AG27)</f>
        <v>-2135.1100000000006</v>
      </c>
      <c r="AH28" s="6">
        <f t="shared" si="9"/>
        <v>689.47999999999593</v>
      </c>
      <c r="AI28" s="6">
        <f>(AI8)-(AI27)</f>
        <v>0</v>
      </c>
      <c r="AJ28" s="6">
        <f>(AJ8)-(AJ27)</f>
        <v>0</v>
      </c>
      <c r="AK28" s="6">
        <f>(AK8)-(AK27)</f>
        <v>0</v>
      </c>
      <c r="AL28" s="6">
        <f>(AL8)-(AL27)</f>
        <v>0</v>
      </c>
      <c r="AM28" s="6">
        <f t="shared" si="10"/>
        <v>0</v>
      </c>
      <c r="AN28" s="6">
        <f>(AN8)-(AN27)</f>
        <v>0</v>
      </c>
      <c r="AO28" s="6">
        <f>(AO8)-(AO27)</f>
        <v>-19590.21</v>
      </c>
      <c r="AP28" s="6">
        <f>(AP8)-(AP27)</f>
        <v>-6426.3700000000008</v>
      </c>
      <c r="AQ28" s="6">
        <f t="shared" si="11"/>
        <v>-26016.58</v>
      </c>
      <c r="AR28" s="6">
        <f>(AR8)-(AR27)</f>
        <v>0</v>
      </c>
      <c r="AS28" s="6">
        <f>(AS8)-(AS27)</f>
        <v>-325.48</v>
      </c>
      <c r="AT28" s="6">
        <f t="shared" si="12"/>
        <v>-325.48</v>
      </c>
      <c r="AU28" s="6">
        <f>(AU8)-(AU27)</f>
        <v>0</v>
      </c>
      <c r="AV28" s="6">
        <f>(AV8)-(AV27)</f>
        <v>-244.79</v>
      </c>
      <c r="AW28" s="6">
        <f>(AW8)-(AW27)</f>
        <v>-16258.220000000001</v>
      </c>
      <c r="AX28" s="6">
        <f t="shared" si="13"/>
        <v>-16503.010000000002</v>
      </c>
      <c r="AY28" s="6">
        <f>(AY8)-(AY27)</f>
        <v>0</v>
      </c>
      <c r="AZ28" s="6">
        <f t="shared" si="14"/>
        <v>351936.99999999994</v>
      </c>
    </row>
    <row r="30" spans="1:52" x14ac:dyDescent="0.25">
      <c r="A30" s="7" t="s">
        <v>74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</sheetData>
  <mergeCells count="4">
    <mergeCell ref="A30:AZ30"/>
    <mergeCell ref="A1:AZ1"/>
    <mergeCell ref="A2:AZ2"/>
    <mergeCell ref="A3:A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catla</cp:lastModifiedBy>
  <dcterms:created xsi:type="dcterms:W3CDTF">2023-07-10T12:49:50Z</dcterms:created>
  <dcterms:modified xsi:type="dcterms:W3CDTF">2023-07-10T12:51:10Z</dcterms:modified>
</cp:coreProperties>
</file>