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osseinjashnsaz/NeuertLab/Dropbox (VU Basic Sciences)/Hossein Jashnsaz/Experiments/Rate_Threshold/#3 Pump_profiles/"/>
    </mc:Choice>
  </mc:AlternateContent>
  <xr:revisionPtr revIDLastSave="0" documentId="13_ncr:1_{DCB5E206-CD7F-984B-8E5F-A94A354AFBD9}" xr6:coauthVersionLast="45" xr6:coauthVersionMax="45" xr10:uidLastSave="{00000000-0000-0000-0000-000000000000}"/>
  <workbookProtection workbookPassword="E07E" lockStructure="1"/>
  <bookViews>
    <workbookView xWindow="4620" yWindow="560" windowWidth="28800" windowHeight="19700" tabRatio="296" xr2:uid="{00000000-000D-0000-FFFF-FFFF00000000}"/>
  </bookViews>
  <sheets>
    <sheet name="r_in_60m" sheetId="2" r:id="rId1"/>
    <sheet name="I_25m_3M" sheetId="3" r:id="rId2"/>
  </sheets>
  <definedNames>
    <definedName name="Air_Tite">r_in_60m!$BY$6:$BY$9</definedName>
    <definedName name="Becton_Dickinson">r_in_60m!$BG$6:$BG$12</definedName>
    <definedName name="Cadence">r_in_60m!$BN$6:$BN$12</definedName>
    <definedName name="cmd">r_in_60m!$W$10</definedName>
    <definedName name="Commands">r_in_60m!$AP$9:$AP$36</definedName>
    <definedName name="corner">r_in_60m!$D$10</definedName>
    <definedName name="count1_99">r_in_60m!$BB$15</definedName>
    <definedName name="d">r_in_60m!$AL$10</definedName>
    <definedName name="dcmd">r_in_60m!$AV$9:$AV$19</definedName>
    <definedName name="diameters">r_in_60m!$BG$27</definedName>
    <definedName name="dir">r_in_60m!$L$10</definedName>
    <definedName name="Direction">r_in_60m!$AW$9:$AW$12</definedName>
    <definedName name="dmax">r_in_60m!$AS$9:$AS$36</definedName>
    <definedName name="dmin">r_in_60m!$AR$9:$AR$36</definedName>
    <definedName name="drcmd">r_in_60m!$AX$9:$AX$12</definedName>
    <definedName name="dt">r_in_60m!$AK$10</definedName>
    <definedName name="dtype">r_in_60m!$AQ$9:$AQ$37</definedName>
    <definedName name="Functions">r_in_60m!$AO$9:$AO$30</definedName>
    <definedName name="Hamilton_Microliter">r_in_60m!$BL$6:$BL$9</definedName>
    <definedName name="HSW_Norm_Ject">r_in_60m!$BJ$6:$BJ$12</definedName>
    <definedName name="j">r_in_60m!$AN$10</definedName>
    <definedName name="logic">r_in_60m!$BB$16</definedName>
    <definedName name="Max_Phase">r_in_60m!$AU$2</definedName>
    <definedName name="Mono_Ject">r_in_60m!$BH$6:$BH$12</definedName>
    <definedName name="nodata">r_in_60m!$BB$18</definedName>
    <definedName name="notused">r_in_60m!$BB$19</definedName>
    <definedName name="number0_99">r_in_60m!$BB$14</definedName>
    <definedName name="pdir">r_in_60m!$U$33</definedName>
    <definedName name="phase">r_in_60m!$D$10</definedName>
    <definedName name="phasenum">r_in_60m!$BB$13</definedName>
    <definedName name="pname">r_in_60m!$O$35</definedName>
    <definedName name="Poulten_Graf">r_in_60m!$BK$6:$BK$14</definedName>
    <definedName name="pparam">r_in_60m!$U$32</definedName>
    <definedName name="ppath">r_in_60m!$N$32</definedName>
    <definedName name="Rate">r_in_60m!$AA$10</definedName>
    <definedName name="ratenovol">r_in_60m!$BB$12</definedName>
    <definedName name="rateonly">r_in_60m!$BB$9</definedName>
    <definedName name="ratetime">r_in_60m!$BB$10</definedName>
    <definedName name="rateunits">r_in_60m!$BB$11</definedName>
    <definedName name="SGE">r_in_60m!$BM$6:$BM$21</definedName>
    <definedName name="Steel">r_in_60m!$BO$6:$BO$11</definedName>
    <definedName name="Syringe_Makes">r_in_60m!$BG$4:$BT$4</definedName>
    <definedName name="T">r_in_60m!$Z$10</definedName>
    <definedName name="Terumo">r_in_60m!$BI$6:$BI$12</definedName>
    <definedName name="Time">r_in_60m!#REF!</definedName>
    <definedName name="trgcmd">r_in_60m!$BA$9:$BA$22</definedName>
    <definedName name="trigger">r_in_60m!$AY$9:$AY$22</definedName>
    <definedName name="Triggerfunct">r_in_60m!$BB$17</definedName>
    <definedName name="U">r_in_60m!$Y$10</definedName>
    <definedName name="ucmd">r_in_60m!$AV$23:$AV$29</definedName>
    <definedName name="umult">r_in_60m!$AW$23:$AW$29</definedName>
    <definedName name="Units">r_in_60m!$AU$23:$AU$29</definedName>
    <definedName name="value">r_in_60m!$F$10</definedName>
    <definedName name="Volume">r_in_60m!$AD$10</definedName>
    <definedName name="vu">r_in_60m!$AR$38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3" i="3" l="1"/>
  <c r="D39" i="3"/>
  <c r="D45" i="3"/>
  <c r="D51" i="3"/>
  <c r="D57" i="3"/>
  <c r="D63" i="3"/>
  <c r="D69" i="3"/>
  <c r="D75" i="3"/>
  <c r="D81" i="3"/>
  <c r="D87" i="3"/>
  <c r="D93" i="3"/>
  <c r="D99" i="3"/>
  <c r="D105" i="3"/>
  <c r="D111" i="3"/>
  <c r="D117" i="3"/>
  <c r="D123" i="3"/>
  <c r="D129" i="3"/>
  <c r="D135" i="3"/>
  <c r="D141" i="3"/>
  <c r="D147" i="3"/>
  <c r="D153" i="3"/>
  <c r="D159" i="3"/>
  <c r="D165" i="3"/>
  <c r="D171" i="3"/>
  <c r="D177" i="3"/>
  <c r="D183" i="3"/>
  <c r="D189" i="3"/>
  <c r="D195" i="3"/>
  <c r="D201" i="3"/>
  <c r="D207" i="3"/>
  <c r="D213" i="3"/>
  <c r="D219" i="3"/>
  <c r="D225" i="3"/>
  <c r="D231" i="3"/>
  <c r="D237" i="3"/>
  <c r="D243" i="3"/>
  <c r="D249" i="3"/>
  <c r="D255" i="3"/>
  <c r="D261" i="3"/>
  <c r="D27" i="3"/>
  <c r="A268" i="3"/>
  <c r="A266" i="3"/>
  <c r="A267" i="3"/>
  <c r="A265" i="3"/>
  <c r="A8" i="3"/>
  <c r="A9" i="3"/>
  <c r="A10" i="3"/>
  <c r="V13" i="2"/>
  <c r="AJ13" i="2" s="1"/>
  <c r="U31" i="2"/>
  <c r="U33" i="2" s="1"/>
  <c r="A269" i="3"/>
  <c r="AP38" i="2"/>
  <c r="AR38" i="2" s="1"/>
  <c r="B12" i="3" s="1"/>
  <c r="AT38" i="2"/>
  <c r="AV24" i="2" s="1" a="1"/>
  <c r="H15" i="3"/>
  <c r="I15" i="3"/>
  <c r="V11" i="2"/>
  <c r="Z11" i="2" s="1"/>
  <c r="A20" i="3" s="1"/>
  <c r="V12" i="2"/>
  <c r="Z12" i="2" s="1"/>
  <c r="AK13" i="2"/>
  <c r="AL13" i="2" s="1"/>
  <c r="V14" i="2"/>
  <c r="AI14" i="2"/>
  <c r="AK14" i="2"/>
  <c r="AL14" i="2" s="1"/>
  <c r="V15" i="2"/>
  <c r="Z15" i="2" s="1"/>
  <c r="AK15" i="2"/>
  <c r="AL15" i="2" s="1"/>
  <c r="V16" i="2"/>
  <c r="Z16" i="2" s="1"/>
  <c r="AK16" i="2"/>
  <c r="AL16" i="2"/>
  <c r="V17" i="2"/>
  <c r="AJ17" i="2"/>
  <c r="AK17" i="2"/>
  <c r="AL17" i="2" s="1"/>
  <c r="V18" i="2"/>
  <c r="AH18" i="2" s="1"/>
  <c r="AK18" i="2"/>
  <c r="AL18" i="2"/>
  <c r="V19" i="2"/>
  <c r="W19" i="2"/>
  <c r="AK19" i="2"/>
  <c r="AL19" i="2" s="1"/>
  <c r="V20" i="2"/>
  <c r="AJ20" i="2" s="1"/>
  <c r="AK20" i="2"/>
  <c r="AL20" i="2"/>
  <c r="V21" i="2"/>
  <c r="AH21" i="2"/>
  <c r="AK21" i="2"/>
  <c r="AL21" i="2" s="1"/>
  <c r="V22" i="2"/>
  <c r="AI22" i="2" s="1"/>
  <c r="AK22" i="2"/>
  <c r="AL22" i="2"/>
  <c r="V23" i="2"/>
  <c r="AH23" i="2"/>
  <c r="AK23" i="2"/>
  <c r="AL23" i="2" s="1"/>
  <c r="V24" i="2"/>
  <c r="AH24" i="2" s="1"/>
  <c r="AK24" i="2"/>
  <c r="AL24" i="2"/>
  <c r="V25" i="2"/>
  <c r="AH25" i="2" s="1"/>
  <c r="AJ25" i="2"/>
  <c r="AK25" i="2"/>
  <c r="V26" i="2"/>
  <c r="AJ26" i="2"/>
  <c r="AK26" i="2"/>
  <c r="AL26" i="2"/>
  <c r="V27" i="2"/>
  <c r="AH27" i="2" s="1"/>
  <c r="AK27" i="2"/>
  <c r="AL27" i="2" s="1"/>
  <c r="V28" i="2"/>
  <c r="AI28" i="2"/>
  <c r="AK28" i="2"/>
  <c r="AL28" i="2"/>
  <c r="V29" i="2"/>
  <c r="W29" i="2" s="1"/>
  <c r="AK29" i="2"/>
  <c r="V30" i="2"/>
  <c r="AI30" i="2" s="1"/>
  <c r="AK30" i="2"/>
  <c r="AL30" i="2"/>
  <c r="V31" i="2"/>
  <c r="AK31" i="2"/>
  <c r="AL31" i="2"/>
  <c r="V32" i="2"/>
  <c r="AH32" i="2" s="1"/>
  <c r="Z32" i="2"/>
  <c r="AK32" i="2"/>
  <c r="AL32" i="2" s="1"/>
  <c r="V33" i="2"/>
  <c r="AI33" i="2" s="1"/>
  <c r="AK33" i="2"/>
  <c r="AL33" i="2"/>
  <c r="V34" i="2"/>
  <c r="W34" i="2"/>
  <c r="AK34" i="2"/>
  <c r="AL34" i="2" s="1"/>
  <c r="V35" i="2"/>
  <c r="AH35" i="2" s="1"/>
  <c r="AK35" i="2"/>
  <c r="AL35" i="2"/>
  <c r="V36" i="2"/>
  <c r="AH36" i="2"/>
  <c r="AK36" i="2"/>
  <c r="AL36" i="2" s="1"/>
  <c r="V37" i="2"/>
  <c r="Z37" i="2" s="1"/>
  <c r="AF37" i="2" s="1"/>
  <c r="AE37" i="2" s="1"/>
  <c r="AD37" i="2" s="1"/>
  <c r="AK37" i="2"/>
  <c r="AL37" i="2"/>
  <c r="V38" i="2"/>
  <c r="W38" i="2" s="1"/>
  <c r="AI38" i="2"/>
  <c r="AK38" i="2"/>
  <c r="AL38" i="2" s="1"/>
  <c r="V39" i="2"/>
  <c r="AI39" i="2" s="1"/>
  <c r="AK39" i="2"/>
  <c r="AL39" i="2"/>
  <c r="V40" i="2"/>
  <c r="AI40" i="2"/>
  <c r="AK40" i="2"/>
  <c r="AL40" i="2" s="1"/>
  <c r="V41" i="2"/>
  <c r="W41" i="2" s="1"/>
  <c r="AK41" i="2"/>
  <c r="AL41" i="2"/>
  <c r="V42" i="2"/>
  <c r="Z42" i="2"/>
  <c r="AK42" i="2"/>
  <c r="AL42" i="2" s="1"/>
  <c r="V43" i="2"/>
  <c r="Z43" i="2" s="1"/>
  <c r="AK43" i="2"/>
  <c r="AL43" i="2"/>
  <c r="V44" i="2"/>
  <c r="Z44" i="2" s="1"/>
  <c r="AJ44" i="2"/>
  <c r="AK44" i="2"/>
  <c r="AL44" i="2" s="1"/>
  <c r="V45" i="2"/>
  <c r="AI45" i="2"/>
  <c r="AK45" i="2"/>
  <c r="AL45" i="2"/>
  <c r="V46" i="2"/>
  <c r="AI46" i="2" s="1"/>
  <c r="AK46" i="2"/>
  <c r="AL46" i="2" s="1"/>
  <c r="V47" i="2"/>
  <c r="AH47" i="2"/>
  <c r="AK47" i="2"/>
  <c r="AL47" i="2"/>
  <c r="V48" i="2"/>
  <c r="AI48" i="2" s="1"/>
  <c r="AK48" i="2"/>
  <c r="AL48" i="2" s="1"/>
  <c r="V49" i="2"/>
  <c r="AH49" i="2" s="1"/>
  <c r="Z49" i="2"/>
  <c r="AK49" i="2"/>
  <c r="AL49" i="2"/>
  <c r="V50" i="2"/>
  <c r="AH50" i="2" s="1"/>
  <c r="AK50" i="2"/>
  <c r="AL50" i="2" s="1"/>
  <c r="V51" i="2"/>
  <c r="AI51" i="2" s="1"/>
  <c r="W51" i="2"/>
  <c r="AK51" i="2"/>
  <c r="AL51" i="2" s="1"/>
  <c r="AK12" i="2"/>
  <c r="AL12" i="2" s="1"/>
  <c r="B14" i="3"/>
  <c r="U25" i="2"/>
  <c r="A13" i="3" s="1"/>
  <c r="AG7" i="2"/>
  <c r="A7" i="3"/>
  <c r="AS17" i="2"/>
  <c r="AH14" i="2"/>
  <c r="AL25" i="2"/>
  <c r="AL29" i="2"/>
  <c r="AH41" i="2"/>
  <c r="W5" i="2"/>
  <c r="BN1" i="2" s="1"/>
  <c r="AS25" i="2"/>
  <c r="AS22" i="2"/>
  <c r="AS21" i="2"/>
  <c r="AK11" i="2"/>
  <c r="AL11" i="2"/>
  <c r="B15" i="3"/>
  <c r="B16" i="3"/>
  <c r="H10" i="2"/>
  <c r="X51" i="2"/>
  <c r="Y51" i="2"/>
  <c r="D21" i="3"/>
  <c r="W31" i="2"/>
  <c r="Z31" i="2"/>
  <c r="AI31" i="2"/>
  <c r="W25" i="2"/>
  <c r="AI25" i="2"/>
  <c r="W21" i="2"/>
  <c r="AI26" i="2"/>
  <c r="Z38" i="2"/>
  <c r="AI44" i="2"/>
  <c r="AI12" i="2"/>
  <c r="W48" i="2"/>
  <c r="W44" i="2"/>
  <c r="H216" i="3" s="1"/>
  <c r="AH44" i="2"/>
  <c r="AI36" i="2"/>
  <c r="AH28" i="2"/>
  <c r="Z28" i="2"/>
  <c r="W26" i="2"/>
  <c r="W14" i="2"/>
  <c r="H36" i="3" s="1"/>
  <c r="AJ14" i="2"/>
  <c r="AH48" i="2"/>
  <c r="Z14" i="2"/>
  <c r="Z18" i="2"/>
  <c r="W15" i="2"/>
  <c r="H42" i="3"/>
  <c r="A43" i="3" s="1"/>
  <c r="AI15" i="2"/>
  <c r="U32" i="2"/>
  <c r="H240" i="3"/>
  <c r="A241" i="3" s="1"/>
  <c r="H138" i="3"/>
  <c r="A138" i="3" s="1"/>
  <c r="A142" i="3" s="1"/>
  <c r="B142" i="3" s="1"/>
  <c r="H66" i="3"/>
  <c r="B67" i="3" s="1"/>
  <c r="H78" i="3"/>
  <c r="A79" i="3" s="1"/>
  <c r="AJ39" i="2"/>
  <c r="AJ21" i="2"/>
  <c r="AM21" i="2" s="1"/>
  <c r="AH38" i="2"/>
  <c r="AJ30" i="2"/>
  <c r="AJ49" i="2"/>
  <c r="AM49" i="2"/>
  <c r="AI49" i="2"/>
  <c r="W49" i="2"/>
  <c r="H246" i="3" s="1"/>
  <c r="A246" i="3" s="1"/>
  <c r="A250" i="3" s="1"/>
  <c r="B250" i="3" s="1"/>
  <c r="Z48" i="2"/>
  <c r="AJ48" i="2"/>
  <c r="AI47" i="2"/>
  <c r="AJ47" i="2"/>
  <c r="AH46" i="2"/>
  <c r="AH43" i="2"/>
  <c r="AJ43" i="2"/>
  <c r="AJ40" i="2"/>
  <c r="AH40" i="2"/>
  <c r="AH39" i="2"/>
  <c r="Z36" i="2"/>
  <c r="AF36" i="2"/>
  <c r="AE36" i="2" s="1"/>
  <c r="Z35" i="2"/>
  <c r="Z13" i="2"/>
  <c r="W40" i="2"/>
  <c r="Z46" i="2"/>
  <c r="AH11" i="2"/>
  <c r="AJ15" i="2"/>
  <c r="AI13" i="2"/>
  <c r="W16" i="2"/>
  <c r="W13" i="2"/>
  <c r="W12" i="2"/>
  <c r="W11" i="2"/>
  <c r="D11" i="2" s="1"/>
  <c r="D12" i="2" s="1"/>
  <c r="D13" i="2" s="1"/>
  <c r="D14" i="2"/>
  <c r="D15" i="2" s="1"/>
  <c r="AJ19" i="2"/>
  <c r="Z50" i="2"/>
  <c r="A254" i="3" s="1"/>
  <c r="A255" i="3" s="1"/>
  <c r="B255" i="3" s="1"/>
  <c r="W46" i="2"/>
  <c r="AI43" i="2"/>
  <c r="AI11" i="2"/>
  <c r="AI50" i="2"/>
  <c r="H24" i="3"/>
  <c r="B25" i="3" s="1"/>
  <c r="AJ51" i="2"/>
  <c r="H30" i="3"/>
  <c r="B31" i="3" s="1"/>
  <c r="AO39" i="2" a="1"/>
  <c r="W50" i="2"/>
  <c r="AJ11" i="2"/>
  <c r="Z40" i="2"/>
  <c r="AM40" i="2" s="1"/>
  <c r="AJ46" i="2"/>
  <c r="Z19" i="2"/>
  <c r="AH51" i="2"/>
  <c r="W43" i="2"/>
  <c r="AH13" i="2"/>
  <c r="AJ12" i="2"/>
  <c r="W30" i="2"/>
  <c r="W47" i="2"/>
  <c r="H234" i="3" s="1"/>
  <c r="A234" i="3" s="1"/>
  <c r="AI19" i="2"/>
  <c r="AI21" i="2"/>
  <c r="Z47" i="2"/>
  <c r="Z33" i="2"/>
  <c r="AJ33" i="2"/>
  <c r="AJ32" i="2"/>
  <c r="AM32" i="2" s="1"/>
  <c r="W32" i="2"/>
  <c r="AI32" i="2"/>
  <c r="Z30" i="2"/>
  <c r="AH30" i="2"/>
  <c r="W28" i="2"/>
  <c r="AJ28" i="2"/>
  <c r="Z22" i="2"/>
  <c r="AH22" i="2"/>
  <c r="W22" i="2"/>
  <c r="Z21" i="2"/>
  <c r="AI20" i="2"/>
  <c r="AH19" i="2"/>
  <c r="AI18" i="2"/>
  <c r="AI17" i="2"/>
  <c r="AH17" i="2"/>
  <c r="Z17" i="2"/>
  <c r="W17" i="2"/>
  <c r="AJ16" i="2"/>
  <c r="AH15" i="2"/>
  <c r="A32" i="3"/>
  <c r="A38" i="3"/>
  <c r="AF14" i="2"/>
  <c r="H258" i="3"/>
  <c r="A258" i="3" s="1"/>
  <c r="A262" i="3" s="1"/>
  <c r="B262" i="3" s="1"/>
  <c r="H156" i="3"/>
  <c r="A156" i="3" s="1"/>
  <c r="A160" i="3" s="1"/>
  <c r="B160" i="3" s="1"/>
  <c r="AF28" i="2"/>
  <c r="A122" i="3"/>
  <c r="A170" i="3"/>
  <c r="H102" i="3"/>
  <c r="A103" i="3" s="1"/>
  <c r="H48" i="3"/>
  <c r="B49" i="3" s="1"/>
  <c r="A182" i="3"/>
  <c r="AF38" i="2"/>
  <c r="AE38" i="2" s="1"/>
  <c r="AD38" i="2" s="1"/>
  <c r="W42" i="2"/>
  <c r="AJ42" i="2"/>
  <c r="AM42" i="2"/>
  <c r="AH42" i="2"/>
  <c r="AI42" i="2"/>
  <c r="AJ36" i="2"/>
  <c r="AM36" i="2" s="1"/>
  <c r="W36" i="2"/>
  <c r="H168" i="3" s="1"/>
  <c r="B169" i="3" s="1"/>
  <c r="W27" i="2"/>
  <c r="AI27" i="2"/>
  <c r="AJ27" i="2"/>
  <c r="Z23" i="2"/>
  <c r="AI23" i="2"/>
  <c r="AJ23" i="2"/>
  <c r="W23" i="2"/>
  <c r="W18" i="2"/>
  <c r="AF11" i="2"/>
  <c r="AE11" i="2" s="1"/>
  <c r="H252" i="3"/>
  <c r="A253" i="3" s="1"/>
  <c r="A206" i="3"/>
  <c r="AF42" i="2"/>
  <c r="AF40" i="2"/>
  <c r="AE40" i="2" s="1"/>
  <c r="AD40" i="2" s="1"/>
  <c r="A194" i="3"/>
  <c r="Z24" i="2"/>
  <c r="W24" i="2"/>
  <c r="AF48" i="2"/>
  <c r="AE48" i="2" s="1"/>
  <c r="A242" i="3"/>
  <c r="A146" i="3"/>
  <c r="AF32" i="2"/>
  <c r="Z26" i="2"/>
  <c r="AH26" i="2"/>
  <c r="AF44" i="2"/>
  <c r="AE44" i="2" s="1"/>
  <c r="AF49" i="2"/>
  <c r="AE49" i="2" s="1"/>
  <c r="A248" i="3"/>
  <c r="AF47" i="2"/>
  <c r="AE47" i="2" s="1"/>
  <c r="A236" i="3"/>
  <c r="Z29" i="2"/>
  <c r="AJ29" i="2"/>
  <c r="AH29" i="2"/>
  <c r="Z34" i="2"/>
  <c r="AJ34" i="2"/>
  <c r="AJ37" i="2"/>
  <c r="Z45" i="2"/>
  <c r="A224" i="3" s="1"/>
  <c r="AJ45" i="2"/>
  <c r="W45" i="2"/>
  <c r="AH45" i="2"/>
  <c r="AH34" i="2"/>
  <c r="AI34" i="2"/>
  <c r="AH31" i="2"/>
  <c r="AJ31" i="2"/>
  <c r="AH12" i="2"/>
  <c r="AF50" i="2"/>
  <c r="AE50" i="2" s="1"/>
  <c r="AM11" i="2"/>
  <c r="AM15" i="2"/>
  <c r="AM47" i="2"/>
  <c r="AM48" i="2"/>
  <c r="AM37" i="2"/>
  <c r="AM14" i="2"/>
  <c r="AM28" i="2"/>
  <c r="AM30" i="2"/>
  <c r="AM46" i="2"/>
  <c r="A139" i="3"/>
  <c r="A66" i="3"/>
  <c r="A70" i="3" s="1"/>
  <c r="B70" i="3" s="1"/>
  <c r="A216" i="3"/>
  <c r="A220" i="3" s="1"/>
  <c r="B220" i="3" s="1"/>
  <c r="A67" i="3"/>
  <c r="A238" i="3"/>
  <c r="B238" i="3" s="1"/>
  <c r="H198" i="3"/>
  <c r="B199" i="3" s="1"/>
  <c r="H84" i="3"/>
  <c r="B85" i="3" s="1"/>
  <c r="H120" i="3"/>
  <c r="A121" i="3" s="1"/>
  <c r="H144" i="3"/>
  <c r="B145" i="3" s="1"/>
  <c r="H132" i="3"/>
  <c r="A132" i="3" s="1"/>
  <c r="A136" i="3" s="1"/>
  <c r="B136" i="3" s="1"/>
  <c r="H54" i="3"/>
  <c r="B55" i="3" s="1"/>
  <c r="A55" i="3"/>
  <c r="H228" i="3"/>
  <c r="A228" i="3" s="1"/>
  <c r="A232" i="3" s="1"/>
  <c r="B232" i="3" s="1"/>
  <c r="H192" i="3"/>
  <c r="B193" i="3" s="1"/>
  <c r="A230" i="3"/>
  <c r="AF17" i="2"/>
  <c r="AE17" i="2"/>
  <c r="A56" i="3"/>
  <c r="A176" i="3"/>
  <c r="AF13" i="2"/>
  <c r="AE13" i="2" s="1"/>
  <c r="A68" i="3"/>
  <c r="AF19" i="2"/>
  <c r="AE19" i="2" s="1"/>
  <c r="AF33" i="2"/>
  <c r="AE33" i="2" s="1"/>
  <c r="H18" i="3"/>
  <c r="B18" i="3" s="1"/>
  <c r="AO41" i="2"/>
  <c r="A152" i="3"/>
  <c r="A134" i="3"/>
  <c r="AF30" i="2"/>
  <c r="AE30" i="2" s="1"/>
  <c r="A86" i="3"/>
  <c r="AF21" i="2"/>
  <c r="A80" i="3"/>
  <c r="B36" i="3"/>
  <c r="AF45" i="2"/>
  <c r="AE45" i="2" s="1"/>
  <c r="A110" i="3"/>
  <c r="AF26" i="2"/>
  <c r="AE26" i="2" s="1"/>
  <c r="AD26" i="2" s="1"/>
  <c r="H204" i="3"/>
  <c r="A205" i="3" s="1"/>
  <c r="AE42" i="2"/>
  <c r="AD42" i="2" s="1"/>
  <c r="A207" i="3" s="1"/>
  <c r="B207" i="3" s="1"/>
  <c r="A128" i="3"/>
  <c r="AF29" i="2"/>
  <c r="AE29" i="2" s="1"/>
  <c r="AD29" i="2" s="1"/>
  <c r="AE32" i="2"/>
  <c r="AD32" i="2" s="1"/>
  <c r="A147" i="3" s="1"/>
  <c r="B147" i="3" s="1"/>
  <c r="H96" i="3"/>
  <c r="B97" i="3" s="1"/>
  <c r="H60" i="3"/>
  <c r="H114" i="3"/>
  <c r="A114" i="3" s="1"/>
  <c r="A118" i="3" s="1"/>
  <c r="B118" i="3" s="1"/>
  <c r="B103" i="3"/>
  <c r="A102" i="3"/>
  <c r="A106" i="3" s="1"/>
  <c r="B106" i="3" s="1"/>
  <c r="AF24" i="2"/>
  <c r="AE24" i="2" s="1"/>
  <c r="AD24" i="2" s="1"/>
  <c r="A98" i="3"/>
  <c r="AE28" i="2"/>
  <c r="AD28" i="2" s="1"/>
  <c r="A123" i="3" s="1"/>
  <c r="B123" i="3" s="1"/>
  <c r="H90" i="3"/>
  <c r="A91" i="3" s="1"/>
  <c r="AD50" i="2"/>
  <c r="H222" i="3"/>
  <c r="A222" i="3" s="1"/>
  <c r="A226" i="3" s="1"/>
  <c r="B226" i="3" s="1"/>
  <c r="AF34" i="2"/>
  <c r="A158" i="3"/>
  <c r="AF23" i="2"/>
  <c r="A92" i="3"/>
  <c r="AM34" i="2"/>
  <c r="AM33" i="2"/>
  <c r="AM13" i="2"/>
  <c r="AM29" i="2"/>
  <c r="AM19" i="2"/>
  <c r="AM17" i="2"/>
  <c r="AM26" i="2"/>
  <c r="AM23" i="2"/>
  <c r="AM45" i="2"/>
  <c r="A120" i="3"/>
  <c r="A124" i="3" s="1"/>
  <c r="B124" i="3" s="1"/>
  <c r="A145" i="3"/>
  <c r="A85" i="3"/>
  <c r="A235" i="3"/>
  <c r="B235" i="3"/>
  <c r="P11" i="2"/>
  <c r="A48" i="3" l="1"/>
  <c r="A52" i="3" s="1"/>
  <c r="B52" i="3" s="1"/>
  <c r="B253" i="3"/>
  <c r="A192" i="3"/>
  <c r="A196" i="3" s="1"/>
  <c r="B196" i="3" s="1"/>
  <c r="A252" i="3"/>
  <c r="A256" i="3" s="1"/>
  <c r="B256" i="3" s="1"/>
  <c r="AD47" i="2"/>
  <c r="A237" i="3" s="1"/>
  <c r="B237" i="3" s="1"/>
  <c r="A193" i="3"/>
  <c r="B157" i="3"/>
  <c r="B205" i="3"/>
  <c r="A157" i="3"/>
  <c r="AD19" i="2"/>
  <c r="A69" i="3" s="1"/>
  <c r="B69" i="3" s="1"/>
  <c r="A177" i="3"/>
  <c r="B177" i="3" s="1"/>
  <c r="B247" i="3"/>
  <c r="A25" i="3"/>
  <c r="B24" i="3"/>
  <c r="AD33" i="2"/>
  <c r="A153" i="3" s="1"/>
  <c r="B153" i="3" s="1"/>
  <c r="A259" i="3"/>
  <c r="A84" i="3"/>
  <c r="A88" i="3" s="1"/>
  <c r="B88" i="3" s="1"/>
  <c r="A247" i="3"/>
  <c r="A49" i="3"/>
  <c r="A54" i="3"/>
  <c r="A58" i="3" s="1"/>
  <c r="B58" i="3" s="1"/>
  <c r="A204" i="3"/>
  <c r="A208" i="3" s="1"/>
  <c r="B208" i="3" s="1"/>
  <c r="AD49" i="2"/>
  <c r="A249" i="3" s="1"/>
  <c r="B249" i="3" s="1"/>
  <c r="AE14" i="2"/>
  <c r="AD14" i="2" s="1"/>
  <c r="A39" i="3" s="1"/>
  <c r="B39" i="3" s="1"/>
  <c r="B258" i="3"/>
  <c r="AD13" i="2"/>
  <c r="A33" i="3" s="1"/>
  <c r="B33" i="3" s="1"/>
  <c r="A169" i="3"/>
  <c r="B30" i="3"/>
  <c r="A24" i="3"/>
  <c r="A28" i="3" s="1"/>
  <c r="B28" i="3" s="1"/>
  <c r="B133" i="3"/>
  <c r="A133" i="3"/>
  <c r="A129" i="3"/>
  <c r="B129" i="3" s="1"/>
  <c r="A30" i="3"/>
  <c r="A34" i="3" s="1"/>
  <c r="B34" i="3" s="1"/>
  <c r="A183" i="3"/>
  <c r="B183" i="3" s="1"/>
  <c r="B259" i="3"/>
  <c r="B42" i="3"/>
  <c r="B223" i="3"/>
  <c r="A19" i="3"/>
  <c r="AE23" i="2"/>
  <c r="AD23" i="2" s="1"/>
  <c r="A93" i="3" s="1"/>
  <c r="B93" i="3" s="1"/>
  <c r="A199" i="3"/>
  <c r="A144" i="3"/>
  <c r="A148" i="3" s="1"/>
  <c r="B148" i="3" s="1"/>
  <c r="AD17" i="2"/>
  <c r="A57" i="3" s="1"/>
  <c r="B57" i="3" s="1"/>
  <c r="A198" i="3"/>
  <c r="A202" i="3" s="1"/>
  <c r="B202" i="3" s="1"/>
  <c r="B121" i="3"/>
  <c r="A223" i="3"/>
  <c r="A96" i="3"/>
  <c r="A100" i="3" s="1"/>
  <c r="B100" i="3" s="1"/>
  <c r="A18" i="3"/>
  <c r="A22" i="3" s="1"/>
  <c r="B22" i="3" s="1"/>
  <c r="A97" i="3"/>
  <c r="AD36" i="2"/>
  <c r="A171" i="3" s="1"/>
  <c r="B171" i="3" s="1"/>
  <c r="AD48" i="2"/>
  <c r="A243" i="3" s="1"/>
  <c r="B243" i="3" s="1"/>
  <c r="AD30" i="2"/>
  <c r="A135" i="3" s="1"/>
  <c r="B135" i="3" s="1"/>
  <c r="A31" i="3"/>
  <c r="B115" i="3"/>
  <c r="A168" i="3"/>
  <c r="A172" i="3" s="1"/>
  <c r="B172" i="3" s="1"/>
  <c r="B19" i="3"/>
  <c r="A115" i="3"/>
  <c r="A99" i="3"/>
  <c r="B99" i="3" s="1"/>
  <c r="B139" i="3"/>
  <c r="B43" i="3"/>
  <c r="P15" i="2"/>
  <c r="A229" i="3"/>
  <c r="AD45" i="2"/>
  <c r="A225" i="3" s="1"/>
  <c r="B225" i="3" s="1"/>
  <c r="B229" i="3"/>
  <c r="A90" i="3"/>
  <c r="A94" i="3" s="1"/>
  <c r="B94" i="3" s="1"/>
  <c r="B91" i="3"/>
  <c r="AE21" i="2"/>
  <c r="AD21" i="2" s="1"/>
  <c r="A81" i="3" s="1"/>
  <c r="B81" i="3" s="1"/>
  <c r="A164" i="3"/>
  <c r="AF35" i="2"/>
  <c r="B61" i="3"/>
  <c r="A61" i="3"/>
  <c r="A60" i="3"/>
  <c r="A64" i="3" s="1"/>
  <c r="B64" i="3" s="1"/>
  <c r="A111" i="3"/>
  <c r="B111" i="3" s="1"/>
  <c r="AE34" i="2"/>
  <c r="AD34" i="2" s="1"/>
  <c r="A159" i="3" s="1"/>
  <c r="B159" i="3" s="1"/>
  <c r="A195" i="3"/>
  <c r="B195" i="3" s="1"/>
  <c r="A240" i="3"/>
  <c r="A244" i="3" s="1"/>
  <c r="B244" i="3" s="1"/>
  <c r="B241" i="3"/>
  <c r="AM43" i="2"/>
  <c r="AF43" i="2"/>
  <c r="A212" i="3"/>
  <c r="AF12" i="2"/>
  <c r="A26" i="3"/>
  <c r="A36" i="3"/>
  <c r="A40" i="3" s="1"/>
  <c r="B40" i="3" s="1"/>
  <c r="B37" i="3"/>
  <c r="A37" i="3"/>
  <c r="AM31" i="2"/>
  <c r="AF31" i="2"/>
  <c r="A140" i="3"/>
  <c r="A50" i="3"/>
  <c r="AF16" i="2"/>
  <c r="AM16" i="2"/>
  <c r="AD11" i="2"/>
  <c r="A21" i="3" s="1"/>
  <c r="B21" i="3" s="1"/>
  <c r="H108" i="3"/>
  <c r="AM12" i="2"/>
  <c r="D18" i="2"/>
  <c r="AF15" i="2"/>
  <c r="A44" i="3"/>
  <c r="AV26" i="2"/>
  <c r="AV27" i="2"/>
  <c r="AV24" i="2"/>
  <c r="AV25" i="2"/>
  <c r="AV28" i="2"/>
  <c r="AV29" i="2"/>
  <c r="B48" i="3"/>
  <c r="AO40" i="2"/>
  <c r="AO39" i="2"/>
  <c r="D16" i="2"/>
  <c r="D17" i="2" s="1"/>
  <c r="B54" i="3" s="1"/>
  <c r="AM18" i="2"/>
  <c r="AF18" i="2"/>
  <c r="A62" i="3"/>
  <c r="A218" i="3"/>
  <c r="AM44" i="2"/>
  <c r="AD44" i="2"/>
  <c r="H210" i="3"/>
  <c r="H126" i="3"/>
  <c r="B217" i="3"/>
  <c r="A217" i="3"/>
  <c r="H180" i="3"/>
  <c r="AJ35" i="2"/>
  <c r="AM35" i="2" s="1"/>
  <c r="Z20" i="2"/>
  <c r="AH33" i="2"/>
  <c r="W35" i="2"/>
  <c r="AJ24" i="2"/>
  <c r="AM24" i="2" s="1"/>
  <c r="A42" i="3"/>
  <c r="A46" i="3" s="1"/>
  <c r="B46" i="3" s="1"/>
  <c r="W20" i="2"/>
  <c r="W33" i="2"/>
  <c r="AH16" i="2"/>
  <c r="AF46" i="2"/>
  <c r="Z39" i="2"/>
  <c r="Z41" i="2"/>
  <c r="AJ50" i="2"/>
  <c r="AM50" i="2" s="1"/>
  <c r="Z25" i="2"/>
  <c r="AJ41" i="2"/>
  <c r="W39" i="2"/>
  <c r="W37" i="2"/>
  <c r="AI35" i="2"/>
  <c r="AI24" i="2"/>
  <c r="AJ22" i="2"/>
  <c r="AM22" i="2" s="1"/>
  <c r="AH20" i="2"/>
  <c r="AJ18" i="2"/>
  <c r="AI16" i="2"/>
  <c r="AI37" i="2"/>
  <c r="Z51" i="2"/>
  <c r="AI41" i="2"/>
  <c r="AJ38" i="2"/>
  <c r="AM38" i="2" s="1"/>
  <c r="AI29" i="2"/>
  <c r="AU24" i="2" a="1"/>
  <c r="AF22" i="2"/>
  <c r="B79" i="3"/>
  <c r="AH37" i="2"/>
  <c r="A78" i="3"/>
  <c r="A82" i="3" s="1"/>
  <c r="B82" i="3" s="1"/>
  <c r="Z27" i="2"/>
  <c r="AU29" i="2" l="1"/>
  <c r="AU24" i="2"/>
  <c r="AU25" i="2"/>
  <c r="AU26" i="2"/>
  <c r="AU27" i="2"/>
  <c r="AU28" i="2"/>
  <c r="A109" i="3"/>
  <c r="A108" i="3"/>
  <c r="A112" i="3" s="1"/>
  <c r="B112" i="3" s="1"/>
  <c r="B109" i="3"/>
  <c r="AE12" i="2"/>
  <c r="AD12" i="2" s="1"/>
  <c r="A27" i="3" s="1"/>
  <c r="B27" i="3" s="1"/>
  <c r="H186" i="3"/>
  <c r="A211" i="3"/>
  <c r="B211" i="3"/>
  <c r="A210" i="3"/>
  <c r="A214" i="3" s="1"/>
  <c r="B214" i="3" s="1"/>
  <c r="A200" i="3"/>
  <c r="AM41" i="2"/>
  <c r="AF41" i="2"/>
  <c r="H162" i="3"/>
  <c r="A219" i="3"/>
  <c r="B219" i="3" s="1"/>
  <c r="AE31" i="2"/>
  <c r="AD31" i="2" s="1"/>
  <c r="A141" i="3" s="1"/>
  <c r="B141" i="3" s="1"/>
  <c r="AE15" i="2"/>
  <c r="AD15" i="2" s="1"/>
  <c r="A45" i="3" s="1"/>
  <c r="B45" i="3" s="1"/>
  <c r="AE43" i="2"/>
  <c r="AD43" i="2" s="1"/>
  <c r="A213" i="3" s="1"/>
  <c r="B213" i="3" s="1"/>
  <c r="AM39" i="2"/>
  <c r="AF39" i="2"/>
  <c r="A188" i="3"/>
  <c r="AM27" i="2"/>
  <c r="A116" i="3"/>
  <c r="AF27" i="2"/>
  <c r="AE46" i="2"/>
  <c r="AD46" i="2" s="1"/>
  <c r="A231" i="3" s="1"/>
  <c r="B231" i="3" s="1"/>
  <c r="AM20" i="2"/>
  <c r="AF20" i="2"/>
  <c r="A74" i="3"/>
  <c r="B127" i="3"/>
  <c r="A126" i="3"/>
  <c r="A130" i="3" s="1"/>
  <c r="B130" i="3" s="1"/>
  <c r="A127" i="3"/>
  <c r="AF51" i="2"/>
  <c r="AM51" i="2"/>
  <c r="AC51" i="2"/>
  <c r="A260" i="3"/>
  <c r="H174" i="3"/>
  <c r="AE18" i="2"/>
  <c r="AD18" i="2" s="1"/>
  <c r="A63" i="3" s="1"/>
  <c r="B63" i="3" s="1"/>
  <c r="D19" i="2"/>
  <c r="B66" i="3" s="1"/>
  <c r="B60" i="3"/>
  <c r="AE35" i="2"/>
  <c r="AD35" i="2"/>
  <c r="A165" i="3" s="1"/>
  <c r="B165" i="3" s="1"/>
  <c r="H150" i="3"/>
  <c r="H72" i="3"/>
  <c r="A180" i="3"/>
  <c r="A184" i="3" s="1"/>
  <c r="B184" i="3" s="1"/>
  <c r="A181" i="3"/>
  <c r="B181" i="3"/>
  <c r="AE16" i="2"/>
  <c r="AD16" i="2" s="1"/>
  <c r="A51" i="3" s="1"/>
  <c r="B51" i="3" s="1"/>
  <c r="AE22" i="2"/>
  <c r="AD22" i="2" s="1"/>
  <c r="A87" i="3" s="1"/>
  <c r="B87" i="3" s="1"/>
  <c r="AM25" i="2"/>
  <c r="A104" i="3"/>
  <c r="AF25" i="2"/>
  <c r="U15" i="2"/>
  <c r="T15" i="2" s="1"/>
  <c r="A11" i="3" s="1"/>
  <c r="C260" i="3" l="1"/>
  <c r="B260" i="3"/>
  <c r="AG51" i="2"/>
  <c r="AB51" i="2"/>
  <c r="AA51" i="2"/>
  <c r="AN51" i="2" s="1"/>
  <c r="C259" i="3" s="1"/>
  <c r="AE39" i="2"/>
  <c r="AD39" i="2" s="1"/>
  <c r="A189" i="3" s="1"/>
  <c r="B189" i="3" s="1"/>
  <c r="D20" i="2"/>
  <c r="D21" i="2" s="1"/>
  <c r="AD51" i="2"/>
  <c r="A261" i="3" s="1"/>
  <c r="B261" i="3" s="1"/>
  <c r="AE51" i="2"/>
  <c r="AE27" i="2"/>
  <c r="AD27" i="2" s="1"/>
  <c r="A117" i="3" s="1"/>
  <c r="B117" i="3" s="1"/>
  <c r="B163" i="3"/>
  <c r="A162" i="3"/>
  <c r="A166" i="3" s="1"/>
  <c r="B166" i="3" s="1"/>
  <c r="A163" i="3"/>
  <c r="B187" i="3"/>
  <c r="A186" i="3"/>
  <c r="A190" i="3" s="1"/>
  <c r="B190" i="3" s="1"/>
  <c r="A187" i="3"/>
  <c r="B73" i="3"/>
  <c r="A73" i="3"/>
  <c r="A72" i="3"/>
  <c r="A76" i="3" s="1"/>
  <c r="B76" i="3" s="1"/>
  <c r="B72" i="3"/>
  <c r="A151" i="3"/>
  <c r="B151" i="3"/>
  <c r="A150" i="3"/>
  <c r="A154" i="3" s="1"/>
  <c r="B154" i="3" s="1"/>
  <c r="X47" i="2"/>
  <c r="X44" i="2"/>
  <c r="X37" i="2"/>
  <c r="X41" i="2"/>
  <c r="X50" i="2"/>
  <c r="X48" i="2"/>
  <c r="X45" i="2"/>
  <c r="X38" i="2"/>
  <c r="X42" i="2"/>
  <c r="X49" i="2"/>
  <c r="X35" i="2"/>
  <c r="X39" i="2"/>
  <c r="X46" i="2"/>
  <c r="X43" i="2"/>
  <c r="X36" i="2"/>
  <c r="X40" i="2"/>
  <c r="X26" i="2"/>
  <c r="X34" i="2"/>
  <c r="X32" i="2"/>
  <c r="X28" i="2"/>
  <c r="X19" i="2"/>
  <c r="X15" i="2"/>
  <c r="X13" i="2"/>
  <c r="X25" i="2"/>
  <c r="X18" i="2"/>
  <c r="X14" i="2"/>
  <c r="X30" i="2"/>
  <c r="X27" i="2"/>
  <c r="X11" i="2"/>
  <c r="X22" i="2"/>
  <c r="X33" i="2"/>
  <c r="X16" i="2"/>
  <c r="X20" i="2"/>
  <c r="X21" i="2"/>
  <c r="X17" i="2"/>
  <c r="X31" i="2"/>
  <c r="X23" i="2"/>
  <c r="X24" i="2"/>
  <c r="X12" i="2"/>
  <c r="X29" i="2"/>
  <c r="AE25" i="2"/>
  <c r="AD25" i="2" s="1"/>
  <c r="A105" i="3" s="1"/>
  <c r="B105" i="3" s="1"/>
  <c r="A174" i="3"/>
  <c r="A178" i="3" s="1"/>
  <c r="B178" i="3" s="1"/>
  <c r="A175" i="3"/>
  <c r="B175" i="3"/>
  <c r="AE20" i="2"/>
  <c r="AD20" i="2" s="1"/>
  <c r="A75" i="3" s="1"/>
  <c r="B75" i="3" s="1"/>
  <c r="AE41" i="2"/>
  <c r="AD41" i="2" s="1"/>
  <c r="A201" i="3" s="1"/>
  <c r="B201" i="3" s="1"/>
  <c r="Y41" i="2" l="1"/>
  <c r="C200" i="3" s="1"/>
  <c r="AC41" i="2"/>
  <c r="Y17" i="2"/>
  <c r="C56" i="3" s="1"/>
  <c r="AC17" i="2"/>
  <c r="Y30" i="2"/>
  <c r="C134" i="3" s="1"/>
  <c r="AC30" i="2"/>
  <c r="Y32" i="2"/>
  <c r="C146" i="3" s="1"/>
  <c r="AC32" i="2"/>
  <c r="Y35" i="2"/>
  <c r="C164" i="3" s="1"/>
  <c r="AC35" i="2"/>
  <c r="Y37" i="2"/>
  <c r="C176" i="3" s="1"/>
  <c r="AC37" i="2"/>
  <c r="AC21" i="2"/>
  <c r="Y21" i="2"/>
  <c r="C80" i="3" s="1"/>
  <c r="AC14" i="2"/>
  <c r="Y14" i="2"/>
  <c r="C38" i="3" s="1"/>
  <c r="AC34" i="2"/>
  <c r="Y34" i="2"/>
  <c r="C158" i="3" s="1"/>
  <c r="Y49" i="2"/>
  <c r="C248" i="3" s="1"/>
  <c r="AC49" i="2"/>
  <c r="Y44" i="2"/>
  <c r="C218" i="3" s="1"/>
  <c r="AC44" i="2"/>
  <c r="Y42" i="2"/>
  <c r="C206" i="3" s="1"/>
  <c r="AC42" i="2"/>
  <c r="Y47" i="2"/>
  <c r="C236" i="3" s="1"/>
  <c r="AC47" i="2"/>
  <c r="Y27" i="2"/>
  <c r="C116" i="3" s="1"/>
  <c r="AC27" i="2"/>
  <c r="AC18" i="2"/>
  <c r="Y18" i="2"/>
  <c r="C62" i="3" s="1"/>
  <c r="Y38" i="2"/>
  <c r="C182" i="3" s="1"/>
  <c r="AC38" i="2"/>
  <c r="AC28" i="2"/>
  <c r="Y28" i="2"/>
  <c r="C122" i="3" s="1"/>
  <c r="AC26" i="2"/>
  <c r="Y26" i="2"/>
  <c r="C110" i="3" s="1"/>
  <c r="AC16" i="2"/>
  <c r="Y16" i="2"/>
  <c r="C50" i="3" s="1"/>
  <c r="AC40" i="2"/>
  <c r="Y40" i="2"/>
  <c r="C194" i="3" s="1"/>
  <c r="Y12" i="2"/>
  <c r="C26" i="3" s="1"/>
  <c r="AC12" i="2"/>
  <c r="Y33" i="2"/>
  <c r="C152" i="3" s="1"/>
  <c r="AC33" i="2"/>
  <c r="Y13" i="2"/>
  <c r="C32" i="3" s="1"/>
  <c r="AC13" i="2"/>
  <c r="Y36" i="2"/>
  <c r="C170" i="3" s="1"/>
  <c r="AC36" i="2"/>
  <c r="Y45" i="2"/>
  <c r="C224" i="3" s="1"/>
  <c r="AC45" i="2"/>
  <c r="Y39" i="2"/>
  <c r="C188" i="3" s="1"/>
  <c r="AC39" i="2"/>
  <c r="Y20" i="2"/>
  <c r="C74" i="3" s="1"/>
  <c r="AC20" i="2"/>
  <c r="AC29" i="2"/>
  <c r="Y29" i="2"/>
  <c r="C128" i="3" s="1"/>
  <c r="Y25" i="2"/>
  <c r="C104" i="3" s="1"/>
  <c r="AC25" i="2"/>
  <c r="Y24" i="2"/>
  <c r="C98" i="3" s="1"/>
  <c r="AC24" i="2"/>
  <c r="Y22" i="2"/>
  <c r="C86" i="3" s="1"/>
  <c r="AC22" i="2"/>
  <c r="Y15" i="2"/>
  <c r="C44" i="3" s="1"/>
  <c r="AC15" i="2"/>
  <c r="Y43" i="2"/>
  <c r="C212" i="3" s="1"/>
  <c r="AC43" i="2"/>
  <c r="Y48" i="2"/>
  <c r="C242" i="3" s="1"/>
  <c r="AC48" i="2"/>
  <c r="D22" i="2"/>
  <c r="B78" i="3"/>
  <c r="AC31" i="2"/>
  <c r="Y31" i="2"/>
  <c r="C140" i="3" s="1"/>
  <c r="Y23" i="2"/>
  <c r="C92" i="3" s="1"/>
  <c r="AC23" i="2"/>
  <c r="AC11" i="2"/>
  <c r="Y11" i="2"/>
  <c r="C20" i="3" s="1"/>
  <c r="AC19" i="2"/>
  <c r="Y19" i="2"/>
  <c r="C68" i="3" s="1"/>
  <c r="Y46" i="2"/>
  <c r="C230" i="3" s="1"/>
  <c r="AC46" i="2"/>
  <c r="AC50" i="2"/>
  <c r="Y50" i="2"/>
  <c r="C254" i="3" s="1"/>
  <c r="AG23" i="2" l="1"/>
  <c r="AB23" i="2"/>
  <c r="AA23" i="2" s="1"/>
  <c r="AG46" i="2"/>
  <c r="AB46" i="2"/>
  <c r="AA46" i="2"/>
  <c r="AG15" i="2"/>
  <c r="AB15" i="2"/>
  <c r="AA15" i="2" s="1"/>
  <c r="AB36" i="2"/>
  <c r="AA36" i="2" s="1"/>
  <c r="AG36" i="2"/>
  <c r="AB38" i="2"/>
  <c r="AA38" i="2" s="1"/>
  <c r="AG38" i="2"/>
  <c r="AG42" i="2"/>
  <c r="AB42" i="2"/>
  <c r="AA42" i="2" s="1"/>
  <c r="AB32" i="2"/>
  <c r="AA32" i="2" s="1"/>
  <c r="AG32" i="2"/>
  <c r="AG29" i="2"/>
  <c r="AB29" i="2"/>
  <c r="AA29" i="2" s="1"/>
  <c r="AG40" i="2"/>
  <c r="AB40" i="2"/>
  <c r="AA40" i="2"/>
  <c r="AG14" i="2"/>
  <c r="AB14" i="2"/>
  <c r="AA14" i="2" s="1"/>
  <c r="AB44" i="2"/>
  <c r="AA44" i="2" s="1"/>
  <c r="AG44" i="2"/>
  <c r="AG30" i="2"/>
  <c r="AB30" i="2"/>
  <c r="AA30" i="2" s="1"/>
  <c r="B84" i="3"/>
  <c r="D23" i="2"/>
  <c r="AG16" i="2"/>
  <c r="AB16" i="2"/>
  <c r="AA16" i="2" s="1"/>
  <c r="AG18" i="2"/>
  <c r="AB18" i="2"/>
  <c r="AA18" i="2" s="1"/>
  <c r="AG21" i="2"/>
  <c r="AB21" i="2"/>
  <c r="AA21" i="2" s="1"/>
  <c r="AG11" i="2"/>
  <c r="AB11" i="2"/>
  <c r="AA11" i="2" s="1"/>
  <c r="AB50" i="2"/>
  <c r="AA50" i="2" s="1"/>
  <c r="AG50" i="2"/>
  <c r="AB31" i="2"/>
  <c r="AG31" i="2"/>
  <c r="AA31" i="2"/>
  <c r="AB22" i="2"/>
  <c r="AA22" i="2" s="1"/>
  <c r="AG22" i="2"/>
  <c r="AG20" i="2"/>
  <c r="AB20" i="2"/>
  <c r="AA20" i="2" s="1"/>
  <c r="AG13" i="2"/>
  <c r="AB13" i="2"/>
  <c r="AA13" i="2" s="1"/>
  <c r="AG19" i="2"/>
  <c r="AB19" i="2"/>
  <c r="AA19" i="2" s="1"/>
  <c r="AG48" i="2"/>
  <c r="AB48" i="2"/>
  <c r="AA48" i="2"/>
  <c r="AB24" i="2"/>
  <c r="AA24" i="2" s="1"/>
  <c r="AG24" i="2"/>
  <c r="AB39" i="2"/>
  <c r="AA39" i="2" s="1"/>
  <c r="AG39" i="2"/>
  <c r="AB33" i="2"/>
  <c r="AA33" i="2" s="1"/>
  <c r="AG33" i="2"/>
  <c r="AB27" i="2"/>
  <c r="AA27" i="2" s="1"/>
  <c r="AG27" i="2"/>
  <c r="AG49" i="2"/>
  <c r="AB49" i="2"/>
  <c r="AA49" i="2" s="1"/>
  <c r="AG37" i="2"/>
  <c r="AB37" i="2"/>
  <c r="AA37" i="2" s="1"/>
  <c r="AB17" i="2"/>
  <c r="AA17" i="2" s="1"/>
  <c r="AG17" i="2"/>
  <c r="AB26" i="2"/>
  <c r="AA26" i="2" s="1"/>
  <c r="AG26" i="2"/>
  <c r="AG43" i="2"/>
  <c r="AB43" i="2"/>
  <c r="AA43" i="2" s="1"/>
  <c r="AB25" i="2"/>
  <c r="AA25" i="2" s="1"/>
  <c r="AG25" i="2"/>
  <c r="AB45" i="2"/>
  <c r="AA45" i="2" s="1"/>
  <c r="AG45" i="2"/>
  <c r="AB12" i="2"/>
  <c r="AA12" i="2" s="1"/>
  <c r="AG12" i="2"/>
  <c r="AG47" i="2"/>
  <c r="AB47" i="2"/>
  <c r="AA47" i="2" s="1"/>
  <c r="AG35" i="2"/>
  <c r="AB35" i="2"/>
  <c r="AA35" i="2" s="1"/>
  <c r="AG41" i="2"/>
  <c r="AB41" i="2"/>
  <c r="AA41" i="2" s="1"/>
  <c r="AG28" i="2"/>
  <c r="AB28" i="2"/>
  <c r="AA28" i="2" s="1"/>
  <c r="AB34" i="2"/>
  <c r="AA34" i="2" s="1"/>
  <c r="AG34" i="2"/>
  <c r="AN42" i="2" l="1"/>
  <c r="C205" i="3" s="1"/>
  <c r="B206" i="3"/>
  <c r="AN41" i="2"/>
  <c r="C199" i="3" s="1"/>
  <c r="B200" i="3"/>
  <c r="B134" i="3"/>
  <c r="AN30" i="2"/>
  <c r="C133" i="3" s="1"/>
  <c r="AN12" i="2"/>
  <c r="C25" i="3" s="1"/>
  <c r="B26" i="3"/>
  <c r="AN26" i="2"/>
  <c r="C109" i="3" s="1"/>
  <c r="B110" i="3"/>
  <c r="AN29" i="2"/>
  <c r="C127" i="3" s="1"/>
  <c r="B128" i="3"/>
  <c r="B236" i="3"/>
  <c r="AN47" i="2"/>
  <c r="C235" i="3" s="1"/>
  <c r="AN25" i="2"/>
  <c r="C103" i="3" s="1"/>
  <c r="B104" i="3"/>
  <c r="AN20" i="2"/>
  <c r="C73" i="3" s="1"/>
  <c r="B74" i="3"/>
  <c r="AN44" i="2"/>
  <c r="C217" i="3" s="1"/>
  <c r="B218" i="3"/>
  <c r="B248" i="3"/>
  <c r="AN49" i="2"/>
  <c r="C247" i="3" s="1"/>
  <c r="AN24" i="2"/>
  <c r="C97" i="3" s="1"/>
  <c r="B98" i="3"/>
  <c r="B254" i="3"/>
  <c r="AN50" i="2"/>
  <c r="C253" i="3" s="1"/>
  <c r="AN23" i="2"/>
  <c r="C91" i="3" s="1"/>
  <c r="B92" i="3"/>
  <c r="AN19" i="2"/>
  <c r="C67" i="3" s="1"/>
  <c r="B68" i="3"/>
  <c r="AN34" i="2"/>
  <c r="C157" i="3" s="1"/>
  <c r="B158" i="3"/>
  <c r="AN18" i="2"/>
  <c r="C61" i="3" s="1"/>
  <c r="B62" i="3"/>
  <c r="AN37" i="2"/>
  <c r="C175" i="3" s="1"/>
  <c r="B176" i="3"/>
  <c r="AN16" i="2"/>
  <c r="C49" i="3" s="1"/>
  <c r="B50" i="3"/>
  <c r="AN11" i="2"/>
  <c r="C19" i="3" s="1"/>
  <c r="B20" i="3"/>
  <c r="AN32" i="2"/>
  <c r="C145" i="3" s="1"/>
  <c r="B146" i="3"/>
  <c r="AN45" i="2"/>
  <c r="C223" i="3" s="1"/>
  <c r="B224" i="3"/>
  <c r="AN31" i="2"/>
  <c r="C139" i="3" s="1"/>
  <c r="B140" i="3"/>
  <c r="AN15" i="2"/>
  <c r="C43" i="3" s="1"/>
  <c r="B44" i="3"/>
  <c r="B152" i="3"/>
  <c r="AN33" i="2"/>
  <c r="C151" i="3" s="1"/>
  <c r="B242" i="3"/>
  <c r="AN48" i="2"/>
  <c r="C241" i="3" s="1"/>
  <c r="B32" i="3"/>
  <c r="AN13" i="2"/>
  <c r="C31" i="3" s="1"/>
  <c r="AN21" i="2"/>
  <c r="C79" i="3" s="1"/>
  <c r="B80" i="3"/>
  <c r="AN38" i="2"/>
  <c r="C181" i="3" s="1"/>
  <c r="B182" i="3"/>
  <c r="AN35" i="2"/>
  <c r="C163" i="3" s="1"/>
  <c r="B164" i="3"/>
  <c r="D24" i="2"/>
  <c r="B90" i="3"/>
  <c r="B38" i="3"/>
  <c r="AN14" i="2"/>
  <c r="C37" i="3" s="1"/>
  <c r="AN46" i="2"/>
  <c r="C229" i="3" s="1"/>
  <c r="B230" i="3"/>
  <c r="AN36" i="2"/>
  <c r="C169" i="3" s="1"/>
  <c r="B170" i="3"/>
  <c r="B122" i="3"/>
  <c r="AN28" i="2"/>
  <c r="C121" i="3" s="1"/>
  <c r="AN27" i="2"/>
  <c r="C115" i="3" s="1"/>
  <c r="B116" i="3"/>
  <c r="AN40" i="2"/>
  <c r="C193" i="3" s="1"/>
  <c r="B194" i="3"/>
  <c r="AN43" i="2"/>
  <c r="C211" i="3" s="1"/>
  <c r="B212" i="3"/>
  <c r="B56" i="3"/>
  <c r="AN17" i="2"/>
  <c r="C55" i="3" s="1"/>
  <c r="AN39" i="2"/>
  <c r="C187" i="3" s="1"/>
  <c r="B188" i="3"/>
  <c r="AN22" i="2"/>
  <c r="C85" i="3" s="1"/>
  <c r="B86" i="3"/>
  <c r="D25" i="2" l="1"/>
  <c r="B96" i="3"/>
  <c r="B102" i="3" l="1"/>
  <c r="D26" i="2"/>
  <c r="D27" i="2" l="1"/>
  <c r="B108" i="3"/>
  <c r="D28" i="2" l="1"/>
  <c r="B114" i="3"/>
  <c r="B120" i="3" l="1"/>
  <c r="D29" i="2"/>
  <c r="D30" i="2" l="1"/>
  <c r="B126" i="3"/>
  <c r="B132" i="3" l="1"/>
  <c r="D31" i="2"/>
  <c r="D32" i="2" l="1"/>
  <c r="B138" i="3"/>
  <c r="B144" i="3" l="1"/>
  <c r="D33" i="2"/>
  <c r="D34" i="2" l="1"/>
  <c r="B150" i="3"/>
  <c r="B156" i="3" l="1"/>
  <c r="D35" i="2"/>
  <c r="D36" i="2" l="1"/>
  <c r="B162" i="3"/>
  <c r="B168" i="3" l="1"/>
  <c r="D37" i="2"/>
  <c r="D38" i="2" l="1"/>
  <c r="B174" i="3"/>
  <c r="D39" i="2" l="1"/>
  <c r="B180" i="3"/>
  <c r="D40" i="2" l="1"/>
  <c r="B186" i="3"/>
  <c r="B192" i="3" l="1"/>
  <c r="D41" i="2"/>
  <c r="D42" i="2" l="1"/>
  <c r="B198" i="3"/>
  <c r="B204" i="3" l="1"/>
  <c r="D43" i="2"/>
  <c r="D44" i="2" l="1"/>
  <c r="B210" i="3"/>
  <c r="D45" i="2" l="1"/>
  <c r="B216" i="3"/>
  <c r="D46" i="2" l="1"/>
  <c r="B222" i="3"/>
  <c r="D47" i="2" l="1"/>
  <c r="B228" i="3"/>
  <c r="D48" i="2" l="1"/>
  <c r="B234" i="3"/>
  <c r="D49" i="2" l="1"/>
  <c r="B240" i="3"/>
  <c r="B246" i="3" l="1"/>
  <c r="D50" i="2"/>
  <c r="D51" i="2" l="1"/>
  <c r="B252" i="3"/>
</calcChain>
</file>

<file path=xl/sharedStrings.xml><?xml version="1.0" encoding="utf-8"?>
<sst xmlns="http://schemas.openxmlformats.org/spreadsheetml/2006/main" count="622" uniqueCount="248">
  <si>
    <t>PAS</t>
  </si>
  <si>
    <t>RAT</t>
  </si>
  <si>
    <t>INF</t>
  </si>
  <si>
    <t>LPS</t>
  </si>
  <si>
    <t>LOP</t>
  </si>
  <si>
    <t>STP</t>
  </si>
  <si>
    <t>Direction</t>
  </si>
  <si>
    <t>JMP</t>
  </si>
  <si>
    <t>INC</t>
  </si>
  <si>
    <t>DEC</t>
  </si>
  <si>
    <t>LPE</t>
  </si>
  <si>
    <t>IF</t>
  </si>
  <si>
    <t>EVN</t>
  </si>
  <si>
    <t>EVR</t>
  </si>
  <si>
    <t>BEP</t>
  </si>
  <si>
    <t>OUT</t>
  </si>
  <si>
    <t>Loop Start</t>
  </si>
  <si>
    <t>Loop Continuous</t>
  </si>
  <si>
    <t>Loop Count</t>
  </si>
  <si>
    <t>Event Reset</t>
  </si>
  <si>
    <t>Beep</t>
  </si>
  <si>
    <t>-------------</t>
  </si>
  <si>
    <t>mL/hr</t>
  </si>
  <si>
    <t>mL/min</t>
  </si>
  <si>
    <t>MH</t>
  </si>
  <si>
    <t>UH</t>
  </si>
  <si>
    <t>MM</t>
  </si>
  <si>
    <t>UM</t>
  </si>
  <si>
    <t>Infuse</t>
  </si>
  <si>
    <t>Withdraw</t>
  </si>
  <si>
    <t>WDR</t>
  </si>
  <si>
    <t>cmd</t>
  </si>
  <si>
    <t>units</t>
  </si>
  <si>
    <t>-----</t>
  </si>
  <si>
    <t>Type</t>
  </si>
  <si>
    <t>Dir cmd</t>
  </si>
  <si>
    <t>;*********************************************************************</t>
  </si>
  <si>
    <t>;</t>
  </si>
  <si>
    <t>rateunits</t>
  </si>
  <si>
    <t>rateonly</t>
  </si>
  <si>
    <t>nodata</t>
  </si>
  <si>
    <t>ratetime</t>
  </si>
  <si>
    <r>
      <t>μ</t>
    </r>
    <r>
      <rPr>
        <sz val="10"/>
        <rFont val="Arial"/>
        <family val="2"/>
      </rPr>
      <t>L/hr</t>
    </r>
  </si>
  <si>
    <r>
      <t>μ</t>
    </r>
    <r>
      <rPr>
        <sz val="10"/>
        <rFont val="Arial"/>
        <family val="2"/>
      </rPr>
      <t>L/min</t>
    </r>
  </si>
  <si>
    <t>Pumping Direction</t>
  </si>
  <si>
    <t>Pumping Rate Units</t>
  </si>
  <si>
    <t>NE-1000 Programmable Syringe Pump</t>
  </si>
  <si>
    <t>www.SyringePump.com</t>
  </si>
  <si>
    <t>Any other usage not authorized by New Era Pump Systems Inc. is prohibited.</t>
  </si>
  <si>
    <t>New Era Pump Systems Inc.</t>
  </si>
  <si>
    <t>(631) 249-1392</t>
  </si>
  <si>
    <t>This spreadsheet and any derivative thereof is free for use with products from New Era Pump Systems Inc.</t>
  </si>
  <si>
    <t>Pumping Rate</t>
  </si>
  <si>
    <t>Pumping Program Creator</t>
  </si>
  <si>
    <t>Stop Pump</t>
  </si>
  <si>
    <t>TRG</t>
  </si>
  <si>
    <t>Foot Switch</t>
  </si>
  <si>
    <t>Foot Switch Hold</t>
  </si>
  <si>
    <t>Level Control</t>
  </si>
  <si>
    <t>EVS</t>
  </si>
  <si>
    <t>Sub-Program Select</t>
  </si>
  <si>
    <t>PRI</t>
  </si>
  <si>
    <t>Sub-Program Label</t>
  </si>
  <si>
    <t>PRL</t>
  </si>
  <si>
    <t>To generate pumping program file:</t>
  </si>
  <si>
    <t>Select from the above menu:  File, Save As…</t>
  </si>
  <si>
    <t>Select "Save as type" "Text (Tab Delimited) (*.txt)"</t>
  </si>
  <si>
    <t>Select folder to save in, then name the file "nnnnn.PPL", where nnnn is a 8 character abbreviation for your project name</t>
  </si>
  <si>
    <t>Answer YES/OK to any warnings.  Exit spreadsheet without re-saving.</t>
  </si>
  <si>
    <t>Volume Units</t>
  </si>
  <si>
    <t>mL</t>
  </si>
  <si>
    <r>
      <t>μ</t>
    </r>
    <r>
      <rPr>
        <sz val="10"/>
        <rFont val="Arial"/>
        <family val="2"/>
      </rPr>
      <t>L</t>
    </r>
  </si>
  <si>
    <t>ML</t>
  </si>
  <si>
    <t>UL</t>
  </si>
  <si>
    <t>VOL</t>
  </si>
  <si>
    <t>buz12</t>
  </si>
  <si>
    <t>TTL Trigger Configuration</t>
  </si>
  <si>
    <t>Becton-Dickinson</t>
  </si>
  <si>
    <t>Mono-Ject</t>
  </si>
  <si>
    <t>Terumo</t>
  </si>
  <si>
    <t>HSW Norm-Ject</t>
  </si>
  <si>
    <t>Syringe Manufacturer</t>
  </si>
  <si>
    <t>1 cc</t>
  </si>
  <si>
    <t>3 cc</t>
  </si>
  <si>
    <t>5 cc</t>
  </si>
  <si>
    <t>6 cc</t>
  </si>
  <si>
    <t>Syringe Size</t>
  </si>
  <si>
    <t>Becton_Dickinson</t>
  </si>
  <si>
    <t>Mono_Ject</t>
  </si>
  <si>
    <t>HSW_Norm_Ject</t>
  </si>
  <si>
    <t>Alarms</t>
  </si>
  <si>
    <t>AL</t>
  </si>
  <si>
    <t>BP</t>
  </si>
  <si>
    <t>Phase Label</t>
  </si>
  <si>
    <t>Phase #</t>
  </si>
  <si>
    <t>Program Function</t>
  </si>
  <si>
    <t>Air-Tite</t>
  </si>
  <si>
    <t>Hamilton Microliter</t>
  </si>
  <si>
    <t>Hamilton_Microliter</t>
  </si>
  <si>
    <t>SGE</t>
  </si>
  <si>
    <t>10 cc</t>
  </si>
  <si>
    <t>20 cc</t>
  </si>
  <si>
    <t>30 cc</t>
  </si>
  <si>
    <t>60 cc</t>
  </si>
  <si>
    <t>50 cc</t>
  </si>
  <si>
    <t>12 cc</t>
  </si>
  <si>
    <t>35 cc</t>
  </si>
  <si>
    <t>0.5 μL</t>
  </si>
  <si>
    <t>1.0 μL</t>
  </si>
  <si>
    <t>2.0 μL</t>
  </si>
  <si>
    <t>5.0 μL</t>
  </si>
  <si>
    <t>Air_Tite</t>
  </si>
  <si>
    <t>Power Failure</t>
  </si>
  <si>
    <t>PF</t>
  </si>
  <si>
    <t>Keypad Beep</t>
  </si>
  <si>
    <t>General Setup</t>
  </si>
  <si>
    <t>Off</t>
  </si>
  <si>
    <t>On</t>
  </si>
  <si>
    <t>*** Note: This spreadsheet has only limited error checking.  Verify that values entered are within pumping limits.</t>
  </si>
  <si>
    <t>start</t>
  </si>
  <si>
    <t xml:space="preserve">Names are ™ of respective manufacturers </t>
  </si>
  <si>
    <t>use this Diameter</t>
  </si>
  <si>
    <t>Program Function TTL Trigger Select</t>
  </si>
  <si>
    <t>Enter 0 to leave setting out of PPL file</t>
  </si>
  <si>
    <t>FIL</t>
  </si>
  <si>
    <t>ratenovol</t>
  </si>
  <si>
    <t>number0-99</t>
  </si>
  <si>
    <t>count1-99</t>
  </si>
  <si>
    <t>logic</t>
  </si>
  <si>
    <t>notused</t>
  </si>
  <si>
    <t>min</t>
  </si>
  <si>
    <t>max</t>
  </si>
  <si>
    <t>Max Phase</t>
  </si>
  <si>
    <t>Function Data</t>
  </si>
  <si>
    <t>Stop on Low Level</t>
  </si>
  <si>
    <t>Stop on High Level</t>
  </si>
  <si>
    <t>Start on Low Level</t>
  </si>
  <si>
    <t>Start on High Level</t>
  </si>
  <si>
    <t>Start Only Falling Edge</t>
  </si>
  <si>
    <t>Start Only Rising Edge</t>
  </si>
  <si>
    <t>Stop Only Rising Edge</t>
  </si>
  <si>
    <t>Stop Only Falling Edge</t>
  </si>
  <si>
    <t>Notes</t>
  </si>
  <si>
    <t>Rate</t>
  </si>
  <si>
    <t>Volume</t>
  </si>
  <si>
    <t>phasenum</t>
  </si>
  <si>
    <t>Triggerfunct</t>
  </si>
  <si>
    <t>Time</t>
  </si>
  <si>
    <t>Trigger Input</t>
  </si>
  <si>
    <t>:</t>
  </si>
  <si>
    <t>FT</t>
  </si>
  <si>
    <t>FH</t>
  </si>
  <si>
    <t>F2</t>
  </si>
  <si>
    <t>LE</t>
  </si>
  <si>
    <t>ST</t>
  </si>
  <si>
    <t>T2</t>
  </si>
  <si>
    <t>SP</t>
  </si>
  <si>
    <t>P2</t>
  </si>
  <si>
    <t>RL</t>
  </si>
  <si>
    <t>RH</t>
  </si>
  <si>
    <t>SL</t>
  </si>
  <si>
    <t>SH</t>
  </si>
  <si>
    <t>----</t>
  </si>
  <si>
    <t>Event or Next Phase</t>
  </si>
  <si>
    <t>Pump Address</t>
  </si>
  <si>
    <t>or enter Syringe Inside Diameter here:</t>
  </si>
  <si>
    <t>Syringe Inside Diameter to use:</t>
  </si>
  <si>
    <t>Decimals</t>
  </si>
  <si>
    <t>No</t>
  </si>
  <si>
    <t>General Settings</t>
  </si>
  <si>
    <r>
      <t>Save this file</t>
    </r>
    <r>
      <rPr>
        <sz val="10"/>
        <rFont val="Arial"/>
        <family val="2"/>
      </rPr>
      <t xml:space="preserve"> with your project name, then select worksheet PPL and follow instructions to generate pumping program.</t>
    </r>
  </si>
  <si>
    <t>Pumping Rate, Value, Phase # or Label</t>
  </si>
  <si>
    <t>Copyright 2009-11, New Era Pump Systems Inc.</t>
  </si>
  <si>
    <t>Other commands</t>
  </si>
  <si>
    <t>140 cc</t>
  </si>
  <si>
    <t>5 μL</t>
  </si>
  <si>
    <t>10 μL</t>
  </si>
  <si>
    <t>25 μL</t>
  </si>
  <si>
    <t>50 μL</t>
  </si>
  <si>
    <t>100 μL</t>
  </si>
  <si>
    <t>0.25 cc</t>
  </si>
  <si>
    <t>0.5 cc</t>
  </si>
  <si>
    <t>2.5 cc</t>
  </si>
  <si>
    <t>25 cc</t>
  </si>
  <si>
    <t>100 cc</t>
  </si>
  <si>
    <t>Cadence</t>
  </si>
  <si>
    <t>2 cc</t>
  </si>
  <si>
    <t>Steel</t>
  </si>
  <si>
    <t>1 mL</t>
  </si>
  <si>
    <t>3 mL</t>
  </si>
  <si>
    <t>5 mL</t>
  </si>
  <si>
    <t>8 mL</t>
  </si>
  <si>
    <t>20 mL</t>
  </si>
  <si>
    <t>50 mL</t>
  </si>
  <si>
    <t>Sticky</t>
  </si>
  <si>
    <t>STK</t>
  </si>
  <si>
    <t>nL</t>
  </si>
  <si>
    <t>NL</t>
  </si>
  <si>
    <t>nL/hr</t>
  </si>
  <si>
    <t>NH</t>
  </si>
  <si>
    <t>nL/min</t>
  </si>
  <si>
    <t>NM</t>
  </si>
  <si>
    <t>Standard</t>
  </si>
  <si>
    <t>Micro-Fluidics</t>
  </si>
  <si>
    <t>Time (minutes : seconds)</t>
  </si>
  <si>
    <t>Poulten_Graf</t>
  </si>
  <si>
    <t>Poulten &amp; Graf (Glass)</t>
  </si>
  <si>
    <t>Inside Diameter (mm)</t>
  </si>
  <si>
    <t>Any other usage, including reverse engineering, not authorized by New Era Pump Systems Inc. is prohibited.</t>
  </si>
  <si>
    <t>Rate Units</t>
  </si>
  <si>
    <r>
      <t xml:space="preserve">Any values in </t>
    </r>
    <r>
      <rPr>
        <sz val="10"/>
        <color indexed="11"/>
        <rFont val="Snap ITC"/>
        <family val="5"/>
      </rPr>
      <t>GREEN BOXES</t>
    </r>
    <r>
      <rPr>
        <sz val="10"/>
        <rFont val="Arial"/>
        <family val="2"/>
      </rPr>
      <t xml:space="preserve"> can be changed.  </t>
    </r>
    <r>
      <rPr>
        <strike/>
        <sz val="10"/>
        <rFont val="Arial"/>
        <family val="2"/>
      </rPr>
      <t>Strikeouts</t>
    </r>
    <r>
      <rPr>
        <sz val="10"/>
        <rFont val="Arial"/>
        <family val="2"/>
      </rPr>
      <t xml:space="preserve"> indicate non-applicable parameters.  </t>
    </r>
    <r>
      <rPr>
        <sz val="10"/>
        <color indexed="10"/>
        <rFont val="Arial"/>
        <family val="2"/>
      </rPr>
      <t>RED</t>
    </r>
    <r>
      <rPr>
        <sz val="10"/>
        <rFont val="Arial"/>
        <family val="2"/>
      </rPr>
      <t xml:space="preserve"> boxes indicate invalid data.</t>
    </r>
  </si>
  <si>
    <t>Start Pump after Program Upload?</t>
  </si>
  <si>
    <t>Pump Terminal Emulator to use:</t>
  </si>
  <si>
    <t>Exit Terminal Emulator after</t>
  </si>
  <si>
    <t>Program Upload?</t>
  </si>
  <si>
    <t>Yes</t>
  </si>
  <si>
    <t>List of pump terminal program locations:</t>
  </si>
  <si>
    <t>Rate for Time</t>
  </si>
  <si>
    <t>Fill Syringe</t>
  </si>
  <si>
    <t>Increment Rate</t>
  </si>
  <si>
    <t>Decrement Rate</t>
  </si>
  <si>
    <t>Pause (seconds)</t>
  </si>
  <si>
    <t>Event Trigger: Jump to Phase</t>
  </si>
  <si>
    <t>Event Square Trigger: Jump to Phase</t>
  </si>
  <si>
    <t>If TTL pin 6 low: Jump to Phase</t>
  </si>
  <si>
    <t>Pump Network Address</t>
  </si>
  <si>
    <t>Click on Pump Image to Upload Program</t>
  </si>
  <si>
    <t>Jump to Phase</t>
  </si>
  <si>
    <t>Command line parameters</t>
  </si>
  <si>
    <t>/COM=1 PPL.PPL</t>
  </si>
  <si>
    <t>C:\pumpterm\pumpterm.exe</t>
  </si>
  <si>
    <t>Name of PPL file:</t>
  </si>
  <si>
    <t>PPL.PPL</t>
  </si>
  <si>
    <t>Save PPL in direcory:</t>
  </si>
  <si>
    <t>Terminal Program</t>
  </si>
  <si>
    <t>Use "Default" in most cases</t>
  </si>
  <si>
    <t>Default</t>
  </si>
  <si>
    <t>Foot Switch Reversed</t>
  </si>
  <si>
    <t>Set TTL pin 5 Output</t>
  </si>
  <si>
    <t>Before</t>
  </si>
  <si>
    <t>After</t>
  </si>
  <si>
    <t>mL/sec</t>
  </si>
  <si>
    <r>
      <t>μ</t>
    </r>
    <r>
      <rPr>
        <sz val="10"/>
        <rFont val="Arial"/>
        <family val="2"/>
      </rPr>
      <t>L/sec</t>
    </r>
  </si>
  <si>
    <t>nL/sec</t>
  </si>
  <si>
    <t>Copyright 2009-13, New Era Pump Systems Inc.</t>
  </si>
  <si>
    <t>c:\pumpterm\PUMPTERMppl.bat</t>
  </si>
  <si>
    <t>μL/min</t>
  </si>
  <si>
    <t>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</si>
</sst>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0.000"/>
    <numFmt numFmtId="166" formatCode="00"/>
    <numFmt numFmtId="167" formatCode="00.##"/>
    <numFmt numFmtId="168" formatCode="?"/>
  </numFmts>
  <fonts count="2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Symbol"/>
      <family val="1"/>
      <charset val="2"/>
    </font>
    <font>
      <sz val="14"/>
      <name val="Arial"/>
      <family val="2"/>
    </font>
    <font>
      <u/>
      <sz val="10"/>
      <color indexed="12"/>
      <name val="Arial"/>
      <family val="2"/>
    </font>
    <font>
      <strike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11"/>
      <color indexed="8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8"/>
      <name val="Arial"/>
      <family val="2"/>
    </font>
    <font>
      <b/>
      <sz val="18"/>
      <name val="Arial Black"/>
      <family val="2"/>
    </font>
    <font>
      <b/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1"/>
      <name val="Snap ITC"/>
      <family val="5"/>
    </font>
    <font>
      <sz val="14"/>
      <name val="Arial"/>
      <family val="2"/>
    </font>
    <font>
      <u/>
      <sz val="16"/>
      <color rgb="FF00B050"/>
      <name val="Stencil"/>
      <family val="5"/>
    </font>
    <font>
      <b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00FF00"/>
        <bgColor indexed="64"/>
      </patternFill>
    </fill>
  </fills>
  <borders count="8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mediumDashDot">
        <color indexed="64"/>
      </right>
      <top/>
      <bottom/>
      <diagonal/>
    </border>
    <border>
      <left/>
      <right style="mediumDashDot">
        <color indexed="64"/>
      </right>
      <top/>
      <bottom style="thick">
        <color indexed="64"/>
      </bottom>
      <diagonal/>
    </border>
    <border>
      <left style="mediumDashDot">
        <color indexed="64"/>
      </left>
      <right style="medium">
        <color indexed="64"/>
      </right>
      <top/>
      <bottom/>
      <diagonal/>
    </border>
    <border>
      <left style="mediumDashDot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otted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dotted">
        <color indexed="64"/>
      </right>
      <top style="dashed">
        <color indexed="64"/>
      </top>
      <bottom style="medium">
        <color indexed="64"/>
      </bottom>
      <diagonal/>
    </border>
    <border>
      <left style="dott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otted">
        <color indexed="64"/>
      </right>
      <top style="dashed">
        <color indexed="64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quotePrefix="1" applyBorder="1"/>
    <xf numFmtId="0" fontId="4" fillId="0" borderId="0" xfId="0" applyFont="1" applyBorder="1"/>
    <xf numFmtId="0" fontId="0" fillId="0" borderId="0" xfId="0" applyFill="1" applyBorder="1"/>
    <xf numFmtId="0" fontId="0" fillId="0" borderId="1" xfId="0" quotePrefix="1" applyBorder="1"/>
    <xf numFmtId="164" fontId="0" fillId="0" borderId="0" xfId="0" applyNumberFormat="1"/>
    <xf numFmtId="0" fontId="0" fillId="0" borderId="9" xfId="0" applyBorder="1"/>
    <xf numFmtId="0" fontId="0" fillId="0" borderId="10" xfId="0" applyBorder="1"/>
    <xf numFmtId="164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justify"/>
    </xf>
    <xf numFmtId="0" fontId="5" fillId="0" borderId="15" xfId="0" applyFont="1" applyBorder="1" applyAlignment="1">
      <alignment horizontal="justify"/>
    </xf>
    <xf numFmtId="0" fontId="6" fillId="0" borderId="0" xfId="1" applyBorder="1" applyAlignment="1" applyProtection="1"/>
    <xf numFmtId="0" fontId="0" fillId="0" borderId="3" xfId="0" applyFill="1" applyBorder="1"/>
    <xf numFmtId="0" fontId="0" fillId="0" borderId="2" xfId="0" quotePrefix="1" applyBorder="1"/>
    <xf numFmtId="0" fontId="0" fillId="0" borderId="4" xfId="0" applyFill="1" applyBorder="1"/>
    <xf numFmtId="0" fontId="5" fillId="0" borderId="16" xfId="0" applyFont="1" applyBorder="1" applyAlignment="1">
      <alignment horizontal="justify"/>
    </xf>
    <xf numFmtId="0" fontId="5" fillId="0" borderId="17" xfId="0" applyFont="1" applyBorder="1" applyAlignment="1">
      <alignment horizontal="justify"/>
    </xf>
    <xf numFmtId="0" fontId="5" fillId="0" borderId="18" xfId="0" applyFont="1" applyBorder="1" applyAlignment="1">
      <alignment horizontal="justify"/>
    </xf>
    <xf numFmtId="0" fontId="5" fillId="0" borderId="19" xfId="0" applyFont="1" applyBorder="1" applyAlignment="1">
      <alignment horizontal="justify"/>
    </xf>
    <xf numFmtId="0" fontId="10" fillId="0" borderId="3" xfId="0" applyFont="1" applyBorder="1"/>
    <xf numFmtId="0" fontId="5" fillId="0" borderId="0" xfId="0" applyFont="1" applyBorder="1" applyAlignment="1">
      <alignment horizontal="justify"/>
    </xf>
    <xf numFmtId="0" fontId="12" fillId="0" borderId="15" xfId="0" applyFont="1" applyBorder="1" applyAlignment="1">
      <alignment horizontal="justify"/>
    </xf>
    <xf numFmtId="0" fontId="13" fillId="0" borderId="3" xfId="0" applyFont="1" applyBorder="1" applyAlignment="1">
      <alignment horizontal="right"/>
    </xf>
    <xf numFmtId="0" fontId="3" fillId="0" borderId="0" xfId="0" applyFont="1" applyBorder="1"/>
    <xf numFmtId="0" fontId="3" fillId="0" borderId="15" xfId="0" applyFont="1" applyBorder="1" applyAlignment="1">
      <alignment horizontal="justify"/>
    </xf>
    <xf numFmtId="0" fontId="3" fillId="0" borderId="10" xfId="0" applyFont="1" applyBorder="1"/>
    <xf numFmtId="0" fontId="11" fillId="2" borderId="20" xfId="0" applyFont="1" applyFill="1" applyBorder="1" applyProtection="1">
      <protection locked="0"/>
    </xf>
    <xf numFmtId="0" fontId="11" fillId="2" borderId="21" xfId="0" applyFont="1" applyFill="1" applyBorder="1" applyProtection="1">
      <protection locked="0"/>
    </xf>
    <xf numFmtId="0" fontId="11" fillId="2" borderId="22" xfId="0" applyFont="1" applyFill="1" applyBorder="1" applyProtection="1">
      <protection locked="0"/>
    </xf>
    <xf numFmtId="0" fontId="11" fillId="2" borderId="23" xfId="0" applyFont="1" applyFill="1" applyBorder="1" applyProtection="1">
      <protection locked="0"/>
    </xf>
    <xf numFmtId="0" fontId="0" fillId="0" borderId="24" xfId="0" applyBorder="1" applyProtection="1">
      <protection locked="0"/>
    </xf>
    <xf numFmtId="0" fontId="11" fillId="2" borderId="25" xfId="0" applyFont="1" applyFill="1" applyBorder="1" applyProtection="1">
      <protection locked="0"/>
    </xf>
    <xf numFmtId="0" fontId="11" fillId="2" borderId="26" xfId="0" applyFont="1" applyFill="1" applyBorder="1" applyProtection="1">
      <protection locked="0"/>
    </xf>
    <xf numFmtId="0" fontId="11" fillId="2" borderId="8" xfId="0" applyFont="1" applyFill="1" applyBorder="1" applyAlignment="1" applyProtection="1">
      <alignment horizontal="justify"/>
      <protection locked="0"/>
    </xf>
    <xf numFmtId="0" fontId="11" fillId="2" borderId="1" xfId="0" applyFont="1" applyFill="1" applyBorder="1" applyProtection="1">
      <protection locked="0"/>
    </xf>
    <xf numFmtId="0" fontId="11" fillId="2" borderId="4" xfId="0" applyFont="1" applyFill="1" applyBorder="1" applyProtection="1">
      <protection locked="0"/>
    </xf>
    <xf numFmtId="0" fontId="11" fillId="2" borderId="0" xfId="0" applyFont="1" applyFill="1" applyBorder="1" applyProtection="1">
      <protection locked="0"/>
    </xf>
    <xf numFmtId="0" fontId="0" fillId="0" borderId="0" xfId="0" applyAlignment="1">
      <alignment horizontal="justify"/>
    </xf>
    <xf numFmtId="0" fontId="5" fillId="0" borderId="27" xfId="0" applyFont="1" applyBorder="1" applyAlignment="1">
      <alignment horizontal="justify"/>
    </xf>
    <xf numFmtId="0" fontId="11" fillId="2" borderId="28" xfId="0" applyFont="1" applyFill="1" applyBorder="1" applyProtection="1">
      <protection locked="0"/>
    </xf>
    <xf numFmtId="0" fontId="11" fillId="2" borderId="29" xfId="0" applyFont="1" applyFill="1" applyBorder="1" applyProtection="1">
      <protection locked="0"/>
    </xf>
    <xf numFmtId="0" fontId="11" fillId="2" borderId="30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8" fillId="0" borderId="32" xfId="0" applyFont="1" applyFill="1" applyBorder="1" applyProtection="1">
      <protection locked="0"/>
    </xf>
    <xf numFmtId="0" fontId="3" fillId="0" borderId="33" xfId="0" applyFont="1" applyBorder="1" applyProtection="1">
      <protection locked="0"/>
    </xf>
    <xf numFmtId="2" fontId="0" fillId="0" borderId="0" xfId="0" applyNumberFormat="1" applyBorder="1"/>
    <xf numFmtId="0" fontId="0" fillId="0" borderId="0" xfId="0" applyNumberFormat="1"/>
    <xf numFmtId="0" fontId="0" fillId="0" borderId="34" xfId="0" applyBorder="1" applyProtection="1">
      <protection locked="0"/>
    </xf>
    <xf numFmtId="0" fontId="3" fillId="0" borderId="35" xfId="0" applyFont="1" applyBorder="1" applyProtection="1">
      <protection locked="0"/>
    </xf>
    <xf numFmtId="0" fontId="0" fillId="0" borderId="0" xfId="0" quotePrefix="1" applyFill="1" applyBorder="1"/>
    <xf numFmtId="0" fontId="9" fillId="0" borderId="36" xfId="0" applyFont="1" applyBorder="1" applyAlignment="1">
      <alignment horizontal="justify"/>
    </xf>
    <xf numFmtId="165" fontId="0" fillId="0" borderId="37" xfId="0" applyNumberFormat="1" applyBorder="1" applyProtection="1">
      <protection locked="0"/>
    </xf>
    <xf numFmtId="0" fontId="5" fillId="0" borderId="38" xfId="0" applyFont="1" applyBorder="1" applyAlignment="1">
      <alignment horizontal="justify"/>
    </xf>
    <xf numFmtId="167" fontId="0" fillId="0" borderId="8" xfId="0" applyNumberFormat="1" applyBorder="1" applyProtection="1">
      <protection locked="0"/>
    </xf>
    <xf numFmtId="167" fontId="0" fillId="0" borderId="2" xfId="0" applyNumberFormat="1" applyBorder="1" applyProtection="1">
      <protection locked="0"/>
    </xf>
    <xf numFmtId="167" fontId="0" fillId="0" borderId="39" xfId="0" applyNumberFormat="1" applyBorder="1" applyProtection="1">
      <protection locked="0"/>
    </xf>
    <xf numFmtId="167" fontId="0" fillId="0" borderId="40" xfId="0" applyNumberFormat="1" applyBorder="1" applyProtection="1">
      <protection locked="0"/>
    </xf>
    <xf numFmtId="0" fontId="0" fillId="0" borderId="5" xfId="0" applyBorder="1" applyAlignment="1">
      <alignment horizontal="right"/>
    </xf>
    <xf numFmtId="0" fontId="8" fillId="0" borderId="14" xfId="0" applyFont="1" applyBorder="1"/>
    <xf numFmtId="0" fontId="5" fillId="0" borderId="3" xfId="0" applyFont="1" applyBorder="1" applyAlignment="1">
      <alignment horizontal="justify"/>
    </xf>
    <xf numFmtId="0" fontId="3" fillId="0" borderId="41" xfId="0" applyFont="1" applyBorder="1" applyProtection="1">
      <protection locked="0"/>
    </xf>
    <xf numFmtId="0" fontId="5" fillId="0" borderId="42" xfId="0" applyFont="1" applyBorder="1" applyAlignment="1"/>
    <xf numFmtId="0" fontId="0" fillId="0" borderId="43" xfId="0" applyBorder="1"/>
    <xf numFmtId="0" fontId="11" fillId="0" borderId="44" xfId="0" applyFont="1" applyFill="1" applyBorder="1" applyProtection="1">
      <protection locked="0"/>
    </xf>
    <xf numFmtId="0" fontId="5" fillId="0" borderId="45" xfId="0" applyFont="1" applyBorder="1" applyAlignment="1"/>
    <xf numFmtId="0" fontId="0" fillId="0" borderId="46" xfId="0" applyBorder="1"/>
    <xf numFmtId="0" fontId="11" fillId="2" borderId="47" xfId="0" applyFont="1" applyFill="1" applyBorder="1" applyProtection="1">
      <protection locked="0"/>
    </xf>
    <xf numFmtId="0" fontId="15" fillId="0" borderId="1" xfId="0" applyFont="1" applyBorder="1" applyAlignment="1">
      <alignment horizontal="center"/>
    </xf>
    <xf numFmtId="0" fontId="16" fillId="0" borderId="8" xfId="0" applyFont="1" applyBorder="1" applyAlignment="1">
      <alignment horizontal="left"/>
    </xf>
    <xf numFmtId="166" fontId="0" fillId="0" borderId="1" xfId="0" applyNumberFormat="1" applyBorder="1" applyProtection="1"/>
    <xf numFmtId="166" fontId="0" fillId="0" borderId="23" xfId="0" applyNumberFormat="1" applyBorder="1" applyProtection="1"/>
    <xf numFmtId="0" fontId="8" fillId="0" borderId="48" xfId="0" applyFont="1" applyFill="1" applyBorder="1" applyProtection="1">
      <protection locked="0"/>
    </xf>
    <xf numFmtId="0" fontId="11" fillId="2" borderId="49" xfId="0" applyFont="1" applyFill="1" applyBorder="1" applyProtection="1">
      <protection locked="0"/>
    </xf>
    <xf numFmtId="0" fontId="11" fillId="2" borderId="31" xfId="0" applyFont="1" applyFill="1" applyBorder="1" applyProtection="1">
      <protection locked="0"/>
    </xf>
    <xf numFmtId="0" fontId="0" fillId="0" borderId="24" xfId="0" quotePrefix="1" applyBorder="1" applyProtection="1">
      <protection locked="0"/>
    </xf>
    <xf numFmtId="0" fontId="19" fillId="0" borderId="0" xfId="0" applyFont="1" applyBorder="1"/>
    <xf numFmtId="0" fontId="19" fillId="0" borderId="0" xfId="0" applyFont="1" applyFill="1" applyBorder="1"/>
    <xf numFmtId="0" fontId="19" fillId="0" borderId="0" xfId="0" applyFont="1"/>
    <xf numFmtId="0" fontId="22" fillId="0" borderId="0" xfId="0" applyFont="1" applyBorder="1"/>
    <xf numFmtId="0" fontId="19" fillId="0" borderId="1" xfId="0" applyFont="1" applyFill="1" applyBorder="1"/>
    <xf numFmtId="0" fontId="0" fillId="0" borderId="1" xfId="0" applyFill="1" applyBorder="1"/>
    <xf numFmtId="0" fontId="9" fillId="0" borderId="6" xfId="0" applyFont="1" applyFill="1" applyBorder="1"/>
    <xf numFmtId="0" fontId="0" fillId="0" borderId="6" xfId="0" applyFill="1" applyBorder="1"/>
    <xf numFmtId="0" fontId="23" fillId="0" borderId="36" xfId="0" applyFont="1" applyBorder="1"/>
    <xf numFmtId="0" fontId="0" fillId="0" borderId="27" xfId="0" applyBorder="1"/>
    <xf numFmtId="0" fontId="23" fillId="0" borderId="27" xfId="0" applyFont="1" applyBorder="1"/>
    <xf numFmtId="0" fontId="23" fillId="0" borderId="50" xfId="0" applyFont="1" applyBorder="1"/>
    <xf numFmtId="0" fontId="5" fillId="0" borderId="51" xfId="0" applyFont="1" applyBorder="1" applyAlignment="1"/>
    <xf numFmtId="0" fontId="11" fillId="2" borderId="52" xfId="0" applyFont="1" applyFill="1" applyBorder="1" applyProtection="1">
      <protection locked="0"/>
    </xf>
    <xf numFmtId="0" fontId="0" fillId="0" borderId="53" xfId="0" applyBorder="1"/>
    <xf numFmtId="0" fontId="0" fillId="0" borderId="8" xfId="0" applyFill="1" applyBorder="1"/>
    <xf numFmtId="0" fontId="21" fillId="0" borderId="8" xfId="0" applyFont="1" applyBorder="1" applyAlignment="1"/>
    <xf numFmtId="0" fontId="21" fillId="0" borderId="5" xfId="0" applyFont="1" applyBorder="1" applyAlignment="1"/>
    <xf numFmtId="0" fontId="11" fillId="2" borderId="7" xfId="0" applyFont="1" applyFill="1" applyBorder="1" applyProtection="1">
      <protection locked="0"/>
    </xf>
    <xf numFmtId="0" fontId="0" fillId="0" borderId="8" xfId="0" applyBorder="1"/>
    <xf numFmtId="0" fontId="19" fillId="0" borderId="3" xfId="0" applyFont="1" applyBorder="1"/>
    <xf numFmtId="0" fontId="5" fillId="0" borderId="54" xfId="0" applyFont="1" applyBorder="1" applyAlignment="1">
      <alignment horizontal="justify"/>
    </xf>
    <xf numFmtId="0" fontId="5" fillId="0" borderId="55" xfId="0" applyFont="1" applyBorder="1" applyAlignment="1">
      <alignment horizontal="justify"/>
    </xf>
    <xf numFmtId="0" fontId="0" fillId="0" borderId="0" xfId="0" applyFont="1" applyFill="1" applyBorder="1"/>
    <xf numFmtId="168" fontId="0" fillId="0" borderId="0" xfId="0" applyNumberFormat="1" applyBorder="1"/>
    <xf numFmtId="0" fontId="0" fillId="3" borderId="56" xfId="0" applyFill="1" applyBorder="1" applyAlignment="1" applyProtection="1">
      <alignment horizontal="left"/>
      <protection locked="0"/>
    </xf>
    <xf numFmtId="0" fontId="19" fillId="3" borderId="57" xfId="0" quotePrefix="1" applyFont="1" applyFill="1" applyBorder="1" applyAlignment="1" applyProtection="1">
      <alignment horizontal="left"/>
      <protection locked="0"/>
    </xf>
    <xf numFmtId="0" fontId="0" fillId="3" borderId="57" xfId="0" applyFill="1" applyBorder="1" applyAlignment="1" applyProtection="1">
      <alignment horizontal="left"/>
      <protection locked="0"/>
    </xf>
    <xf numFmtId="0" fontId="0" fillId="3" borderId="58" xfId="0" applyFill="1" applyBorder="1" applyAlignment="1" applyProtection="1">
      <alignment horizontal="left"/>
      <protection locked="0"/>
    </xf>
    <xf numFmtId="0" fontId="0" fillId="3" borderId="14" xfId="0" applyFill="1" applyBorder="1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hidden="1"/>
    </xf>
    <xf numFmtId="164" fontId="0" fillId="0" borderId="0" xfId="0" applyNumberFormat="1" applyProtection="1">
      <protection hidden="1"/>
    </xf>
    <xf numFmtId="0" fontId="0" fillId="0" borderId="0" xfId="0" quotePrefix="1" applyProtection="1">
      <protection hidden="1"/>
    </xf>
    <xf numFmtId="0" fontId="8" fillId="0" borderId="17" xfId="0" applyFont="1" applyBorder="1" applyAlignment="1">
      <alignment horizontal="justify"/>
    </xf>
    <xf numFmtId="0" fontId="18" fillId="0" borderId="3" xfId="0" applyFont="1" applyBorder="1"/>
    <xf numFmtId="0" fontId="17" fillId="2" borderId="59" xfId="0" applyFont="1" applyFill="1" applyBorder="1" applyProtection="1">
      <protection locked="0"/>
    </xf>
    <xf numFmtId="0" fontId="17" fillId="2" borderId="60" xfId="0" applyFont="1" applyFill="1" applyBorder="1" applyProtection="1">
      <protection locked="0"/>
    </xf>
    <xf numFmtId="0" fontId="17" fillId="2" borderId="61" xfId="0" applyFont="1" applyFill="1" applyBorder="1" applyProtection="1">
      <protection locked="0"/>
    </xf>
    <xf numFmtId="0" fontId="17" fillId="2" borderId="62" xfId="0" applyFont="1" applyFill="1" applyBorder="1" applyProtection="1">
      <protection locked="0"/>
    </xf>
    <xf numFmtId="0" fontId="18" fillId="0" borderId="0" xfId="0" applyFont="1" applyBorder="1"/>
    <xf numFmtId="164" fontId="9" fillId="0" borderId="36" xfId="0" applyNumberFormat="1" applyFont="1" applyBorder="1" applyAlignment="1">
      <alignment horizontal="justify"/>
    </xf>
    <xf numFmtId="164" fontId="9" fillId="0" borderId="27" xfId="0" applyNumberFormat="1" applyFont="1" applyBorder="1" applyAlignment="1">
      <alignment horizontal="justify"/>
    </xf>
    <xf numFmtId="164" fontId="9" fillId="0" borderId="50" xfId="0" applyNumberFormat="1" applyFont="1" applyBorder="1" applyAlignment="1">
      <alignment horizontal="justify"/>
    </xf>
    <xf numFmtId="0" fontId="11" fillId="2" borderId="36" xfId="0" applyFont="1" applyFill="1" applyBorder="1" applyAlignment="1" applyProtection="1">
      <alignment horizontal="center"/>
      <protection locked="0"/>
    </xf>
    <xf numFmtId="0" fontId="11" fillId="2" borderId="27" xfId="0" applyFont="1" applyFill="1" applyBorder="1" applyAlignment="1" applyProtection="1">
      <alignment horizontal="center"/>
      <protection locked="0"/>
    </xf>
    <xf numFmtId="0" fontId="11" fillId="2" borderId="50" xfId="0" applyFont="1" applyFill="1" applyBorder="1" applyAlignment="1" applyProtection="1">
      <alignment horizontal="center"/>
      <protection locked="0"/>
    </xf>
    <xf numFmtId="0" fontId="11" fillId="2" borderId="76" xfId="0" applyFont="1" applyFill="1" applyBorder="1" applyAlignment="1" applyProtection="1">
      <alignment horizontal="left"/>
      <protection locked="0"/>
    </xf>
    <xf numFmtId="0" fontId="11" fillId="2" borderId="77" xfId="0" applyFont="1" applyFill="1" applyBorder="1" applyAlignment="1" applyProtection="1">
      <alignment horizontal="left"/>
      <protection locked="0"/>
    </xf>
    <xf numFmtId="0" fontId="11" fillId="2" borderId="78" xfId="0" applyFont="1" applyFill="1" applyBorder="1" applyAlignment="1" applyProtection="1">
      <alignment horizontal="left"/>
      <protection locked="0"/>
    </xf>
    <xf numFmtId="0" fontId="11" fillId="2" borderId="79" xfId="0" applyFont="1" applyFill="1" applyBorder="1" applyAlignment="1" applyProtection="1">
      <alignment horizontal="left"/>
      <protection locked="0"/>
    </xf>
    <xf numFmtId="0" fontId="11" fillId="2" borderId="0" xfId="0" applyFont="1" applyFill="1" applyBorder="1" applyAlignment="1" applyProtection="1">
      <alignment horizontal="left"/>
      <protection locked="0"/>
    </xf>
    <xf numFmtId="0" fontId="11" fillId="2" borderId="4" xfId="0" applyFont="1" applyFill="1" applyBorder="1" applyAlignment="1" applyProtection="1">
      <alignment horizontal="left"/>
      <protection locked="0"/>
    </xf>
    <xf numFmtId="0" fontId="0" fillId="3" borderId="63" xfId="0" applyFill="1" applyBorder="1" applyAlignment="1" applyProtection="1">
      <alignment horizontal="left"/>
      <protection locked="0"/>
    </xf>
    <xf numFmtId="0" fontId="0" fillId="3" borderId="64" xfId="0" applyFill="1" applyBorder="1" applyAlignment="1" applyProtection="1">
      <alignment horizontal="left"/>
      <protection locked="0"/>
    </xf>
    <xf numFmtId="0" fontId="0" fillId="3" borderId="65" xfId="0" applyFill="1" applyBorder="1" applyAlignment="1" applyProtection="1">
      <alignment horizontal="left"/>
      <protection locked="0"/>
    </xf>
    <xf numFmtId="0" fontId="0" fillId="3" borderId="66" xfId="0" applyFill="1" applyBorder="1" applyAlignment="1" applyProtection="1">
      <alignment horizontal="left"/>
      <protection locked="0"/>
    </xf>
    <xf numFmtId="0" fontId="0" fillId="3" borderId="67" xfId="0" applyFill="1" applyBorder="1" applyAlignment="1" applyProtection="1">
      <alignment horizontal="left"/>
      <protection locked="0"/>
    </xf>
    <xf numFmtId="0" fontId="0" fillId="3" borderId="68" xfId="0" applyFill="1" applyBorder="1" applyAlignment="1" applyProtection="1">
      <alignment horizontal="left"/>
      <protection locked="0"/>
    </xf>
    <xf numFmtId="0" fontId="0" fillId="3" borderId="69" xfId="0" applyFill="1" applyBorder="1" applyAlignment="1" applyProtection="1">
      <alignment horizontal="left"/>
      <protection locked="0"/>
    </xf>
    <xf numFmtId="0" fontId="0" fillId="3" borderId="70" xfId="0" applyFill="1" applyBorder="1" applyAlignment="1" applyProtection="1">
      <alignment horizontal="left"/>
      <protection locked="0"/>
    </xf>
    <xf numFmtId="0" fontId="0" fillId="3" borderId="71" xfId="0" applyFill="1" applyBorder="1" applyAlignment="1" applyProtection="1">
      <alignment horizontal="left"/>
      <protection locked="0"/>
    </xf>
    <xf numFmtId="0" fontId="19" fillId="3" borderId="72" xfId="0" quotePrefix="1" applyFont="1" applyFill="1" applyBorder="1" applyAlignment="1" applyProtection="1">
      <alignment horizontal="left"/>
      <protection locked="0"/>
    </xf>
    <xf numFmtId="0" fontId="0" fillId="3" borderId="73" xfId="0" applyFill="1" applyBorder="1" applyAlignment="1" applyProtection="1">
      <alignment horizontal="left"/>
      <protection locked="0"/>
    </xf>
    <xf numFmtId="0" fontId="0" fillId="3" borderId="72" xfId="0" applyFill="1" applyBorder="1" applyAlignment="1" applyProtection="1">
      <alignment horizontal="left"/>
      <protection locked="0"/>
    </xf>
    <xf numFmtId="0" fontId="0" fillId="3" borderId="74" xfId="0" applyFill="1" applyBorder="1" applyAlignment="1" applyProtection="1">
      <alignment horizontal="left"/>
      <protection locked="0"/>
    </xf>
    <xf numFmtId="0" fontId="0" fillId="3" borderId="75" xfId="0" applyFill="1" applyBorder="1" applyAlignment="1" applyProtection="1">
      <alignment horizontal="left"/>
      <protection locked="0"/>
    </xf>
    <xf numFmtId="0" fontId="19" fillId="3" borderId="80" xfId="0" applyFont="1" applyFill="1" applyBorder="1" applyAlignment="1" applyProtection="1">
      <alignment horizontal="left"/>
      <protection locked="0"/>
    </xf>
    <xf numFmtId="0" fontId="0" fillId="3" borderId="81" xfId="0" applyFill="1" applyBorder="1" applyAlignment="1" applyProtection="1">
      <alignment horizontal="left"/>
      <protection locked="0"/>
    </xf>
    <xf numFmtId="0" fontId="0" fillId="3" borderId="82" xfId="0" applyFill="1" applyBorder="1" applyAlignment="1" applyProtection="1">
      <alignment horizontal="left"/>
      <protection locked="0"/>
    </xf>
    <xf numFmtId="0" fontId="0" fillId="0" borderId="0" xfId="0" applyProtection="1">
      <protection locked="0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15">
    <dxf>
      <font>
        <b val="0"/>
        <i val="0"/>
        <strike/>
        <condense val="0"/>
        <extend val="0"/>
      </font>
    </dxf>
    <dxf>
      <font>
        <b/>
        <i val="0"/>
        <condense val="0"/>
        <extend val="0"/>
        <color indexed="8"/>
      </font>
      <fill>
        <patternFill>
          <bgColor indexed="11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  <color indexed="8"/>
      </font>
      <fill>
        <patternFill>
          <bgColor indexed="10"/>
        </patternFill>
      </fill>
    </dxf>
    <dxf>
      <font>
        <strike/>
        <condense val="0"/>
        <extend val="0"/>
      </font>
    </dxf>
    <dxf>
      <font>
        <b/>
        <i val="0"/>
        <condense val="0"/>
        <extend val="0"/>
      </font>
      <fill>
        <patternFill>
          <bgColor indexed="11"/>
        </patternFill>
      </fill>
    </dxf>
    <dxf>
      <font>
        <b/>
        <i val="0"/>
        <condense val="0"/>
        <extend val="0"/>
        <color indexed="8"/>
      </font>
      <fill>
        <patternFill>
          <bgColor indexed="10"/>
        </patternFill>
      </fill>
    </dxf>
    <dxf>
      <font>
        <strike/>
        <condense val="0"/>
        <extend val="0"/>
      </font>
    </dxf>
    <dxf>
      <font>
        <b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strike val="0"/>
        <condense val="0"/>
        <extend val="0"/>
        <color indexed="8"/>
      </font>
      <fill>
        <patternFill>
          <bgColor indexed="1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/>
        <condense val="0"/>
        <extend val="0"/>
      </font>
    </dxf>
    <dxf>
      <font>
        <b/>
        <i val="0"/>
        <strike val="0"/>
        <condense val="0"/>
        <extend val="0"/>
        <color indexed="8"/>
      </font>
      <fill>
        <patternFill>
          <bgColor indexed="1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/>
        <condense val="0"/>
        <extend val="0"/>
      </font>
    </dxf>
    <dxf>
      <font>
        <b/>
        <i val="0"/>
        <condense val="0"/>
        <extend val="0"/>
        <color indexed="8"/>
      </font>
      <fill>
        <patternFill>
          <bgColor indexed="11"/>
        </patternFill>
      </fill>
    </dxf>
    <dxf>
      <font>
        <strike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3</xdr:row>
      <xdr:rowOff>161925</xdr:rowOff>
    </xdr:from>
    <xdr:to>
      <xdr:col>12</xdr:col>
      <xdr:colOff>438150</xdr:colOff>
      <xdr:row>7</xdr:row>
      <xdr:rowOff>38100</xdr:rowOff>
    </xdr:to>
    <xdr:pic macro="[0]!upload_PPL">
      <xdr:nvPicPr>
        <xdr:cNvPr id="1200" name="Picture 1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647700"/>
          <a:ext cx="14287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yringepum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S65535"/>
  <sheetViews>
    <sheetView tabSelected="1" zoomScaleNormal="100" workbookViewId="0">
      <selection activeCell="O11" sqref="O11"/>
    </sheetView>
  </sheetViews>
  <sheetFormatPr baseColWidth="10" defaultColWidth="0" defaultRowHeight="13"/>
  <cols>
    <col min="1" max="1" width="4" customWidth="1"/>
    <col min="2" max="2" width="9.1640625" style="14" customWidth="1"/>
    <col min="3" max="3" width="9.1640625" style="4" customWidth="1"/>
    <col min="4" max="4" width="6.5" style="17" customWidth="1"/>
    <col min="5" max="5" width="38.5" customWidth="1"/>
    <col min="6" max="6" width="16.6640625" style="18" customWidth="1"/>
    <col min="7" max="7" width="12" style="17" customWidth="1"/>
    <col min="8" max="8" width="18.83203125" style="19" customWidth="1"/>
    <col min="9" max="9" width="5.5" style="4" customWidth="1"/>
    <col min="10" max="10" width="1.5" style="4" customWidth="1"/>
    <col min="11" max="11" width="4.83203125" style="4" customWidth="1"/>
    <col min="12" max="12" width="11.6640625" style="15" customWidth="1"/>
    <col min="13" max="13" width="16.5" style="36" customWidth="1"/>
    <col min="14" max="14" width="21.6640625" style="4" customWidth="1"/>
    <col min="15" max="18" width="12.5" style="4" customWidth="1"/>
    <col min="19" max="19" width="16.1640625" style="4" customWidth="1"/>
    <col min="20" max="21" width="12.5" style="4" hidden="1" customWidth="1"/>
    <col min="22" max="32" width="9.1640625" hidden="1" customWidth="1"/>
    <col min="33" max="33" width="9.83203125" hidden="1" customWidth="1"/>
    <col min="34" max="67" width="9.1640625" hidden="1" customWidth="1"/>
    <col min="68" max="76" width="9.1640625" customWidth="1"/>
    <col min="77" max="77" width="9.1640625" hidden="1" customWidth="1"/>
    <col min="78" max="251" width="9.1640625" customWidth="1"/>
    <col min="252" max="252" width="0" hidden="1" customWidth="1"/>
    <col min="253" max="16384" width="9.1640625" hidden="1"/>
  </cols>
  <sheetData>
    <row r="1" spans="2:77">
      <c r="B1" s="4" t="s">
        <v>46</v>
      </c>
      <c r="D1" s="4"/>
      <c r="E1" s="4"/>
      <c r="F1" s="4"/>
      <c r="G1" s="4" t="s">
        <v>244</v>
      </c>
      <c r="H1" s="16"/>
      <c r="I1" s="16"/>
      <c r="J1" s="16"/>
      <c r="K1" s="16"/>
      <c r="L1" s="4"/>
      <c r="M1" s="34"/>
      <c r="BN1" t="str">
        <f ca="1">OFFSET(BG4,1,W5-1)</f>
        <v>Becton_Dickinson</v>
      </c>
    </row>
    <row r="2" spans="2:77">
      <c r="B2" s="22" t="s">
        <v>47</v>
      </c>
      <c r="C2" s="22"/>
      <c r="D2" s="4"/>
      <c r="F2" s="4"/>
      <c r="G2" s="4" t="s">
        <v>51</v>
      </c>
      <c r="L2" s="4"/>
      <c r="M2" s="34"/>
      <c r="AS2" t="s">
        <v>132</v>
      </c>
      <c r="AU2">
        <v>41</v>
      </c>
    </row>
    <row r="3" spans="2:77">
      <c r="B3" s="4" t="s">
        <v>49</v>
      </c>
      <c r="D3" s="4"/>
      <c r="F3" s="4"/>
      <c r="G3" s="4" t="s">
        <v>208</v>
      </c>
      <c r="L3" s="4"/>
      <c r="M3" s="34"/>
    </row>
    <row r="4" spans="2:77" ht="21">
      <c r="B4" s="4" t="s">
        <v>50</v>
      </c>
      <c r="D4" s="4"/>
      <c r="E4" s="89" t="s">
        <v>53</v>
      </c>
      <c r="G4" s="4"/>
      <c r="H4" s="4"/>
      <c r="L4" s="4"/>
      <c r="M4" s="34"/>
      <c r="BG4" t="s">
        <v>77</v>
      </c>
      <c r="BH4" t="s">
        <v>78</v>
      </c>
      <c r="BI4" t="s">
        <v>79</v>
      </c>
      <c r="BJ4" t="s">
        <v>80</v>
      </c>
      <c r="BK4" t="s">
        <v>206</v>
      </c>
      <c r="BL4" t="s">
        <v>97</v>
      </c>
      <c r="BM4" t="s">
        <v>99</v>
      </c>
      <c r="BN4" t="s">
        <v>185</v>
      </c>
      <c r="BO4" t="s">
        <v>187</v>
      </c>
      <c r="BY4" t="s">
        <v>96</v>
      </c>
    </row>
    <row r="5" spans="2:77" ht="14" thickBot="1">
      <c r="B5" s="4"/>
      <c r="D5" s="4"/>
      <c r="E5" s="4"/>
      <c r="F5" s="4"/>
      <c r="G5" s="4"/>
      <c r="H5" s="4"/>
      <c r="L5" s="4"/>
      <c r="M5" s="34"/>
      <c r="W5">
        <f>MATCH(N11,Syringe_Makes,0)</f>
        <v>1</v>
      </c>
      <c r="BG5" t="s">
        <v>87</v>
      </c>
      <c r="BH5" t="s">
        <v>88</v>
      </c>
      <c r="BI5" t="s">
        <v>79</v>
      </c>
      <c r="BJ5" t="s">
        <v>89</v>
      </c>
      <c r="BK5" t="s">
        <v>205</v>
      </c>
      <c r="BL5" t="s">
        <v>98</v>
      </c>
      <c r="BM5" t="s">
        <v>99</v>
      </c>
      <c r="BN5" t="s">
        <v>185</v>
      </c>
      <c r="BO5" t="s">
        <v>187</v>
      </c>
      <c r="BY5" t="s">
        <v>111</v>
      </c>
    </row>
    <row r="6" spans="2:77" ht="14" thickBot="1">
      <c r="B6" s="90" t="s">
        <v>210</v>
      </c>
      <c r="C6" s="91"/>
      <c r="D6" s="1"/>
      <c r="E6" s="1"/>
      <c r="F6" s="1"/>
      <c r="G6" s="1"/>
      <c r="H6" s="1"/>
      <c r="I6" s="1"/>
      <c r="K6" s="56"/>
      <c r="L6" s="4"/>
      <c r="M6" s="34"/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107</v>
      </c>
      <c r="BM6" t="s">
        <v>107</v>
      </c>
      <c r="BN6" t="s">
        <v>186</v>
      </c>
      <c r="BO6" t="s">
        <v>188</v>
      </c>
      <c r="BY6" t="s">
        <v>100</v>
      </c>
    </row>
    <row r="7" spans="2:77" ht="30" thickBot="1">
      <c r="B7" s="92" t="s">
        <v>170</v>
      </c>
      <c r="C7" s="93"/>
      <c r="D7" s="7"/>
      <c r="E7" s="7"/>
      <c r="F7" s="7"/>
      <c r="G7" s="7"/>
      <c r="H7" s="7"/>
      <c r="I7" s="7"/>
      <c r="L7" s="4"/>
      <c r="M7" s="34"/>
      <c r="N7" s="79" t="s">
        <v>169</v>
      </c>
      <c r="O7" s="78"/>
      <c r="P7" s="2"/>
      <c r="AG7">
        <f>IF(ISNUMBER(FIND("mL",O18)),1000,1)</f>
        <v>1</v>
      </c>
      <c r="BG7" t="s">
        <v>83</v>
      </c>
      <c r="BH7" t="s">
        <v>83</v>
      </c>
      <c r="BI7" t="s">
        <v>83</v>
      </c>
      <c r="BJ7" t="s">
        <v>83</v>
      </c>
      <c r="BK7" t="s">
        <v>186</v>
      </c>
      <c r="BL7" t="s">
        <v>108</v>
      </c>
      <c r="BM7" t="s">
        <v>108</v>
      </c>
      <c r="BN7" t="s">
        <v>83</v>
      </c>
      <c r="BO7" t="s">
        <v>189</v>
      </c>
      <c r="BY7" t="s">
        <v>101</v>
      </c>
    </row>
    <row r="8" spans="2:77" ht="14" thickBot="1">
      <c r="B8" s="11" t="s">
        <v>118</v>
      </c>
      <c r="C8" s="11"/>
      <c r="D8" s="4"/>
      <c r="F8" s="4"/>
      <c r="G8" s="4"/>
      <c r="H8" s="4"/>
      <c r="L8" s="4"/>
      <c r="M8" s="34"/>
      <c r="N8" s="3"/>
      <c r="P8" s="5"/>
      <c r="BG8" t="s">
        <v>84</v>
      </c>
      <c r="BH8" t="s">
        <v>85</v>
      </c>
      <c r="BI8" t="s">
        <v>84</v>
      </c>
      <c r="BJ8" t="s">
        <v>84</v>
      </c>
      <c r="BK8" t="s">
        <v>83</v>
      </c>
      <c r="BL8" t="s">
        <v>109</v>
      </c>
      <c r="BM8" t="s">
        <v>175</v>
      </c>
      <c r="BN8" t="s">
        <v>84</v>
      </c>
      <c r="BO8" t="s">
        <v>190</v>
      </c>
      <c r="BY8" t="s">
        <v>102</v>
      </c>
    </row>
    <row r="9" spans="2:77" ht="26" thickBot="1">
      <c r="B9" s="7"/>
      <c r="C9" s="7"/>
      <c r="D9" s="7"/>
      <c r="E9" s="7"/>
      <c r="F9" s="4"/>
      <c r="G9" s="7"/>
      <c r="H9" s="94" t="s">
        <v>226</v>
      </c>
      <c r="I9" s="95"/>
      <c r="J9" s="96"/>
      <c r="K9" s="96"/>
      <c r="L9" s="96"/>
      <c r="M9" s="97"/>
      <c r="N9" s="32" t="s">
        <v>120</v>
      </c>
      <c r="O9" s="7"/>
      <c r="P9" s="8"/>
      <c r="AO9" s="9" t="s">
        <v>21</v>
      </c>
      <c r="AP9" s="1">
        <v>0</v>
      </c>
      <c r="AQ9" s="1">
        <v>1000</v>
      </c>
      <c r="AR9" s="1">
        <v>0</v>
      </c>
      <c r="AS9" s="1">
        <v>0</v>
      </c>
      <c r="AT9" s="1">
        <v>0</v>
      </c>
      <c r="AU9" s="12"/>
      <c r="AV9" s="1"/>
      <c r="AW9" s="12" t="s">
        <v>21</v>
      </c>
      <c r="AX9" s="2">
        <v>0</v>
      </c>
      <c r="AY9" s="9" t="s">
        <v>21</v>
      </c>
      <c r="AZ9" s="12"/>
      <c r="BA9" s="24">
        <v>-1</v>
      </c>
      <c r="BB9">
        <v>100</v>
      </c>
      <c r="BC9" t="s">
        <v>39</v>
      </c>
      <c r="BD9">
        <v>0</v>
      </c>
      <c r="BE9">
        <v>0</v>
      </c>
      <c r="BG9" t="s">
        <v>100</v>
      </c>
      <c r="BH9" t="s">
        <v>105</v>
      </c>
      <c r="BI9" t="s">
        <v>100</v>
      </c>
      <c r="BJ9" t="s">
        <v>100</v>
      </c>
      <c r="BK9" t="s">
        <v>84</v>
      </c>
      <c r="BL9" t="s">
        <v>110</v>
      </c>
      <c r="BM9" t="s">
        <v>176</v>
      </c>
      <c r="BN9" t="s">
        <v>100</v>
      </c>
      <c r="BO9" t="s">
        <v>191</v>
      </c>
      <c r="BY9" t="s">
        <v>104</v>
      </c>
    </row>
    <row r="10" spans="2:77" ht="72" customHeight="1" thickBot="1">
      <c r="B10" s="26" t="s">
        <v>93</v>
      </c>
      <c r="C10" s="49" t="s">
        <v>142</v>
      </c>
      <c r="D10" s="120" t="s">
        <v>94</v>
      </c>
      <c r="E10" s="20" t="s">
        <v>95</v>
      </c>
      <c r="F10" s="28" t="s">
        <v>171</v>
      </c>
      <c r="G10" s="27" t="s">
        <v>45</v>
      </c>
      <c r="H10" s="61" t="str">
        <f>"Volume to be Dispensed ("&amp;O18&amp;"). 0 = Continuous Pumping"</f>
        <v>Volume to be Dispensed (μL). 0 = Continuous Pumping</v>
      </c>
      <c r="I10" s="127" t="s">
        <v>204</v>
      </c>
      <c r="J10" s="128"/>
      <c r="K10" s="129"/>
      <c r="L10" s="63" t="s">
        <v>44</v>
      </c>
      <c r="M10" s="35" t="s">
        <v>122</v>
      </c>
      <c r="N10" s="21" t="s">
        <v>81</v>
      </c>
      <c r="O10" s="21" t="s">
        <v>86</v>
      </c>
      <c r="P10" s="21" t="s">
        <v>207</v>
      </c>
      <c r="Q10" s="31"/>
      <c r="R10" s="31"/>
      <c r="S10" s="31"/>
      <c r="T10" s="31"/>
      <c r="W10" s="48" t="s">
        <v>31</v>
      </c>
      <c r="X10" s="48"/>
      <c r="Y10" s="48" t="s">
        <v>32</v>
      </c>
      <c r="Z10" s="48" t="s">
        <v>34</v>
      </c>
      <c r="AA10" s="48"/>
      <c r="AB10" s="48"/>
      <c r="AC10" s="48" t="s">
        <v>143</v>
      </c>
      <c r="AD10" s="48"/>
      <c r="AE10" s="48"/>
      <c r="AF10" s="48" t="s">
        <v>144</v>
      </c>
      <c r="AG10" s="48" t="s">
        <v>147</v>
      </c>
      <c r="AH10" s="48" t="s">
        <v>130</v>
      </c>
      <c r="AI10" s="48" t="s">
        <v>131</v>
      </c>
      <c r="AJ10" s="48" t="s">
        <v>167</v>
      </c>
      <c r="AK10" s="48" t="s">
        <v>6</v>
      </c>
      <c r="AL10" s="48" t="s">
        <v>35</v>
      </c>
      <c r="AM10" s="48"/>
      <c r="AN10" s="48" t="s">
        <v>133</v>
      </c>
      <c r="AO10" s="3" t="s">
        <v>52</v>
      </c>
      <c r="AP10" s="4" t="s">
        <v>1</v>
      </c>
      <c r="AQ10">
        <v>350</v>
      </c>
      <c r="AR10">
        <v>0</v>
      </c>
      <c r="AS10">
        <v>0</v>
      </c>
      <c r="AT10">
        <v>0</v>
      </c>
      <c r="AW10" s="11" t="s">
        <v>28</v>
      </c>
      <c r="AX10" s="5" t="s">
        <v>2</v>
      </c>
      <c r="AY10" s="23" t="s">
        <v>56</v>
      </c>
      <c r="AZ10" s="11" t="s">
        <v>150</v>
      </c>
      <c r="BA10" s="25">
        <v>0</v>
      </c>
      <c r="BB10">
        <v>200</v>
      </c>
      <c r="BC10" t="s">
        <v>41</v>
      </c>
      <c r="BD10">
        <v>0</v>
      </c>
      <c r="BE10">
        <v>0</v>
      </c>
      <c r="BG10" t="s">
        <v>101</v>
      </c>
      <c r="BH10" t="s">
        <v>101</v>
      </c>
      <c r="BI10" t="s">
        <v>101</v>
      </c>
      <c r="BJ10" t="s">
        <v>101</v>
      </c>
      <c r="BK10" t="s">
        <v>100</v>
      </c>
      <c r="BM10" t="s">
        <v>177</v>
      </c>
      <c r="BN10" t="s">
        <v>101</v>
      </c>
      <c r="BO10" t="s">
        <v>192</v>
      </c>
    </row>
    <row r="11" spans="2:77" ht="16" thickBot="1">
      <c r="B11" s="37" t="s">
        <v>119</v>
      </c>
      <c r="C11" s="50"/>
      <c r="D11" s="84">
        <f>IF(W11=1,"",1)</f>
        <v>1</v>
      </c>
      <c r="E11" s="38" t="s">
        <v>52</v>
      </c>
      <c r="F11" s="156">
        <v>99.84</v>
      </c>
      <c r="G11" s="53" t="s">
        <v>246</v>
      </c>
      <c r="H11" s="156">
        <v>31.2</v>
      </c>
      <c r="I11" s="64">
        <v>0</v>
      </c>
      <c r="J11" s="80" t="s">
        <v>149</v>
      </c>
      <c r="K11" s="65">
        <v>37.5</v>
      </c>
      <c r="L11" s="54" t="s">
        <v>28</v>
      </c>
      <c r="M11" s="55" t="s">
        <v>21</v>
      </c>
      <c r="N11" s="44" t="s">
        <v>77</v>
      </c>
      <c r="O11" s="45" t="s">
        <v>100</v>
      </c>
      <c r="P11" s="2">
        <f ca="1">OFFSET(diameters,MATCH(O11,INDIRECT(OFFSET(BG4,1,W5-1)),0)-1,W5-1)</f>
        <v>14.43</v>
      </c>
      <c r="V11">
        <f t="shared" ref="V11:V51" si="0">MATCH(E11,Functions,0)</f>
        <v>2</v>
      </c>
      <c r="W11" t="str">
        <f t="shared" ref="W11:W51" si="1">INDEX(Commands,$V11)</f>
        <v>RAT</v>
      </c>
      <c r="X11">
        <f t="shared" ref="X11:X17" si="2">IF(AND(Z11&gt;=ratetime,Z11&lt;phasenum),MATCH(G11,Units,0),1)</f>
        <v>5</v>
      </c>
      <c r="Y11" t="str">
        <f t="shared" ref="Y11:Y51" si="3">INDEX(ucmd,$X11)</f>
        <v>UM</v>
      </c>
      <c r="Z11">
        <f t="shared" ref="Z11:Z51" si="4">INDEX(dtype,$V11)</f>
        <v>350</v>
      </c>
      <c r="AA11">
        <f>ROUND(AC11/AB11,0)*AB11</f>
        <v>99.84</v>
      </c>
      <c r="AB11">
        <f>IF(AC11&gt;1,10^(INT(LOG(AC11))-3),0.001)</f>
        <v>0.01</v>
      </c>
      <c r="AC11">
        <f t="shared" ref="AC11:AC51" si="5">IF(Z11&lt;phasenum,F11*INDEX(umult,$X11),1)</f>
        <v>99.84</v>
      </c>
      <c r="AD11">
        <f>IF(AF11="",AF11,IF(AF11&gt;9999,err(),ROUND(AF11/AE11,0)*AE11))</f>
        <v>31.2</v>
      </c>
      <c r="AE11">
        <f>IF(AND(AF11&gt;1,AF11&lt;&gt;""),10^(INT(LOG(AF11))-3),0.001)</f>
        <v>0.01</v>
      </c>
      <c r="AF11">
        <f t="shared" ref="AF11:AF51" si="6">IF(OR(Z11=rateonly,Z11=rateunits),IF(H11="","",H11),IF(Z11=ratetime,AG11,""))</f>
        <v>31.2</v>
      </c>
      <c r="AG11" s="57">
        <f>(I11+K11/60)/(IF(ISNUMBER(FIND("hr",G11,3)),60,1))*AC11*(IF(ISNUMBER(FIND("mL",G11)),1000,1)/$AG$7)</f>
        <v>62.400000000000006</v>
      </c>
      <c r="AH11">
        <f t="shared" ref="AH11:AH51" si="7">INDEX(dmin,$V11)</f>
        <v>0</v>
      </c>
      <c r="AI11">
        <f t="shared" ref="AI11:AI51" si="8">INDEX(dmax,$V11)</f>
        <v>0</v>
      </c>
      <c r="AJ11">
        <f>INDEX($AT$9:$AT$36,$V11)</f>
        <v>0</v>
      </c>
      <c r="AK11">
        <f t="shared" ref="AK11:AK51" si="9">MATCH(L11,Direction,0)</f>
        <v>2</v>
      </c>
      <c r="AL11" t="str">
        <f t="shared" ref="AL11:AL51" si="10">INDEX(drcmd,$AK11)</f>
        <v>INF</v>
      </c>
      <c r="AM11">
        <f ca="1">IF(INT(Z11/100)=8,INDEX(trgcmd,MATCH(M11,trigger,0)),IF(ISNUMBER(F11),INT(F11*10^AJ11)/10^AJ11,INDIRECT(ADDRESS(MATCH(F11,B:B,0),4))))</f>
        <v>99</v>
      </c>
      <c r="AN11" t="str">
        <f t="shared" ref="AN11:AN51" si="11">IF(AND(Z11&lt;phasenum,OR(NOT(ISNUMBER(F11)),AA11&gt;9999)),NA(),IF(AI11&lt;=0,"",IF(AND(AM11&gt;=AH11,AM11&lt;=AI11),AM11,NA())))</f>
        <v/>
      </c>
      <c r="AO11" s="106" t="s">
        <v>217</v>
      </c>
      <c r="AP11" s="4" t="s">
        <v>1</v>
      </c>
      <c r="AQ11">
        <v>200</v>
      </c>
      <c r="AR11">
        <v>0</v>
      </c>
      <c r="AS11">
        <v>0</v>
      </c>
      <c r="AT11">
        <v>0</v>
      </c>
      <c r="AW11" s="11" t="s">
        <v>29</v>
      </c>
      <c r="AX11" s="5" t="s">
        <v>30</v>
      </c>
      <c r="AY11" s="23" t="s">
        <v>57</v>
      </c>
      <c r="AZ11" s="11" t="s">
        <v>151</v>
      </c>
      <c r="BA11" s="25">
        <v>1</v>
      </c>
      <c r="BB11">
        <v>350</v>
      </c>
      <c r="BC11" t="s">
        <v>38</v>
      </c>
      <c r="BD11">
        <v>0</v>
      </c>
      <c r="BE11">
        <v>0</v>
      </c>
      <c r="BG11" t="s">
        <v>102</v>
      </c>
      <c r="BH11" t="s">
        <v>106</v>
      </c>
      <c r="BI11" t="s">
        <v>102</v>
      </c>
      <c r="BJ11" t="s">
        <v>102</v>
      </c>
      <c r="BK11" t="s">
        <v>101</v>
      </c>
      <c r="BM11" t="s">
        <v>178</v>
      </c>
      <c r="BN11" t="s">
        <v>102</v>
      </c>
      <c r="BO11" t="s">
        <v>193</v>
      </c>
      <c r="BY11">
        <v>15.9</v>
      </c>
    </row>
    <row r="12" spans="2:77" ht="15" thickBot="1">
      <c r="B12" s="39"/>
      <c r="C12" s="51"/>
      <c r="D12" s="83">
        <f>IF(W12=1,"",N(D11)+1)</f>
        <v>2</v>
      </c>
      <c r="E12" s="40" t="s">
        <v>52</v>
      </c>
      <c r="F12" s="156">
        <v>99.968000000000004</v>
      </c>
      <c r="G12" s="41" t="s">
        <v>246</v>
      </c>
      <c r="H12" s="156">
        <v>31.24</v>
      </c>
      <c r="I12" s="64">
        <v>0</v>
      </c>
      <c r="J12" s="81" t="s">
        <v>149</v>
      </c>
      <c r="K12" s="65">
        <v>37.5</v>
      </c>
      <c r="L12" s="54" t="s">
        <v>28</v>
      </c>
      <c r="M12" s="59" t="s">
        <v>21</v>
      </c>
      <c r="N12" s="3"/>
      <c r="O12" s="4" t="s">
        <v>121</v>
      </c>
      <c r="P12" s="5"/>
      <c r="V12">
        <f t="shared" si="0"/>
        <v>2</v>
      </c>
      <c r="W12" t="str">
        <f t="shared" si="1"/>
        <v>RAT</v>
      </c>
      <c r="X12">
        <f t="shared" si="2"/>
        <v>5</v>
      </c>
      <c r="Y12" t="str">
        <f t="shared" si="3"/>
        <v>UM</v>
      </c>
      <c r="Z12">
        <f t="shared" si="4"/>
        <v>350</v>
      </c>
      <c r="AA12">
        <f t="shared" ref="AA12:AA51" si="12">ROUND(AC12/AB12,0)*AB12</f>
        <v>99.97</v>
      </c>
      <c r="AB12">
        <f t="shared" ref="AB12:AB51" si="13">IF(AC12&gt;1,10^(INT(LOG(AC12))-3),0.001)</f>
        <v>0.01</v>
      </c>
      <c r="AC12">
        <f t="shared" si="5"/>
        <v>99.968000000000004</v>
      </c>
      <c r="AD12">
        <f t="shared" ref="AD12:AD51" si="14">IF(AF12="",AF12,IF(AF12&gt;9999,err(),ROUND(AF12/AE12,0)*AE12))</f>
        <v>31.240000000000002</v>
      </c>
      <c r="AE12">
        <f t="shared" ref="AE12:AE51" si="15">IF(AND(AF12&gt;1,AF12&lt;&gt;""),10^(INT(LOG(AF12))-3),0.001)</f>
        <v>0.01</v>
      </c>
      <c r="AF12">
        <f t="shared" si="6"/>
        <v>31.24</v>
      </c>
      <c r="AG12" s="57">
        <f t="shared" ref="AG12:AG51" si="16">(I12+K12/60)/(IF(ISNUMBER(FIND("hr",G12,3)),60,1))*AC12*(IF(ISNUMBER(FIND("mL",G12)),1000,1)/$AG$7)</f>
        <v>62.480000000000004</v>
      </c>
      <c r="AH12">
        <f t="shared" si="7"/>
        <v>0</v>
      </c>
      <c r="AI12">
        <f t="shared" si="8"/>
        <v>0</v>
      </c>
      <c r="AJ12">
        <f t="shared" ref="AJ12:AJ51" si="17">INDEX($AT$9:$AT$36,$V12)</f>
        <v>0</v>
      </c>
      <c r="AK12">
        <f t="shared" si="9"/>
        <v>2</v>
      </c>
      <c r="AL12" t="str">
        <f t="shared" si="10"/>
        <v>INF</v>
      </c>
      <c r="AM12">
        <f t="shared" ref="AM12:AM51" ca="1" si="18">IF(INT(Z12/100)=8,INDEX(trgcmd,MATCH(M12,trigger,0)),IF(ISNUMBER(F12),INT(F12*10^AJ12)/10^AJ12,INDIRECT(ADDRESS(MATCH(F12,B:B,0),4))))</f>
        <v>99</v>
      </c>
      <c r="AN12" t="str">
        <f t="shared" si="11"/>
        <v/>
      </c>
      <c r="AO12" s="106" t="s">
        <v>218</v>
      </c>
      <c r="AP12" s="4" t="s">
        <v>124</v>
      </c>
      <c r="AQ12">
        <v>300</v>
      </c>
      <c r="AR12">
        <v>0</v>
      </c>
      <c r="AS12">
        <v>0</v>
      </c>
      <c r="AT12">
        <v>0</v>
      </c>
      <c r="AW12" s="11" t="s">
        <v>194</v>
      </c>
      <c r="AX12" s="5" t="s">
        <v>195</v>
      </c>
      <c r="AY12" s="23" t="s">
        <v>237</v>
      </c>
      <c r="AZ12" s="11" t="s">
        <v>152</v>
      </c>
      <c r="BA12" s="25">
        <v>2</v>
      </c>
      <c r="BB12">
        <v>300</v>
      </c>
      <c r="BC12" t="s">
        <v>125</v>
      </c>
      <c r="BD12">
        <v>0</v>
      </c>
      <c r="BE12">
        <v>0</v>
      </c>
      <c r="BG12" t="s">
        <v>103</v>
      </c>
      <c r="BH12" t="s">
        <v>103</v>
      </c>
      <c r="BI12" t="s">
        <v>103</v>
      </c>
      <c r="BJ12" t="s">
        <v>104</v>
      </c>
      <c r="BK12" t="s">
        <v>102</v>
      </c>
      <c r="BM12" t="s">
        <v>179</v>
      </c>
      <c r="BN12" t="s">
        <v>104</v>
      </c>
      <c r="BY12">
        <v>20.25</v>
      </c>
    </row>
    <row r="13" spans="2:77" ht="15" thickBot="1">
      <c r="B13" s="39"/>
      <c r="C13" s="51"/>
      <c r="D13" s="83">
        <f t="shared" ref="D13:D51" si="19">IF(W13=1,"",N(D12)+1)</f>
        <v>3</v>
      </c>
      <c r="E13" s="40" t="s">
        <v>52</v>
      </c>
      <c r="F13" s="156">
        <v>100.1</v>
      </c>
      <c r="G13" s="41" t="s">
        <v>246</v>
      </c>
      <c r="H13" s="156">
        <v>31.28</v>
      </c>
      <c r="I13" s="64">
        <v>0</v>
      </c>
      <c r="J13" s="81" t="s">
        <v>149</v>
      </c>
      <c r="K13" s="65">
        <v>37.5</v>
      </c>
      <c r="L13" s="54" t="s">
        <v>28</v>
      </c>
      <c r="M13" s="59" t="s">
        <v>21</v>
      </c>
      <c r="N13" s="3"/>
      <c r="O13" s="33" t="s">
        <v>165</v>
      </c>
      <c r="P13" s="46"/>
      <c r="V13">
        <f t="shared" si="0"/>
        <v>2</v>
      </c>
      <c r="W13" t="str">
        <f t="shared" si="1"/>
        <v>RAT</v>
      </c>
      <c r="X13">
        <f t="shared" si="2"/>
        <v>5</v>
      </c>
      <c r="Y13" t="str">
        <f t="shared" si="3"/>
        <v>UM</v>
      </c>
      <c r="Z13">
        <f t="shared" si="4"/>
        <v>350</v>
      </c>
      <c r="AA13">
        <f t="shared" si="12"/>
        <v>100.10000000000001</v>
      </c>
      <c r="AB13">
        <f t="shared" si="13"/>
        <v>0.1</v>
      </c>
      <c r="AC13">
        <f t="shared" si="5"/>
        <v>100.1</v>
      </c>
      <c r="AD13">
        <f t="shared" si="14"/>
        <v>31.28</v>
      </c>
      <c r="AE13">
        <f t="shared" si="15"/>
        <v>0.01</v>
      </c>
      <c r="AF13">
        <f t="shared" si="6"/>
        <v>31.28</v>
      </c>
      <c r="AG13" s="57">
        <f t="shared" si="16"/>
        <v>62.5625</v>
      </c>
      <c r="AH13">
        <f t="shared" si="7"/>
        <v>0</v>
      </c>
      <c r="AI13">
        <f t="shared" si="8"/>
        <v>0</v>
      </c>
      <c r="AJ13">
        <f t="shared" si="17"/>
        <v>0</v>
      </c>
      <c r="AK13">
        <f t="shared" si="9"/>
        <v>2</v>
      </c>
      <c r="AL13" t="str">
        <f t="shared" si="10"/>
        <v>INF</v>
      </c>
      <c r="AM13">
        <f t="shared" ca="1" si="18"/>
        <v>100</v>
      </c>
      <c r="AN13" t="str">
        <f t="shared" si="11"/>
        <v/>
      </c>
      <c r="AO13" s="106" t="s">
        <v>219</v>
      </c>
      <c r="AP13" s="4" t="s">
        <v>8</v>
      </c>
      <c r="AQ13">
        <v>100</v>
      </c>
      <c r="AR13">
        <v>0</v>
      </c>
      <c r="AS13">
        <v>0</v>
      </c>
      <c r="AT13">
        <v>0</v>
      </c>
      <c r="AW13" s="4"/>
      <c r="AX13" s="5"/>
      <c r="AY13" s="23" t="s">
        <v>58</v>
      </c>
      <c r="AZ13" s="11" t="s">
        <v>153</v>
      </c>
      <c r="BA13" s="25">
        <v>3</v>
      </c>
      <c r="BB13">
        <v>400</v>
      </c>
      <c r="BC13" t="s">
        <v>145</v>
      </c>
      <c r="BD13">
        <v>1</v>
      </c>
      <c r="BE13">
        <v>41</v>
      </c>
      <c r="BH13" t="s">
        <v>174</v>
      </c>
      <c r="BK13" t="s">
        <v>104</v>
      </c>
      <c r="BM13" t="s">
        <v>180</v>
      </c>
      <c r="BY13">
        <v>22.5</v>
      </c>
    </row>
    <row r="14" spans="2:77" ht="15" thickBot="1">
      <c r="B14" s="39"/>
      <c r="C14" s="51"/>
      <c r="D14" s="83">
        <f t="shared" si="19"/>
        <v>4</v>
      </c>
      <c r="E14" s="40" t="s">
        <v>52</v>
      </c>
      <c r="F14" s="156">
        <v>100.19</v>
      </c>
      <c r="G14" s="41" t="s">
        <v>246</v>
      </c>
      <c r="H14" s="156">
        <v>31.31</v>
      </c>
      <c r="I14" s="64">
        <v>0</v>
      </c>
      <c r="J14" s="81" t="s">
        <v>149</v>
      </c>
      <c r="K14" s="65">
        <v>37.5</v>
      </c>
      <c r="L14" s="54" t="s">
        <v>28</v>
      </c>
      <c r="M14" s="59" t="s">
        <v>21</v>
      </c>
      <c r="N14" s="3" t="s">
        <v>123</v>
      </c>
      <c r="P14" s="5"/>
      <c r="V14">
        <f t="shared" si="0"/>
        <v>2</v>
      </c>
      <c r="W14" t="str">
        <f t="shared" si="1"/>
        <v>RAT</v>
      </c>
      <c r="X14">
        <f t="shared" si="2"/>
        <v>5</v>
      </c>
      <c r="Y14" t="str">
        <f t="shared" si="3"/>
        <v>UM</v>
      </c>
      <c r="Z14">
        <f t="shared" si="4"/>
        <v>350</v>
      </c>
      <c r="AA14">
        <f t="shared" si="12"/>
        <v>100.2</v>
      </c>
      <c r="AB14">
        <f t="shared" si="13"/>
        <v>0.1</v>
      </c>
      <c r="AC14">
        <f t="shared" si="5"/>
        <v>100.19</v>
      </c>
      <c r="AD14">
        <f t="shared" si="14"/>
        <v>31.310000000000002</v>
      </c>
      <c r="AE14">
        <f t="shared" si="15"/>
        <v>0.01</v>
      </c>
      <c r="AF14">
        <f t="shared" si="6"/>
        <v>31.31</v>
      </c>
      <c r="AG14" s="57">
        <f t="shared" si="16"/>
        <v>62.618749999999999</v>
      </c>
      <c r="AH14">
        <f t="shared" si="7"/>
        <v>0</v>
      </c>
      <c r="AI14">
        <f t="shared" si="8"/>
        <v>0</v>
      </c>
      <c r="AJ14">
        <f t="shared" si="17"/>
        <v>0</v>
      </c>
      <c r="AK14">
        <f t="shared" si="9"/>
        <v>2</v>
      </c>
      <c r="AL14" t="str">
        <f t="shared" si="10"/>
        <v>INF</v>
      </c>
      <c r="AM14">
        <f t="shared" ca="1" si="18"/>
        <v>100</v>
      </c>
      <c r="AN14" t="str">
        <f t="shared" si="11"/>
        <v/>
      </c>
      <c r="AO14" s="106" t="s">
        <v>220</v>
      </c>
      <c r="AP14" s="4" t="s">
        <v>9</v>
      </c>
      <c r="AQ14">
        <v>100</v>
      </c>
      <c r="AR14">
        <v>0</v>
      </c>
      <c r="AS14">
        <v>0</v>
      </c>
      <c r="AT14">
        <v>0</v>
      </c>
      <c r="AW14" s="4"/>
      <c r="AX14" s="5"/>
      <c r="AY14" s="23" t="s">
        <v>138</v>
      </c>
      <c r="AZ14" s="11" t="s">
        <v>154</v>
      </c>
      <c r="BA14" s="25">
        <v>4</v>
      </c>
      <c r="BB14">
        <v>500</v>
      </c>
      <c r="BC14" t="s">
        <v>126</v>
      </c>
      <c r="BD14">
        <v>0</v>
      </c>
      <c r="BE14">
        <v>99</v>
      </c>
      <c r="BK14" t="s">
        <v>184</v>
      </c>
      <c r="BM14" t="s">
        <v>181</v>
      </c>
      <c r="BY14">
        <v>29</v>
      </c>
    </row>
    <row r="15" spans="2:77" ht="15" thickBot="1">
      <c r="B15" s="39"/>
      <c r="C15" s="51"/>
      <c r="D15" s="83">
        <f t="shared" si="19"/>
        <v>5</v>
      </c>
      <c r="E15" s="40" t="s">
        <v>52</v>
      </c>
      <c r="F15" s="156">
        <v>100.29</v>
      </c>
      <c r="G15" s="41" t="s">
        <v>246</v>
      </c>
      <c r="H15" s="156">
        <v>31.34</v>
      </c>
      <c r="I15" s="64">
        <v>0</v>
      </c>
      <c r="J15" s="81" t="s">
        <v>149</v>
      </c>
      <c r="K15" s="65">
        <v>37.5</v>
      </c>
      <c r="L15" s="54" t="s">
        <v>28</v>
      </c>
      <c r="M15" s="59" t="s">
        <v>21</v>
      </c>
      <c r="N15" s="6"/>
      <c r="O15" s="68" t="s">
        <v>166</v>
      </c>
      <c r="P15" s="69">
        <f ca="1">IF(ISBLANK(P13),IF(ISERROR(P11),0,P11),P13)</f>
        <v>14.43</v>
      </c>
      <c r="T15">
        <f ca="1">ROUND(P15/U15,0)*U15</f>
        <v>14.43</v>
      </c>
      <c r="U15">
        <f ca="1">IF(P15&gt;1,10^(INT(LOG(P15))-3),0.001)</f>
        <v>0.01</v>
      </c>
      <c r="V15">
        <f t="shared" si="0"/>
        <v>2</v>
      </c>
      <c r="W15" t="str">
        <f t="shared" si="1"/>
        <v>RAT</v>
      </c>
      <c r="X15">
        <f t="shared" si="2"/>
        <v>5</v>
      </c>
      <c r="Y15" t="str">
        <f t="shared" si="3"/>
        <v>UM</v>
      </c>
      <c r="Z15">
        <f t="shared" si="4"/>
        <v>350</v>
      </c>
      <c r="AA15">
        <f t="shared" si="12"/>
        <v>100.30000000000001</v>
      </c>
      <c r="AB15">
        <f t="shared" si="13"/>
        <v>0.1</v>
      </c>
      <c r="AC15">
        <f t="shared" si="5"/>
        <v>100.29</v>
      </c>
      <c r="AD15">
        <f t="shared" si="14"/>
        <v>31.34</v>
      </c>
      <c r="AE15">
        <f t="shared" si="15"/>
        <v>0.01</v>
      </c>
      <c r="AF15">
        <f t="shared" si="6"/>
        <v>31.34</v>
      </c>
      <c r="AG15" s="57">
        <f t="shared" si="16"/>
        <v>62.681250000000006</v>
      </c>
      <c r="AH15">
        <f t="shared" si="7"/>
        <v>0</v>
      </c>
      <c r="AI15">
        <f t="shared" si="8"/>
        <v>0</v>
      </c>
      <c r="AJ15">
        <f t="shared" si="17"/>
        <v>0</v>
      </c>
      <c r="AK15">
        <f t="shared" si="9"/>
        <v>2</v>
      </c>
      <c r="AL15" t="str">
        <f t="shared" si="10"/>
        <v>INF</v>
      </c>
      <c r="AM15">
        <f t="shared" ca="1" si="18"/>
        <v>100</v>
      </c>
      <c r="AN15" t="str">
        <f t="shared" si="11"/>
        <v/>
      </c>
      <c r="AO15" s="3" t="s">
        <v>54</v>
      </c>
      <c r="AP15" s="4" t="s">
        <v>5</v>
      </c>
      <c r="AQ15">
        <v>900</v>
      </c>
      <c r="AR15">
        <v>-1</v>
      </c>
      <c r="AS15">
        <v>-1</v>
      </c>
      <c r="AT15">
        <v>0</v>
      </c>
      <c r="AW15" s="4"/>
      <c r="AX15" s="5"/>
      <c r="AY15" s="23" t="s">
        <v>139</v>
      </c>
      <c r="AZ15" s="11" t="s">
        <v>155</v>
      </c>
      <c r="BA15" s="25">
        <v>5</v>
      </c>
      <c r="BB15">
        <v>550</v>
      </c>
      <c r="BC15" t="s">
        <v>127</v>
      </c>
      <c r="BD15">
        <v>1</v>
      </c>
      <c r="BE15">
        <v>99</v>
      </c>
      <c r="BM15" t="s">
        <v>82</v>
      </c>
    </row>
    <row r="16" spans="2:77" ht="15" thickBot="1">
      <c r="B16" s="39"/>
      <c r="C16" s="51"/>
      <c r="D16" s="83">
        <f t="shared" si="19"/>
        <v>6</v>
      </c>
      <c r="E16" s="40" t="s">
        <v>52</v>
      </c>
      <c r="F16" s="156">
        <v>100.42</v>
      </c>
      <c r="G16" s="41" t="s">
        <v>246</v>
      </c>
      <c r="H16" s="156">
        <v>31.38</v>
      </c>
      <c r="I16" s="64">
        <v>0</v>
      </c>
      <c r="J16" s="81" t="s">
        <v>149</v>
      </c>
      <c r="K16" s="65">
        <v>37.5</v>
      </c>
      <c r="L16" s="54" t="s">
        <v>28</v>
      </c>
      <c r="M16" s="59" t="s">
        <v>21</v>
      </c>
      <c r="P16" s="5"/>
      <c r="V16">
        <f t="shared" si="0"/>
        <v>2</v>
      </c>
      <c r="W16" t="str">
        <f t="shared" si="1"/>
        <v>RAT</v>
      </c>
      <c r="X16">
        <f t="shared" si="2"/>
        <v>5</v>
      </c>
      <c r="Y16" t="str">
        <f t="shared" si="3"/>
        <v>UM</v>
      </c>
      <c r="Z16">
        <f t="shared" si="4"/>
        <v>350</v>
      </c>
      <c r="AA16">
        <f>ROUND(AC16/AB16,0)*AB16</f>
        <v>100.4</v>
      </c>
      <c r="AB16">
        <f t="shared" si="13"/>
        <v>0.1</v>
      </c>
      <c r="AC16">
        <f t="shared" si="5"/>
        <v>100.42</v>
      </c>
      <c r="AD16">
        <f t="shared" si="14"/>
        <v>31.38</v>
      </c>
      <c r="AE16">
        <f t="shared" si="15"/>
        <v>0.01</v>
      </c>
      <c r="AF16">
        <f t="shared" si="6"/>
        <v>31.38</v>
      </c>
      <c r="AG16" s="57">
        <f t="shared" si="16"/>
        <v>62.762500000000003</v>
      </c>
      <c r="AH16">
        <f t="shared" si="7"/>
        <v>0</v>
      </c>
      <c r="AI16">
        <f t="shared" si="8"/>
        <v>0</v>
      </c>
      <c r="AJ16">
        <f t="shared" si="17"/>
        <v>0</v>
      </c>
      <c r="AK16">
        <f t="shared" si="9"/>
        <v>2</v>
      </c>
      <c r="AL16" t="str">
        <f t="shared" si="10"/>
        <v>INF</v>
      </c>
      <c r="AM16">
        <f t="shared" ca="1" si="18"/>
        <v>100</v>
      </c>
      <c r="AN16" t="str">
        <f t="shared" si="11"/>
        <v/>
      </c>
      <c r="AO16" s="106" t="s">
        <v>221</v>
      </c>
      <c r="AP16" s="4" t="s">
        <v>0</v>
      </c>
      <c r="AQ16">
        <v>500</v>
      </c>
      <c r="AR16">
        <v>0</v>
      </c>
      <c r="AS16">
        <v>99</v>
      </c>
      <c r="AT16">
        <v>1</v>
      </c>
      <c r="AU16" s="4" t="s">
        <v>22</v>
      </c>
      <c r="AV16" s="86" t="s">
        <v>198</v>
      </c>
      <c r="AW16" s="11" t="s">
        <v>24</v>
      </c>
      <c r="AX16" s="87" t="s">
        <v>199</v>
      </c>
      <c r="AY16" s="23" t="s">
        <v>141</v>
      </c>
      <c r="AZ16" s="11" t="s">
        <v>156</v>
      </c>
      <c r="BA16" s="25">
        <v>6</v>
      </c>
      <c r="BB16">
        <v>600</v>
      </c>
      <c r="BC16" t="s">
        <v>128</v>
      </c>
      <c r="BD16">
        <v>0</v>
      </c>
      <c r="BE16">
        <v>1</v>
      </c>
      <c r="BM16" t="s">
        <v>182</v>
      </c>
    </row>
    <row r="17" spans="2:67" ht="20" thickBot="1">
      <c r="B17" s="39"/>
      <c r="C17" s="51"/>
      <c r="D17" s="83">
        <f t="shared" si="19"/>
        <v>7</v>
      </c>
      <c r="E17" s="40" t="s">
        <v>52</v>
      </c>
      <c r="F17" s="156">
        <v>100.51</v>
      </c>
      <c r="G17" s="41" t="s">
        <v>246</v>
      </c>
      <c r="H17" s="156">
        <v>31.41</v>
      </c>
      <c r="I17" s="64">
        <v>0</v>
      </c>
      <c r="J17" s="81" t="s">
        <v>149</v>
      </c>
      <c r="K17" s="65">
        <v>37.5</v>
      </c>
      <c r="L17" s="54" t="s">
        <v>28</v>
      </c>
      <c r="M17" s="59" t="s">
        <v>21</v>
      </c>
      <c r="N17" s="107" t="s">
        <v>209</v>
      </c>
      <c r="O17" s="133" t="s">
        <v>202</v>
      </c>
      <c r="P17" s="134"/>
      <c r="V17">
        <f t="shared" si="0"/>
        <v>2</v>
      </c>
      <c r="W17" t="str">
        <f t="shared" si="1"/>
        <v>RAT</v>
      </c>
      <c r="X17">
        <f t="shared" si="2"/>
        <v>5</v>
      </c>
      <c r="Y17" t="str">
        <f t="shared" si="3"/>
        <v>UM</v>
      </c>
      <c r="Z17">
        <f t="shared" si="4"/>
        <v>350</v>
      </c>
      <c r="AA17">
        <f t="shared" si="12"/>
        <v>100.5</v>
      </c>
      <c r="AB17">
        <f t="shared" si="13"/>
        <v>0.1</v>
      </c>
      <c r="AC17">
        <f t="shared" si="5"/>
        <v>100.51</v>
      </c>
      <c r="AD17">
        <f t="shared" si="14"/>
        <v>31.41</v>
      </c>
      <c r="AE17">
        <f t="shared" si="15"/>
        <v>0.01</v>
      </c>
      <c r="AF17">
        <f t="shared" si="6"/>
        <v>31.41</v>
      </c>
      <c r="AG17" s="57">
        <f t="shared" si="16"/>
        <v>62.818750000000001</v>
      </c>
      <c r="AH17">
        <f t="shared" si="7"/>
        <v>0</v>
      </c>
      <c r="AI17">
        <f t="shared" si="8"/>
        <v>0</v>
      </c>
      <c r="AJ17">
        <f t="shared" si="17"/>
        <v>0</v>
      </c>
      <c r="AK17">
        <f t="shared" si="9"/>
        <v>2</v>
      </c>
      <c r="AL17" t="str">
        <f t="shared" si="10"/>
        <v>INF</v>
      </c>
      <c r="AM17">
        <f t="shared" ca="1" si="18"/>
        <v>100</v>
      </c>
      <c r="AN17" t="str">
        <f t="shared" si="11"/>
        <v/>
      </c>
      <c r="AO17" s="106" t="s">
        <v>227</v>
      </c>
      <c r="AP17" s="4" t="s">
        <v>7</v>
      </c>
      <c r="AQ17">
        <v>400</v>
      </c>
      <c r="AR17">
        <v>1</v>
      </c>
      <c r="AS17">
        <f>Max_Phase</f>
        <v>41</v>
      </c>
      <c r="AT17">
        <v>0</v>
      </c>
      <c r="AU17" s="10" t="s">
        <v>42</v>
      </c>
      <c r="AV17" s="10" t="s">
        <v>42</v>
      </c>
      <c r="AW17" s="11" t="s">
        <v>25</v>
      </c>
      <c r="AX17" s="11" t="s">
        <v>25</v>
      </c>
      <c r="AY17" s="23" t="s">
        <v>140</v>
      </c>
      <c r="AZ17" s="11" t="s">
        <v>157</v>
      </c>
      <c r="BA17" s="25">
        <v>7</v>
      </c>
      <c r="BB17">
        <v>800</v>
      </c>
      <c r="BC17" t="s">
        <v>146</v>
      </c>
      <c r="BD17">
        <v>0</v>
      </c>
      <c r="BE17">
        <v>12</v>
      </c>
      <c r="BM17" t="s">
        <v>84</v>
      </c>
    </row>
    <row r="18" spans="2:67" ht="20" thickBot="1">
      <c r="B18" s="39"/>
      <c r="C18" s="51"/>
      <c r="D18" s="83">
        <f t="shared" si="19"/>
        <v>8</v>
      </c>
      <c r="E18" s="40" t="s">
        <v>52</v>
      </c>
      <c r="F18" s="156">
        <v>100.61</v>
      </c>
      <c r="G18" s="41" t="s">
        <v>246</v>
      </c>
      <c r="H18" s="156">
        <v>31.44</v>
      </c>
      <c r="I18" s="64">
        <v>0</v>
      </c>
      <c r="J18" s="81" t="s">
        <v>149</v>
      </c>
      <c r="K18" s="65">
        <v>37.5</v>
      </c>
      <c r="L18" s="54" t="s">
        <v>28</v>
      </c>
      <c r="M18" s="59" t="s">
        <v>21</v>
      </c>
      <c r="N18" s="108" t="s">
        <v>69</v>
      </c>
      <c r="O18" s="135" t="s">
        <v>247</v>
      </c>
      <c r="P18" s="136"/>
      <c r="V18">
        <f t="shared" si="0"/>
        <v>2</v>
      </c>
      <c r="W18" t="str">
        <f t="shared" si="1"/>
        <v>RAT</v>
      </c>
      <c r="X18">
        <f t="shared" ref="X18:X51" si="20">IF(ISBLANK(G18),1,MATCH(G18,Units,0))</f>
        <v>5</v>
      </c>
      <c r="Y18" t="str">
        <f t="shared" si="3"/>
        <v>UM</v>
      </c>
      <c r="Z18">
        <f t="shared" si="4"/>
        <v>350</v>
      </c>
      <c r="AA18">
        <f t="shared" si="12"/>
        <v>100.60000000000001</v>
      </c>
      <c r="AB18">
        <f t="shared" si="13"/>
        <v>0.1</v>
      </c>
      <c r="AC18">
        <f t="shared" si="5"/>
        <v>100.61</v>
      </c>
      <c r="AD18">
        <f t="shared" si="14"/>
        <v>31.44</v>
      </c>
      <c r="AE18">
        <f t="shared" si="15"/>
        <v>0.01</v>
      </c>
      <c r="AF18">
        <f t="shared" si="6"/>
        <v>31.44</v>
      </c>
      <c r="AG18" s="57">
        <f t="shared" si="16"/>
        <v>62.881250000000001</v>
      </c>
      <c r="AH18">
        <f t="shared" si="7"/>
        <v>0</v>
      </c>
      <c r="AI18">
        <f t="shared" si="8"/>
        <v>0</v>
      </c>
      <c r="AJ18">
        <f t="shared" si="17"/>
        <v>0</v>
      </c>
      <c r="AK18">
        <f t="shared" si="9"/>
        <v>2</v>
      </c>
      <c r="AL18" t="str">
        <f t="shared" si="10"/>
        <v>INF</v>
      </c>
      <c r="AM18">
        <f t="shared" ca="1" si="18"/>
        <v>100</v>
      </c>
      <c r="AN18" t="str">
        <f t="shared" si="11"/>
        <v/>
      </c>
      <c r="AO18" s="3" t="s">
        <v>16</v>
      </c>
      <c r="AP18" s="4" t="s">
        <v>3</v>
      </c>
      <c r="AQ18">
        <v>900</v>
      </c>
      <c r="AR18">
        <v>-1</v>
      </c>
      <c r="AS18">
        <v>-1</v>
      </c>
      <c r="AT18">
        <v>0</v>
      </c>
      <c r="AU18" s="4" t="s">
        <v>23</v>
      </c>
      <c r="AV18" s="86" t="s">
        <v>200</v>
      </c>
      <c r="AW18" s="11" t="s">
        <v>26</v>
      </c>
      <c r="AX18" s="87" t="s">
        <v>201</v>
      </c>
      <c r="AY18" s="3" t="s">
        <v>136</v>
      </c>
      <c r="AZ18" s="11" t="s">
        <v>158</v>
      </c>
      <c r="BA18" s="5">
        <v>8</v>
      </c>
      <c r="BB18">
        <v>900</v>
      </c>
      <c r="BC18" t="s">
        <v>40</v>
      </c>
      <c r="BD18">
        <v>0</v>
      </c>
      <c r="BE18">
        <v>0</v>
      </c>
      <c r="BM18" t="s">
        <v>100</v>
      </c>
    </row>
    <row r="19" spans="2:67" ht="19" thickBot="1">
      <c r="B19" s="39"/>
      <c r="C19" s="51"/>
      <c r="D19" s="83">
        <f t="shared" si="19"/>
        <v>9</v>
      </c>
      <c r="E19" s="40" t="s">
        <v>52</v>
      </c>
      <c r="F19" s="156">
        <v>100.7</v>
      </c>
      <c r="G19" s="41" t="s">
        <v>246</v>
      </c>
      <c r="H19" s="156">
        <v>31.47</v>
      </c>
      <c r="I19" s="64">
        <v>0</v>
      </c>
      <c r="J19" s="81" t="s">
        <v>149</v>
      </c>
      <c r="K19" s="65">
        <v>37.5</v>
      </c>
      <c r="L19" s="54" t="s">
        <v>28</v>
      </c>
      <c r="M19" s="59" t="s">
        <v>21</v>
      </c>
      <c r="N19" s="70"/>
      <c r="P19" s="5"/>
      <c r="V19">
        <f t="shared" si="0"/>
        <v>2</v>
      </c>
      <c r="W19" t="str">
        <f t="shared" si="1"/>
        <v>RAT</v>
      </c>
      <c r="X19">
        <f t="shared" si="20"/>
        <v>5</v>
      </c>
      <c r="Y19" t="str">
        <f t="shared" si="3"/>
        <v>UM</v>
      </c>
      <c r="Z19">
        <f t="shared" si="4"/>
        <v>350</v>
      </c>
      <c r="AA19">
        <f t="shared" si="12"/>
        <v>100.7</v>
      </c>
      <c r="AB19">
        <f t="shared" si="13"/>
        <v>0.1</v>
      </c>
      <c r="AC19">
        <f t="shared" si="5"/>
        <v>100.7</v>
      </c>
      <c r="AD19">
        <f t="shared" si="14"/>
        <v>31.470000000000002</v>
      </c>
      <c r="AE19">
        <f t="shared" si="15"/>
        <v>0.01</v>
      </c>
      <c r="AF19">
        <f t="shared" si="6"/>
        <v>31.47</v>
      </c>
      <c r="AG19" s="57">
        <f t="shared" si="16"/>
        <v>62.9375</v>
      </c>
      <c r="AH19">
        <f t="shared" si="7"/>
        <v>0</v>
      </c>
      <c r="AI19">
        <f t="shared" si="8"/>
        <v>0</v>
      </c>
      <c r="AJ19">
        <f t="shared" si="17"/>
        <v>0</v>
      </c>
      <c r="AK19">
        <f t="shared" si="9"/>
        <v>2</v>
      </c>
      <c r="AL19" t="str">
        <f t="shared" si="10"/>
        <v>INF</v>
      </c>
      <c r="AM19">
        <f t="shared" ca="1" si="18"/>
        <v>100</v>
      </c>
      <c r="AN19" t="str">
        <f t="shared" si="11"/>
        <v/>
      </c>
      <c r="AO19" s="3" t="s">
        <v>18</v>
      </c>
      <c r="AP19" s="4" t="s">
        <v>4</v>
      </c>
      <c r="AQ19">
        <v>550</v>
      </c>
      <c r="AR19">
        <v>1</v>
      </c>
      <c r="AS19">
        <v>99</v>
      </c>
      <c r="AT19">
        <v>0</v>
      </c>
      <c r="AU19" s="10" t="s">
        <v>43</v>
      </c>
      <c r="AV19" s="10" t="s">
        <v>43</v>
      </c>
      <c r="AW19" s="11" t="s">
        <v>27</v>
      </c>
      <c r="AX19" s="11" t="s">
        <v>27</v>
      </c>
      <c r="AY19" s="3" t="s">
        <v>137</v>
      </c>
      <c r="AZ19" s="11" t="s">
        <v>159</v>
      </c>
      <c r="BA19" s="5">
        <v>9</v>
      </c>
      <c r="BB19">
        <v>1000</v>
      </c>
      <c r="BC19" t="s">
        <v>129</v>
      </c>
      <c r="BD19">
        <v>0</v>
      </c>
      <c r="BE19">
        <v>0</v>
      </c>
      <c r="BM19" t="s">
        <v>183</v>
      </c>
    </row>
    <row r="20" spans="2:67" ht="17" thickBot="1">
      <c r="B20" s="39"/>
      <c r="C20" s="51"/>
      <c r="D20" s="83">
        <f t="shared" si="19"/>
        <v>10</v>
      </c>
      <c r="E20" s="40" t="s">
        <v>52</v>
      </c>
      <c r="F20" s="156">
        <v>100.83</v>
      </c>
      <c r="G20" s="41" t="s">
        <v>246</v>
      </c>
      <c r="H20" s="156">
        <v>31.51</v>
      </c>
      <c r="I20" s="64">
        <v>0</v>
      </c>
      <c r="J20" s="81" t="s">
        <v>149</v>
      </c>
      <c r="K20" s="65">
        <v>37.5</v>
      </c>
      <c r="L20" s="54" t="s">
        <v>28</v>
      </c>
      <c r="M20" s="71" t="s">
        <v>21</v>
      </c>
      <c r="N20" s="30" t="s">
        <v>115</v>
      </c>
      <c r="P20" s="5"/>
      <c r="V20">
        <f t="shared" si="0"/>
        <v>2</v>
      </c>
      <c r="W20" t="str">
        <f t="shared" si="1"/>
        <v>RAT</v>
      </c>
      <c r="X20">
        <f t="shared" si="20"/>
        <v>5</v>
      </c>
      <c r="Y20" t="str">
        <f t="shared" si="3"/>
        <v>UM</v>
      </c>
      <c r="Z20">
        <f t="shared" si="4"/>
        <v>350</v>
      </c>
      <c r="AA20">
        <f t="shared" si="12"/>
        <v>100.80000000000001</v>
      </c>
      <c r="AB20">
        <f t="shared" si="13"/>
        <v>0.1</v>
      </c>
      <c r="AC20">
        <f t="shared" si="5"/>
        <v>100.83</v>
      </c>
      <c r="AD20">
        <f t="shared" si="14"/>
        <v>31.51</v>
      </c>
      <c r="AE20">
        <f t="shared" si="15"/>
        <v>0.01</v>
      </c>
      <c r="AF20">
        <f t="shared" si="6"/>
        <v>31.51</v>
      </c>
      <c r="AG20" s="57">
        <f t="shared" si="16"/>
        <v>63.018749999999997</v>
      </c>
      <c r="AH20">
        <f t="shared" si="7"/>
        <v>0</v>
      </c>
      <c r="AI20">
        <f t="shared" si="8"/>
        <v>0</v>
      </c>
      <c r="AJ20">
        <f t="shared" si="17"/>
        <v>0</v>
      </c>
      <c r="AK20">
        <f t="shared" si="9"/>
        <v>2</v>
      </c>
      <c r="AL20" t="str">
        <f t="shared" si="10"/>
        <v>INF</v>
      </c>
      <c r="AM20">
        <f t="shared" ca="1" si="18"/>
        <v>100</v>
      </c>
      <c r="AN20" t="str">
        <f t="shared" si="11"/>
        <v/>
      </c>
      <c r="AO20" s="3" t="s">
        <v>17</v>
      </c>
      <c r="AP20" s="4" t="s">
        <v>10</v>
      </c>
      <c r="AQ20">
        <v>900</v>
      </c>
      <c r="AR20">
        <v>-1</v>
      </c>
      <c r="AS20">
        <v>-1</v>
      </c>
      <c r="AT20">
        <v>0</v>
      </c>
      <c r="AU20" s="4" t="s">
        <v>241</v>
      </c>
      <c r="AV20" s="126" t="s">
        <v>243</v>
      </c>
      <c r="AW20" s="11" t="s">
        <v>26</v>
      </c>
      <c r="AX20" s="87" t="s">
        <v>201</v>
      </c>
      <c r="AY20" s="3" t="s">
        <v>134</v>
      </c>
      <c r="AZ20" s="11" t="s">
        <v>160</v>
      </c>
      <c r="BA20" s="5">
        <v>10</v>
      </c>
      <c r="BM20" t="s">
        <v>104</v>
      </c>
    </row>
    <row r="21" spans="2:67" ht="15" thickBot="1">
      <c r="B21" s="39"/>
      <c r="C21" s="51"/>
      <c r="D21" s="83">
        <f t="shared" si="19"/>
        <v>11</v>
      </c>
      <c r="E21" s="40" t="s">
        <v>52</v>
      </c>
      <c r="F21" s="156">
        <v>100.96</v>
      </c>
      <c r="G21" s="85" t="s">
        <v>246</v>
      </c>
      <c r="H21" s="156">
        <v>31.55</v>
      </c>
      <c r="I21" s="64">
        <v>0</v>
      </c>
      <c r="J21" s="81" t="s">
        <v>149</v>
      </c>
      <c r="K21" s="65">
        <v>37.5</v>
      </c>
      <c r="L21" s="54" t="s">
        <v>28</v>
      </c>
      <c r="M21" s="71" t="s">
        <v>21</v>
      </c>
      <c r="N21" s="3" t="s">
        <v>148</v>
      </c>
      <c r="O21" s="137" t="s">
        <v>56</v>
      </c>
      <c r="P21" s="138"/>
      <c r="V21">
        <f t="shared" si="0"/>
        <v>2</v>
      </c>
      <c r="W21" t="str">
        <f t="shared" si="1"/>
        <v>RAT</v>
      </c>
      <c r="X21">
        <f t="shared" si="20"/>
        <v>5</v>
      </c>
      <c r="Y21" t="str">
        <f t="shared" si="3"/>
        <v>UM</v>
      </c>
      <c r="Z21">
        <f t="shared" si="4"/>
        <v>350</v>
      </c>
      <c r="AA21">
        <f t="shared" si="12"/>
        <v>101</v>
      </c>
      <c r="AB21">
        <f t="shared" si="13"/>
        <v>0.1</v>
      </c>
      <c r="AC21">
        <f t="shared" si="5"/>
        <v>100.96</v>
      </c>
      <c r="AD21">
        <f t="shared" si="14"/>
        <v>31.55</v>
      </c>
      <c r="AE21">
        <f t="shared" si="15"/>
        <v>0.01</v>
      </c>
      <c r="AF21">
        <f t="shared" si="6"/>
        <v>31.55</v>
      </c>
      <c r="AG21" s="57">
        <f t="shared" si="16"/>
        <v>63.099999999999994</v>
      </c>
      <c r="AH21">
        <f t="shared" si="7"/>
        <v>0</v>
      </c>
      <c r="AI21">
        <f t="shared" si="8"/>
        <v>0</v>
      </c>
      <c r="AJ21">
        <f t="shared" si="17"/>
        <v>0</v>
      </c>
      <c r="AK21">
        <f t="shared" si="9"/>
        <v>2</v>
      </c>
      <c r="AL21" t="str">
        <f t="shared" si="10"/>
        <v>INF</v>
      </c>
      <c r="AM21">
        <f t="shared" ca="1" si="18"/>
        <v>100</v>
      </c>
      <c r="AN21" t="str">
        <f t="shared" si="11"/>
        <v/>
      </c>
      <c r="AO21" s="3" t="s">
        <v>222</v>
      </c>
      <c r="AP21" s="4" t="s">
        <v>12</v>
      </c>
      <c r="AQ21">
        <v>400</v>
      </c>
      <c r="AR21">
        <v>1</v>
      </c>
      <c r="AS21">
        <f>Max_Phase</f>
        <v>41</v>
      </c>
      <c r="AT21">
        <v>0</v>
      </c>
      <c r="AU21" s="10" t="s">
        <v>242</v>
      </c>
      <c r="AV21" s="10" t="s">
        <v>242</v>
      </c>
      <c r="AW21" s="11" t="s">
        <v>27</v>
      </c>
      <c r="AX21" s="11" t="s">
        <v>27</v>
      </c>
      <c r="AY21" s="3" t="s">
        <v>135</v>
      </c>
      <c r="AZ21" s="11" t="s">
        <v>161</v>
      </c>
      <c r="BA21" s="5">
        <v>11</v>
      </c>
      <c r="BM21" t="s">
        <v>184</v>
      </c>
    </row>
    <row r="22" spans="2:67" ht="15" thickBot="1">
      <c r="B22" s="39"/>
      <c r="C22" s="51"/>
      <c r="D22" s="83">
        <f t="shared" si="19"/>
        <v>12</v>
      </c>
      <c r="E22" s="40" t="s">
        <v>52</v>
      </c>
      <c r="F22" s="156">
        <v>101.02</v>
      </c>
      <c r="G22" s="41" t="s">
        <v>246</v>
      </c>
      <c r="H22" s="156">
        <v>31.57</v>
      </c>
      <c r="I22" s="64">
        <v>0</v>
      </c>
      <c r="J22" s="81" t="s">
        <v>149</v>
      </c>
      <c r="K22" s="65">
        <v>37.5</v>
      </c>
      <c r="L22" s="54" t="s">
        <v>28</v>
      </c>
      <c r="M22" s="59" t="s">
        <v>21</v>
      </c>
      <c r="N22" s="3" t="s">
        <v>90</v>
      </c>
      <c r="O22" s="47" t="s">
        <v>116</v>
      </c>
      <c r="P22" s="5"/>
      <c r="V22">
        <f t="shared" si="0"/>
        <v>2</v>
      </c>
      <c r="W22" t="str">
        <f t="shared" si="1"/>
        <v>RAT</v>
      </c>
      <c r="X22">
        <f t="shared" si="20"/>
        <v>5</v>
      </c>
      <c r="Y22" t="str">
        <f t="shared" si="3"/>
        <v>UM</v>
      </c>
      <c r="Z22">
        <f t="shared" si="4"/>
        <v>350</v>
      </c>
      <c r="AA22">
        <f t="shared" si="12"/>
        <v>101</v>
      </c>
      <c r="AB22">
        <f t="shared" si="13"/>
        <v>0.1</v>
      </c>
      <c r="AC22">
        <f t="shared" si="5"/>
        <v>101.02</v>
      </c>
      <c r="AD22">
        <f t="shared" si="14"/>
        <v>31.57</v>
      </c>
      <c r="AE22">
        <f t="shared" si="15"/>
        <v>0.01</v>
      </c>
      <c r="AF22">
        <f t="shared" si="6"/>
        <v>31.57</v>
      </c>
      <c r="AG22" s="57">
        <f t="shared" si="16"/>
        <v>63.137499999999996</v>
      </c>
      <c r="AH22">
        <f t="shared" si="7"/>
        <v>0</v>
      </c>
      <c r="AI22">
        <f t="shared" si="8"/>
        <v>0</v>
      </c>
      <c r="AJ22">
        <f t="shared" si="17"/>
        <v>0</v>
      </c>
      <c r="AK22">
        <f t="shared" si="9"/>
        <v>2</v>
      </c>
      <c r="AL22" t="str">
        <f t="shared" si="10"/>
        <v>INF</v>
      </c>
      <c r="AM22">
        <f t="shared" ca="1" si="18"/>
        <v>101</v>
      </c>
      <c r="AN22" t="str">
        <f t="shared" si="11"/>
        <v/>
      </c>
      <c r="AO22" s="23" t="s">
        <v>223</v>
      </c>
      <c r="AP22" s="11" t="s">
        <v>59</v>
      </c>
      <c r="AQ22">
        <v>400</v>
      </c>
      <c r="AR22">
        <v>1</v>
      </c>
      <c r="AS22">
        <f>Max_Phase</f>
        <v>41</v>
      </c>
      <c r="AT22">
        <v>0</v>
      </c>
      <c r="AX22" s="5"/>
      <c r="AY22" s="3" t="s">
        <v>163</v>
      </c>
      <c r="AZ22" s="60" t="s">
        <v>162</v>
      </c>
      <c r="BA22" s="5">
        <v>12</v>
      </c>
    </row>
    <row r="23" spans="2:67" ht="15" thickBot="1">
      <c r="B23" s="39"/>
      <c r="C23" s="51"/>
      <c r="D23" s="83">
        <f t="shared" si="19"/>
        <v>13</v>
      </c>
      <c r="E23" s="40" t="s">
        <v>52</v>
      </c>
      <c r="F23" s="156">
        <v>101.15</v>
      </c>
      <c r="G23" s="41" t="s">
        <v>246</v>
      </c>
      <c r="H23" s="156">
        <v>31.61</v>
      </c>
      <c r="I23" s="64">
        <v>0</v>
      </c>
      <c r="J23" s="81" t="s">
        <v>149</v>
      </c>
      <c r="K23" s="65">
        <v>37.5</v>
      </c>
      <c r="L23" s="54" t="s">
        <v>28</v>
      </c>
      <c r="M23" s="59" t="s">
        <v>21</v>
      </c>
      <c r="N23" s="3" t="s">
        <v>112</v>
      </c>
      <c r="O23" s="47" t="s">
        <v>116</v>
      </c>
      <c r="P23" s="5"/>
      <c r="V23">
        <f t="shared" si="0"/>
        <v>2</v>
      </c>
      <c r="W23" t="str">
        <f t="shared" si="1"/>
        <v>RAT</v>
      </c>
      <c r="X23">
        <f t="shared" si="20"/>
        <v>5</v>
      </c>
      <c r="Y23" t="str">
        <f t="shared" si="3"/>
        <v>UM</v>
      </c>
      <c r="Z23">
        <f t="shared" si="4"/>
        <v>350</v>
      </c>
      <c r="AA23">
        <f t="shared" si="12"/>
        <v>101.2</v>
      </c>
      <c r="AB23">
        <f t="shared" si="13"/>
        <v>0.1</v>
      </c>
      <c r="AC23">
        <f t="shared" si="5"/>
        <v>101.15</v>
      </c>
      <c r="AD23">
        <f t="shared" si="14"/>
        <v>31.61</v>
      </c>
      <c r="AE23">
        <f t="shared" si="15"/>
        <v>0.01</v>
      </c>
      <c r="AF23">
        <f t="shared" si="6"/>
        <v>31.61</v>
      </c>
      <c r="AG23" s="57">
        <f t="shared" si="16"/>
        <v>63.21875</v>
      </c>
      <c r="AH23">
        <f t="shared" si="7"/>
        <v>0</v>
      </c>
      <c r="AI23">
        <f t="shared" si="8"/>
        <v>0</v>
      </c>
      <c r="AJ23">
        <f t="shared" si="17"/>
        <v>0</v>
      </c>
      <c r="AK23">
        <f t="shared" si="9"/>
        <v>2</v>
      </c>
      <c r="AL23" t="str">
        <f t="shared" si="10"/>
        <v>INF</v>
      </c>
      <c r="AM23">
        <f t="shared" ca="1" si="18"/>
        <v>101</v>
      </c>
      <c r="AN23" t="str">
        <f t="shared" si="11"/>
        <v/>
      </c>
      <c r="AO23" s="3" t="s">
        <v>19</v>
      </c>
      <c r="AP23" s="4" t="s">
        <v>13</v>
      </c>
      <c r="AQ23">
        <v>900</v>
      </c>
      <c r="AR23">
        <v>-1</v>
      </c>
      <c r="AS23">
        <v>-1</v>
      </c>
      <c r="AT23">
        <v>0</v>
      </c>
      <c r="AU23" s="12" t="s">
        <v>33</v>
      </c>
      <c r="AW23">
        <v>1</v>
      </c>
      <c r="AX23" s="5"/>
      <c r="AY23" s="3"/>
      <c r="AZ23" s="4"/>
      <c r="BA23" s="5"/>
    </row>
    <row r="24" spans="2:67" ht="15" thickBot="1">
      <c r="B24" s="39"/>
      <c r="C24" s="51"/>
      <c r="D24" s="83">
        <f t="shared" si="19"/>
        <v>14</v>
      </c>
      <c r="E24" s="40" t="s">
        <v>52</v>
      </c>
      <c r="F24" s="156">
        <v>101.25</v>
      </c>
      <c r="G24" s="41" t="s">
        <v>246</v>
      </c>
      <c r="H24" s="156">
        <v>31.64</v>
      </c>
      <c r="I24" s="64">
        <v>0</v>
      </c>
      <c r="J24" s="81" t="s">
        <v>149</v>
      </c>
      <c r="K24" s="65">
        <v>37.5</v>
      </c>
      <c r="L24" s="54" t="s">
        <v>28</v>
      </c>
      <c r="M24" s="59" t="s">
        <v>21</v>
      </c>
      <c r="N24" s="3" t="s">
        <v>114</v>
      </c>
      <c r="O24" s="47" t="s">
        <v>116</v>
      </c>
      <c r="P24" s="5"/>
      <c r="V24">
        <f t="shared" si="0"/>
        <v>2</v>
      </c>
      <c r="W24" t="str">
        <f t="shared" si="1"/>
        <v>RAT</v>
      </c>
      <c r="X24">
        <f t="shared" si="20"/>
        <v>5</v>
      </c>
      <c r="Y24" t="str">
        <f t="shared" si="3"/>
        <v>UM</v>
      </c>
      <c r="Z24">
        <f t="shared" si="4"/>
        <v>350</v>
      </c>
      <c r="AA24">
        <f t="shared" si="12"/>
        <v>101.30000000000001</v>
      </c>
      <c r="AB24">
        <f t="shared" si="13"/>
        <v>0.1</v>
      </c>
      <c r="AC24">
        <f t="shared" si="5"/>
        <v>101.25</v>
      </c>
      <c r="AD24">
        <f t="shared" si="14"/>
        <v>31.64</v>
      </c>
      <c r="AE24">
        <f t="shared" si="15"/>
        <v>0.01</v>
      </c>
      <c r="AF24">
        <f t="shared" si="6"/>
        <v>31.64</v>
      </c>
      <c r="AG24" s="57">
        <f t="shared" si="16"/>
        <v>63.28125</v>
      </c>
      <c r="AH24">
        <f t="shared" si="7"/>
        <v>0</v>
      </c>
      <c r="AI24">
        <f t="shared" si="8"/>
        <v>0</v>
      </c>
      <c r="AJ24">
        <f t="shared" si="17"/>
        <v>0</v>
      </c>
      <c r="AK24">
        <f t="shared" si="9"/>
        <v>2</v>
      </c>
      <c r="AL24" t="str">
        <f t="shared" si="10"/>
        <v>INF</v>
      </c>
      <c r="AM24">
        <f t="shared" ca="1" si="18"/>
        <v>101</v>
      </c>
      <c r="AN24" t="str">
        <f t="shared" si="11"/>
        <v/>
      </c>
      <c r="AO24" s="23" t="s">
        <v>76</v>
      </c>
      <c r="AP24" s="11" t="s">
        <v>55</v>
      </c>
      <c r="AQ24">
        <v>800</v>
      </c>
      <c r="AR24">
        <v>0</v>
      </c>
      <c r="AS24">
        <v>12</v>
      </c>
      <c r="AT24">
        <v>0</v>
      </c>
      <c r="AU24" t="str">
        <f t="array" ref="AU24:AU29">INDEX(AU16:AV21,0,AT38)</f>
        <v>mL/hr</v>
      </c>
      <c r="AV24" t="str">
        <f t="array" ref="AV24:AV29">INDEX(AW16:AX21,0,AT38)</f>
        <v>MH</v>
      </c>
      <c r="AW24" s="4">
        <v>1</v>
      </c>
      <c r="AX24" s="5"/>
      <c r="AY24" s="3"/>
      <c r="AZ24" s="4"/>
      <c r="BA24" s="5"/>
    </row>
    <row r="25" spans="2:67" ht="15" thickBot="1">
      <c r="B25" s="39"/>
      <c r="C25" s="51"/>
      <c r="D25" s="83">
        <f t="shared" si="19"/>
        <v>15</v>
      </c>
      <c r="E25" s="40" t="s">
        <v>52</v>
      </c>
      <c r="F25" s="156">
        <v>101.38</v>
      </c>
      <c r="G25" s="41" t="s">
        <v>246</v>
      </c>
      <c r="H25" s="156">
        <v>31.68</v>
      </c>
      <c r="I25" s="64">
        <v>0</v>
      </c>
      <c r="J25" s="81" t="s">
        <v>149</v>
      </c>
      <c r="K25" s="65">
        <v>37.5</v>
      </c>
      <c r="L25" s="54" t="s">
        <v>28</v>
      </c>
      <c r="M25" s="59" t="s">
        <v>21</v>
      </c>
      <c r="N25" s="23" t="s">
        <v>173</v>
      </c>
      <c r="O25" s="122"/>
      <c r="P25" s="124" t="s">
        <v>240</v>
      </c>
      <c r="U25" s="4" t="str">
        <f>INDEX(AZ9:AZ21,MATCH(O21,trigger,0))</f>
        <v>FT</v>
      </c>
      <c r="V25">
        <f t="shared" si="0"/>
        <v>2</v>
      </c>
      <c r="W25" t="str">
        <f t="shared" si="1"/>
        <v>RAT</v>
      </c>
      <c r="X25">
        <f t="shared" si="20"/>
        <v>5</v>
      </c>
      <c r="Y25" t="str">
        <f t="shared" si="3"/>
        <v>UM</v>
      </c>
      <c r="Z25">
        <f t="shared" si="4"/>
        <v>350</v>
      </c>
      <c r="AA25">
        <f t="shared" si="12"/>
        <v>101.4</v>
      </c>
      <c r="AB25">
        <f t="shared" si="13"/>
        <v>0.1</v>
      </c>
      <c r="AC25">
        <f t="shared" si="5"/>
        <v>101.38</v>
      </c>
      <c r="AD25">
        <f t="shared" si="14"/>
        <v>31.68</v>
      </c>
      <c r="AE25">
        <f t="shared" si="15"/>
        <v>0.01</v>
      </c>
      <c r="AF25">
        <f t="shared" si="6"/>
        <v>31.68</v>
      </c>
      <c r="AG25" s="57">
        <f t="shared" si="16"/>
        <v>63.362499999999997</v>
      </c>
      <c r="AH25">
        <f t="shared" si="7"/>
        <v>0</v>
      </c>
      <c r="AI25">
        <f t="shared" si="8"/>
        <v>0</v>
      </c>
      <c r="AJ25">
        <f t="shared" si="17"/>
        <v>0</v>
      </c>
      <c r="AK25">
        <f t="shared" si="9"/>
        <v>2</v>
      </c>
      <c r="AL25" t="str">
        <f t="shared" si="10"/>
        <v>INF</v>
      </c>
      <c r="AM25">
        <f t="shared" ca="1" si="18"/>
        <v>101</v>
      </c>
      <c r="AN25" t="str">
        <f t="shared" si="11"/>
        <v/>
      </c>
      <c r="AO25" s="3" t="s">
        <v>224</v>
      </c>
      <c r="AP25" s="4" t="s">
        <v>11</v>
      </c>
      <c r="AQ25">
        <v>400</v>
      </c>
      <c r="AR25">
        <v>1</v>
      </c>
      <c r="AS25">
        <f>Max_Phase</f>
        <v>41</v>
      </c>
      <c r="AT25">
        <v>0</v>
      </c>
      <c r="AU25" t="str">
        <v>μL/hr</v>
      </c>
      <c r="AV25" s="4" t="str">
        <v>UH</v>
      </c>
      <c r="AW25" s="4">
        <v>1</v>
      </c>
      <c r="AX25" s="5"/>
      <c r="AZ25" s="4"/>
      <c r="BA25" s="5"/>
    </row>
    <row r="26" spans="2:67" ht="15" thickBot="1">
      <c r="B26" s="39"/>
      <c r="C26" s="51"/>
      <c r="D26" s="83">
        <f t="shared" si="19"/>
        <v>16</v>
      </c>
      <c r="E26" s="40" t="s">
        <v>52</v>
      </c>
      <c r="F26" s="156">
        <v>101.47</v>
      </c>
      <c r="G26" s="41" t="s">
        <v>246</v>
      </c>
      <c r="H26" s="156">
        <v>31.71</v>
      </c>
      <c r="I26" s="64">
        <v>0</v>
      </c>
      <c r="J26" s="81" t="s">
        <v>149</v>
      </c>
      <c r="K26" s="65">
        <v>37.5</v>
      </c>
      <c r="L26" s="54" t="s">
        <v>28</v>
      </c>
      <c r="M26" s="59" t="s">
        <v>21</v>
      </c>
      <c r="N26" s="3"/>
      <c r="O26" s="122"/>
      <c r="P26" s="124" t="s">
        <v>240</v>
      </c>
      <c r="V26">
        <f t="shared" si="0"/>
        <v>2</v>
      </c>
      <c r="W26" t="str">
        <f t="shared" si="1"/>
        <v>RAT</v>
      </c>
      <c r="X26">
        <f t="shared" si="20"/>
        <v>5</v>
      </c>
      <c r="Y26" t="str">
        <f t="shared" si="3"/>
        <v>UM</v>
      </c>
      <c r="Z26">
        <f t="shared" si="4"/>
        <v>350</v>
      </c>
      <c r="AA26">
        <f t="shared" si="12"/>
        <v>101.5</v>
      </c>
      <c r="AB26">
        <f t="shared" si="13"/>
        <v>0.1</v>
      </c>
      <c r="AC26">
        <f t="shared" si="5"/>
        <v>101.47</v>
      </c>
      <c r="AD26">
        <f t="shared" si="14"/>
        <v>31.71</v>
      </c>
      <c r="AE26">
        <f t="shared" si="15"/>
        <v>0.01</v>
      </c>
      <c r="AF26">
        <f t="shared" si="6"/>
        <v>31.71</v>
      </c>
      <c r="AG26" s="57">
        <f t="shared" si="16"/>
        <v>63.418750000000003</v>
      </c>
      <c r="AH26">
        <f t="shared" si="7"/>
        <v>0</v>
      </c>
      <c r="AI26">
        <f t="shared" si="8"/>
        <v>0</v>
      </c>
      <c r="AJ26">
        <f t="shared" si="17"/>
        <v>0</v>
      </c>
      <c r="AK26">
        <f t="shared" si="9"/>
        <v>2</v>
      </c>
      <c r="AL26" t="str">
        <f t="shared" si="10"/>
        <v>INF</v>
      </c>
      <c r="AM26">
        <f t="shared" ca="1" si="18"/>
        <v>101</v>
      </c>
      <c r="AN26" t="str">
        <f t="shared" si="11"/>
        <v/>
      </c>
      <c r="AO26" s="121" t="s">
        <v>238</v>
      </c>
      <c r="AP26" s="4" t="s">
        <v>15</v>
      </c>
      <c r="AQ26">
        <v>600</v>
      </c>
      <c r="AR26">
        <v>0</v>
      </c>
      <c r="AS26">
        <v>1</v>
      </c>
      <c r="AT26">
        <v>0</v>
      </c>
      <c r="AU26" t="str">
        <v>mL/min</v>
      </c>
      <c r="AV26" s="4" t="str">
        <v>MM</v>
      </c>
      <c r="AW26" s="11">
        <v>1</v>
      </c>
      <c r="AX26" s="5"/>
      <c r="AZ26" s="4"/>
      <c r="BA26" s="5"/>
    </row>
    <row r="27" spans="2:67" ht="19" thickBot="1">
      <c r="B27" s="39"/>
      <c r="C27" s="51"/>
      <c r="D27" s="83">
        <f t="shared" si="19"/>
        <v>17</v>
      </c>
      <c r="E27" s="40" t="s">
        <v>52</v>
      </c>
      <c r="F27" s="156">
        <v>101.6</v>
      </c>
      <c r="G27" s="41" t="s">
        <v>246</v>
      </c>
      <c r="H27" s="156">
        <v>31.75</v>
      </c>
      <c r="I27" s="64">
        <v>0</v>
      </c>
      <c r="J27" s="81" t="s">
        <v>149</v>
      </c>
      <c r="K27" s="65">
        <v>37.5</v>
      </c>
      <c r="L27" s="54" t="s">
        <v>28</v>
      </c>
      <c r="M27" s="59" t="s">
        <v>21</v>
      </c>
      <c r="N27" s="98"/>
      <c r="O27" s="123"/>
      <c r="P27" s="125" t="s">
        <v>240</v>
      </c>
      <c r="V27">
        <f t="shared" si="0"/>
        <v>2</v>
      </c>
      <c r="W27" t="str">
        <f t="shared" si="1"/>
        <v>RAT</v>
      </c>
      <c r="X27">
        <f t="shared" si="20"/>
        <v>5</v>
      </c>
      <c r="Y27" t="str">
        <f t="shared" si="3"/>
        <v>UM</v>
      </c>
      <c r="Z27">
        <f t="shared" si="4"/>
        <v>350</v>
      </c>
      <c r="AA27">
        <f t="shared" si="12"/>
        <v>101.60000000000001</v>
      </c>
      <c r="AB27">
        <f t="shared" si="13"/>
        <v>0.1</v>
      </c>
      <c r="AC27">
        <f t="shared" si="5"/>
        <v>101.6</v>
      </c>
      <c r="AD27">
        <f t="shared" si="14"/>
        <v>31.75</v>
      </c>
      <c r="AE27">
        <f t="shared" si="15"/>
        <v>0.01</v>
      </c>
      <c r="AF27">
        <f t="shared" si="6"/>
        <v>31.75</v>
      </c>
      <c r="AG27" s="57">
        <f t="shared" si="16"/>
        <v>63.5</v>
      </c>
      <c r="AH27">
        <f t="shared" si="7"/>
        <v>0</v>
      </c>
      <c r="AI27">
        <f t="shared" si="8"/>
        <v>0</v>
      </c>
      <c r="AJ27">
        <f t="shared" si="17"/>
        <v>0</v>
      </c>
      <c r="AK27">
        <f t="shared" si="9"/>
        <v>2</v>
      </c>
      <c r="AL27" t="str">
        <f t="shared" si="10"/>
        <v>INF</v>
      </c>
      <c r="AM27">
        <f t="shared" ca="1" si="18"/>
        <v>101</v>
      </c>
      <c r="AN27" t="str">
        <f t="shared" si="11"/>
        <v/>
      </c>
      <c r="AO27" s="3" t="s">
        <v>20</v>
      </c>
      <c r="AP27" s="4" t="s">
        <v>14</v>
      </c>
      <c r="AQ27">
        <v>900</v>
      </c>
      <c r="AR27">
        <v>-1</v>
      </c>
      <c r="AS27">
        <v>-1</v>
      </c>
      <c r="AT27">
        <v>0</v>
      </c>
      <c r="AU27" t="str">
        <v>μL/min</v>
      </c>
      <c r="AV27" s="4" t="str">
        <v>UM</v>
      </c>
      <c r="AW27" s="11">
        <v>1</v>
      </c>
      <c r="AX27" s="5"/>
      <c r="AY27" s="3"/>
      <c r="AZ27" s="4"/>
      <c r="BA27" s="5"/>
      <c r="BG27">
        <v>4.6989999999999998</v>
      </c>
      <c r="BH27">
        <v>5.74</v>
      </c>
      <c r="BI27">
        <v>4.7</v>
      </c>
      <c r="BJ27">
        <v>4.6900000000000004</v>
      </c>
      <c r="BK27">
        <v>6.7</v>
      </c>
      <c r="BL27">
        <v>0.10300000000000001</v>
      </c>
      <c r="BM27">
        <v>0.1</v>
      </c>
      <c r="BN27">
        <v>8.91</v>
      </c>
      <c r="BO27">
        <v>9.5380000000000003</v>
      </c>
    </row>
    <row r="28" spans="2:67" ht="21" thickTop="1" thickBot="1">
      <c r="B28" s="39"/>
      <c r="C28" s="51"/>
      <c r="D28" s="83">
        <f t="shared" si="19"/>
        <v>18</v>
      </c>
      <c r="E28" s="40" t="s">
        <v>52</v>
      </c>
      <c r="F28" s="156">
        <v>101.7</v>
      </c>
      <c r="G28" s="41" t="s">
        <v>246</v>
      </c>
      <c r="H28" s="156">
        <v>31.78</v>
      </c>
      <c r="I28" s="64">
        <v>0</v>
      </c>
      <c r="J28" s="81" t="s">
        <v>149</v>
      </c>
      <c r="K28" s="65">
        <v>37.5</v>
      </c>
      <c r="L28" s="54" t="s">
        <v>28</v>
      </c>
      <c r="M28" s="59" t="s">
        <v>21</v>
      </c>
      <c r="N28" s="29" t="s">
        <v>164</v>
      </c>
      <c r="O28" s="99"/>
      <c r="P28" s="100"/>
      <c r="V28">
        <f t="shared" si="0"/>
        <v>2</v>
      </c>
      <c r="W28" t="str">
        <f t="shared" si="1"/>
        <v>RAT</v>
      </c>
      <c r="X28">
        <f t="shared" si="20"/>
        <v>5</v>
      </c>
      <c r="Y28" t="str">
        <f t="shared" si="3"/>
        <v>UM</v>
      </c>
      <c r="Z28">
        <f t="shared" si="4"/>
        <v>350</v>
      </c>
      <c r="AA28">
        <f t="shared" si="12"/>
        <v>101.7</v>
      </c>
      <c r="AB28">
        <f t="shared" si="13"/>
        <v>0.1</v>
      </c>
      <c r="AC28">
        <f t="shared" si="5"/>
        <v>101.7</v>
      </c>
      <c r="AD28">
        <f t="shared" si="14"/>
        <v>31.78</v>
      </c>
      <c r="AE28">
        <f t="shared" si="15"/>
        <v>0.01</v>
      </c>
      <c r="AF28">
        <f t="shared" si="6"/>
        <v>31.78</v>
      </c>
      <c r="AG28" s="57">
        <f t="shared" si="16"/>
        <v>63.5625</v>
      </c>
      <c r="AH28">
        <f t="shared" si="7"/>
        <v>0</v>
      </c>
      <c r="AI28">
        <f t="shared" si="8"/>
        <v>0</v>
      </c>
      <c r="AJ28">
        <f t="shared" si="17"/>
        <v>0</v>
      </c>
      <c r="AK28">
        <f t="shared" si="9"/>
        <v>2</v>
      </c>
      <c r="AL28" t="str">
        <f t="shared" si="10"/>
        <v>INF</v>
      </c>
      <c r="AM28">
        <f t="shared" ca="1" si="18"/>
        <v>101</v>
      </c>
      <c r="AN28" t="str">
        <f t="shared" si="11"/>
        <v/>
      </c>
      <c r="AO28" s="3" t="s">
        <v>60</v>
      </c>
      <c r="AP28" s="11" t="s">
        <v>61</v>
      </c>
      <c r="AQ28">
        <v>900</v>
      </c>
      <c r="AR28">
        <v>-1</v>
      </c>
      <c r="AS28">
        <v>-1</v>
      </c>
      <c r="AT28">
        <v>0</v>
      </c>
      <c r="AU28" t="str">
        <v>mL/sec</v>
      </c>
      <c r="AV28" s="4" t="str">
        <v>MM</v>
      </c>
      <c r="AW28" s="11">
        <v>60</v>
      </c>
      <c r="AX28" s="5"/>
      <c r="AY28" s="3"/>
      <c r="AZ28" s="4"/>
      <c r="BA28" s="5"/>
      <c r="BG28">
        <v>8.5850000000000009</v>
      </c>
      <c r="BH28">
        <v>8.9410000000000007</v>
      </c>
      <c r="BI28">
        <v>8.9499999999999993</v>
      </c>
      <c r="BJ28">
        <v>9.65</v>
      </c>
      <c r="BK28">
        <v>8.91</v>
      </c>
      <c r="BL28">
        <v>0.14599999999999999</v>
      </c>
      <c r="BM28">
        <v>0.15</v>
      </c>
      <c r="BN28">
        <v>8.91</v>
      </c>
      <c r="BO28">
        <v>9.5380000000000003</v>
      </c>
    </row>
    <row r="29" spans="2:67" ht="20" thickTop="1" thickBot="1">
      <c r="B29" s="39"/>
      <c r="C29" s="51"/>
      <c r="D29" s="83">
        <f t="shared" si="19"/>
        <v>19</v>
      </c>
      <c r="E29" s="40" t="s">
        <v>52</v>
      </c>
      <c r="F29" s="156">
        <v>101.79</v>
      </c>
      <c r="G29" s="41" t="s">
        <v>246</v>
      </c>
      <c r="H29" s="156">
        <v>31.81</v>
      </c>
      <c r="I29" s="64">
        <v>0</v>
      </c>
      <c r="J29" s="81" t="s">
        <v>149</v>
      </c>
      <c r="K29" s="65">
        <v>37.5</v>
      </c>
      <c r="L29" s="54" t="s">
        <v>28</v>
      </c>
      <c r="M29" s="59" t="s">
        <v>21</v>
      </c>
      <c r="N29" s="72" t="s">
        <v>211</v>
      </c>
      <c r="O29" s="73"/>
      <c r="P29" s="74"/>
      <c r="V29">
        <f t="shared" si="0"/>
        <v>2</v>
      </c>
      <c r="W29" t="str">
        <f t="shared" si="1"/>
        <v>RAT</v>
      </c>
      <c r="X29">
        <f t="shared" si="20"/>
        <v>5</v>
      </c>
      <c r="Y29" t="str">
        <f t="shared" si="3"/>
        <v>UM</v>
      </c>
      <c r="Z29">
        <f t="shared" si="4"/>
        <v>350</v>
      </c>
      <c r="AA29">
        <f t="shared" si="12"/>
        <v>101.80000000000001</v>
      </c>
      <c r="AB29">
        <f t="shared" si="13"/>
        <v>0.1</v>
      </c>
      <c r="AC29">
        <f t="shared" si="5"/>
        <v>101.79</v>
      </c>
      <c r="AD29">
        <f t="shared" si="14"/>
        <v>31.810000000000002</v>
      </c>
      <c r="AE29">
        <f t="shared" si="15"/>
        <v>0.01</v>
      </c>
      <c r="AF29">
        <f t="shared" si="6"/>
        <v>31.81</v>
      </c>
      <c r="AG29" s="57">
        <f t="shared" si="16"/>
        <v>63.618750000000006</v>
      </c>
      <c r="AH29">
        <f t="shared" si="7"/>
        <v>0</v>
      </c>
      <c r="AI29">
        <f t="shared" si="8"/>
        <v>0</v>
      </c>
      <c r="AJ29">
        <f t="shared" si="17"/>
        <v>0</v>
      </c>
      <c r="AK29">
        <f t="shared" si="9"/>
        <v>2</v>
      </c>
      <c r="AL29" t="str">
        <f t="shared" si="10"/>
        <v>INF</v>
      </c>
      <c r="AM29">
        <f t="shared" ca="1" si="18"/>
        <v>101</v>
      </c>
      <c r="AN29" t="str">
        <f t="shared" si="11"/>
        <v/>
      </c>
      <c r="AO29" s="3" t="s">
        <v>62</v>
      </c>
      <c r="AP29" s="11" t="s">
        <v>63</v>
      </c>
      <c r="AQ29">
        <v>500</v>
      </c>
      <c r="AR29">
        <v>0</v>
      </c>
      <c r="AS29">
        <v>99</v>
      </c>
      <c r="AT29">
        <v>0</v>
      </c>
      <c r="AU29" t="str">
        <v>μL/sec</v>
      </c>
      <c r="AV29" s="4" t="str">
        <v>UM</v>
      </c>
      <c r="AW29" s="11">
        <v>60</v>
      </c>
      <c r="AX29" s="5"/>
      <c r="AY29" s="3"/>
      <c r="AZ29" s="4"/>
      <c r="BA29" s="5"/>
      <c r="BG29">
        <v>11.99</v>
      </c>
      <c r="BH29">
        <v>12.7</v>
      </c>
      <c r="BI29">
        <v>13</v>
      </c>
      <c r="BJ29">
        <v>12.45</v>
      </c>
      <c r="BK29">
        <v>9.06</v>
      </c>
      <c r="BL29">
        <v>0.20600000000000002</v>
      </c>
      <c r="BM29">
        <v>0.34300000000000003</v>
      </c>
      <c r="BN29">
        <v>11.71</v>
      </c>
      <c r="BO29">
        <v>12.7</v>
      </c>
    </row>
    <row r="30" spans="2:67" ht="19" thickBot="1">
      <c r="B30" s="39"/>
      <c r="C30" s="51"/>
      <c r="D30" s="83">
        <f t="shared" si="19"/>
        <v>20</v>
      </c>
      <c r="E30" s="40" t="s">
        <v>52</v>
      </c>
      <c r="F30" s="156">
        <v>101.92</v>
      </c>
      <c r="G30" s="41" t="s">
        <v>246</v>
      </c>
      <c r="H30" s="156">
        <v>31.85</v>
      </c>
      <c r="I30" s="64">
        <v>0</v>
      </c>
      <c r="J30" s="81" t="s">
        <v>149</v>
      </c>
      <c r="K30" s="65">
        <v>37.5</v>
      </c>
      <c r="L30" s="54" t="s">
        <v>28</v>
      </c>
      <c r="M30" s="59" t="s">
        <v>21</v>
      </c>
      <c r="N30" s="75"/>
      <c r="O30" s="76"/>
      <c r="P30" s="77" t="s">
        <v>168</v>
      </c>
      <c r="V30">
        <f t="shared" si="0"/>
        <v>2</v>
      </c>
      <c r="W30" t="str">
        <f t="shared" si="1"/>
        <v>RAT</v>
      </c>
      <c r="X30">
        <f t="shared" si="20"/>
        <v>5</v>
      </c>
      <c r="Y30" t="str">
        <f t="shared" si="3"/>
        <v>UM</v>
      </c>
      <c r="Z30">
        <f t="shared" si="4"/>
        <v>350</v>
      </c>
      <c r="AA30">
        <f t="shared" si="12"/>
        <v>101.9</v>
      </c>
      <c r="AB30">
        <f t="shared" si="13"/>
        <v>0.1</v>
      </c>
      <c r="AC30">
        <f t="shared" si="5"/>
        <v>101.92</v>
      </c>
      <c r="AD30">
        <f t="shared" si="14"/>
        <v>31.85</v>
      </c>
      <c r="AE30">
        <f t="shared" si="15"/>
        <v>0.01</v>
      </c>
      <c r="AF30">
        <f t="shared" si="6"/>
        <v>31.85</v>
      </c>
      <c r="AG30" s="57">
        <f t="shared" si="16"/>
        <v>63.7</v>
      </c>
      <c r="AH30">
        <f t="shared" si="7"/>
        <v>0</v>
      </c>
      <c r="AI30">
        <f t="shared" si="8"/>
        <v>0</v>
      </c>
      <c r="AJ30">
        <f t="shared" si="17"/>
        <v>0</v>
      </c>
      <c r="AK30">
        <f t="shared" si="9"/>
        <v>2</v>
      </c>
      <c r="AL30" t="str">
        <f t="shared" si="10"/>
        <v>INF</v>
      </c>
      <c r="AM30">
        <f t="shared" ca="1" si="18"/>
        <v>101</v>
      </c>
      <c r="AN30" t="str">
        <f t="shared" si="11"/>
        <v/>
      </c>
      <c r="AO30" s="3" t="s">
        <v>225</v>
      </c>
      <c r="AP30">
        <v>1</v>
      </c>
      <c r="AQ30">
        <v>575</v>
      </c>
      <c r="AR30">
        <v>0</v>
      </c>
      <c r="AS30">
        <v>99</v>
      </c>
      <c r="AT30">
        <v>0</v>
      </c>
      <c r="AU30" s="4"/>
      <c r="AV30" s="4"/>
      <c r="AW30" s="4"/>
      <c r="AX30" s="5"/>
      <c r="AY30" s="3"/>
      <c r="AZ30" s="4"/>
      <c r="BA30" s="5"/>
      <c r="BG30">
        <v>14.43</v>
      </c>
      <c r="BH30">
        <v>15.72</v>
      </c>
      <c r="BI30">
        <v>15.8</v>
      </c>
      <c r="BJ30">
        <v>15.9</v>
      </c>
      <c r="BK30">
        <v>11.75</v>
      </c>
      <c r="BL30">
        <v>0.32600000000000001</v>
      </c>
      <c r="BM30">
        <v>0.48499999999999999</v>
      </c>
      <c r="BN30">
        <v>14.65</v>
      </c>
      <c r="BO30">
        <v>9.5380000000000003</v>
      </c>
    </row>
    <row r="31" spans="2:67" ht="16" thickTop="1" thickBot="1">
      <c r="B31" s="39"/>
      <c r="C31" s="51"/>
      <c r="D31" s="83">
        <f t="shared" si="19"/>
        <v>21</v>
      </c>
      <c r="E31" s="40" t="s">
        <v>52</v>
      </c>
      <c r="F31" s="156">
        <v>102.02</v>
      </c>
      <c r="G31" s="41" t="s">
        <v>246</v>
      </c>
      <c r="H31" s="156">
        <v>31.88</v>
      </c>
      <c r="I31" s="64">
        <v>0</v>
      </c>
      <c r="J31" s="81" t="s">
        <v>149</v>
      </c>
      <c r="K31" s="65">
        <v>37.5</v>
      </c>
      <c r="L31" s="54" t="s">
        <v>28</v>
      </c>
      <c r="M31" s="59" t="s">
        <v>21</v>
      </c>
      <c r="N31" s="101" t="s">
        <v>212</v>
      </c>
      <c r="O31" s="1"/>
      <c r="P31" s="2"/>
      <c r="U31" s="4">
        <f>(MATCH(N32,N37:N40,0))</f>
        <v>1</v>
      </c>
      <c r="V31">
        <f t="shared" si="0"/>
        <v>2</v>
      </c>
      <c r="W31" t="str">
        <f t="shared" si="1"/>
        <v>RAT</v>
      </c>
      <c r="X31">
        <f t="shared" si="20"/>
        <v>5</v>
      </c>
      <c r="Y31" t="str">
        <f t="shared" si="3"/>
        <v>UM</v>
      </c>
      <c r="Z31">
        <f t="shared" si="4"/>
        <v>350</v>
      </c>
      <c r="AA31">
        <f t="shared" si="12"/>
        <v>102</v>
      </c>
      <c r="AB31">
        <f t="shared" si="13"/>
        <v>0.1</v>
      </c>
      <c r="AC31">
        <f t="shared" si="5"/>
        <v>102.02</v>
      </c>
      <c r="AD31">
        <f t="shared" si="14"/>
        <v>31.88</v>
      </c>
      <c r="AE31">
        <f t="shared" si="15"/>
        <v>0.01</v>
      </c>
      <c r="AF31">
        <f t="shared" si="6"/>
        <v>31.88</v>
      </c>
      <c r="AG31" s="57">
        <f t="shared" si="16"/>
        <v>63.762499999999996</v>
      </c>
      <c r="AH31">
        <f t="shared" si="7"/>
        <v>0</v>
      </c>
      <c r="AI31">
        <f t="shared" si="8"/>
        <v>0</v>
      </c>
      <c r="AJ31">
        <f t="shared" si="17"/>
        <v>0</v>
      </c>
      <c r="AK31">
        <f t="shared" si="9"/>
        <v>2</v>
      </c>
      <c r="AL31" t="str">
        <f t="shared" si="10"/>
        <v>INF</v>
      </c>
      <c r="AM31">
        <f t="shared" ca="1" si="18"/>
        <v>102</v>
      </c>
      <c r="AN31" t="str">
        <f t="shared" si="11"/>
        <v/>
      </c>
      <c r="AO31" s="3"/>
      <c r="AQ31">
        <v>900</v>
      </c>
      <c r="AR31">
        <v>-1</v>
      </c>
      <c r="AS31">
        <v>-1</v>
      </c>
      <c r="AT31">
        <v>0</v>
      </c>
      <c r="AU31" s="4"/>
      <c r="AV31" s="4"/>
      <c r="AW31" s="4"/>
      <c r="AX31" s="5"/>
      <c r="AY31" s="3"/>
      <c r="AZ31" s="4"/>
      <c r="BA31" s="5"/>
      <c r="BG31">
        <v>19.05</v>
      </c>
      <c r="BH31">
        <v>20.12</v>
      </c>
      <c r="BI31">
        <v>20.149999999999999</v>
      </c>
      <c r="BJ31">
        <v>20.05</v>
      </c>
      <c r="BK31">
        <v>14.67</v>
      </c>
      <c r="BM31">
        <v>0.72799999999999998</v>
      </c>
      <c r="BN31">
        <v>19.559999999999999</v>
      </c>
      <c r="BO31">
        <v>19.13</v>
      </c>
    </row>
    <row r="32" spans="2:67" ht="15" thickBot="1">
      <c r="B32" s="39"/>
      <c r="C32" s="51"/>
      <c r="D32" s="83">
        <f t="shared" si="19"/>
        <v>22</v>
      </c>
      <c r="E32" s="40" t="s">
        <v>52</v>
      </c>
      <c r="F32" s="156">
        <v>102.14</v>
      </c>
      <c r="G32" s="41" t="s">
        <v>246</v>
      </c>
      <c r="H32" s="156">
        <v>31.92</v>
      </c>
      <c r="I32" s="64">
        <v>0</v>
      </c>
      <c r="J32" s="81" t="s">
        <v>149</v>
      </c>
      <c r="K32" s="65">
        <v>37.5</v>
      </c>
      <c r="L32" s="54" t="s">
        <v>28</v>
      </c>
      <c r="M32" s="59" t="s">
        <v>21</v>
      </c>
      <c r="N32" s="130" t="s">
        <v>230</v>
      </c>
      <c r="O32" s="131"/>
      <c r="P32" s="132"/>
      <c r="R32" s="86"/>
      <c r="U32" s="110" t="str">
        <f>INDEX(Q37:Q40,U31)</f>
        <v>/COM=1 PPL.PPL</v>
      </c>
      <c r="V32">
        <f t="shared" si="0"/>
        <v>2</v>
      </c>
      <c r="W32" t="str">
        <f t="shared" si="1"/>
        <v>RAT</v>
      </c>
      <c r="X32">
        <f t="shared" si="20"/>
        <v>5</v>
      </c>
      <c r="Y32" t="str">
        <f t="shared" si="3"/>
        <v>UM</v>
      </c>
      <c r="Z32">
        <f t="shared" si="4"/>
        <v>350</v>
      </c>
      <c r="AA32">
        <f t="shared" si="12"/>
        <v>102.10000000000001</v>
      </c>
      <c r="AB32">
        <f t="shared" si="13"/>
        <v>0.1</v>
      </c>
      <c r="AC32">
        <f t="shared" si="5"/>
        <v>102.14</v>
      </c>
      <c r="AD32">
        <f t="shared" si="14"/>
        <v>31.92</v>
      </c>
      <c r="AE32">
        <f t="shared" si="15"/>
        <v>0.01</v>
      </c>
      <c r="AF32">
        <f t="shared" si="6"/>
        <v>31.92</v>
      </c>
      <c r="AG32" s="57">
        <f t="shared" si="16"/>
        <v>63.837499999999999</v>
      </c>
      <c r="AH32">
        <f t="shared" si="7"/>
        <v>0</v>
      </c>
      <c r="AI32">
        <f t="shared" si="8"/>
        <v>0</v>
      </c>
      <c r="AJ32">
        <f t="shared" si="17"/>
        <v>0</v>
      </c>
      <c r="AK32">
        <f t="shared" si="9"/>
        <v>2</v>
      </c>
      <c r="AL32" t="str">
        <f t="shared" si="10"/>
        <v>INF</v>
      </c>
      <c r="AM32">
        <f t="shared" ca="1" si="18"/>
        <v>102</v>
      </c>
      <c r="AN32" t="str">
        <f t="shared" si="11"/>
        <v/>
      </c>
      <c r="AO32" s="3"/>
      <c r="AQ32">
        <v>900</v>
      </c>
      <c r="AR32">
        <v>-1</v>
      </c>
      <c r="AS32">
        <v>-1</v>
      </c>
      <c r="AT32">
        <v>0</v>
      </c>
      <c r="AU32" s="4"/>
      <c r="AV32" s="4"/>
      <c r="AW32" s="4"/>
      <c r="AX32" s="5"/>
      <c r="AY32" s="3"/>
      <c r="AZ32" s="4"/>
      <c r="BA32" s="5"/>
      <c r="BG32">
        <v>21.59</v>
      </c>
      <c r="BH32">
        <v>23.52</v>
      </c>
      <c r="BI32">
        <v>23.1</v>
      </c>
      <c r="BJ32">
        <v>22.9</v>
      </c>
      <c r="BK32">
        <v>19.62</v>
      </c>
      <c r="BM32">
        <v>1.03</v>
      </c>
      <c r="BN32">
        <v>22.7</v>
      </c>
      <c r="BO32">
        <v>28.6</v>
      </c>
    </row>
    <row r="33" spans="2:66" ht="19" thickBot="1">
      <c r="B33" s="39"/>
      <c r="C33" s="51"/>
      <c r="D33" s="83">
        <f t="shared" si="19"/>
        <v>23</v>
      </c>
      <c r="E33" s="40" t="s">
        <v>52</v>
      </c>
      <c r="F33" s="156">
        <v>102.24</v>
      </c>
      <c r="G33" s="41" t="s">
        <v>246</v>
      </c>
      <c r="H33" s="156">
        <v>31.95</v>
      </c>
      <c r="I33" s="64">
        <v>0</v>
      </c>
      <c r="J33" s="81" t="s">
        <v>149</v>
      </c>
      <c r="K33" s="65">
        <v>37.5</v>
      </c>
      <c r="L33" s="54" t="s">
        <v>28</v>
      </c>
      <c r="M33" s="59" t="s">
        <v>21</v>
      </c>
      <c r="N33" s="102" t="s">
        <v>213</v>
      </c>
      <c r="P33" s="5"/>
      <c r="U33" s="110" t="str">
        <f>INDEX(S37:S40,U31)</f>
        <v>Default</v>
      </c>
      <c r="V33">
        <f t="shared" si="0"/>
        <v>2</v>
      </c>
      <c r="W33" t="str">
        <f t="shared" si="1"/>
        <v>RAT</v>
      </c>
      <c r="X33">
        <f t="shared" si="20"/>
        <v>5</v>
      </c>
      <c r="Y33" t="str">
        <f t="shared" si="3"/>
        <v>UM</v>
      </c>
      <c r="Z33">
        <f t="shared" si="4"/>
        <v>350</v>
      </c>
      <c r="AA33">
        <f t="shared" si="12"/>
        <v>102.2</v>
      </c>
      <c r="AB33">
        <f t="shared" si="13"/>
        <v>0.1</v>
      </c>
      <c r="AC33">
        <f t="shared" si="5"/>
        <v>102.24</v>
      </c>
      <c r="AD33">
        <f t="shared" si="14"/>
        <v>31.95</v>
      </c>
      <c r="AE33">
        <f t="shared" si="15"/>
        <v>0.01</v>
      </c>
      <c r="AF33">
        <f t="shared" si="6"/>
        <v>31.95</v>
      </c>
      <c r="AG33" s="57">
        <f t="shared" si="16"/>
        <v>63.9</v>
      </c>
      <c r="AH33">
        <f t="shared" si="7"/>
        <v>0</v>
      </c>
      <c r="AI33">
        <f t="shared" si="8"/>
        <v>0</v>
      </c>
      <c r="AJ33">
        <f t="shared" si="17"/>
        <v>0</v>
      </c>
      <c r="AK33">
        <f t="shared" si="9"/>
        <v>2</v>
      </c>
      <c r="AL33" t="str">
        <f t="shared" si="10"/>
        <v>INF</v>
      </c>
      <c r="AM33">
        <f t="shared" ca="1" si="18"/>
        <v>102</v>
      </c>
      <c r="AN33" t="str">
        <f t="shared" si="11"/>
        <v/>
      </c>
      <c r="AO33" s="3"/>
      <c r="AQ33">
        <v>900</v>
      </c>
      <c r="AR33">
        <v>-1</v>
      </c>
      <c r="AS33">
        <v>-1</v>
      </c>
      <c r="AT33">
        <v>0</v>
      </c>
      <c r="AU33" s="4"/>
      <c r="AV33" s="4"/>
      <c r="AW33" s="4"/>
      <c r="AX33" s="5"/>
      <c r="AY33" s="3"/>
      <c r="AZ33" s="4"/>
      <c r="BA33" s="5"/>
      <c r="BG33">
        <v>26.59</v>
      </c>
      <c r="BH33">
        <v>26.64</v>
      </c>
      <c r="BI33">
        <v>29.7</v>
      </c>
      <c r="BJ33">
        <v>22.9</v>
      </c>
      <c r="BK33">
        <v>22.69</v>
      </c>
      <c r="BM33">
        <v>1.4570000000000001</v>
      </c>
      <c r="BN33">
        <v>28.02</v>
      </c>
    </row>
    <row r="34" spans="2:66" ht="19" thickBot="1">
      <c r="B34" s="39"/>
      <c r="C34" s="51"/>
      <c r="D34" s="83">
        <f t="shared" si="19"/>
        <v>24</v>
      </c>
      <c r="E34" s="40" t="s">
        <v>52</v>
      </c>
      <c r="F34" s="156">
        <v>102.37</v>
      </c>
      <c r="G34" s="41" t="s">
        <v>246</v>
      </c>
      <c r="H34" s="156">
        <v>31.99</v>
      </c>
      <c r="I34" s="64">
        <v>0</v>
      </c>
      <c r="J34" s="81" t="s">
        <v>149</v>
      </c>
      <c r="K34" s="65">
        <v>37.5</v>
      </c>
      <c r="L34" s="54" t="s">
        <v>28</v>
      </c>
      <c r="M34" s="59" t="s">
        <v>21</v>
      </c>
      <c r="N34" s="103" t="s">
        <v>214</v>
      </c>
      <c r="O34" s="7"/>
      <c r="P34" s="104" t="s">
        <v>215</v>
      </c>
      <c r="V34">
        <f t="shared" si="0"/>
        <v>2</v>
      </c>
      <c r="W34" t="str">
        <f t="shared" si="1"/>
        <v>RAT</v>
      </c>
      <c r="X34">
        <f t="shared" si="20"/>
        <v>5</v>
      </c>
      <c r="Y34" t="str">
        <f t="shared" si="3"/>
        <v>UM</v>
      </c>
      <c r="Z34">
        <f t="shared" si="4"/>
        <v>350</v>
      </c>
      <c r="AA34">
        <f t="shared" si="12"/>
        <v>102.4</v>
      </c>
      <c r="AB34">
        <f t="shared" si="13"/>
        <v>0.1</v>
      </c>
      <c r="AC34">
        <f t="shared" si="5"/>
        <v>102.37</v>
      </c>
      <c r="AD34">
        <f t="shared" si="14"/>
        <v>31.990000000000002</v>
      </c>
      <c r="AE34">
        <f t="shared" si="15"/>
        <v>0.01</v>
      </c>
      <c r="AF34">
        <f t="shared" si="6"/>
        <v>31.99</v>
      </c>
      <c r="AG34" s="57">
        <f t="shared" si="16"/>
        <v>63.981250000000003</v>
      </c>
      <c r="AH34">
        <f t="shared" si="7"/>
        <v>0</v>
      </c>
      <c r="AI34">
        <f t="shared" si="8"/>
        <v>0</v>
      </c>
      <c r="AJ34">
        <f t="shared" si="17"/>
        <v>0</v>
      </c>
      <c r="AK34">
        <f t="shared" si="9"/>
        <v>2</v>
      </c>
      <c r="AL34" t="str">
        <f t="shared" si="10"/>
        <v>INF</v>
      </c>
      <c r="AM34">
        <f t="shared" ca="1" si="18"/>
        <v>102</v>
      </c>
      <c r="AN34" t="str">
        <f t="shared" si="11"/>
        <v/>
      </c>
      <c r="AO34" s="3"/>
      <c r="AQ34">
        <v>900</v>
      </c>
      <c r="AR34">
        <v>-1</v>
      </c>
      <c r="AS34">
        <v>-1</v>
      </c>
      <c r="AT34">
        <v>0</v>
      </c>
      <c r="AU34" s="4"/>
      <c r="AV34" s="4"/>
      <c r="AW34" s="4"/>
      <c r="AX34" s="5"/>
      <c r="AY34" s="3"/>
      <c r="AZ34" s="4"/>
      <c r="BA34" s="5"/>
      <c r="BH34">
        <v>38</v>
      </c>
      <c r="BK34">
        <v>26.96</v>
      </c>
      <c r="BM34">
        <v>2.3029999999999999</v>
      </c>
    </row>
    <row r="35" spans="2:66" ht="15" thickBot="1">
      <c r="B35" s="39"/>
      <c r="C35" s="51"/>
      <c r="D35" s="83">
        <f t="shared" si="19"/>
        <v>25</v>
      </c>
      <c r="E35" s="40" t="s">
        <v>52</v>
      </c>
      <c r="F35" s="156">
        <v>102.46</v>
      </c>
      <c r="G35" s="41" t="s">
        <v>246</v>
      </c>
      <c r="H35" s="156">
        <v>32.020000000000003</v>
      </c>
      <c r="I35" s="64">
        <v>0</v>
      </c>
      <c r="J35" s="81" t="s">
        <v>149</v>
      </c>
      <c r="K35" s="65">
        <v>37.5</v>
      </c>
      <c r="L35" s="54" t="s">
        <v>28</v>
      </c>
      <c r="M35" s="59" t="s">
        <v>21</v>
      </c>
      <c r="N35" s="105" t="s">
        <v>231</v>
      </c>
      <c r="O35" s="115" t="s">
        <v>232</v>
      </c>
      <c r="S35" s="4" t="s">
        <v>233</v>
      </c>
      <c r="V35">
        <f t="shared" si="0"/>
        <v>2</v>
      </c>
      <c r="W35" t="str">
        <f t="shared" si="1"/>
        <v>RAT</v>
      </c>
      <c r="X35">
        <f t="shared" si="20"/>
        <v>5</v>
      </c>
      <c r="Y35" t="str">
        <f t="shared" si="3"/>
        <v>UM</v>
      </c>
      <c r="Z35">
        <f t="shared" si="4"/>
        <v>350</v>
      </c>
      <c r="AA35">
        <f t="shared" si="12"/>
        <v>102.5</v>
      </c>
      <c r="AB35">
        <f t="shared" si="13"/>
        <v>0.1</v>
      </c>
      <c r="AC35">
        <f t="shared" si="5"/>
        <v>102.46</v>
      </c>
      <c r="AD35">
        <f t="shared" si="14"/>
        <v>32.020000000000003</v>
      </c>
      <c r="AE35">
        <f t="shared" si="15"/>
        <v>0.01</v>
      </c>
      <c r="AF35">
        <f t="shared" si="6"/>
        <v>32.020000000000003</v>
      </c>
      <c r="AG35" s="57">
        <f t="shared" si="16"/>
        <v>64.037499999999994</v>
      </c>
      <c r="AH35">
        <f t="shared" si="7"/>
        <v>0</v>
      </c>
      <c r="AI35">
        <f t="shared" si="8"/>
        <v>0</v>
      </c>
      <c r="AJ35">
        <f t="shared" si="17"/>
        <v>0</v>
      </c>
      <c r="AK35">
        <f t="shared" si="9"/>
        <v>2</v>
      </c>
      <c r="AL35" t="str">
        <f t="shared" si="10"/>
        <v>INF</v>
      </c>
      <c r="AM35">
        <f t="shared" ca="1" si="18"/>
        <v>102</v>
      </c>
      <c r="AN35" t="str">
        <f t="shared" si="11"/>
        <v/>
      </c>
      <c r="AO35" s="3"/>
      <c r="AP35" s="4"/>
      <c r="AU35" s="4"/>
      <c r="AV35" s="4"/>
      <c r="AW35" s="4"/>
      <c r="AX35" s="5"/>
      <c r="AY35" s="3"/>
      <c r="AZ35" s="4"/>
      <c r="BA35" s="5"/>
      <c r="BK35">
        <v>34.21</v>
      </c>
      <c r="BM35">
        <v>3.2570000000000001</v>
      </c>
    </row>
    <row r="36" spans="2:66" ht="15" thickBot="1">
      <c r="B36" s="39"/>
      <c r="C36" s="51"/>
      <c r="D36" s="83">
        <f t="shared" si="19"/>
        <v>26</v>
      </c>
      <c r="E36" s="40" t="s">
        <v>52</v>
      </c>
      <c r="F36" s="156">
        <v>102.59</v>
      </c>
      <c r="G36" s="41" t="s">
        <v>246</v>
      </c>
      <c r="H36" s="156">
        <v>32.06</v>
      </c>
      <c r="I36" s="64">
        <v>0</v>
      </c>
      <c r="J36" s="81" t="s">
        <v>149</v>
      </c>
      <c r="K36" s="65">
        <v>37.5</v>
      </c>
      <c r="L36" s="54" t="s">
        <v>28</v>
      </c>
      <c r="M36" s="59" t="s">
        <v>21</v>
      </c>
      <c r="N36" s="3" t="s">
        <v>216</v>
      </c>
      <c r="Q36" s="109" t="s">
        <v>228</v>
      </c>
      <c r="S36" s="86" t="s">
        <v>235</v>
      </c>
      <c r="V36">
        <f t="shared" si="0"/>
        <v>2</v>
      </c>
      <c r="W36" t="str">
        <f t="shared" si="1"/>
        <v>RAT</v>
      </c>
      <c r="X36">
        <f t="shared" si="20"/>
        <v>5</v>
      </c>
      <c r="Y36" t="str">
        <f t="shared" si="3"/>
        <v>UM</v>
      </c>
      <c r="Z36">
        <f t="shared" si="4"/>
        <v>350</v>
      </c>
      <c r="AA36">
        <f t="shared" si="12"/>
        <v>102.60000000000001</v>
      </c>
      <c r="AB36">
        <f t="shared" si="13"/>
        <v>0.1</v>
      </c>
      <c r="AC36">
        <f t="shared" si="5"/>
        <v>102.59</v>
      </c>
      <c r="AD36">
        <f t="shared" si="14"/>
        <v>32.06</v>
      </c>
      <c r="AE36">
        <f t="shared" si="15"/>
        <v>0.01</v>
      </c>
      <c r="AF36">
        <f t="shared" si="6"/>
        <v>32.06</v>
      </c>
      <c r="AG36" s="57">
        <f t="shared" si="16"/>
        <v>64.118750000000006</v>
      </c>
      <c r="AH36">
        <f t="shared" si="7"/>
        <v>0</v>
      </c>
      <c r="AI36">
        <f t="shared" si="8"/>
        <v>0</v>
      </c>
      <c r="AJ36">
        <f t="shared" si="17"/>
        <v>0</v>
      </c>
      <c r="AK36">
        <f t="shared" si="9"/>
        <v>2</v>
      </c>
      <c r="AL36" t="str">
        <f t="shared" si="10"/>
        <v>INF</v>
      </c>
      <c r="AM36">
        <f t="shared" ca="1" si="18"/>
        <v>102</v>
      </c>
      <c r="AN36" t="str">
        <f t="shared" si="11"/>
        <v/>
      </c>
      <c r="AO36" s="6"/>
      <c r="AP36" s="7"/>
      <c r="AQ36" s="7"/>
      <c r="AR36" s="7"/>
      <c r="AS36" s="7"/>
      <c r="AT36" s="7"/>
      <c r="AU36" s="7"/>
      <c r="AV36" s="7"/>
      <c r="AW36" s="7"/>
      <c r="AX36" s="8"/>
      <c r="AY36" s="6"/>
      <c r="AZ36" s="7"/>
      <c r="BA36" s="8"/>
      <c r="BM36">
        <v>4.6059999999999999</v>
      </c>
    </row>
    <row r="37" spans="2:66" ht="15" thickBot="1">
      <c r="B37" s="39"/>
      <c r="C37" s="51"/>
      <c r="D37" s="83">
        <f t="shared" si="19"/>
        <v>27</v>
      </c>
      <c r="E37" s="40" t="s">
        <v>52</v>
      </c>
      <c r="F37" s="156">
        <v>102.69</v>
      </c>
      <c r="G37" s="41" t="s">
        <v>246</v>
      </c>
      <c r="H37" s="156">
        <v>32.090000000000003</v>
      </c>
      <c r="I37" s="64">
        <v>0</v>
      </c>
      <c r="J37" s="81" t="s">
        <v>149</v>
      </c>
      <c r="K37" s="65">
        <v>37.5</v>
      </c>
      <c r="L37" s="54" t="s">
        <v>28</v>
      </c>
      <c r="M37" s="59" t="s">
        <v>21</v>
      </c>
      <c r="N37" s="153" t="s">
        <v>230</v>
      </c>
      <c r="O37" s="154"/>
      <c r="P37" s="155"/>
      <c r="Q37" s="148" t="s">
        <v>229</v>
      </c>
      <c r="R37" s="149"/>
      <c r="S37" s="111" t="s">
        <v>236</v>
      </c>
      <c r="U37" s="4" t="s">
        <v>236</v>
      </c>
      <c r="V37">
        <f t="shared" si="0"/>
        <v>2</v>
      </c>
      <c r="W37" t="str">
        <f t="shared" si="1"/>
        <v>RAT</v>
      </c>
      <c r="X37">
        <f t="shared" si="20"/>
        <v>5</v>
      </c>
      <c r="Y37" t="str">
        <f t="shared" si="3"/>
        <v>UM</v>
      </c>
      <c r="Z37">
        <f t="shared" si="4"/>
        <v>350</v>
      </c>
      <c r="AA37">
        <f t="shared" si="12"/>
        <v>102.7</v>
      </c>
      <c r="AB37">
        <f t="shared" si="13"/>
        <v>0.1</v>
      </c>
      <c r="AC37">
        <f t="shared" si="5"/>
        <v>102.69</v>
      </c>
      <c r="AD37">
        <f t="shared" si="14"/>
        <v>32.090000000000003</v>
      </c>
      <c r="AE37">
        <f t="shared" si="15"/>
        <v>0.01</v>
      </c>
      <c r="AF37">
        <f t="shared" si="6"/>
        <v>32.090000000000003</v>
      </c>
      <c r="AG37" s="57">
        <f t="shared" si="16"/>
        <v>64.181250000000006</v>
      </c>
      <c r="AH37">
        <f t="shared" si="7"/>
        <v>0</v>
      </c>
      <c r="AI37">
        <f t="shared" si="8"/>
        <v>0</v>
      </c>
      <c r="AJ37">
        <f t="shared" si="17"/>
        <v>0</v>
      </c>
      <c r="AK37">
        <f t="shared" si="9"/>
        <v>2</v>
      </c>
      <c r="AL37" t="str">
        <f t="shared" si="10"/>
        <v>INF</v>
      </c>
      <c r="AM37">
        <f t="shared" ca="1" si="18"/>
        <v>102</v>
      </c>
      <c r="AN37" t="str">
        <f t="shared" si="11"/>
        <v/>
      </c>
      <c r="BM37">
        <v>7.2839999999999998</v>
      </c>
    </row>
    <row r="38" spans="2:66" ht="15" thickBot="1">
      <c r="B38" s="39"/>
      <c r="C38" s="51"/>
      <c r="D38" s="83">
        <f t="shared" si="19"/>
        <v>28</v>
      </c>
      <c r="E38" s="40" t="s">
        <v>52</v>
      </c>
      <c r="F38" s="156">
        <v>102.82</v>
      </c>
      <c r="G38" s="41" t="s">
        <v>246</v>
      </c>
      <c r="H38" s="156">
        <v>32.130000000000003</v>
      </c>
      <c r="I38" s="64">
        <v>0</v>
      </c>
      <c r="J38" s="81" t="s">
        <v>149</v>
      </c>
      <c r="K38" s="65">
        <v>37.5</v>
      </c>
      <c r="L38" s="54" t="s">
        <v>28</v>
      </c>
      <c r="M38" s="59" t="s">
        <v>21</v>
      </c>
      <c r="N38" s="139" t="s">
        <v>245</v>
      </c>
      <c r="O38" s="140"/>
      <c r="P38" s="141"/>
      <c r="Q38" s="148"/>
      <c r="R38" s="149"/>
      <c r="S38" s="112" t="s">
        <v>234</v>
      </c>
      <c r="U38" s="4" t="s">
        <v>234</v>
      </c>
      <c r="V38">
        <f t="shared" si="0"/>
        <v>2</v>
      </c>
      <c r="W38" t="str">
        <f t="shared" si="1"/>
        <v>RAT</v>
      </c>
      <c r="X38">
        <f t="shared" si="20"/>
        <v>5</v>
      </c>
      <c r="Y38" t="str">
        <f t="shared" si="3"/>
        <v>UM</v>
      </c>
      <c r="Z38">
        <f t="shared" si="4"/>
        <v>350</v>
      </c>
      <c r="AA38">
        <f t="shared" si="12"/>
        <v>102.80000000000001</v>
      </c>
      <c r="AB38">
        <f t="shared" si="13"/>
        <v>0.1</v>
      </c>
      <c r="AC38">
        <f t="shared" si="5"/>
        <v>102.82</v>
      </c>
      <c r="AD38">
        <f t="shared" si="14"/>
        <v>32.130000000000003</v>
      </c>
      <c r="AE38">
        <f t="shared" si="15"/>
        <v>0.01</v>
      </c>
      <c r="AF38">
        <f t="shared" si="6"/>
        <v>32.130000000000003</v>
      </c>
      <c r="AG38" s="57">
        <f t="shared" si="16"/>
        <v>64.262499999999989</v>
      </c>
      <c r="AH38">
        <f t="shared" si="7"/>
        <v>0</v>
      </c>
      <c r="AI38">
        <f t="shared" si="8"/>
        <v>0</v>
      </c>
      <c r="AJ38">
        <f t="shared" si="17"/>
        <v>0</v>
      </c>
      <c r="AK38">
        <f t="shared" si="9"/>
        <v>2</v>
      </c>
      <c r="AL38" t="str">
        <f t="shared" si="10"/>
        <v>INF</v>
      </c>
      <c r="AM38">
        <f t="shared" ca="1" si="18"/>
        <v>102</v>
      </c>
      <c r="AN38" t="str">
        <f t="shared" si="11"/>
        <v/>
      </c>
      <c r="AP38">
        <f>MATCH(r_in_60m!$O$18,$AP39:$AP42,0)</f>
        <v>3</v>
      </c>
      <c r="AR38" t="str">
        <f>INDEX($AR39:$AR42,AP38)</f>
        <v>UL</v>
      </c>
      <c r="AT38">
        <f>MATCH(r_in_60m!$O$17,$AT39:$AT40,0)</f>
        <v>1</v>
      </c>
      <c r="BM38">
        <v>10.3</v>
      </c>
    </row>
    <row r="39" spans="2:66" ht="15" thickBot="1">
      <c r="B39" s="39"/>
      <c r="C39" s="51"/>
      <c r="D39" s="83">
        <f t="shared" si="19"/>
        <v>29</v>
      </c>
      <c r="E39" s="40" t="s">
        <v>52</v>
      </c>
      <c r="F39" s="156">
        <v>102.91</v>
      </c>
      <c r="G39" s="41" t="s">
        <v>246</v>
      </c>
      <c r="H39" s="156">
        <v>32.159999999999997</v>
      </c>
      <c r="I39" s="64">
        <v>0</v>
      </c>
      <c r="J39" s="81" t="s">
        <v>149</v>
      </c>
      <c r="K39" s="65">
        <v>37.5</v>
      </c>
      <c r="L39" s="54" t="s">
        <v>28</v>
      </c>
      <c r="M39" s="59" t="s">
        <v>21</v>
      </c>
      <c r="N39" s="142"/>
      <c r="O39" s="143"/>
      <c r="P39" s="144"/>
      <c r="Q39" s="150"/>
      <c r="R39" s="149"/>
      <c r="S39" s="113" t="s">
        <v>236</v>
      </c>
      <c r="V39">
        <f t="shared" si="0"/>
        <v>2</v>
      </c>
      <c r="W39" t="str">
        <f t="shared" si="1"/>
        <v>RAT</v>
      </c>
      <c r="X39">
        <f t="shared" si="20"/>
        <v>5</v>
      </c>
      <c r="Y39" t="str">
        <f t="shared" si="3"/>
        <v>UM</v>
      </c>
      <c r="Z39">
        <f t="shared" si="4"/>
        <v>350</v>
      </c>
      <c r="AA39">
        <f t="shared" si="12"/>
        <v>102.9</v>
      </c>
      <c r="AB39">
        <f t="shared" si="13"/>
        <v>0.1</v>
      </c>
      <c r="AC39">
        <f t="shared" si="5"/>
        <v>102.91</v>
      </c>
      <c r="AD39">
        <f t="shared" si="14"/>
        <v>32.160000000000004</v>
      </c>
      <c r="AE39">
        <f t="shared" si="15"/>
        <v>0.01</v>
      </c>
      <c r="AF39">
        <f t="shared" si="6"/>
        <v>32.159999999999997</v>
      </c>
      <c r="AG39" s="57">
        <f t="shared" si="16"/>
        <v>64.318749999999994</v>
      </c>
      <c r="AH39">
        <f t="shared" si="7"/>
        <v>0</v>
      </c>
      <c r="AI39">
        <f t="shared" si="8"/>
        <v>0</v>
      </c>
      <c r="AJ39">
        <f t="shared" si="17"/>
        <v>0</v>
      </c>
      <c r="AK39">
        <f t="shared" si="9"/>
        <v>2</v>
      </c>
      <c r="AL39" t="str">
        <f t="shared" si="10"/>
        <v>INF</v>
      </c>
      <c r="AM39">
        <f t="shared" ca="1" si="18"/>
        <v>102</v>
      </c>
      <c r="AN39" t="str">
        <f t="shared" si="11"/>
        <v/>
      </c>
      <c r="AO39" t="str">
        <f t="array" ref="AO39:AO41">INDEX(AP39:AQ41,0,AT38)</f>
        <v>-----</v>
      </c>
      <c r="AP39" s="12" t="s">
        <v>33</v>
      </c>
      <c r="AQ39" s="12" t="s">
        <v>33</v>
      </c>
      <c r="AR39" s="1">
        <v>0</v>
      </c>
      <c r="AS39" t="s">
        <v>116</v>
      </c>
      <c r="AT39" s="88" t="s">
        <v>202</v>
      </c>
      <c r="BM39">
        <v>14.57</v>
      </c>
    </row>
    <row r="40" spans="2:66" ht="15" thickBot="1">
      <c r="B40" s="39"/>
      <c r="C40" s="51"/>
      <c r="D40" s="83">
        <f t="shared" si="19"/>
        <v>30</v>
      </c>
      <c r="E40" s="40" t="s">
        <v>52</v>
      </c>
      <c r="F40" s="156">
        <v>103.04</v>
      </c>
      <c r="G40" s="41" t="s">
        <v>246</v>
      </c>
      <c r="H40" s="156">
        <v>32.200000000000003</v>
      </c>
      <c r="I40" s="64">
        <v>0</v>
      </c>
      <c r="J40" s="81" t="s">
        <v>149</v>
      </c>
      <c r="K40" s="65">
        <v>37.5</v>
      </c>
      <c r="L40" s="54" t="s">
        <v>28</v>
      </c>
      <c r="M40" s="59" t="s">
        <v>21</v>
      </c>
      <c r="N40" s="145"/>
      <c r="O40" s="146"/>
      <c r="P40" s="147"/>
      <c r="Q40" s="151"/>
      <c r="R40" s="152"/>
      <c r="S40" s="114" t="s">
        <v>236</v>
      </c>
      <c r="V40">
        <f t="shared" si="0"/>
        <v>2</v>
      </c>
      <c r="W40" t="str">
        <f t="shared" si="1"/>
        <v>RAT</v>
      </c>
      <c r="X40">
        <f t="shared" si="20"/>
        <v>5</v>
      </c>
      <c r="Y40" t="str">
        <f t="shared" si="3"/>
        <v>UM</v>
      </c>
      <c r="Z40">
        <f t="shared" si="4"/>
        <v>350</v>
      </c>
      <c r="AA40">
        <f t="shared" si="12"/>
        <v>103</v>
      </c>
      <c r="AB40">
        <f t="shared" si="13"/>
        <v>0.1</v>
      </c>
      <c r="AC40">
        <f t="shared" si="5"/>
        <v>103.04</v>
      </c>
      <c r="AD40">
        <f t="shared" si="14"/>
        <v>32.200000000000003</v>
      </c>
      <c r="AE40">
        <f t="shared" si="15"/>
        <v>0.01</v>
      </c>
      <c r="AF40">
        <f t="shared" si="6"/>
        <v>32.200000000000003</v>
      </c>
      <c r="AG40" s="57">
        <f t="shared" si="16"/>
        <v>64.400000000000006</v>
      </c>
      <c r="AH40">
        <f t="shared" si="7"/>
        <v>0</v>
      </c>
      <c r="AI40">
        <f t="shared" si="8"/>
        <v>0</v>
      </c>
      <c r="AJ40">
        <f t="shared" si="17"/>
        <v>0</v>
      </c>
      <c r="AK40">
        <f t="shared" si="9"/>
        <v>2</v>
      </c>
      <c r="AL40" t="str">
        <f t="shared" si="10"/>
        <v>INF</v>
      </c>
      <c r="AM40">
        <f t="shared" ca="1" si="18"/>
        <v>103</v>
      </c>
      <c r="AN40" t="str">
        <f t="shared" si="11"/>
        <v/>
      </c>
      <c r="AO40" t="str">
        <v>mL</v>
      </c>
      <c r="AP40" s="4" t="s">
        <v>70</v>
      </c>
      <c r="AQ40" s="10" t="s">
        <v>71</v>
      </c>
      <c r="AR40" s="11" t="s">
        <v>72</v>
      </c>
      <c r="AS40" t="s">
        <v>117</v>
      </c>
      <c r="AT40" s="88" t="s">
        <v>203</v>
      </c>
      <c r="BM40">
        <v>23.03</v>
      </c>
    </row>
    <row r="41" spans="2:66" ht="15" thickBot="1">
      <c r="B41" s="39"/>
      <c r="C41" s="51"/>
      <c r="D41" s="83">
        <f t="shared" si="19"/>
        <v>31</v>
      </c>
      <c r="E41" s="40" t="s">
        <v>52</v>
      </c>
      <c r="F41" s="156">
        <v>103.14</v>
      </c>
      <c r="G41" s="41" t="s">
        <v>246</v>
      </c>
      <c r="H41" s="156">
        <v>32.229999999999997</v>
      </c>
      <c r="I41" s="64">
        <v>0</v>
      </c>
      <c r="J41" s="81" t="s">
        <v>149</v>
      </c>
      <c r="K41" s="65">
        <v>37.5</v>
      </c>
      <c r="L41" s="54" t="s">
        <v>28</v>
      </c>
      <c r="M41" s="59" t="s">
        <v>21</v>
      </c>
      <c r="V41">
        <f t="shared" si="0"/>
        <v>2</v>
      </c>
      <c r="W41" t="str">
        <f t="shared" si="1"/>
        <v>RAT</v>
      </c>
      <c r="X41">
        <f t="shared" si="20"/>
        <v>5</v>
      </c>
      <c r="Y41" t="str">
        <f t="shared" si="3"/>
        <v>UM</v>
      </c>
      <c r="Z41">
        <f t="shared" si="4"/>
        <v>350</v>
      </c>
      <c r="AA41">
        <f t="shared" si="12"/>
        <v>103.10000000000001</v>
      </c>
      <c r="AB41">
        <f t="shared" si="13"/>
        <v>0.1</v>
      </c>
      <c r="AC41">
        <f t="shared" si="5"/>
        <v>103.14</v>
      </c>
      <c r="AD41">
        <f t="shared" si="14"/>
        <v>32.230000000000004</v>
      </c>
      <c r="AE41">
        <f t="shared" si="15"/>
        <v>0.01</v>
      </c>
      <c r="AF41">
        <f t="shared" si="6"/>
        <v>32.229999999999997</v>
      </c>
      <c r="AG41" s="57">
        <f t="shared" si="16"/>
        <v>64.462500000000006</v>
      </c>
      <c r="AH41">
        <f t="shared" si="7"/>
        <v>0</v>
      </c>
      <c r="AI41">
        <f t="shared" si="8"/>
        <v>0</v>
      </c>
      <c r="AJ41">
        <f t="shared" si="17"/>
        <v>0</v>
      </c>
      <c r="AK41">
        <f t="shared" si="9"/>
        <v>2</v>
      </c>
      <c r="AL41" t="str">
        <f t="shared" si="10"/>
        <v>INF</v>
      </c>
      <c r="AM41">
        <f t="shared" ca="1" si="18"/>
        <v>103</v>
      </c>
      <c r="AN41" t="str">
        <f t="shared" si="11"/>
        <v/>
      </c>
      <c r="AO41" t="str">
        <v>μL</v>
      </c>
      <c r="AP41" s="10" t="s">
        <v>71</v>
      </c>
      <c r="AQ41" s="11" t="s">
        <v>196</v>
      </c>
      <c r="AR41" s="11" t="s">
        <v>73</v>
      </c>
      <c r="BM41">
        <v>27.5</v>
      </c>
    </row>
    <row r="42" spans="2:66" ht="15" thickBot="1">
      <c r="B42" s="39"/>
      <c r="C42" s="51"/>
      <c r="D42" s="83">
        <f t="shared" si="19"/>
        <v>32</v>
      </c>
      <c r="E42" s="40" t="s">
        <v>52</v>
      </c>
      <c r="F42" s="156">
        <v>103.26</v>
      </c>
      <c r="G42" s="41" t="s">
        <v>246</v>
      </c>
      <c r="H42" s="156">
        <v>32.270000000000003</v>
      </c>
      <c r="I42" s="64">
        <v>0</v>
      </c>
      <c r="J42" s="81" t="s">
        <v>149</v>
      </c>
      <c r="K42" s="65">
        <v>37.5</v>
      </c>
      <c r="L42" s="54" t="s">
        <v>28</v>
      </c>
      <c r="M42" s="59" t="s">
        <v>21</v>
      </c>
      <c r="V42">
        <f t="shared" si="0"/>
        <v>2</v>
      </c>
      <c r="W42" t="str">
        <f t="shared" si="1"/>
        <v>RAT</v>
      </c>
      <c r="X42">
        <f t="shared" si="20"/>
        <v>5</v>
      </c>
      <c r="Y42" t="str">
        <f t="shared" si="3"/>
        <v>UM</v>
      </c>
      <c r="Z42">
        <f t="shared" si="4"/>
        <v>350</v>
      </c>
      <c r="AA42">
        <f t="shared" si="12"/>
        <v>103.30000000000001</v>
      </c>
      <c r="AB42">
        <f t="shared" si="13"/>
        <v>0.1</v>
      </c>
      <c r="AC42">
        <f t="shared" si="5"/>
        <v>103.26</v>
      </c>
      <c r="AD42">
        <f t="shared" si="14"/>
        <v>32.270000000000003</v>
      </c>
      <c r="AE42">
        <f t="shared" si="15"/>
        <v>0.01</v>
      </c>
      <c r="AF42">
        <f t="shared" si="6"/>
        <v>32.270000000000003</v>
      </c>
      <c r="AG42" s="57">
        <f t="shared" si="16"/>
        <v>64.537500000000009</v>
      </c>
      <c r="AH42">
        <f t="shared" si="7"/>
        <v>0</v>
      </c>
      <c r="AI42">
        <f t="shared" si="8"/>
        <v>0</v>
      </c>
      <c r="AJ42">
        <f t="shared" si="17"/>
        <v>0</v>
      </c>
      <c r="AK42">
        <f t="shared" si="9"/>
        <v>2</v>
      </c>
      <c r="AL42" t="str">
        <f t="shared" si="10"/>
        <v>INF</v>
      </c>
      <c r="AM42">
        <f t="shared" ca="1" si="18"/>
        <v>103</v>
      </c>
      <c r="AN42" t="str">
        <f t="shared" si="11"/>
        <v/>
      </c>
      <c r="AP42" s="11" t="s">
        <v>196</v>
      </c>
      <c r="AR42" t="s">
        <v>197</v>
      </c>
      <c r="BM42">
        <v>34.99</v>
      </c>
    </row>
    <row r="43" spans="2:66" ht="15" thickBot="1">
      <c r="B43" s="39"/>
      <c r="C43" s="51"/>
      <c r="D43" s="83">
        <f t="shared" si="19"/>
        <v>33</v>
      </c>
      <c r="E43" s="40" t="s">
        <v>52</v>
      </c>
      <c r="F43" s="156">
        <v>103.39</v>
      </c>
      <c r="G43" s="41" t="s">
        <v>246</v>
      </c>
      <c r="H43" s="156">
        <v>32.31</v>
      </c>
      <c r="I43" s="64">
        <v>0</v>
      </c>
      <c r="J43" s="81" t="s">
        <v>149</v>
      </c>
      <c r="K43" s="65">
        <v>37.5</v>
      </c>
      <c r="L43" s="54" t="s">
        <v>28</v>
      </c>
      <c r="M43" s="59" t="s">
        <v>21</v>
      </c>
      <c r="V43">
        <f t="shared" si="0"/>
        <v>2</v>
      </c>
      <c r="W43" t="str">
        <f t="shared" si="1"/>
        <v>RAT</v>
      </c>
      <c r="X43">
        <f t="shared" si="20"/>
        <v>5</v>
      </c>
      <c r="Y43" t="str">
        <f t="shared" si="3"/>
        <v>UM</v>
      </c>
      <c r="Z43">
        <f t="shared" si="4"/>
        <v>350</v>
      </c>
      <c r="AA43">
        <f t="shared" si="12"/>
        <v>103.4</v>
      </c>
      <c r="AB43">
        <f t="shared" si="13"/>
        <v>0.1</v>
      </c>
      <c r="AC43">
        <f t="shared" si="5"/>
        <v>103.39</v>
      </c>
      <c r="AD43">
        <f t="shared" si="14"/>
        <v>32.31</v>
      </c>
      <c r="AE43">
        <f t="shared" si="15"/>
        <v>0.01</v>
      </c>
      <c r="AF43">
        <f t="shared" si="6"/>
        <v>32.31</v>
      </c>
      <c r="AG43" s="57">
        <f t="shared" si="16"/>
        <v>64.618750000000006</v>
      </c>
      <c r="AH43">
        <f t="shared" si="7"/>
        <v>0</v>
      </c>
      <c r="AI43">
        <f t="shared" si="8"/>
        <v>0</v>
      </c>
      <c r="AJ43">
        <f t="shared" si="17"/>
        <v>0</v>
      </c>
      <c r="AK43">
        <f t="shared" si="9"/>
        <v>2</v>
      </c>
      <c r="AL43" t="str">
        <f t="shared" si="10"/>
        <v>INF</v>
      </c>
      <c r="AM43">
        <f t="shared" ca="1" si="18"/>
        <v>103</v>
      </c>
      <c r="AN43" t="str">
        <f t="shared" si="11"/>
        <v/>
      </c>
    </row>
    <row r="44" spans="2:66" ht="15" thickBot="1">
      <c r="B44" s="39"/>
      <c r="C44" s="51"/>
      <c r="D44" s="83">
        <f t="shared" si="19"/>
        <v>34</v>
      </c>
      <c r="E44" s="40" t="s">
        <v>52</v>
      </c>
      <c r="F44" s="156">
        <v>103.49</v>
      </c>
      <c r="G44" s="41" t="s">
        <v>246</v>
      </c>
      <c r="H44" s="156">
        <v>32.340000000000003</v>
      </c>
      <c r="I44" s="64">
        <v>0</v>
      </c>
      <c r="J44" s="81" t="s">
        <v>149</v>
      </c>
      <c r="K44" s="65">
        <v>37.5</v>
      </c>
      <c r="L44" s="54" t="s">
        <v>28</v>
      </c>
      <c r="M44" s="59" t="s">
        <v>21</v>
      </c>
      <c r="V44">
        <f t="shared" si="0"/>
        <v>2</v>
      </c>
      <c r="W44" t="str">
        <f t="shared" si="1"/>
        <v>RAT</v>
      </c>
      <c r="X44">
        <f t="shared" si="20"/>
        <v>5</v>
      </c>
      <c r="Y44" t="str">
        <f t="shared" si="3"/>
        <v>UM</v>
      </c>
      <c r="Z44">
        <f t="shared" si="4"/>
        <v>350</v>
      </c>
      <c r="AA44">
        <f t="shared" si="12"/>
        <v>103.5</v>
      </c>
      <c r="AB44">
        <f t="shared" si="13"/>
        <v>0.1</v>
      </c>
      <c r="AC44">
        <f t="shared" si="5"/>
        <v>103.49</v>
      </c>
      <c r="AD44">
        <f t="shared" si="14"/>
        <v>32.340000000000003</v>
      </c>
      <c r="AE44">
        <f t="shared" si="15"/>
        <v>0.01</v>
      </c>
      <c r="AF44">
        <f t="shared" si="6"/>
        <v>32.340000000000003</v>
      </c>
      <c r="AG44" s="57">
        <f t="shared" si="16"/>
        <v>64.681249999999991</v>
      </c>
      <c r="AH44">
        <f t="shared" si="7"/>
        <v>0</v>
      </c>
      <c r="AI44">
        <f t="shared" si="8"/>
        <v>0</v>
      </c>
      <c r="AJ44">
        <f t="shared" si="17"/>
        <v>0</v>
      </c>
      <c r="AK44">
        <f t="shared" si="9"/>
        <v>2</v>
      </c>
      <c r="AL44" t="str">
        <f t="shared" si="10"/>
        <v>INF</v>
      </c>
      <c r="AM44">
        <f t="shared" ca="1" si="18"/>
        <v>103</v>
      </c>
      <c r="AN44" t="str">
        <f t="shared" si="11"/>
        <v/>
      </c>
    </row>
    <row r="45" spans="2:66" ht="15" thickBot="1">
      <c r="B45" s="39"/>
      <c r="C45" s="51"/>
      <c r="D45" s="83">
        <f t="shared" si="19"/>
        <v>35</v>
      </c>
      <c r="E45" s="40" t="s">
        <v>52</v>
      </c>
      <c r="F45" s="156">
        <v>103.62</v>
      </c>
      <c r="G45" s="41" t="s">
        <v>246</v>
      </c>
      <c r="H45" s="156">
        <v>32.380000000000003</v>
      </c>
      <c r="I45" s="64">
        <v>0</v>
      </c>
      <c r="J45" s="81" t="s">
        <v>149</v>
      </c>
      <c r="K45" s="65">
        <v>37.5</v>
      </c>
      <c r="L45" s="54" t="s">
        <v>28</v>
      </c>
      <c r="M45" s="59" t="s">
        <v>21</v>
      </c>
      <c r="V45">
        <f t="shared" si="0"/>
        <v>2</v>
      </c>
      <c r="W45" t="str">
        <f t="shared" si="1"/>
        <v>RAT</v>
      </c>
      <c r="X45">
        <f t="shared" si="20"/>
        <v>5</v>
      </c>
      <c r="Y45" t="str">
        <f t="shared" si="3"/>
        <v>UM</v>
      </c>
      <c r="Z45">
        <f t="shared" si="4"/>
        <v>350</v>
      </c>
      <c r="AA45">
        <f t="shared" si="12"/>
        <v>103.60000000000001</v>
      </c>
      <c r="AB45">
        <f t="shared" si="13"/>
        <v>0.1</v>
      </c>
      <c r="AC45">
        <f t="shared" si="5"/>
        <v>103.62</v>
      </c>
      <c r="AD45">
        <f t="shared" si="14"/>
        <v>32.380000000000003</v>
      </c>
      <c r="AE45">
        <f t="shared" si="15"/>
        <v>0.01</v>
      </c>
      <c r="AF45">
        <f t="shared" si="6"/>
        <v>32.380000000000003</v>
      </c>
      <c r="AG45" s="57">
        <f t="shared" si="16"/>
        <v>64.762500000000003</v>
      </c>
      <c r="AH45">
        <f t="shared" si="7"/>
        <v>0</v>
      </c>
      <c r="AI45">
        <f t="shared" si="8"/>
        <v>0</v>
      </c>
      <c r="AJ45">
        <f t="shared" si="17"/>
        <v>0</v>
      </c>
      <c r="AK45">
        <f t="shared" si="9"/>
        <v>2</v>
      </c>
      <c r="AL45" t="str">
        <f t="shared" si="10"/>
        <v>INF</v>
      </c>
      <c r="AM45">
        <f t="shared" ca="1" si="18"/>
        <v>103</v>
      </c>
      <c r="AN45" t="str">
        <f t="shared" si="11"/>
        <v/>
      </c>
      <c r="AO45" t="s">
        <v>90</v>
      </c>
      <c r="AP45" t="s">
        <v>91</v>
      </c>
      <c r="AQ45" t="s">
        <v>239</v>
      </c>
    </row>
    <row r="46" spans="2:66" ht="15" thickBot="1">
      <c r="B46" s="39"/>
      <c r="C46" s="51"/>
      <c r="D46" s="83">
        <f t="shared" si="19"/>
        <v>36</v>
      </c>
      <c r="E46" s="40" t="s">
        <v>52</v>
      </c>
      <c r="F46" s="156">
        <v>103.71</v>
      </c>
      <c r="G46" s="41" t="s">
        <v>246</v>
      </c>
      <c r="H46" s="156">
        <v>32.409999999999997</v>
      </c>
      <c r="I46" s="64">
        <v>0</v>
      </c>
      <c r="J46" s="81" t="s">
        <v>149</v>
      </c>
      <c r="K46" s="65">
        <v>37.5</v>
      </c>
      <c r="L46" s="54" t="s">
        <v>28</v>
      </c>
      <c r="M46" s="59" t="s">
        <v>21</v>
      </c>
      <c r="V46">
        <f t="shared" si="0"/>
        <v>2</v>
      </c>
      <c r="W46" t="str">
        <f t="shared" si="1"/>
        <v>RAT</v>
      </c>
      <c r="X46">
        <f t="shared" si="20"/>
        <v>5</v>
      </c>
      <c r="Y46" t="str">
        <f t="shared" si="3"/>
        <v>UM</v>
      </c>
      <c r="Z46">
        <f t="shared" si="4"/>
        <v>350</v>
      </c>
      <c r="AA46">
        <f t="shared" si="12"/>
        <v>103.7</v>
      </c>
      <c r="AB46">
        <f t="shared" si="13"/>
        <v>0.1</v>
      </c>
      <c r="AC46">
        <f t="shared" si="5"/>
        <v>103.71</v>
      </c>
      <c r="AD46">
        <f t="shared" si="14"/>
        <v>32.410000000000004</v>
      </c>
      <c r="AE46">
        <f t="shared" si="15"/>
        <v>0.01</v>
      </c>
      <c r="AF46">
        <f t="shared" si="6"/>
        <v>32.409999999999997</v>
      </c>
      <c r="AG46" s="57">
        <f t="shared" si="16"/>
        <v>64.818749999999994</v>
      </c>
      <c r="AH46">
        <f t="shared" si="7"/>
        <v>0</v>
      </c>
      <c r="AI46">
        <f t="shared" si="8"/>
        <v>0</v>
      </c>
      <c r="AJ46">
        <f t="shared" si="17"/>
        <v>0</v>
      </c>
      <c r="AK46">
        <f t="shared" si="9"/>
        <v>2</v>
      </c>
      <c r="AL46" t="str">
        <f t="shared" si="10"/>
        <v>INF</v>
      </c>
      <c r="AM46">
        <f t="shared" ca="1" si="18"/>
        <v>103</v>
      </c>
      <c r="AN46" t="str">
        <f t="shared" si="11"/>
        <v/>
      </c>
      <c r="AO46" t="s">
        <v>112</v>
      </c>
      <c r="AP46" t="s">
        <v>113</v>
      </c>
      <c r="AQ46" t="s">
        <v>240</v>
      </c>
    </row>
    <row r="47" spans="2:66" ht="15" thickBot="1">
      <c r="B47" s="39"/>
      <c r="C47" s="51"/>
      <c r="D47" s="83">
        <f t="shared" si="19"/>
        <v>37</v>
      </c>
      <c r="E47" s="40" t="s">
        <v>52</v>
      </c>
      <c r="F47" s="156">
        <v>103.84</v>
      </c>
      <c r="G47" s="41" t="s">
        <v>246</v>
      </c>
      <c r="H47" s="156">
        <v>32.450000000000003</v>
      </c>
      <c r="I47" s="64">
        <v>0</v>
      </c>
      <c r="J47" s="81" t="s">
        <v>149</v>
      </c>
      <c r="K47" s="65">
        <v>37.5</v>
      </c>
      <c r="L47" s="54" t="s">
        <v>28</v>
      </c>
      <c r="M47" s="59" t="s">
        <v>21</v>
      </c>
      <c r="V47">
        <f t="shared" si="0"/>
        <v>2</v>
      </c>
      <c r="W47" t="str">
        <f t="shared" si="1"/>
        <v>RAT</v>
      </c>
      <c r="X47">
        <f t="shared" si="20"/>
        <v>5</v>
      </c>
      <c r="Y47" t="str">
        <f t="shared" si="3"/>
        <v>UM</v>
      </c>
      <c r="Z47">
        <f t="shared" si="4"/>
        <v>350</v>
      </c>
      <c r="AA47">
        <f t="shared" si="12"/>
        <v>103.80000000000001</v>
      </c>
      <c r="AB47">
        <f t="shared" si="13"/>
        <v>0.1</v>
      </c>
      <c r="AC47">
        <f t="shared" si="5"/>
        <v>103.84</v>
      </c>
      <c r="AD47">
        <f t="shared" si="14"/>
        <v>32.450000000000003</v>
      </c>
      <c r="AE47">
        <f t="shared" si="15"/>
        <v>0.01</v>
      </c>
      <c r="AF47">
        <f t="shared" si="6"/>
        <v>32.450000000000003</v>
      </c>
      <c r="AG47" s="57">
        <f t="shared" si="16"/>
        <v>64.900000000000006</v>
      </c>
      <c r="AH47">
        <f t="shared" si="7"/>
        <v>0</v>
      </c>
      <c r="AI47">
        <f t="shared" si="8"/>
        <v>0</v>
      </c>
      <c r="AJ47">
        <f t="shared" si="17"/>
        <v>0</v>
      </c>
      <c r="AK47">
        <f t="shared" si="9"/>
        <v>2</v>
      </c>
      <c r="AL47" t="str">
        <f t="shared" si="10"/>
        <v>INF</v>
      </c>
      <c r="AM47">
        <f t="shared" ca="1" si="18"/>
        <v>103</v>
      </c>
      <c r="AN47" t="str">
        <f t="shared" si="11"/>
        <v/>
      </c>
      <c r="AO47" t="s">
        <v>114</v>
      </c>
      <c r="AP47" t="s">
        <v>92</v>
      </c>
    </row>
    <row r="48" spans="2:66" ht="15" thickBot="1">
      <c r="B48" s="39"/>
      <c r="C48" s="51"/>
      <c r="D48" s="83">
        <f t="shared" si="19"/>
        <v>38</v>
      </c>
      <c r="E48" s="40" t="s">
        <v>52</v>
      </c>
      <c r="F48" s="156">
        <v>103.97</v>
      </c>
      <c r="G48" s="41" t="s">
        <v>246</v>
      </c>
      <c r="H48" s="156">
        <v>32.49</v>
      </c>
      <c r="I48" s="64">
        <v>0</v>
      </c>
      <c r="J48" s="81" t="s">
        <v>149</v>
      </c>
      <c r="K48" s="65">
        <v>37.5</v>
      </c>
      <c r="L48" s="54" t="s">
        <v>28</v>
      </c>
      <c r="M48" s="59" t="s">
        <v>21</v>
      </c>
      <c r="V48">
        <f t="shared" si="0"/>
        <v>2</v>
      </c>
      <c r="W48" t="str">
        <f t="shared" si="1"/>
        <v>RAT</v>
      </c>
      <c r="X48">
        <f t="shared" si="20"/>
        <v>5</v>
      </c>
      <c r="Y48" t="str">
        <f t="shared" si="3"/>
        <v>UM</v>
      </c>
      <c r="Z48">
        <f t="shared" si="4"/>
        <v>350</v>
      </c>
      <c r="AA48">
        <f t="shared" si="12"/>
        <v>104</v>
      </c>
      <c r="AB48">
        <f t="shared" si="13"/>
        <v>0.1</v>
      </c>
      <c r="AC48">
        <f t="shared" si="5"/>
        <v>103.97</v>
      </c>
      <c r="AD48">
        <f t="shared" si="14"/>
        <v>32.49</v>
      </c>
      <c r="AE48">
        <f t="shared" si="15"/>
        <v>0.01</v>
      </c>
      <c r="AF48">
        <f t="shared" si="6"/>
        <v>32.49</v>
      </c>
      <c r="AG48" s="57">
        <f t="shared" si="16"/>
        <v>64.981250000000003</v>
      </c>
      <c r="AH48">
        <f t="shared" si="7"/>
        <v>0</v>
      </c>
      <c r="AI48">
        <f t="shared" si="8"/>
        <v>0</v>
      </c>
      <c r="AJ48">
        <f t="shared" si="17"/>
        <v>0</v>
      </c>
      <c r="AK48">
        <f t="shared" si="9"/>
        <v>2</v>
      </c>
      <c r="AL48" t="str">
        <f t="shared" si="10"/>
        <v>INF</v>
      </c>
      <c r="AM48">
        <f t="shared" ca="1" si="18"/>
        <v>103</v>
      </c>
      <c r="AN48" t="str">
        <f t="shared" si="11"/>
        <v/>
      </c>
    </row>
    <row r="49" spans="2:40" ht="15" thickBot="1">
      <c r="B49" s="39"/>
      <c r="C49" s="51"/>
      <c r="D49" s="83">
        <f t="shared" si="19"/>
        <v>39</v>
      </c>
      <c r="E49" s="40" t="s">
        <v>52</v>
      </c>
      <c r="F49" s="156">
        <v>104.1</v>
      </c>
      <c r="G49" s="41" t="s">
        <v>246</v>
      </c>
      <c r="H49" s="156">
        <v>32.53</v>
      </c>
      <c r="I49" s="64">
        <v>0</v>
      </c>
      <c r="J49" s="81" t="s">
        <v>149</v>
      </c>
      <c r="K49" s="65">
        <v>37.5</v>
      </c>
      <c r="L49" s="54" t="s">
        <v>28</v>
      </c>
      <c r="M49" s="59" t="s">
        <v>21</v>
      </c>
      <c r="V49">
        <f t="shared" si="0"/>
        <v>2</v>
      </c>
      <c r="W49" t="str">
        <f t="shared" si="1"/>
        <v>RAT</v>
      </c>
      <c r="X49">
        <f t="shared" si="20"/>
        <v>5</v>
      </c>
      <c r="Y49" t="str">
        <f t="shared" si="3"/>
        <v>UM</v>
      </c>
      <c r="Z49">
        <f t="shared" si="4"/>
        <v>350</v>
      </c>
      <c r="AA49">
        <f t="shared" si="12"/>
        <v>104.10000000000001</v>
      </c>
      <c r="AB49">
        <f t="shared" si="13"/>
        <v>0.1</v>
      </c>
      <c r="AC49">
        <f t="shared" si="5"/>
        <v>104.1</v>
      </c>
      <c r="AD49">
        <f t="shared" si="14"/>
        <v>32.53</v>
      </c>
      <c r="AE49">
        <f t="shared" si="15"/>
        <v>0.01</v>
      </c>
      <c r="AF49">
        <f t="shared" si="6"/>
        <v>32.53</v>
      </c>
      <c r="AG49" s="57">
        <f t="shared" si="16"/>
        <v>65.0625</v>
      </c>
      <c r="AH49">
        <f t="shared" si="7"/>
        <v>0</v>
      </c>
      <c r="AI49">
        <f t="shared" si="8"/>
        <v>0</v>
      </c>
      <c r="AJ49">
        <f t="shared" si="17"/>
        <v>0</v>
      </c>
      <c r="AK49">
        <f t="shared" si="9"/>
        <v>2</v>
      </c>
      <c r="AL49" t="str">
        <f t="shared" si="10"/>
        <v>INF</v>
      </c>
      <c r="AM49">
        <f t="shared" ca="1" si="18"/>
        <v>104</v>
      </c>
      <c r="AN49" t="str">
        <f t="shared" si="11"/>
        <v/>
      </c>
    </row>
    <row r="50" spans="2:40" ht="15" thickBot="1">
      <c r="B50" s="39"/>
      <c r="C50" s="51"/>
      <c r="D50" s="83">
        <f t="shared" si="19"/>
        <v>40</v>
      </c>
      <c r="E50" s="40" t="s">
        <v>52</v>
      </c>
      <c r="F50" s="156">
        <v>104.19</v>
      </c>
      <c r="G50" s="41" t="s">
        <v>246</v>
      </c>
      <c r="H50" s="156">
        <v>32.56</v>
      </c>
      <c r="I50" s="64">
        <v>0</v>
      </c>
      <c r="J50" s="81" t="s">
        <v>149</v>
      </c>
      <c r="K50" s="65">
        <v>37.5</v>
      </c>
      <c r="L50" s="54" t="s">
        <v>28</v>
      </c>
      <c r="M50" s="59" t="s">
        <v>21</v>
      </c>
      <c r="V50">
        <f t="shared" si="0"/>
        <v>2</v>
      </c>
      <c r="W50" t="str">
        <f t="shared" si="1"/>
        <v>RAT</v>
      </c>
      <c r="X50">
        <f t="shared" si="20"/>
        <v>5</v>
      </c>
      <c r="Y50" t="str">
        <f t="shared" si="3"/>
        <v>UM</v>
      </c>
      <c r="Z50">
        <f t="shared" si="4"/>
        <v>350</v>
      </c>
      <c r="AA50">
        <f t="shared" si="12"/>
        <v>104.2</v>
      </c>
      <c r="AB50">
        <f t="shared" si="13"/>
        <v>0.1</v>
      </c>
      <c r="AC50">
        <f t="shared" si="5"/>
        <v>104.19</v>
      </c>
      <c r="AD50">
        <f t="shared" si="14"/>
        <v>32.56</v>
      </c>
      <c r="AE50">
        <f t="shared" si="15"/>
        <v>0.01</v>
      </c>
      <c r="AF50">
        <f t="shared" si="6"/>
        <v>32.56</v>
      </c>
      <c r="AG50" s="57">
        <f t="shared" si="16"/>
        <v>65.118750000000006</v>
      </c>
      <c r="AH50">
        <f t="shared" si="7"/>
        <v>0</v>
      </c>
      <c r="AI50">
        <f t="shared" si="8"/>
        <v>0</v>
      </c>
      <c r="AJ50">
        <f t="shared" si="17"/>
        <v>0</v>
      </c>
      <c r="AK50">
        <f t="shared" si="9"/>
        <v>2</v>
      </c>
      <c r="AL50" t="str">
        <f t="shared" si="10"/>
        <v>INF</v>
      </c>
      <c r="AM50">
        <f t="shared" ca="1" si="18"/>
        <v>104</v>
      </c>
      <c r="AN50" t="str">
        <f t="shared" si="11"/>
        <v/>
      </c>
    </row>
    <row r="51" spans="2:40" ht="14">
      <c r="B51" s="42"/>
      <c r="C51" s="52"/>
      <c r="D51" s="83">
        <f t="shared" si="19"/>
        <v>41</v>
      </c>
      <c r="E51" s="43" t="s">
        <v>21</v>
      </c>
      <c r="F51" s="58">
        <v>0</v>
      </c>
      <c r="G51" s="41" t="s">
        <v>33</v>
      </c>
      <c r="H51" s="62">
        <v>0</v>
      </c>
      <c r="I51" s="66"/>
      <c r="J51" s="81" t="s">
        <v>149</v>
      </c>
      <c r="K51" s="67">
        <v>0</v>
      </c>
      <c r="L51" s="82" t="s">
        <v>21</v>
      </c>
      <c r="M51" s="59" t="s">
        <v>21</v>
      </c>
      <c r="V51">
        <f t="shared" si="0"/>
        <v>1</v>
      </c>
      <c r="W51">
        <f t="shared" si="1"/>
        <v>0</v>
      </c>
      <c r="X51">
        <f t="shared" si="20"/>
        <v>1</v>
      </c>
      <c r="Y51">
        <f t="shared" si="3"/>
        <v>0</v>
      </c>
      <c r="Z51">
        <f t="shared" si="4"/>
        <v>1000</v>
      </c>
      <c r="AA51">
        <f t="shared" si="12"/>
        <v>1</v>
      </c>
      <c r="AB51">
        <f t="shared" si="13"/>
        <v>1E-3</v>
      </c>
      <c r="AC51">
        <f t="shared" si="5"/>
        <v>1</v>
      </c>
      <c r="AD51" t="str">
        <f t="shared" si="14"/>
        <v/>
      </c>
      <c r="AE51">
        <f t="shared" si="15"/>
        <v>1E-3</v>
      </c>
      <c r="AF51" t="str">
        <f t="shared" si="6"/>
        <v/>
      </c>
      <c r="AG51" s="57">
        <f t="shared" si="16"/>
        <v>0</v>
      </c>
      <c r="AH51">
        <f t="shared" si="7"/>
        <v>0</v>
      </c>
      <c r="AI51">
        <f t="shared" si="8"/>
        <v>0</v>
      </c>
      <c r="AJ51">
        <f t="shared" si="17"/>
        <v>0</v>
      </c>
      <c r="AK51">
        <f t="shared" si="9"/>
        <v>1</v>
      </c>
      <c r="AL51">
        <f t="shared" si="10"/>
        <v>0</v>
      </c>
      <c r="AM51">
        <f t="shared" ca="1" si="18"/>
        <v>0</v>
      </c>
      <c r="AN51" t="str">
        <f t="shared" si="11"/>
        <v/>
      </c>
    </row>
    <row r="65533" spans="253:253">
      <c r="IS65533" s="4" t="s">
        <v>172</v>
      </c>
    </row>
    <row r="65534" spans="253:253">
      <c r="IS65534" s="4" t="s">
        <v>51</v>
      </c>
    </row>
    <row r="65535" spans="253:253">
      <c r="IS65535" s="4" t="s">
        <v>48</v>
      </c>
    </row>
  </sheetData>
  <sheetProtection password="E07E" sheet="1" scenarios="1" insertColumns="0" insertRows="0" selectLockedCells="1"/>
  <mergeCells count="13">
    <mergeCell ref="N38:P38"/>
    <mergeCell ref="N39:P39"/>
    <mergeCell ref="N40:P40"/>
    <mergeCell ref="Q37:R37"/>
    <mergeCell ref="Q38:R38"/>
    <mergeCell ref="Q39:R39"/>
    <mergeCell ref="Q40:R40"/>
    <mergeCell ref="N37:P37"/>
    <mergeCell ref="I10:K10"/>
    <mergeCell ref="N32:P32"/>
    <mergeCell ref="O17:P17"/>
    <mergeCell ref="O18:P18"/>
    <mergeCell ref="O21:P21"/>
  </mergeCells>
  <phoneticPr fontId="3" type="noConversion"/>
  <conditionalFormatting sqref="G11:G51">
    <cfRule type="expression" dxfId="14" priority="2" stopIfTrue="1">
      <formula>OR($Z11&lt;ratetime,$Z11&gt;=phasenum)</formula>
    </cfRule>
    <cfRule type="expression" dxfId="13" priority="3" stopIfTrue="1">
      <formula>OR($Z11&gt;=ratetime,$Z11&lt;phasenum)</formula>
    </cfRule>
  </conditionalFormatting>
  <conditionalFormatting sqref="H11:H51">
    <cfRule type="expression" dxfId="12" priority="4" stopIfTrue="1">
      <formula>OR($Z11&gt;=phasenum,$Z11=ratenovol,$Z11=ratetime)</formula>
    </cfRule>
    <cfRule type="expression" dxfId="11" priority="5" stopIfTrue="1">
      <formula>OR($Z11&lt;phasenum,$Z11&lt;&gt;ratenovol,$Z11&lt;&gt;ratetime)</formula>
    </cfRule>
  </conditionalFormatting>
  <conditionalFormatting sqref="I11:K51">
    <cfRule type="expression" dxfId="10" priority="6" stopIfTrue="1">
      <formula>INT($Z11/100)&lt;&gt;2</formula>
    </cfRule>
    <cfRule type="expression" dxfId="9" priority="7" stopIfTrue="1">
      <formula>ISERROR($AD11)</formula>
    </cfRule>
    <cfRule type="expression" dxfId="8" priority="8" stopIfTrue="1">
      <formula>INT($Z11/100)=2</formula>
    </cfRule>
  </conditionalFormatting>
  <conditionalFormatting sqref="F11:F51">
    <cfRule type="expression" dxfId="7" priority="9" stopIfTrue="1">
      <formula>$Z11&gt;=Triggerfunct</formula>
    </cfRule>
    <cfRule type="expression" dxfId="6" priority="10" stopIfTrue="1">
      <formula>ISERROR($AN11)</formula>
    </cfRule>
    <cfRule type="expression" dxfId="5" priority="11" stopIfTrue="1">
      <formula>$Z11&lt;Triggerfunct</formula>
    </cfRule>
  </conditionalFormatting>
  <conditionalFormatting sqref="M11:M51">
    <cfRule type="expression" dxfId="4" priority="12" stopIfTrue="1">
      <formula>$Z11&lt;&gt;Triggerfunct</formula>
    </cfRule>
    <cfRule type="expression" dxfId="3" priority="13" stopIfTrue="1">
      <formula>ISERROR($AN11)</formula>
    </cfRule>
    <cfRule type="expression" dxfId="2" priority="14" stopIfTrue="1">
      <formula>$Z11=Triggerfunct</formula>
    </cfRule>
  </conditionalFormatting>
  <conditionalFormatting sqref="L11:L51">
    <cfRule type="expression" dxfId="1" priority="15" stopIfTrue="1">
      <formula>ISTEXT(W11)</formula>
    </cfRule>
    <cfRule type="expression" dxfId="0" priority="16" stopIfTrue="1">
      <formula>ISNUMBER(W11)</formula>
    </cfRule>
  </conditionalFormatting>
  <dataValidations xWindow="1245" yWindow="667" count="19">
    <dataValidation type="list" allowBlank="1" showInputMessage="1" showErrorMessage="1" sqref="N11" xr:uid="{00000000-0002-0000-0000-000000000000}">
      <formula1>Syringe_Makes</formula1>
    </dataValidation>
    <dataValidation type="list" allowBlank="1" showInputMessage="1" showErrorMessage="1" sqref="E11:E51" xr:uid="{00000000-0002-0000-0000-000001000000}">
      <formula1>Functions</formula1>
    </dataValidation>
    <dataValidation type="list" allowBlank="1" showInputMessage="1" showErrorMessage="1" sqref="M11:M51" xr:uid="{00000000-0002-0000-0000-000002000000}">
      <formula1>trigger</formula1>
    </dataValidation>
    <dataValidation type="list" allowBlank="1" showInputMessage="1" promptTitle="Volume Units" prompt="This is the voume units for all dispense volume targets and the total volume dispensed." sqref="O18" xr:uid="{00000000-0002-0000-0000-000003000000}">
      <formula1>$AO$40:$AO$41</formula1>
    </dataValidation>
    <dataValidation type="list" allowBlank="1" showInputMessage="1" showErrorMessage="1" promptTitle="Keypad Beep Setting" prompt="Sounds a beep everytime a button is pressed on the keypad (models with a keypad)." sqref="O24" xr:uid="{00000000-0002-0000-0000-000004000000}">
      <formula1>"Off, On"</formula1>
    </dataValidation>
    <dataValidation type="list" allowBlank="1" showInputMessage="1" showErrorMessage="1" sqref="G11:G51" xr:uid="{00000000-0002-0000-0000-000005000000}">
      <formula1>Units</formula1>
    </dataValidation>
    <dataValidation type="decimal" allowBlank="1" showInputMessage="1" showErrorMessage="1" sqref="H11:H51" xr:uid="{00000000-0002-0000-0000-000006000000}">
      <formula1>0</formula1>
      <formula2>9999</formula2>
    </dataValidation>
    <dataValidation type="list" allowBlank="1" showInputMessage="1" showErrorMessage="1" sqref="L11:L51" xr:uid="{00000000-0002-0000-0000-000007000000}">
      <formula1>Direction</formula1>
    </dataValidation>
    <dataValidation type="list" allowBlank="1" showInputMessage="1" showErrorMessage="1" promptTitle="Trigger Input Configuration" prompt="Sets the control mode for a device, such as a Foot Switch, attached to Pin 2 of the TTL connnector." sqref="O21" xr:uid="{00000000-0002-0000-0000-000008000000}">
      <formula1>$AY$9:$AY$21</formula1>
    </dataValidation>
    <dataValidation allowBlank="1" sqref="K11:K51" xr:uid="{00000000-0002-0000-0000-000009000000}"/>
    <dataValidation type="whole" allowBlank="1" showInputMessage="1" showErrorMessage="1" errorTitle="Invalid Pump Network address" error="Pump address must be a whole number between 0 and 99" promptTitle="Pump Network Address" prompt="If you have more than 1 pump networked to a single port, then each pump in the pump network needs a unique address between 0 and 99." sqref="O28" xr:uid="{00000000-0002-0000-0000-00000A000000}">
      <formula1>0</formula1>
      <formula2>99</formula2>
    </dataValidation>
    <dataValidation type="list" allowBlank="1" showInputMessage="1" showErrorMessage="1" sqref="P30 P34" xr:uid="{00000000-0002-0000-0000-00000B000000}">
      <formula1>"Yes, No"</formula1>
    </dataValidation>
    <dataValidation type="list" allowBlank="1" showInputMessage="1" showErrorMessage="1" promptTitle="Alarm Setting" prompt="Sounds the buzzer on an alarm condition, such as a pump stall (models with stall detection)." sqref="O22" xr:uid="{00000000-0002-0000-0000-00000C000000}">
      <formula1>"Off, On"</formula1>
    </dataValidation>
    <dataValidation type="list" allowBlank="1" showInputMessage="1" showErrorMessage="1" promptTitle="Power Failure Setting" prompt="Starts the pump automatically on power up if the pump was pumping when power was shut off._x000a_" sqref="O23" xr:uid="{00000000-0002-0000-0000-00000D000000}">
      <formula1>"Off, On"</formula1>
    </dataValidation>
    <dataValidation type="list" allowBlank="1" showInputMessage="1" promptTitle="Volume and Rate Units" prompt="Use standard units unless using a nano-liter micro-fluidics syringe pump" sqref="O17" xr:uid="{00000000-0002-0000-0000-00000E000000}">
      <formula1>$AT$39:$AT$40</formula1>
    </dataValidation>
    <dataValidation type="list" allowBlank="1" showInputMessage="1" showErrorMessage="1" sqref="O11" xr:uid="{00000000-0002-0000-0000-00000F000000}">
      <formula1>INDIRECT(OFFSET(BG4,1,MATCH(N11,Syringe_Makes,0)-1))</formula1>
    </dataValidation>
    <dataValidation type="list" allowBlank="1" showInputMessage="1" showErrorMessage="1" sqref="N32:P32" xr:uid="{00000000-0002-0000-0000-000010000000}">
      <formula1>$N$37:$N$40</formula1>
    </dataValidation>
    <dataValidation type="list" allowBlank="1" showInputMessage="1" showErrorMessage="1" sqref="S37:S40" xr:uid="{00000000-0002-0000-0000-000011000000}">
      <formula1>$U$37:$U$38</formula1>
    </dataValidation>
    <dataValidation type="list" allowBlank="1" showInputMessage="1" showErrorMessage="1" promptTitle="Location in command file" prompt="Command can be sent before or after the program." sqref="P25:P27" xr:uid="{00000000-0002-0000-0000-000012000000}">
      <formula1>$AQ$45:$AQ$46</formula1>
    </dataValidation>
  </dataValidations>
  <hyperlinks>
    <hyperlink ref="B2" r:id="rId1" xr:uid="{00000000-0004-0000-0000-000000000000}"/>
  </hyperlinks>
  <pageMargins left="0.75" right="0.75" top="1" bottom="1" header="0.5" footer="0.5"/>
  <pageSetup orientation="portrait" r:id="rId2"/>
  <headerFooter alignWithMargins="0"/>
  <ignoredErrors>
    <ignoredError sqref="D11:D14 D32:D51" unlockedFormula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269"/>
  <sheetViews>
    <sheetView workbookViewId="0">
      <selection activeCell="T141" sqref="T141"/>
    </sheetView>
  </sheetViews>
  <sheetFormatPr baseColWidth="10" defaultColWidth="8.83203125" defaultRowHeight="13"/>
  <cols>
    <col min="1" max="1" width="14.1640625" style="116" customWidth="1"/>
    <col min="2" max="8" width="9.1640625" style="116"/>
  </cols>
  <sheetData>
    <row r="1" spans="1:12">
      <c r="A1" s="116" t="s">
        <v>37</v>
      </c>
      <c r="B1" s="116" t="s">
        <v>64</v>
      </c>
    </row>
    <row r="2" spans="1:12">
      <c r="A2" s="116" t="s">
        <v>37</v>
      </c>
      <c r="B2" s="116" t="s">
        <v>65</v>
      </c>
    </row>
    <row r="3" spans="1:12">
      <c r="A3" s="116" t="s">
        <v>37</v>
      </c>
      <c r="B3" s="116" t="s">
        <v>66</v>
      </c>
    </row>
    <row r="4" spans="1:12">
      <c r="A4" s="116" t="s">
        <v>37</v>
      </c>
      <c r="B4" s="116" t="s">
        <v>67</v>
      </c>
    </row>
    <row r="5" spans="1:12">
      <c r="A5" s="116" t="s">
        <v>37</v>
      </c>
      <c r="B5" s="116" t="s">
        <v>68</v>
      </c>
    </row>
    <row r="6" spans="1:12">
      <c r="A6" s="116" t="s">
        <v>36</v>
      </c>
    </row>
    <row r="7" spans="1:12">
      <c r="A7" s="116" t="str">
        <f>IF(r_in_60m!O28="","","SETUP ADR="&amp;r_in_60m!O28)</f>
        <v/>
      </c>
    </row>
    <row r="8" spans="1:12">
      <c r="A8" s="116" t="str">
        <f>IF(r_in_60m!P25="Before",T(r_in_60m!O25),"")</f>
        <v/>
      </c>
    </row>
    <row r="9" spans="1:12">
      <c r="A9" s="116" t="str">
        <f>IF(r_in_60m!P26="Before",T(r_in_60m!O26),"")</f>
        <v/>
      </c>
      <c r="L9" s="116"/>
    </row>
    <row r="10" spans="1:12">
      <c r="A10" s="116" t="str">
        <f>IF(r_in_60m!P27="Before",T(r_in_60m!O27),"")</f>
        <v/>
      </c>
    </row>
    <row r="11" spans="1:12">
      <c r="A11" s="116" t="str">
        <f ca="1">IF(r_in_60m!T15=0,"","DIA"&amp;r_in_60m!T15)</f>
        <v>DIA14.43</v>
      </c>
    </row>
    <row r="12" spans="1:12">
      <c r="A12" s="116" t="s">
        <v>74</v>
      </c>
      <c r="B12" s="116" t="str">
        <f>vu</f>
        <v>UL</v>
      </c>
    </row>
    <row r="13" spans="1:12">
      <c r="A13" s="116" t="str">
        <f>IF(r_in_60m!U25&lt;&gt;0,"TRG"&amp;r_in_60m!U25,"")</f>
        <v>TRGFT</v>
      </c>
    </row>
    <row r="14" spans="1:12">
      <c r="A14" s="116" t="s">
        <v>91</v>
      </c>
      <c r="B14" s="117">
        <f>MATCH(r_in_60m!O22,r_in_60m!$AS$39:$AS$40,0)-1</f>
        <v>0</v>
      </c>
    </row>
    <row r="15" spans="1:12">
      <c r="A15" s="116" t="s">
        <v>113</v>
      </c>
      <c r="B15" s="117">
        <f>MATCH(r_in_60m!O23,r_in_60m!$AS$39:$AS$40,0)-1</f>
        <v>0</v>
      </c>
      <c r="H15" s="116" t="str">
        <f>T(G15)</f>
        <v/>
      </c>
      <c r="I15" t="str">
        <f>IF(G15,T(G15),"")</f>
        <v/>
      </c>
    </row>
    <row r="16" spans="1:12">
      <c r="A16" s="116" t="s">
        <v>92</v>
      </c>
      <c r="B16" s="117">
        <f>MATCH(r_in_60m!O24,r_in_60m!$AS$39:$AS$40,0)-1</f>
        <v>0</v>
      </c>
    </row>
    <row r="17" spans="1:9">
      <c r="A17" s="116" t="s">
        <v>36</v>
      </c>
    </row>
    <row r="18" spans="1:9">
      <c r="A18" s="116" t="str">
        <f ca="1">IF(H18&gt;2,"PHN","")</f>
        <v>PHN</v>
      </c>
      <c r="B18" s="116">
        <f ca="1">IF(H18&lt;3,"",OFFSET(phase,$F18,0))</f>
        <v>1</v>
      </c>
      <c r="E18" s="116" t="s">
        <v>37</v>
      </c>
      <c r="F18" s="116">
        <v>1</v>
      </c>
      <c r="H18" s="116">
        <f ca="1">IF(ISTEXT(OFFSET(cmd,$F18,0)),3,1+OFFSET(cmd,$F18,0))</f>
        <v>3</v>
      </c>
      <c r="I18" s="13"/>
    </row>
    <row r="19" spans="1:9">
      <c r="A19" s="116" t="str">
        <f ca="1">CHOOSE(H18,"","SETUP ADR=","FUN")</f>
        <v>FUN</v>
      </c>
      <c r="B19" s="116" t="str">
        <f ca="1">IF(H18&gt;2,OFFSET(cmd,$F18,0),"")</f>
        <v>RAT</v>
      </c>
      <c r="C19" s="116" t="str">
        <f ca="1">(OFFSET(j,$F18,0))</f>
        <v/>
      </c>
    </row>
    <row r="20" spans="1:9">
      <c r="A20" s="116" t="str">
        <f ca="1">IF(OFFSET(T,$F18,0)&lt;phasenum,"RAT","")</f>
        <v>RAT</v>
      </c>
      <c r="B20" s="116">
        <f ca="1">IF(A20&lt;&gt;"",OFFSET(Rate,$F18,0),"")</f>
        <v>99.84</v>
      </c>
      <c r="C20" s="116" t="str">
        <f ca="1">IF(A20&lt;&gt;"",T(OFFSET(U,$F18,0)),"")</f>
        <v>UM</v>
      </c>
    </row>
    <row r="21" spans="1:9">
      <c r="A21" s="116" t="str">
        <f ca="1">IF(OR(A20="",OFFSET(Volume,$F18,0)=""),"","VOL")</f>
        <v>VOL</v>
      </c>
      <c r="B21" s="116">
        <f ca="1">IF(($A21)="","",OFFSET(Volume,$F18,0))</f>
        <v>31.2</v>
      </c>
      <c r="D21" s="118" t="str">
        <f ca="1">IF(($C21)="","",OFFSET(Time,$F18,0))</f>
        <v/>
      </c>
    </row>
    <row r="22" spans="1:9">
      <c r="A22" s="116" t="str">
        <f ca="1">IF(AND(A18&lt;&gt;"",OFFSET(dt,$F18,0)&gt;1),"DIR","")</f>
        <v>DIR</v>
      </c>
      <c r="B22" s="116" t="str">
        <f ca="1">IF(A22="","",OFFSET(d,$F18,0))</f>
        <v>INF</v>
      </c>
    </row>
    <row r="23" spans="1:9">
      <c r="A23" s="116" t="s">
        <v>36</v>
      </c>
    </row>
    <row r="24" spans="1:9">
      <c r="A24" s="116" t="str">
        <f ca="1">IF(H24&gt;2,"PHN","")</f>
        <v>PHN</v>
      </c>
      <c r="B24" s="116">
        <f ca="1">IF(H24&lt;3,"",OFFSET(phase,$F24,0))</f>
        <v>2</v>
      </c>
      <c r="E24" s="116" t="s">
        <v>37</v>
      </c>
      <c r="F24" s="116">
        <v>2</v>
      </c>
      <c r="H24" s="116">
        <f ca="1">IF(ISTEXT(OFFSET(cmd,$F24,0)),3,1+OFFSET(cmd,$F24,0))</f>
        <v>3</v>
      </c>
    </row>
    <row r="25" spans="1:9">
      <c r="A25" s="116" t="str">
        <f ca="1">CHOOSE(H24,"","SETUP ADR=","FUN")</f>
        <v>FUN</v>
      </c>
      <c r="B25" s="116" t="str">
        <f ca="1">IF(H24&gt;2,OFFSET(cmd,$F24,0),"")</f>
        <v>RAT</v>
      </c>
      <c r="C25" s="116" t="str">
        <f ca="1">(OFFSET(j,$F24,0))</f>
        <v/>
      </c>
    </row>
    <row r="26" spans="1:9">
      <c r="A26" s="116" t="str">
        <f ca="1">IF(OFFSET(T,$F24,0)&lt;phasenum,"RAT","")</f>
        <v>RAT</v>
      </c>
      <c r="B26" s="116">
        <f ca="1">IF(A26&lt;&gt;"",OFFSET(Rate,$F24,0),"")</f>
        <v>99.97</v>
      </c>
      <c r="C26" s="116" t="str">
        <f ca="1">IF(A26&lt;&gt;"",T(OFFSET(U,$F24,0)),"")</f>
        <v>UM</v>
      </c>
    </row>
    <row r="27" spans="1:9">
      <c r="A27" s="116" t="str">
        <f ca="1">IF(OR(A26="",OFFSET(Volume,$F24,0)=""),"","VOL")</f>
        <v>VOL</v>
      </c>
      <c r="B27" s="116">
        <f ca="1">IF(($A27)="","",OFFSET(Volume,$F24,0))</f>
        <v>31.240000000000002</v>
      </c>
      <c r="D27" s="118" t="str">
        <f ca="1">IF(($C27)="","",OFFSET(Time,$F24,0))</f>
        <v/>
      </c>
    </row>
    <row r="28" spans="1:9">
      <c r="A28" s="116" t="str">
        <f ca="1">IF(AND(A24&lt;&gt;"",OFFSET(dt,$F24,0)&gt;1),"DIR","")</f>
        <v>DIR</v>
      </c>
      <c r="B28" s="116" t="str">
        <f ca="1">IF(A28="","",OFFSET(d,$F24,0))</f>
        <v>INF</v>
      </c>
    </row>
    <row r="29" spans="1:9">
      <c r="A29" s="116" t="s">
        <v>36</v>
      </c>
    </row>
    <row r="30" spans="1:9">
      <c r="A30" s="116" t="str">
        <f ca="1">IF(H30&gt;2,"PHN","")</f>
        <v>PHN</v>
      </c>
      <c r="B30" s="116">
        <f ca="1">IF(H30&lt;3,"",OFFSET(phase,$F30,0))</f>
        <v>3</v>
      </c>
      <c r="E30" s="116" t="s">
        <v>37</v>
      </c>
      <c r="F30" s="116">
        <v>3</v>
      </c>
      <c r="H30" s="116">
        <f ca="1">IF(ISTEXT(OFFSET(cmd,$F30,0)),3,1+OFFSET(cmd,$F30,0))</f>
        <v>3</v>
      </c>
    </row>
    <row r="31" spans="1:9">
      <c r="A31" s="116" t="str">
        <f ca="1">CHOOSE(H30,"","SETUP ADR=","FUN")</f>
        <v>FUN</v>
      </c>
      <c r="B31" s="116" t="str">
        <f ca="1">IF(H30&gt;2,OFFSET(cmd,$F30,0),"")</f>
        <v>RAT</v>
      </c>
      <c r="C31" s="116" t="str">
        <f ca="1">(OFFSET(j,$F30,0))</f>
        <v/>
      </c>
    </row>
    <row r="32" spans="1:9">
      <c r="A32" s="116" t="str">
        <f ca="1">IF(OFFSET(T,$F30,0)&lt;phasenum,"RAT","")</f>
        <v>RAT</v>
      </c>
      <c r="B32" s="116">
        <f ca="1">IF(A32&lt;&gt;"",OFFSET(Rate,$F30,0),"")</f>
        <v>100.10000000000001</v>
      </c>
      <c r="C32" s="116" t="str">
        <f ca="1">IF(A32&lt;&gt;"",T(OFFSET(U,$F30,0)),"")</f>
        <v>UM</v>
      </c>
    </row>
    <row r="33" spans="1:8">
      <c r="A33" s="116" t="str">
        <f ca="1">IF(OR(A32="",OFFSET(Volume,$F30,0)=""),"","VOL")</f>
        <v>VOL</v>
      </c>
      <c r="B33" s="116">
        <f ca="1">IF(($A33)="","",OFFSET(Volume,$F30,0))</f>
        <v>31.28</v>
      </c>
      <c r="D33" s="118" t="str">
        <f ca="1">IF(($C33)="","",OFFSET(Time,$F30,0))</f>
        <v/>
      </c>
    </row>
    <row r="34" spans="1:8">
      <c r="A34" s="116" t="str">
        <f ca="1">IF(AND(A30&lt;&gt;"",OFFSET(dt,$F30,0)&gt;1),"DIR","")</f>
        <v>DIR</v>
      </c>
      <c r="B34" s="116" t="str">
        <f ca="1">IF(A34="","",OFFSET(d,$F30,0))</f>
        <v>INF</v>
      </c>
    </row>
    <row r="35" spans="1:8">
      <c r="A35" s="116" t="s">
        <v>36</v>
      </c>
    </row>
    <row r="36" spans="1:8">
      <c r="A36" s="116" t="str">
        <f ca="1">IF(H36&gt;2,"PHN","")</f>
        <v>PHN</v>
      </c>
      <c r="B36" s="116">
        <f ca="1">IF(H36&lt;3,"",OFFSET(phase,$F36,0))</f>
        <v>4</v>
      </c>
      <c r="E36" s="116" t="s">
        <v>37</v>
      </c>
      <c r="F36" s="116">
        <v>4</v>
      </c>
      <c r="H36" s="116">
        <f ca="1">IF(ISTEXT(OFFSET(cmd,$F36,0)),3,1+OFFSET(cmd,$F36,0))</f>
        <v>3</v>
      </c>
    </row>
    <row r="37" spans="1:8">
      <c r="A37" s="116" t="str">
        <f ca="1">CHOOSE(H36,"","SETUP ADR=","FUN")</f>
        <v>FUN</v>
      </c>
      <c r="B37" s="116" t="str">
        <f ca="1">IF(H36&gt;2,OFFSET(cmd,$F36,0),"")</f>
        <v>RAT</v>
      </c>
      <c r="C37" s="116" t="str">
        <f ca="1">(OFFSET(j,$F36,0))</f>
        <v/>
      </c>
    </row>
    <row r="38" spans="1:8">
      <c r="A38" s="116" t="str">
        <f ca="1">IF(OFFSET(T,$F36,0)&lt;phasenum,"RAT","")</f>
        <v>RAT</v>
      </c>
      <c r="B38" s="116">
        <f ca="1">IF(A38&lt;&gt;"",OFFSET(Rate,$F36,0),"")</f>
        <v>100.2</v>
      </c>
      <c r="C38" s="116" t="str">
        <f ca="1">IF(A38&lt;&gt;"",T(OFFSET(U,$F36,0)),"")</f>
        <v>UM</v>
      </c>
    </row>
    <row r="39" spans="1:8">
      <c r="A39" s="116" t="str">
        <f ca="1">IF(OR(A38="",OFFSET(Volume,$F36,0)=""),"","VOL")</f>
        <v>VOL</v>
      </c>
      <c r="B39" s="116">
        <f ca="1">IF(($A39)="","",OFFSET(Volume,$F36,0))</f>
        <v>31.310000000000002</v>
      </c>
      <c r="D39" s="118" t="str">
        <f ca="1">IF(($C39)="","",OFFSET(Time,$F36,0))</f>
        <v/>
      </c>
    </row>
    <row r="40" spans="1:8">
      <c r="A40" s="116" t="str">
        <f ca="1">IF(AND(A36&lt;&gt;"",OFFSET(dt,$F36,0)&gt;1),"DIR","")</f>
        <v>DIR</v>
      </c>
      <c r="B40" s="116" t="str">
        <f ca="1">IF(A40="","",OFFSET(d,$F36,0))</f>
        <v>INF</v>
      </c>
    </row>
    <row r="41" spans="1:8">
      <c r="A41" s="116" t="s">
        <v>36</v>
      </c>
    </row>
    <row r="42" spans="1:8">
      <c r="A42" s="116" t="str">
        <f ca="1">IF(H42&gt;2,"PHN","")</f>
        <v>PHN</v>
      </c>
      <c r="B42" s="116">
        <f ca="1">IF(H42&lt;3,"",OFFSET(phase,$F42,0))</f>
        <v>5</v>
      </c>
      <c r="E42" s="116" t="s">
        <v>37</v>
      </c>
      <c r="F42" s="116">
        <v>5</v>
      </c>
      <c r="H42" s="116">
        <f ca="1">IF(ISTEXT(OFFSET(cmd,$F42,0)),3,1+OFFSET(cmd,$F42,0))</f>
        <v>3</v>
      </c>
    </row>
    <row r="43" spans="1:8">
      <c r="A43" s="116" t="str">
        <f ca="1">CHOOSE(H42,"","SETUP ADR=","FUN")</f>
        <v>FUN</v>
      </c>
      <c r="B43" s="116" t="str">
        <f ca="1">IF(H42&gt;2,OFFSET(cmd,$F42,0),"")</f>
        <v>RAT</v>
      </c>
      <c r="C43" s="116" t="str">
        <f ca="1">(OFFSET(j,$F42,0))</f>
        <v/>
      </c>
    </row>
    <row r="44" spans="1:8">
      <c r="A44" s="116" t="str">
        <f ca="1">IF(OFFSET(T,$F42,0)&lt;phasenum,"RAT","")</f>
        <v>RAT</v>
      </c>
      <c r="B44" s="116">
        <f ca="1">IF(A44&lt;&gt;"",OFFSET(Rate,$F42,0),"")</f>
        <v>100.30000000000001</v>
      </c>
      <c r="C44" s="116" t="str">
        <f ca="1">IF(A44&lt;&gt;"",T(OFFSET(U,$F42,0)),"")</f>
        <v>UM</v>
      </c>
    </row>
    <row r="45" spans="1:8">
      <c r="A45" s="116" t="str">
        <f ca="1">IF(OR(A44="",OFFSET(Volume,$F42,0)=""),"","VOL")</f>
        <v>VOL</v>
      </c>
      <c r="B45" s="116">
        <f ca="1">IF(($A45)="","",OFFSET(Volume,$F42,0))</f>
        <v>31.34</v>
      </c>
      <c r="D45" s="118" t="str">
        <f ca="1">IF(($C45)="","",OFFSET(Time,$F42,0))</f>
        <v/>
      </c>
    </row>
    <row r="46" spans="1:8">
      <c r="A46" s="116" t="str">
        <f ca="1">IF(AND(A42&lt;&gt;"",OFFSET(dt,$F42,0)&gt;1),"DIR","")</f>
        <v>DIR</v>
      </c>
      <c r="B46" s="116" t="str">
        <f ca="1">IF(A46="","",OFFSET(d,$F42,0))</f>
        <v>INF</v>
      </c>
    </row>
    <row r="47" spans="1:8">
      <c r="A47" s="116" t="s">
        <v>36</v>
      </c>
    </row>
    <row r="48" spans="1:8">
      <c r="A48" s="116" t="str">
        <f ca="1">IF(H48&gt;2,"PHN","")</f>
        <v>PHN</v>
      </c>
      <c r="B48" s="116">
        <f ca="1">IF(H48&lt;3,"",OFFSET(phase,$F48,0))</f>
        <v>6</v>
      </c>
      <c r="E48" s="116" t="s">
        <v>37</v>
      </c>
      <c r="F48" s="116">
        <v>6</v>
      </c>
      <c r="H48" s="116">
        <f ca="1">IF(ISTEXT(OFFSET(cmd,$F48,0)),3,1+OFFSET(cmd,$F48,0))</f>
        <v>3</v>
      </c>
    </row>
    <row r="49" spans="1:8">
      <c r="A49" s="116" t="str">
        <f ca="1">CHOOSE(H48,"","SETUP ADR=","FUN")</f>
        <v>FUN</v>
      </c>
      <c r="B49" s="116" t="str">
        <f ca="1">IF(H48&gt;2,OFFSET(cmd,$F48,0),"")</f>
        <v>RAT</v>
      </c>
      <c r="C49" s="116" t="str">
        <f ca="1">(OFFSET(j,$F48,0))</f>
        <v/>
      </c>
    </row>
    <row r="50" spans="1:8">
      <c r="A50" s="116" t="str">
        <f ca="1">IF(OFFSET(T,$F48,0)&lt;phasenum,"RAT","")</f>
        <v>RAT</v>
      </c>
      <c r="B50" s="116">
        <f ca="1">IF(A50&lt;&gt;"",OFFSET(Rate,$F48,0),"")</f>
        <v>100.4</v>
      </c>
      <c r="C50" s="116" t="str">
        <f ca="1">IF(A50&lt;&gt;"",T(OFFSET(U,$F48,0)),"")</f>
        <v>UM</v>
      </c>
    </row>
    <row r="51" spans="1:8">
      <c r="A51" s="116" t="str">
        <f ca="1">IF(OR(A50="",OFFSET(Volume,$F48,0)=""),"","VOL")</f>
        <v>VOL</v>
      </c>
      <c r="B51" s="116">
        <f ca="1">IF(($A51)="","",OFFSET(Volume,$F48,0))</f>
        <v>31.38</v>
      </c>
      <c r="D51" s="118" t="str">
        <f ca="1">IF(($C51)="","",OFFSET(Time,$F48,0))</f>
        <v/>
      </c>
    </row>
    <row r="52" spans="1:8">
      <c r="A52" s="116" t="str">
        <f ca="1">IF(AND(A48&lt;&gt;"",OFFSET(dt,$F48,0)&gt;1),"DIR","")</f>
        <v>DIR</v>
      </c>
      <c r="B52" s="116" t="str">
        <f ca="1">IF(A52="","",OFFSET(d,$F48,0))</f>
        <v>INF</v>
      </c>
    </row>
    <row r="53" spans="1:8">
      <c r="A53" s="116" t="s">
        <v>36</v>
      </c>
    </row>
    <row r="54" spans="1:8">
      <c r="A54" s="116" t="str">
        <f ca="1">IF(H54&gt;2,"PHN","")</f>
        <v>PHN</v>
      </c>
      <c r="B54" s="116">
        <f ca="1">IF(H54&lt;3,"",OFFSET(phase,$F54,0))</f>
        <v>7</v>
      </c>
      <c r="E54" s="116" t="s">
        <v>37</v>
      </c>
      <c r="F54" s="116">
        <v>7</v>
      </c>
      <c r="H54" s="116">
        <f ca="1">IF(ISTEXT(OFFSET(cmd,$F54,0)),3,1+OFFSET(cmd,$F54,0))</f>
        <v>3</v>
      </c>
    </row>
    <row r="55" spans="1:8">
      <c r="A55" s="116" t="str">
        <f ca="1">CHOOSE(H54,"","SETUP ADR=","FUN")</f>
        <v>FUN</v>
      </c>
      <c r="B55" s="116" t="str">
        <f ca="1">IF(H54&gt;2,OFFSET(cmd,$F54,0),"")</f>
        <v>RAT</v>
      </c>
      <c r="C55" s="116" t="str">
        <f ca="1">(OFFSET(j,$F54,0))</f>
        <v/>
      </c>
    </row>
    <row r="56" spans="1:8">
      <c r="A56" s="116" t="str">
        <f ca="1">IF(OFFSET(T,$F54,0)&lt;phasenum,"RAT","")</f>
        <v>RAT</v>
      </c>
      <c r="B56" s="116">
        <f ca="1">IF(A56&lt;&gt;"",OFFSET(Rate,$F54,0),"")</f>
        <v>100.5</v>
      </c>
      <c r="C56" s="116" t="str">
        <f ca="1">IF(A56&lt;&gt;"",T(OFFSET(U,$F54,0)),"")</f>
        <v>UM</v>
      </c>
    </row>
    <row r="57" spans="1:8">
      <c r="A57" s="116" t="str">
        <f ca="1">IF(OR(A56="",OFFSET(Volume,$F54,0)=""),"","VOL")</f>
        <v>VOL</v>
      </c>
      <c r="B57" s="116">
        <f ca="1">IF(($A57)="","",OFFSET(Volume,$F54,0))</f>
        <v>31.41</v>
      </c>
      <c r="D57" s="118" t="str">
        <f ca="1">IF(($C57)="","",OFFSET(Time,$F54,0))</f>
        <v/>
      </c>
    </row>
    <row r="58" spans="1:8">
      <c r="A58" s="116" t="str">
        <f ca="1">IF(AND(A54&lt;&gt;"",OFFSET(dt,$F54,0)&gt;1),"DIR","")</f>
        <v>DIR</v>
      </c>
      <c r="B58" s="116" t="str">
        <f ca="1">IF(A58="","",OFFSET(d,$F54,0))</f>
        <v>INF</v>
      </c>
    </row>
    <row r="59" spans="1:8">
      <c r="A59" s="116" t="s">
        <v>36</v>
      </c>
    </row>
    <row r="60" spans="1:8">
      <c r="A60" s="116" t="str">
        <f ca="1">IF(H60&gt;2,"PHN","")</f>
        <v>PHN</v>
      </c>
      <c r="B60" s="116">
        <f ca="1">IF(H60&lt;3,"",OFFSET(phase,$F60,0))</f>
        <v>8</v>
      </c>
      <c r="E60" s="116" t="s">
        <v>37</v>
      </c>
      <c r="F60" s="116">
        <v>8</v>
      </c>
      <c r="H60" s="116">
        <f ca="1">IF(ISTEXT(OFFSET(cmd,$F60,0)),3,1+OFFSET(cmd,$F60,0))</f>
        <v>3</v>
      </c>
    </row>
    <row r="61" spans="1:8">
      <c r="A61" s="116" t="str">
        <f ca="1">CHOOSE(H60,"","SETUP ADR=","FUN")</f>
        <v>FUN</v>
      </c>
      <c r="B61" s="116" t="str">
        <f ca="1">IF(H60&gt;2,OFFSET(cmd,$F60,0),"")</f>
        <v>RAT</v>
      </c>
      <c r="C61" s="116" t="str">
        <f ca="1">(OFFSET(j,$F60,0))</f>
        <v/>
      </c>
    </row>
    <row r="62" spans="1:8">
      <c r="A62" s="116" t="str">
        <f ca="1">IF(OFFSET(T,$F60,0)&lt;phasenum,"RAT","")</f>
        <v>RAT</v>
      </c>
      <c r="B62" s="116">
        <f ca="1">IF(A62&lt;&gt;"",OFFSET(Rate,$F60,0),"")</f>
        <v>100.60000000000001</v>
      </c>
      <c r="C62" s="116" t="str">
        <f ca="1">IF(A62&lt;&gt;"",T(OFFSET(U,$F60,0)),"")</f>
        <v>UM</v>
      </c>
    </row>
    <row r="63" spans="1:8">
      <c r="A63" s="116" t="str">
        <f ca="1">IF(OR(A62="",OFFSET(Volume,$F60,0)=""),"","VOL")</f>
        <v>VOL</v>
      </c>
      <c r="B63" s="116">
        <f ca="1">IF(($A63)="","",OFFSET(Volume,$F60,0))</f>
        <v>31.44</v>
      </c>
      <c r="D63" s="118" t="str">
        <f ca="1">IF(($C63)="","",OFFSET(Time,$F60,0))</f>
        <v/>
      </c>
    </row>
    <row r="64" spans="1:8">
      <c r="A64" s="116" t="str">
        <f ca="1">IF(AND(A60&lt;&gt;"",OFFSET(dt,$F60,0)&gt;1),"DIR","")</f>
        <v>DIR</v>
      </c>
      <c r="B64" s="116" t="str">
        <f ca="1">IF(A64="","",OFFSET(d,$F60,0))</f>
        <v>INF</v>
      </c>
    </row>
    <row r="65" spans="1:8">
      <c r="A65" s="116" t="s">
        <v>36</v>
      </c>
    </row>
    <row r="66" spans="1:8">
      <c r="A66" s="116" t="str">
        <f ca="1">IF(H66&gt;2,"PHN","")</f>
        <v>PHN</v>
      </c>
      <c r="B66" s="116">
        <f ca="1">IF(H66&lt;3,"",OFFSET(phase,$F66,0))</f>
        <v>9</v>
      </c>
      <c r="E66" s="116" t="s">
        <v>37</v>
      </c>
      <c r="F66" s="116">
        <v>9</v>
      </c>
      <c r="H66" s="116">
        <f ca="1">IF(ISTEXT(OFFSET(cmd,$F66,0)),3,1+OFFSET(cmd,$F66,0))</f>
        <v>3</v>
      </c>
    </row>
    <row r="67" spans="1:8">
      <c r="A67" s="116" t="str">
        <f ca="1">CHOOSE(H66,"","SETUP ADR=","FUN")</f>
        <v>FUN</v>
      </c>
      <c r="B67" s="116" t="str">
        <f ca="1">IF(H66&gt;2,OFFSET(cmd,$F66,0),"")</f>
        <v>RAT</v>
      </c>
      <c r="C67" s="116" t="str">
        <f ca="1">(OFFSET(j,$F66,0))</f>
        <v/>
      </c>
    </row>
    <row r="68" spans="1:8">
      <c r="A68" s="116" t="str">
        <f ca="1">IF(OFFSET(T,$F66,0)&lt;phasenum,"RAT","")</f>
        <v>RAT</v>
      </c>
      <c r="B68" s="116">
        <f ca="1">IF(A68&lt;&gt;"",OFFSET(Rate,$F66,0),"")</f>
        <v>100.7</v>
      </c>
      <c r="C68" s="116" t="str">
        <f ca="1">IF(A68&lt;&gt;"",T(OFFSET(U,$F66,0)),"")</f>
        <v>UM</v>
      </c>
    </row>
    <row r="69" spans="1:8">
      <c r="A69" s="116" t="str">
        <f ca="1">IF(OR(A68="",OFFSET(Volume,$F66,0)=""),"","VOL")</f>
        <v>VOL</v>
      </c>
      <c r="B69" s="116">
        <f ca="1">IF(($A69)="","",OFFSET(Volume,$F66,0))</f>
        <v>31.470000000000002</v>
      </c>
      <c r="D69" s="118" t="str">
        <f ca="1">IF(($C69)="","",OFFSET(Time,$F66,0))</f>
        <v/>
      </c>
    </row>
    <row r="70" spans="1:8">
      <c r="A70" s="116" t="str">
        <f ca="1">IF(AND(A66&lt;&gt;"",OFFSET(dt,$F66,0)&gt;1),"DIR","")</f>
        <v>DIR</v>
      </c>
      <c r="B70" s="116" t="str">
        <f ca="1">IF(A70="","",OFFSET(d,$F66,0))</f>
        <v>INF</v>
      </c>
    </row>
    <row r="71" spans="1:8">
      <c r="A71" s="116" t="s">
        <v>36</v>
      </c>
    </row>
    <row r="72" spans="1:8">
      <c r="A72" s="116" t="str">
        <f ca="1">IF(H72&gt;2,"PHN","")</f>
        <v>PHN</v>
      </c>
      <c r="B72" s="116">
        <f ca="1">IF(H72&lt;3,"",OFFSET(phase,$F72,0))</f>
        <v>10</v>
      </c>
      <c r="E72" s="116" t="s">
        <v>37</v>
      </c>
      <c r="F72" s="116">
        <v>10</v>
      </c>
      <c r="H72" s="116">
        <f ca="1">IF(ISTEXT(OFFSET(cmd,$F72,0)),3,1+OFFSET(cmd,$F72,0))</f>
        <v>3</v>
      </c>
    </row>
    <row r="73" spans="1:8">
      <c r="A73" s="116" t="str">
        <f ca="1">CHOOSE(H72,"","SETUP ADR=","FUN")</f>
        <v>FUN</v>
      </c>
      <c r="B73" s="116" t="str">
        <f ca="1">IF(H72&gt;2,OFFSET(cmd,$F72,0),"")</f>
        <v>RAT</v>
      </c>
      <c r="C73" s="116" t="str">
        <f ca="1">(OFFSET(j,$F72,0))</f>
        <v/>
      </c>
    </row>
    <row r="74" spans="1:8">
      <c r="A74" s="116" t="str">
        <f ca="1">IF(OFFSET(T,$F72,0)&lt;phasenum,"RAT","")</f>
        <v>RAT</v>
      </c>
      <c r="B74" s="116">
        <f ca="1">IF(A74&lt;&gt;"",OFFSET(Rate,$F72,0),"")</f>
        <v>100.80000000000001</v>
      </c>
      <c r="C74" s="116" t="str">
        <f ca="1">IF(A74&lt;&gt;"",T(OFFSET(U,$F72,0)),"")</f>
        <v>UM</v>
      </c>
    </row>
    <row r="75" spans="1:8">
      <c r="A75" s="116" t="str">
        <f ca="1">IF(OR(A74="",OFFSET(Volume,$F72,0)=""),"","VOL")</f>
        <v>VOL</v>
      </c>
      <c r="B75" s="116">
        <f ca="1">IF(($A75)="","",OFFSET(Volume,$F72,0))</f>
        <v>31.51</v>
      </c>
      <c r="D75" s="118" t="str">
        <f ca="1">IF(($C75)="","",OFFSET(Time,$F72,0))</f>
        <v/>
      </c>
    </row>
    <row r="76" spans="1:8">
      <c r="A76" s="116" t="str">
        <f ca="1">IF(AND(A72&lt;&gt;"",OFFSET(dt,$F72,0)&gt;1),"DIR","")</f>
        <v>DIR</v>
      </c>
      <c r="B76" s="116" t="str">
        <f ca="1">IF(A76="","",OFFSET(d,$F72,0))</f>
        <v>INF</v>
      </c>
    </row>
    <row r="77" spans="1:8">
      <c r="A77" s="116" t="s">
        <v>36</v>
      </c>
    </row>
    <row r="78" spans="1:8">
      <c r="A78" s="116" t="str">
        <f ca="1">IF(H78&gt;2,"PHN","")</f>
        <v>PHN</v>
      </c>
      <c r="B78" s="116">
        <f ca="1">IF(H78&lt;3,"",OFFSET(phase,$F78,0))</f>
        <v>11</v>
      </c>
      <c r="E78" s="116" t="s">
        <v>37</v>
      </c>
      <c r="F78" s="116">
        <v>11</v>
      </c>
      <c r="H78" s="116">
        <f ca="1">IF(ISTEXT(OFFSET(cmd,$F78,0)),3,1+OFFSET(cmd,$F78,0))</f>
        <v>3</v>
      </c>
    </row>
    <row r="79" spans="1:8">
      <c r="A79" s="116" t="str">
        <f ca="1">CHOOSE(H78,"","SETUP ADR=","FUN")</f>
        <v>FUN</v>
      </c>
      <c r="B79" s="116" t="str">
        <f ca="1">IF(H78&gt;2,OFFSET(cmd,$F78,0),"")</f>
        <v>RAT</v>
      </c>
      <c r="C79" s="116" t="str">
        <f ca="1">(OFFSET(j,$F78,0))</f>
        <v/>
      </c>
    </row>
    <row r="80" spans="1:8">
      <c r="A80" s="116" t="str">
        <f ca="1">IF(OFFSET(T,$F78,0)&lt;phasenum,"RAT","")</f>
        <v>RAT</v>
      </c>
      <c r="B80" s="116">
        <f ca="1">IF(A80&lt;&gt;"",OFFSET(Rate,$F78,0),"")</f>
        <v>101</v>
      </c>
      <c r="C80" s="116" t="str">
        <f ca="1">IF(A80&lt;&gt;"",T(OFFSET(U,$F78,0)),"")</f>
        <v>UM</v>
      </c>
    </row>
    <row r="81" spans="1:8">
      <c r="A81" s="116" t="str">
        <f ca="1">IF(OR(A80="",OFFSET(Volume,$F78,0)=""),"","VOL")</f>
        <v>VOL</v>
      </c>
      <c r="B81" s="116">
        <f ca="1">IF(($A81)="","",OFFSET(Volume,$F78,0))</f>
        <v>31.55</v>
      </c>
      <c r="D81" s="118" t="str">
        <f ca="1">IF(($C81)="","",OFFSET(Time,$F78,0))</f>
        <v/>
      </c>
    </row>
    <row r="82" spans="1:8">
      <c r="A82" s="116" t="str">
        <f ca="1">IF(AND(A78&lt;&gt;"",OFFSET(dt,$F78,0)&gt;1),"DIR","")</f>
        <v>DIR</v>
      </c>
      <c r="B82" s="116" t="str">
        <f ca="1">IF(A82="","",OFFSET(d,$F78,0))</f>
        <v>INF</v>
      </c>
    </row>
    <row r="83" spans="1:8">
      <c r="A83" s="116" t="s">
        <v>36</v>
      </c>
    </row>
    <row r="84" spans="1:8">
      <c r="A84" s="116" t="str">
        <f ca="1">IF(H84&gt;2,"PHN","")</f>
        <v>PHN</v>
      </c>
      <c r="B84" s="116">
        <f ca="1">IF(H84&lt;3,"",OFFSET(phase,$F84,0))</f>
        <v>12</v>
      </c>
      <c r="E84" s="116" t="s">
        <v>37</v>
      </c>
      <c r="F84" s="116">
        <v>12</v>
      </c>
      <c r="H84" s="116">
        <f ca="1">IF(ISTEXT(OFFSET(cmd,$F84,0)),3,1+OFFSET(cmd,$F84,0))</f>
        <v>3</v>
      </c>
    </row>
    <row r="85" spans="1:8">
      <c r="A85" s="116" t="str">
        <f ca="1">CHOOSE(H84,"","SETUP ADR=","FUN")</f>
        <v>FUN</v>
      </c>
      <c r="B85" s="116" t="str">
        <f ca="1">IF(H84&gt;2,OFFSET(cmd,$F84,0),"")</f>
        <v>RAT</v>
      </c>
      <c r="C85" s="116" t="str">
        <f ca="1">(OFFSET(j,$F84,0))</f>
        <v/>
      </c>
    </row>
    <row r="86" spans="1:8">
      <c r="A86" s="116" t="str">
        <f ca="1">IF(OFFSET(T,$F84,0)&lt;phasenum,"RAT","")</f>
        <v>RAT</v>
      </c>
      <c r="B86" s="116">
        <f ca="1">IF(A86&lt;&gt;"",OFFSET(Rate,$F84,0),"")</f>
        <v>101</v>
      </c>
      <c r="C86" s="116" t="str">
        <f ca="1">IF(A86&lt;&gt;"",T(OFFSET(U,$F84,0)),"")</f>
        <v>UM</v>
      </c>
    </row>
    <row r="87" spans="1:8">
      <c r="A87" s="116" t="str">
        <f ca="1">IF(OR(A86="",OFFSET(Volume,$F84,0)=""),"","VOL")</f>
        <v>VOL</v>
      </c>
      <c r="B87" s="116">
        <f ca="1">IF(($A87)="","",OFFSET(Volume,$F84,0))</f>
        <v>31.57</v>
      </c>
      <c r="D87" s="118" t="str">
        <f ca="1">IF(($C87)="","",OFFSET(Time,$F84,0))</f>
        <v/>
      </c>
    </row>
    <row r="88" spans="1:8">
      <c r="A88" s="116" t="str">
        <f ca="1">IF(AND(A84&lt;&gt;"",OFFSET(dt,$F84,0)&gt;1),"DIR","")</f>
        <v>DIR</v>
      </c>
      <c r="B88" s="116" t="str">
        <f ca="1">IF(A88="","",OFFSET(d,$F84,0))</f>
        <v>INF</v>
      </c>
    </row>
    <row r="89" spans="1:8">
      <c r="A89" s="116" t="s">
        <v>36</v>
      </c>
    </row>
    <row r="90" spans="1:8">
      <c r="A90" s="116" t="str">
        <f ca="1">IF(H90&gt;2,"PHN","")</f>
        <v>PHN</v>
      </c>
      <c r="B90" s="116">
        <f ca="1">IF(H90&lt;3,"",OFFSET(phase,$F90,0))</f>
        <v>13</v>
      </c>
      <c r="E90" s="116" t="s">
        <v>37</v>
      </c>
      <c r="F90" s="116">
        <v>13</v>
      </c>
      <c r="H90" s="116">
        <f ca="1">IF(ISTEXT(OFFSET(cmd,$F90,0)),3,1+OFFSET(cmd,$F90,0))</f>
        <v>3</v>
      </c>
    </row>
    <row r="91" spans="1:8">
      <c r="A91" s="116" t="str">
        <f ca="1">CHOOSE(H90,"","SETUP ADR=","FUN")</f>
        <v>FUN</v>
      </c>
      <c r="B91" s="116" t="str">
        <f ca="1">IF(H90&gt;2,OFFSET(cmd,$F90,0),"")</f>
        <v>RAT</v>
      </c>
      <c r="C91" s="116" t="str">
        <f ca="1">(OFFSET(j,$F90,0))</f>
        <v/>
      </c>
    </row>
    <row r="92" spans="1:8">
      <c r="A92" s="116" t="str">
        <f ca="1">IF(OFFSET(T,$F90,0)&lt;phasenum,"RAT","")</f>
        <v>RAT</v>
      </c>
      <c r="B92" s="116">
        <f ca="1">IF(A92&lt;&gt;"",OFFSET(Rate,$F90,0),"")</f>
        <v>101.2</v>
      </c>
      <c r="C92" s="116" t="str">
        <f ca="1">IF(A92&lt;&gt;"",T(OFFSET(U,$F90,0)),"")</f>
        <v>UM</v>
      </c>
    </row>
    <row r="93" spans="1:8">
      <c r="A93" s="116" t="str">
        <f ca="1">IF(OR(A92="",OFFSET(Volume,$F90,0)=""),"","VOL")</f>
        <v>VOL</v>
      </c>
      <c r="B93" s="116">
        <f ca="1">IF(($A93)="","",OFFSET(Volume,$F90,0))</f>
        <v>31.61</v>
      </c>
      <c r="D93" s="118" t="str">
        <f ca="1">IF(($C93)="","",OFFSET(Time,$F90,0))</f>
        <v/>
      </c>
    </row>
    <row r="94" spans="1:8">
      <c r="A94" s="116" t="str">
        <f ca="1">IF(AND(A90&lt;&gt;"",OFFSET(dt,$F90,0)&gt;1),"DIR","")</f>
        <v>DIR</v>
      </c>
      <c r="B94" s="116" t="str">
        <f ca="1">IF(A94="","",OFFSET(d,$F90,0))</f>
        <v>INF</v>
      </c>
    </row>
    <row r="95" spans="1:8">
      <c r="A95" s="116" t="s">
        <v>36</v>
      </c>
    </row>
    <row r="96" spans="1:8">
      <c r="A96" s="116" t="str">
        <f ca="1">IF(H96&gt;2,"PHN","")</f>
        <v>PHN</v>
      </c>
      <c r="B96" s="116">
        <f ca="1">IF(H96&lt;3,"",OFFSET(phase,$F96,0))</f>
        <v>14</v>
      </c>
      <c r="E96" s="116" t="s">
        <v>37</v>
      </c>
      <c r="F96" s="116">
        <v>14</v>
      </c>
      <c r="H96" s="116">
        <f ca="1">IF(ISTEXT(OFFSET(cmd,$F96,0)),3,1+OFFSET(cmd,$F96,0))</f>
        <v>3</v>
      </c>
    </row>
    <row r="97" spans="1:8">
      <c r="A97" s="116" t="str">
        <f ca="1">CHOOSE(H96,"","SETUP ADR=","FUN")</f>
        <v>FUN</v>
      </c>
      <c r="B97" s="116" t="str">
        <f ca="1">IF(H96&gt;2,OFFSET(cmd,$F96,0),"")</f>
        <v>RAT</v>
      </c>
      <c r="C97" s="116" t="str">
        <f ca="1">(OFFSET(j,$F96,0))</f>
        <v/>
      </c>
    </row>
    <row r="98" spans="1:8">
      <c r="A98" s="116" t="str">
        <f ca="1">IF(OFFSET(T,$F96,0)&lt;phasenum,"RAT","")</f>
        <v>RAT</v>
      </c>
      <c r="B98" s="116">
        <f ca="1">IF(A98&lt;&gt;"",OFFSET(Rate,$F96,0),"")</f>
        <v>101.30000000000001</v>
      </c>
      <c r="C98" s="116" t="str">
        <f ca="1">IF(A98&lt;&gt;"",T(OFFSET(U,$F96,0)),"")</f>
        <v>UM</v>
      </c>
    </row>
    <row r="99" spans="1:8">
      <c r="A99" s="116" t="str">
        <f ca="1">IF(OR(A98="",OFFSET(Volume,$F96,0)=""),"","VOL")</f>
        <v>VOL</v>
      </c>
      <c r="B99" s="116">
        <f ca="1">IF(($A99)="","",OFFSET(Volume,$F96,0))</f>
        <v>31.64</v>
      </c>
      <c r="D99" s="118" t="str">
        <f ca="1">IF(($C99)="","",OFFSET(Time,$F96,0))</f>
        <v/>
      </c>
    </row>
    <row r="100" spans="1:8">
      <c r="A100" s="116" t="str">
        <f ca="1">IF(AND(A96&lt;&gt;"",OFFSET(dt,$F96,0)&gt;1),"DIR","")</f>
        <v>DIR</v>
      </c>
      <c r="B100" s="116" t="str">
        <f ca="1">IF(A100="","",OFFSET(d,$F96,0))</f>
        <v>INF</v>
      </c>
    </row>
    <row r="101" spans="1:8">
      <c r="A101" s="116" t="s">
        <v>36</v>
      </c>
    </row>
    <row r="102" spans="1:8">
      <c r="A102" s="116" t="str">
        <f ca="1">IF(H102&gt;2,"PHN","")</f>
        <v>PHN</v>
      </c>
      <c r="B102" s="116">
        <f ca="1">IF(H102&lt;3,"",OFFSET(phase,$F102,0))</f>
        <v>15</v>
      </c>
      <c r="E102" s="116" t="s">
        <v>37</v>
      </c>
      <c r="F102" s="116">
        <v>15</v>
      </c>
      <c r="H102" s="116">
        <f ca="1">IF(ISTEXT(OFFSET(cmd,$F102,0)),3,1+OFFSET(cmd,$F102,0))</f>
        <v>3</v>
      </c>
    </row>
    <row r="103" spans="1:8">
      <c r="A103" s="116" t="str">
        <f ca="1">CHOOSE(H102,"","SETUP ADR=","FUN")</f>
        <v>FUN</v>
      </c>
      <c r="B103" s="116" t="str">
        <f ca="1">IF(H102&gt;2,OFFSET(cmd,$F102,0),"")</f>
        <v>RAT</v>
      </c>
      <c r="C103" s="116" t="str">
        <f ca="1">(OFFSET(j,$F102,0))</f>
        <v/>
      </c>
    </row>
    <row r="104" spans="1:8">
      <c r="A104" s="116" t="str">
        <f ca="1">IF(OFFSET(T,$F102,0)&lt;phasenum,"RAT","")</f>
        <v>RAT</v>
      </c>
      <c r="B104" s="116">
        <f ca="1">IF(A104&lt;&gt;"",OFFSET(Rate,$F102,0),"")</f>
        <v>101.4</v>
      </c>
      <c r="C104" s="116" t="str">
        <f ca="1">IF(A104&lt;&gt;"",T(OFFSET(U,$F102,0)),"")</f>
        <v>UM</v>
      </c>
    </row>
    <row r="105" spans="1:8">
      <c r="A105" s="116" t="str">
        <f ca="1">IF(OR(A104="",OFFSET(Volume,$F102,0)=""),"","VOL")</f>
        <v>VOL</v>
      </c>
      <c r="B105" s="116">
        <f ca="1">IF(($A105)="","",OFFSET(Volume,$F102,0))</f>
        <v>31.68</v>
      </c>
      <c r="D105" s="118" t="str">
        <f ca="1">IF(($C105)="","",OFFSET(Time,$F102,0))</f>
        <v/>
      </c>
    </row>
    <row r="106" spans="1:8">
      <c r="A106" s="116" t="str">
        <f ca="1">IF(AND(A102&lt;&gt;"",OFFSET(dt,$F102,0)&gt;1),"DIR","")</f>
        <v>DIR</v>
      </c>
      <c r="B106" s="116" t="str">
        <f ca="1">IF(A106="","",OFFSET(d,$F102,0))</f>
        <v>INF</v>
      </c>
    </row>
    <row r="107" spans="1:8">
      <c r="A107" s="116" t="s">
        <v>36</v>
      </c>
    </row>
    <row r="108" spans="1:8">
      <c r="A108" s="116" t="str">
        <f ca="1">IF(H108&gt;2,"PHN","")</f>
        <v>PHN</v>
      </c>
      <c r="B108" s="116">
        <f ca="1">IF(H108&lt;3,"",OFFSET(phase,$F108,0))</f>
        <v>16</v>
      </c>
      <c r="E108" s="116" t="s">
        <v>37</v>
      </c>
      <c r="F108" s="116">
        <v>16</v>
      </c>
      <c r="H108" s="116">
        <f ca="1">IF(ISTEXT(OFFSET(cmd,$F108,0)),3,1+OFFSET(cmd,$F108,0))</f>
        <v>3</v>
      </c>
    </row>
    <row r="109" spans="1:8">
      <c r="A109" s="116" t="str">
        <f ca="1">CHOOSE(H108,"","SETUP ADR=","FUN")</f>
        <v>FUN</v>
      </c>
      <c r="B109" s="116" t="str">
        <f ca="1">IF(H108&gt;2,OFFSET(cmd,$F108,0),"")</f>
        <v>RAT</v>
      </c>
      <c r="C109" s="116" t="str">
        <f ca="1">(OFFSET(j,$F108,0))</f>
        <v/>
      </c>
    </row>
    <row r="110" spans="1:8">
      <c r="A110" s="116" t="str">
        <f ca="1">IF(OFFSET(T,$F108,0)&lt;phasenum,"RAT","")</f>
        <v>RAT</v>
      </c>
      <c r="B110" s="116">
        <f ca="1">IF(A110&lt;&gt;"",OFFSET(Rate,$F108,0),"")</f>
        <v>101.5</v>
      </c>
      <c r="C110" s="116" t="str">
        <f ca="1">IF(A110&lt;&gt;"",T(OFFSET(U,$F108,0)),"")</f>
        <v>UM</v>
      </c>
    </row>
    <row r="111" spans="1:8">
      <c r="A111" s="116" t="str">
        <f ca="1">IF(OR(A110="",OFFSET(Volume,$F108,0)=""),"","VOL")</f>
        <v>VOL</v>
      </c>
      <c r="B111" s="116">
        <f ca="1">IF(($A111)="","",OFFSET(Volume,$F108,0))</f>
        <v>31.71</v>
      </c>
      <c r="D111" s="118" t="str">
        <f ca="1">IF(($C111)="","",OFFSET(Time,$F108,0))</f>
        <v/>
      </c>
    </row>
    <row r="112" spans="1:8">
      <c r="A112" s="116" t="str">
        <f ca="1">IF(AND(A108&lt;&gt;"",OFFSET(dt,$F108,0)&gt;1),"DIR","")</f>
        <v>DIR</v>
      </c>
      <c r="B112" s="116" t="str">
        <f ca="1">IF(A112="","",OFFSET(d,$F108,0))</f>
        <v>INF</v>
      </c>
    </row>
    <row r="113" spans="1:8">
      <c r="A113" s="116" t="s">
        <v>36</v>
      </c>
    </row>
    <row r="114" spans="1:8">
      <c r="A114" s="116" t="str">
        <f ca="1">IF(H114&gt;2,"PHN","")</f>
        <v>PHN</v>
      </c>
      <c r="B114" s="116">
        <f ca="1">IF(H114&lt;3,"",OFFSET(phase,$F114,0))</f>
        <v>17</v>
      </c>
      <c r="E114" s="116" t="s">
        <v>37</v>
      </c>
      <c r="F114" s="116">
        <v>17</v>
      </c>
      <c r="H114" s="116">
        <f ca="1">IF(ISTEXT(OFFSET(cmd,$F114,0)),3,1+OFFSET(cmd,$F114,0))</f>
        <v>3</v>
      </c>
    </row>
    <row r="115" spans="1:8">
      <c r="A115" s="116" t="str">
        <f ca="1">CHOOSE(H114,"","SETUP ADR=","FUN")</f>
        <v>FUN</v>
      </c>
      <c r="B115" s="116" t="str">
        <f ca="1">IF(H114&gt;2,OFFSET(cmd,$F114,0),"")</f>
        <v>RAT</v>
      </c>
      <c r="C115" s="116" t="str">
        <f ca="1">(OFFSET(j,$F114,0))</f>
        <v/>
      </c>
    </row>
    <row r="116" spans="1:8">
      <c r="A116" s="116" t="str">
        <f ca="1">IF(OFFSET(T,$F114,0)&lt;phasenum,"RAT","")</f>
        <v>RAT</v>
      </c>
      <c r="B116" s="116">
        <f ca="1">IF(A116&lt;&gt;"",OFFSET(Rate,$F114,0),"")</f>
        <v>101.60000000000001</v>
      </c>
      <c r="C116" s="116" t="str">
        <f ca="1">IF(A116&lt;&gt;"",T(OFFSET(U,$F114,0)),"")</f>
        <v>UM</v>
      </c>
    </row>
    <row r="117" spans="1:8">
      <c r="A117" s="116" t="str">
        <f ca="1">IF(OR(A116="",OFFSET(Volume,$F114,0)=""),"","VOL")</f>
        <v>VOL</v>
      </c>
      <c r="B117" s="116">
        <f ca="1">IF(($A117)="","",OFFSET(Volume,$F114,0))</f>
        <v>31.75</v>
      </c>
      <c r="D117" s="118" t="str">
        <f ca="1">IF(($C117)="","",OFFSET(Time,$F114,0))</f>
        <v/>
      </c>
    </row>
    <row r="118" spans="1:8">
      <c r="A118" s="116" t="str">
        <f ca="1">IF(AND(A114&lt;&gt;"",OFFSET(dt,$F114,0)&gt;1),"DIR","")</f>
        <v>DIR</v>
      </c>
      <c r="B118" s="116" t="str">
        <f ca="1">IF(A118="","",OFFSET(d,$F114,0))</f>
        <v>INF</v>
      </c>
    </row>
    <row r="119" spans="1:8">
      <c r="A119" s="116" t="s">
        <v>36</v>
      </c>
    </row>
    <row r="120" spans="1:8">
      <c r="A120" s="116" t="str">
        <f ca="1">IF(H120&gt;2,"PHN","")</f>
        <v>PHN</v>
      </c>
      <c r="B120" s="116">
        <f ca="1">IF(H120&lt;3,"",OFFSET(phase,$F120,0))</f>
        <v>18</v>
      </c>
      <c r="E120" s="116" t="s">
        <v>37</v>
      </c>
      <c r="F120" s="116">
        <v>18</v>
      </c>
      <c r="H120" s="116">
        <f ca="1">IF(ISTEXT(OFFSET(cmd,$F120,0)),3,1+OFFSET(cmd,$F120,0))</f>
        <v>3</v>
      </c>
    </row>
    <row r="121" spans="1:8">
      <c r="A121" s="116" t="str">
        <f ca="1">CHOOSE(H120,"","SETUP ADR=","FUN")</f>
        <v>FUN</v>
      </c>
      <c r="B121" s="116" t="str">
        <f ca="1">IF(H120&gt;2,OFFSET(cmd,$F120,0),"")</f>
        <v>RAT</v>
      </c>
      <c r="C121" s="116" t="str">
        <f ca="1">(OFFSET(j,$F120,0))</f>
        <v/>
      </c>
    </row>
    <row r="122" spans="1:8">
      <c r="A122" s="116" t="str">
        <f ca="1">IF(OFFSET(T,$F120,0)&lt;phasenum,"RAT","")</f>
        <v>RAT</v>
      </c>
      <c r="B122" s="116">
        <f ca="1">IF(A122&lt;&gt;"",OFFSET(Rate,$F120,0),"")</f>
        <v>101.7</v>
      </c>
      <c r="C122" s="116" t="str">
        <f ca="1">IF(A122&lt;&gt;"",T(OFFSET(U,$F120,0)),"")</f>
        <v>UM</v>
      </c>
    </row>
    <row r="123" spans="1:8">
      <c r="A123" s="116" t="str">
        <f ca="1">IF(OR(A122="",OFFSET(Volume,$F120,0)=""),"","VOL")</f>
        <v>VOL</v>
      </c>
      <c r="B123" s="116">
        <f ca="1">IF(($A123)="","",OFFSET(Volume,$F120,0))</f>
        <v>31.78</v>
      </c>
      <c r="D123" s="118" t="str">
        <f ca="1">IF(($C123)="","",OFFSET(Time,$F120,0))</f>
        <v/>
      </c>
    </row>
    <row r="124" spans="1:8">
      <c r="A124" s="116" t="str">
        <f ca="1">IF(AND(A120&lt;&gt;"",OFFSET(dt,$F120,0)&gt;1),"DIR","")</f>
        <v>DIR</v>
      </c>
      <c r="B124" s="116" t="str">
        <f ca="1">IF(A124="","",OFFSET(d,$F120,0))</f>
        <v>INF</v>
      </c>
    </row>
    <row r="125" spans="1:8">
      <c r="A125" s="116" t="s">
        <v>36</v>
      </c>
    </row>
    <row r="126" spans="1:8">
      <c r="A126" s="116" t="str">
        <f ca="1">IF(H126&gt;2,"PHN","")</f>
        <v>PHN</v>
      </c>
      <c r="B126" s="116">
        <f ca="1">IF(H126&lt;3,"",OFFSET(phase,$F126,0))</f>
        <v>19</v>
      </c>
      <c r="E126" s="116" t="s">
        <v>37</v>
      </c>
      <c r="F126" s="116">
        <v>19</v>
      </c>
      <c r="H126" s="116">
        <f ca="1">IF(ISTEXT(OFFSET(cmd,$F126,0)),3,1+OFFSET(cmd,$F126,0))</f>
        <v>3</v>
      </c>
    </row>
    <row r="127" spans="1:8">
      <c r="A127" s="116" t="str">
        <f ca="1">CHOOSE(H126,"","SETUP ADR=","FUN")</f>
        <v>FUN</v>
      </c>
      <c r="B127" s="116" t="str">
        <f ca="1">IF(H126&gt;2,OFFSET(cmd,$F126,0),"")</f>
        <v>RAT</v>
      </c>
      <c r="C127" s="116" t="str">
        <f ca="1">(OFFSET(j,$F126,0))</f>
        <v/>
      </c>
    </row>
    <row r="128" spans="1:8">
      <c r="A128" s="116" t="str">
        <f ca="1">IF(OFFSET(T,$F126,0)&lt;phasenum,"RAT","")</f>
        <v>RAT</v>
      </c>
      <c r="B128" s="116">
        <f ca="1">IF(A128&lt;&gt;"",OFFSET(Rate,$F126,0),"")</f>
        <v>101.80000000000001</v>
      </c>
      <c r="C128" s="116" t="str">
        <f ca="1">IF(A128&lt;&gt;"",T(OFFSET(U,$F126,0)),"")</f>
        <v>UM</v>
      </c>
    </row>
    <row r="129" spans="1:8">
      <c r="A129" s="116" t="str">
        <f ca="1">IF(OR(A128="",OFFSET(Volume,$F126,0)=""),"","VOL")</f>
        <v>VOL</v>
      </c>
      <c r="B129" s="116">
        <f ca="1">IF(($A129)="","",OFFSET(Volume,$F126,0))</f>
        <v>31.810000000000002</v>
      </c>
      <c r="D129" s="118" t="str">
        <f ca="1">IF(($C129)="","",OFFSET(Time,$F126,0))</f>
        <v/>
      </c>
    </row>
    <row r="130" spans="1:8">
      <c r="A130" s="116" t="str">
        <f ca="1">IF(AND(A126&lt;&gt;"",OFFSET(dt,$F126,0)&gt;1),"DIR","")</f>
        <v>DIR</v>
      </c>
      <c r="B130" s="116" t="str">
        <f ca="1">IF(A130="","",OFFSET(d,$F126,0))</f>
        <v>INF</v>
      </c>
    </row>
    <row r="131" spans="1:8">
      <c r="A131" s="116" t="s">
        <v>36</v>
      </c>
    </row>
    <row r="132" spans="1:8">
      <c r="A132" s="116" t="str">
        <f ca="1">IF(H132&gt;2,"PHN","")</f>
        <v>PHN</v>
      </c>
      <c r="B132" s="116">
        <f ca="1">IF(H132&lt;3,"",OFFSET(phase,$F132,0))</f>
        <v>20</v>
      </c>
      <c r="E132" s="116" t="s">
        <v>37</v>
      </c>
      <c r="F132" s="116">
        <v>20</v>
      </c>
      <c r="H132" s="116">
        <f ca="1">IF(ISTEXT(OFFSET(cmd,$F132,0)),3,1+OFFSET(cmd,$F132,0))</f>
        <v>3</v>
      </c>
    </row>
    <row r="133" spans="1:8">
      <c r="A133" s="116" t="str">
        <f ca="1">CHOOSE(H132,"","SETUP ADR=","FUN")</f>
        <v>FUN</v>
      </c>
      <c r="B133" s="116" t="str">
        <f ca="1">IF(H132&gt;2,OFFSET(cmd,$F132,0),"")</f>
        <v>RAT</v>
      </c>
      <c r="C133" s="116" t="str">
        <f ca="1">(OFFSET(j,$F132,0))</f>
        <v/>
      </c>
    </row>
    <row r="134" spans="1:8">
      <c r="A134" s="116" t="str">
        <f ca="1">IF(OFFSET(T,$F132,0)&lt;phasenum,"RAT","")</f>
        <v>RAT</v>
      </c>
      <c r="B134" s="116">
        <f ca="1">IF(A134&lt;&gt;"",OFFSET(Rate,$F132,0),"")</f>
        <v>101.9</v>
      </c>
      <c r="C134" s="116" t="str">
        <f ca="1">IF(A134&lt;&gt;"",T(OFFSET(U,$F132,0)),"")</f>
        <v>UM</v>
      </c>
    </row>
    <row r="135" spans="1:8">
      <c r="A135" s="116" t="str">
        <f ca="1">IF(OR(A134="",OFFSET(Volume,$F132,0)=""),"","VOL")</f>
        <v>VOL</v>
      </c>
      <c r="B135" s="116">
        <f ca="1">IF(($A135)="","",OFFSET(Volume,$F132,0))</f>
        <v>31.85</v>
      </c>
      <c r="D135" s="118" t="str">
        <f ca="1">IF(($C135)="","",OFFSET(Time,$F132,0))</f>
        <v/>
      </c>
    </row>
    <row r="136" spans="1:8">
      <c r="A136" s="116" t="str">
        <f ca="1">IF(AND(A132&lt;&gt;"",OFFSET(dt,$F132,0)&gt;1),"DIR","")</f>
        <v>DIR</v>
      </c>
      <c r="B136" s="116" t="str">
        <f ca="1">IF(A136="","",OFFSET(d,$F132,0))</f>
        <v>INF</v>
      </c>
    </row>
    <row r="137" spans="1:8">
      <c r="A137" s="116" t="s">
        <v>36</v>
      </c>
    </row>
    <row r="138" spans="1:8">
      <c r="A138" s="116" t="str">
        <f ca="1">IF(H138&gt;2,"PHN","")</f>
        <v>PHN</v>
      </c>
      <c r="B138" s="116">
        <f ca="1">IF(H138&lt;3,"",OFFSET(phase,$F138,0))</f>
        <v>21</v>
      </c>
      <c r="E138" s="116" t="s">
        <v>37</v>
      </c>
      <c r="F138" s="116">
        <v>21</v>
      </c>
      <c r="H138" s="116">
        <f ca="1">IF(ISTEXT(OFFSET(cmd,$F138,0)),3,1+OFFSET(cmd,$F138,0))</f>
        <v>3</v>
      </c>
    </row>
    <row r="139" spans="1:8">
      <c r="A139" s="116" t="str">
        <f ca="1">CHOOSE(H138,"","SETUP ADR=","FUN")</f>
        <v>FUN</v>
      </c>
      <c r="B139" s="116" t="str">
        <f ca="1">IF(H138&gt;2,OFFSET(cmd,$F138,0),"")</f>
        <v>RAT</v>
      </c>
      <c r="C139" s="116" t="str">
        <f ca="1">(OFFSET(j,$F138,0))</f>
        <v/>
      </c>
    </row>
    <row r="140" spans="1:8">
      <c r="A140" s="116" t="str">
        <f ca="1">IF(OFFSET(T,$F138,0)&lt;phasenum,"RAT","")</f>
        <v>RAT</v>
      </c>
      <c r="B140" s="116">
        <f ca="1">IF(A140&lt;&gt;"",OFFSET(Rate,$F138,0),"")</f>
        <v>102</v>
      </c>
      <c r="C140" s="116" t="str">
        <f ca="1">IF(A140&lt;&gt;"",T(OFFSET(U,$F138,0)),"")</f>
        <v>UM</v>
      </c>
    </row>
    <row r="141" spans="1:8">
      <c r="A141" s="116" t="str">
        <f ca="1">IF(OR(A140="",OFFSET(Volume,$F138,0)=""),"","VOL")</f>
        <v>VOL</v>
      </c>
      <c r="B141" s="116">
        <f ca="1">IF(($A141)="","",OFFSET(Volume,$F138,0))</f>
        <v>31.88</v>
      </c>
      <c r="D141" s="118" t="str">
        <f ca="1">IF(($C141)="","",OFFSET(Time,$F138,0))</f>
        <v/>
      </c>
    </row>
    <row r="142" spans="1:8">
      <c r="A142" s="116" t="str">
        <f ca="1">IF(AND(A138&lt;&gt;"",OFFSET(dt,$F138,0)&gt;1),"DIR","")</f>
        <v>DIR</v>
      </c>
      <c r="B142" s="116" t="str">
        <f ca="1">IF(A142="","",OFFSET(d,$F138,0))</f>
        <v>INF</v>
      </c>
    </row>
    <row r="143" spans="1:8">
      <c r="A143" s="116" t="s">
        <v>36</v>
      </c>
    </row>
    <row r="144" spans="1:8">
      <c r="A144" s="116" t="str">
        <f ca="1">IF(H144&gt;2,"PHN","")</f>
        <v>PHN</v>
      </c>
      <c r="B144" s="116">
        <f ca="1">IF(H144&lt;3,"",OFFSET(phase,$F144,0))</f>
        <v>22</v>
      </c>
      <c r="E144" s="116" t="s">
        <v>37</v>
      </c>
      <c r="F144" s="116">
        <v>22</v>
      </c>
      <c r="H144" s="116">
        <f ca="1">IF(ISTEXT(OFFSET(cmd,$F144,0)),3,1+OFFSET(cmd,$F144,0))</f>
        <v>3</v>
      </c>
    </row>
    <row r="145" spans="1:8">
      <c r="A145" s="116" t="str">
        <f ca="1">CHOOSE(H144,"","SETUP ADR=","FUN")</f>
        <v>FUN</v>
      </c>
      <c r="B145" s="116" t="str">
        <f ca="1">IF(H144&gt;2,OFFSET(cmd,$F144,0),"")</f>
        <v>RAT</v>
      </c>
      <c r="C145" s="116" t="str">
        <f ca="1">(OFFSET(j,$F144,0))</f>
        <v/>
      </c>
    </row>
    <row r="146" spans="1:8">
      <c r="A146" s="116" t="str">
        <f ca="1">IF(OFFSET(T,$F144,0)&lt;phasenum,"RAT","")</f>
        <v>RAT</v>
      </c>
      <c r="B146" s="116">
        <f ca="1">IF(A146&lt;&gt;"",OFFSET(Rate,$F144,0),"")</f>
        <v>102.10000000000001</v>
      </c>
      <c r="C146" s="116" t="str">
        <f ca="1">IF(A146&lt;&gt;"",T(OFFSET(U,$F144,0)),"")</f>
        <v>UM</v>
      </c>
    </row>
    <row r="147" spans="1:8">
      <c r="A147" s="116" t="str">
        <f ca="1">IF(OR(A146="",OFFSET(Volume,$F144,0)=""),"","VOL")</f>
        <v>VOL</v>
      </c>
      <c r="B147" s="116">
        <f ca="1">IF(($A147)="","",OFFSET(Volume,$F144,0))</f>
        <v>31.92</v>
      </c>
      <c r="D147" s="118" t="str">
        <f ca="1">IF(($C147)="","",OFFSET(Time,$F144,0))</f>
        <v/>
      </c>
    </row>
    <row r="148" spans="1:8">
      <c r="A148" s="116" t="str">
        <f ca="1">IF(AND(A144&lt;&gt;"",OFFSET(dt,$F144,0)&gt;1),"DIR","")</f>
        <v>DIR</v>
      </c>
      <c r="B148" s="116" t="str">
        <f ca="1">IF(A148="","",OFFSET(d,$F144,0))</f>
        <v>INF</v>
      </c>
    </row>
    <row r="149" spans="1:8">
      <c r="A149" s="116" t="s">
        <v>36</v>
      </c>
    </row>
    <row r="150" spans="1:8">
      <c r="A150" s="116" t="str">
        <f ca="1">IF(H150&gt;2,"PHN","")</f>
        <v>PHN</v>
      </c>
      <c r="B150" s="116">
        <f ca="1">IF(H150&lt;3,"",OFFSET(phase,$F150,0))</f>
        <v>23</v>
      </c>
      <c r="E150" s="116" t="s">
        <v>37</v>
      </c>
      <c r="F150" s="116">
        <v>23</v>
      </c>
      <c r="H150" s="116">
        <f ca="1">IF(ISTEXT(OFFSET(cmd,$F150,0)),3,1+OFFSET(cmd,$F150,0))</f>
        <v>3</v>
      </c>
    </row>
    <row r="151" spans="1:8">
      <c r="A151" s="116" t="str">
        <f ca="1">CHOOSE(H150,"","SETUP ADR=","FUN")</f>
        <v>FUN</v>
      </c>
      <c r="B151" s="116" t="str">
        <f ca="1">IF(H150&gt;2,OFFSET(cmd,$F150,0),"")</f>
        <v>RAT</v>
      </c>
      <c r="C151" s="116" t="str">
        <f ca="1">(OFFSET(j,$F150,0))</f>
        <v/>
      </c>
    </row>
    <row r="152" spans="1:8">
      <c r="A152" s="116" t="str">
        <f ca="1">IF(OFFSET(T,$F150,0)&lt;phasenum,"RAT","")</f>
        <v>RAT</v>
      </c>
      <c r="B152" s="116">
        <f ca="1">IF(A152&lt;&gt;"",OFFSET(Rate,$F150,0),"")</f>
        <v>102.2</v>
      </c>
      <c r="C152" s="116" t="str">
        <f ca="1">IF(A152&lt;&gt;"",T(OFFSET(U,$F150,0)),"")</f>
        <v>UM</v>
      </c>
    </row>
    <row r="153" spans="1:8">
      <c r="A153" s="116" t="str">
        <f ca="1">IF(OR(A152="",OFFSET(Volume,$F150,0)=""),"","VOL")</f>
        <v>VOL</v>
      </c>
      <c r="B153" s="116">
        <f ca="1">IF(($A153)="","",OFFSET(Volume,$F150,0))</f>
        <v>31.95</v>
      </c>
      <c r="D153" s="118" t="str">
        <f ca="1">IF(($C153)="","",OFFSET(Time,$F150,0))</f>
        <v/>
      </c>
    </row>
    <row r="154" spans="1:8">
      <c r="A154" s="116" t="str">
        <f ca="1">IF(AND(A150&lt;&gt;"",OFFSET(dt,$F150,0)&gt;1),"DIR","")</f>
        <v>DIR</v>
      </c>
      <c r="B154" s="116" t="str">
        <f ca="1">IF(A154="","",OFFSET(d,$F150,0))</f>
        <v>INF</v>
      </c>
    </row>
    <row r="155" spans="1:8">
      <c r="A155" s="116" t="s">
        <v>36</v>
      </c>
    </row>
    <row r="156" spans="1:8">
      <c r="A156" s="116" t="str">
        <f ca="1">IF(H156&gt;2,"PHN","")</f>
        <v>PHN</v>
      </c>
      <c r="B156" s="116">
        <f ca="1">IF(H156&lt;3,"",OFFSET(phase,$F156,0))</f>
        <v>24</v>
      </c>
      <c r="E156" s="116" t="s">
        <v>37</v>
      </c>
      <c r="F156" s="116">
        <v>24</v>
      </c>
      <c r="H156" s="116">
        <f ca="1">IF(ISTEXT(OFFSET(cmd,$F156,0)),3,1+OFFSET(cmd,$F156,0))</f>
        <v>3</v>
      </c>
    </row>
    <row r="157" spans="1:8">
      <c r="A157" s="116" t="str">
        <f ca="1">CHOOSE(H156,"","SETUP ADR=","FUN")</f>
        <v>FUN</v>
      </c>
      <c r="B157" s="116" t="str">
        <f ca="1">IF(H156&gt;2,OFFSET(cmd,$F156,0),"")</f>
        <v>RAT</v>
      </c>
      <c r="C157" s="116" t="str">
        <f ca="1">(OFFSET(j,$F156,0))</f>
        <v/>
      </c>
    </row>
    <row r="158" spans="1:8">
      <c r="A158" s="116" t="str">
        <f ca="1">IF(OFFSET(T,$F156,0)&lt;phasenum,"RAT","")</f>
        <v>RAT</v>
      </c>
      <c r="B158" s="116">
        <f ca="1">IF(A158&lt;&gt;"",OFFSET(Rate,$F156,0),"")</f>
        <v>102.4</v>
      </c>
      <c r="C158" s="116" t="str">
        <f ca="1">IF(A158&lt;&gt;"",T(OFFSET(U,$F156,0)),"")</f>
        <v>UM</v>
      </c>
    </row>
    <row r="159" spans="1:8">
      <c r="A159" s="116" t="str">
        <f ca="1">IF(OR(A158="",OFFSET(Volume,$F156,0)=""),"","VOL")</f>
        <v>VOL</v>
      </c>
      <c r="B159" s="116">
        <f ca="1">IF(($A159)="","",OFFSET(Volume,$F156,0))</f>
        <v>31.990000000000002</v>
      </c>
      <c r="D159" s="118" t="str">
        <f ca="1">IF(($C159)="","",OFFSET(Time,$F156,0))</f>
        <v/>
      </c>
    </row>
    <row r="160" spans="1:8">
      <c r="A160" s="116" t="str">
        <f ca="1">IF(AND(A156&lt;&gt;"",OFFSET(dt,$F156,0)&gt;1),"DIR","")</f>
        <v>DIR</v>
      </c>
      <c r="B160" s="116" t="str">
        <f ca="1">IF(A160="","",OFFSET(d,$F156,0))</f>
        <v>INF</v>
      </c>
    </row>
    <row r="161" spans="1:8">
      <c r="A161" s="116" t="s">
        <v>36</v>
      </c>
    </row>
    <row r="162" spans="1:8">
      <c r="A162" s="116" t="str">
        <f ca="1">IF(H162&gt;2,"PHN","")</f>
        <v>PHN</v>
      </c>
      <c r="B162" s="116">
        <f ca="1">IF(H162&lt;3,"",OFFSET(phase,$F162,0))</f>
        <v>25</v>
      </c>
      <c r="E162" s="116" t="s">
        <v>37</v>
      </c>
      <c r="F162" s="116">
        <v>25</v>
      </c>
      <c r="H162" s="116">
        <f ca="1">IF(ISTEXT(OFFSET(cmd,$F162,0)),3,1+OFFSET(cmd,$F162,0))</f>
        <v>3</v>
      </c>
    </row>
    <row r="163" spans="1:8">
      <c r="A163" s="116" t="str">
        <f ca="1">CHOOSE(H162,"","SETUP ADR=","FUN")</f>
        <v>FUN</v>
      </c>
      <c r="B163" s="116" t="str">
        <f ca="1">IF(H162&gt;2,OFFSET(cmd,$F162,0),"")</f>
        <v>RAT</v>
      </c>
      <c r="C163" s="116" t="str">
        <f ca="1">(OFFSET(j,$F162,0))</f>
        <v/>
      </c>
    </row>
    <row r="164" spans="1:8">
      <c r="A164" s="116" t="str">
        <f ca="1">IF(OFFSET(T,$F162,0)&lt;phasenum,"RAT","")</f>
        <v>RAT</v>
      </c>
      <c r="B164" s="116">
        <f ca="1">IF(A164&lt;&gt;"",OFFSET(Rate,$F162,0),"")</f>
        <v>102.5</v>
      </c>
      <c r="C164" s="116" t="str">
        <f ca="1">IF(A164&lt;&gt;"",T(OFFSET(U,$F162,0)),"")</f>
        <v>UM</v>
      </c>
    </row>
    <row r="165" spans="1:8">
      <c r="A165" s="116" t="str">
        <f ca="1">IF(OR(A164="",OFFSET(Volume,$F162,0)=""),"","VOL")</f>
        <v>VOL</v>
      </c>
      <c r="B165" s="116">
        <f ca="1">IF(($A165)="","",OFFSET(Volume,$F162,0))</f>
        <v>32.020000000000003</v>
      </c>
      <c r="D165" s="118" t="str">
        <f ca="1">IF(($C165)="","",OFFSET(Time,$F162,0))</f>
        <v/>
      </c>
    </row>
    <row r="166" spans="1:8">
      <c r="A166" s="116" t="str">
        <f ca="1">IF(AND(A162&lt;&gt;"",OFFSET(dt,$F162,0)&gt;1),"DIR","")</f>
        <v>DIR</v>
      </c>
      <c r="B166" s="116" t="str">
        <f ca="1">IF(A166="","",OFFSET(d,$F162,0))</f>
        <v>INF</v>
      </c>
    </row>
    <row r="167" spans="1:8">
      <c r="A167" s="116" t="s">
        <v>36</v>
      </c>
    </row>
    <row r="168" spans="1:8">
      <c r="A168" s="116" t="str">
        <f ca="1">IF(H168&gt;2,"PHN","")</f>
        <v>PHN</v>
      </c>
      <c r="B168" s="116">
        <f ca="1">IF(H168&lt;3,"",OFFSET(phase,$F168,0))</f>
        <v>26</v>
      </c>
      <c r="E168" s="116" t="s">
        <v>37</v>
      </c>
      <c r="F168" s="116">
        <v>26</v>
      </c>
      <c r="H168" s="116">
        <f ca="1">IF(ISTEXT(OFFSET(cmd,$F168,0)),3,1+OFFSET(cmd,$F168,0))</f>
        <v>3</v>
      </c>
    </row>
    <row r="169" spans="1:8">
      <c r="A169" s="116" t="str">
        <f ca="1">CHOOSE(H168,"","SETUP ADR=","FUN")</f>
        <v>FUN</v>
      </c>
      <c r="B169" s="116" t="str">
        <f ca="1">IF(H168&gt;2,OFFSET(cmd,$F168,0),"")</f>
        <v>RAT</v>
      </c>
      <c r="C169" s="116" t="str">
        <f ca="1">(OFFSET(j,$F168,0))</f>
        <v/>
      </c>
    </row>
    <row r="170" spans="1:8">
      <c r="A170" s="116" t="str">
        <f ca="1">IF(OFFSET(T,$F168,0)&lt;phasenum,"RAT","")</f>
        <v>RAT</v>
      </c>
      <c r="B170" s="116">
        <f ca="1">IF(A170&lt;&gt;"",OFFSET(Rate,$F168,0),"")</f>
        <v>102.60000000000001</v>
      </c>
      <c r="C170" s="116" t="str">
        <f ca="1">IF(A170&lt;&gt;"",T(OFFSET(U,$F168,0)),"")</f>
        <v>UM</v>
      </c>
    </row>
    <row r="171" spans="1:8">
      <c r="A171" s="116" t="str">
        <f ca="1">IF(OR(A170="",OFFSET(Volume,$F168,0)=""),"","VOL")</f>
        <v>VOL</v>
      </c>
      <c r="B171" s="116">
        <f ca="1">IF(($A171)="","",OFFSET(Volume,$F168,0))</f>
        <v>32.06</v>
      </c>
      <c r="D171" s="118" t="str">
        <f ca="1">IF(($C171)="","",OFFSET(Time,$F168,0))</f>
        <v/>
      </c>
    </row>
    <row r="172" spans="1:8">
      <c r="A172" s="116" t="str">
        <f ca="1">IF(AND(A168&lt;&gt;"",OFFSET(dt,$F168,0)&gt;1),"DIR","")</f>
        <v>DIR</v>
      </c>
      <c r="B172" s="116" t="str">
        <f ca="1">IF(A172="","",OFFSET(d,$F168,0))</f>
        <v>INF</v>
      </c>
    </row>
    <row r="173" spans="1:8">
      <c r="A173" s="116" t="s">
        <v>36</v>
      </c>
    </row>
    <row r="174" spans="1:8">
      <c r="A174" s="116" t="str">
        <f ca="1">IF(H174&gt;2,"PHN","")</f>
        <v>PHN</v>
      </c>
      <c r="B174" s="116">
        <f ca="1">IF(H174&lt;3,"",OFFSET(phase,$F174,0))</f>
        <v>27</v>
      </c>
      <c r="E174" s="116" t="s">
        <v>37</v>
      </c>
      <c r="F174" s="116">
        <v>27</v>
      </c>
      <c r="H174" s="116">
        <f ca="1">IF(ISTEXT(OFFSET(cmd,$F174,0)),3,1+OFFSET(cmd,$F174,0))</f>
        <v>3</v>
      </c>
    </row>
    <row r="175" spans="1:8">
      <c r="A175" s="116" t="str">
        <f ca="1">CHOOSE(H174,"","SETUP ADR=","FUN")</f>
        <v>FUN</v>
      </c>
      <c r="B175" s="116" t="str">
        <f ca="1">IF(H174&gt;2,OFFSET(cmd,$F174,0),"")</f>
        <v>RAT</v>
      </c>
      <c r="C175" s="116" t="str">
        <f ca="1">(OFFSET(j,$F174,0))</f>
        <v/>
      </c>
    </row>
    <row r="176" spans="1:8">
      <c r="A176" s="116" t="str">
        <f ca="1">IF(OFFSET(T,$F174,0)&lt;phasenum,"RAT","")</f>
        <v>RAT</v>
      </c>
      <c r="B176" s="116">
        <f ca="1">IF(A176&lt;&gt;"",OFFSET(Rate,$F174,0),"")</f>
        <v>102.7</v>
      </c>
      <c r="C176" s="116" t="str">
        <f ca="1">IF(A176&lt;&gt;"",T(OFFSET(U,$F174,0)),"")</f>
        <v>UM</v>
      </c>
    </row>
    <row r="177" spans="1:8">
      <c r="A177" s="116" t="str">
        <f ca="1">IF(OR(A176="",OFFSET(Volume,$F174,0)=""),"","VOL")</f>
        <v>VOL</v>
      </c>
      <c r="B177" s="116">
        <f ca="1">IF(($A177)="","",OFFSET(Volume,$F174,0))</f>
        <v>32.090000000000003</v>
      </c>
      <c r="D177" s="118" t="str">
        <f ca="1">IF(($C177)="","",OFFSET(Time,$F174,0))</f>
        <v/>
      </c>
    </row>
    <row r="178" spans="1:8">
      <c r="A178" s="116" t="str">
        <f ca="1">IF(AND(A174&lt;&gt;"",OFFSET(dt,$F174,0)&gt;1),"DIR","")</f>
        <v>DIR</v>
      </c>
      <c r="B178" s="116" t="str">
        <f ca="1">IF(A178="","",OFFSET(d,$F174,0))</f>
        <v>INF</v>
      </c>
    </row>
    <row r="179" spans="1:8">
      <c r="A179" s="116" t="s">
        <v>36</v>
      </c>
    </row>
    <row r="180" spans="1:8">
      <c r="A180" s="116" t="str">
        <f ca="1">IF(H180&gt;2,"PHN","")</f>
        <v>PHN</v>
      </c>
      <c r="B180" s="116">
        <f ca="1">IF(H180&lt;3,"",OFFSET(phase,$F180,0))</f>
        <v>28</v>
      </c>
      <c r="E180" s="116" t="s">
        <v>37</v>
      </c>
      <c r="F180" s="116">
        <v>28</v>
      </c>
      <c r="H180" s="116">
        <f ca="1">IF(ISTEXT(OFFSET(cmd,$F180,0)),3,1+OFFSET(cmd,$F180,0))</f>
        <v>3</v>
      </c>
    </row>
    <row r="181" spans="1:8">
      <c r="A181" s="116" t="str">
        <f ca="1">CHOOSE(H180,"","SETUP ADR=","FUN")</f>
        <v>FUN</v>
      </c>
      <c r="B181" s="116" t="str">
        <f ca="1">IF(H180&gt;2,OFFSET(cmd,$F180,0),"")</f>
        <v>RAT</v>
      </c>
      <c r="C181" s="116" t="str">
        <f ca="1">(OFFSET(j,$F180,0))</f>
        <v/>
      </c>
    </row>
    <row r="182" spans="1:8">
      <c r="A182" s="116" t="str">
        <f ca="1">IF(OFFSET(T,$F180,0)&lt;phasenum,"RAT","")</f>
        <v>RAT</v>
      </c>
      <c r="B182" s="116">
        <f ca="1">IF(A182&lt;&gt;"",OFFSET(Rate,$F180,0),"")</f>
        <v>102.80000000000001</v>
      </c>
      <c r="C182" s="116" t="str">
        <f ca="1">IF(A182&lt;&gt;"",T(OFFSET(U,$F180,0)),"")</f>
        <v>UM</v>
      </c>
    </row>
    <row r="183" spans="1:8">
      <c r="A183" s="116" t="str">
        <f ca="1">IF(OR(A182="",OFFSET(Volume,$F180,0)=""),"","VOL")</f>
        <v>VOL</v>
      </c>
      <c r="B183" s="116">
        <f ca="1">IF(($A183)="","",OFFSET(Volume,$F180,0))</f>
        <v>32.130000000000003</v>
      </c>
      <c r="D183" s="118" t="str">
        <f ca="1">IF(($C183)="","",OFFSET(Time,$F180,0))</f>
        <v/>
      </c>
    </row>
    <row r="184" spans="1:8">
      <c r="A184" s="116" t="str">
        <f ca="1">IF(AND(A180&lt;&gt;"",OFFSET(dt,$F180,0)&gt;1),"DIR","")</f>
        <v>DIR</v>
      </c>
      <c r="B184" s="116" t="str">
        <f ca="1">IF(A184="","",OFFSET(d,$F180,0))</f>
        <v>INF</v>
      </c>
    </row>
    <row r="185" spans="1:8">
      <c r="A185" s="116" t="s">
        <v>36</v>
      </c>
    </row>
    <row r="186" spans="1:8">
      <c r="A186" s="116" t="str">
        <f ca="1">IF(H186&gt;2,"PHN","")</f>
        <v>PHN</v>
      </c>
      <c r="B186" s="116">
        <f ca="1">IF(H186&lt;3,"",OFFSET(phase,$F186,0))</f>
        <v>29</v>
      </c>
      <c r="E186" s="116" t="s">
        <v>37</v>
      </c>
      <c r="F186" s="116">
        <v>29</v>
      </c>
      <c r="H186" s="116">
        <f ca="1">IF(ISTEXT(OFFSET(cmd,$F186,0)),3,1+OFFSET(cmd,$F186,0))</f>
        <v>3</v>
      </c>
    </row>
    <row r="187" spans="1:8">
      <c r="A187" s="116" t="str">
        <f ca="1">CHOOSE(H186,"","SETUP ADR=","FUN")</f>
        <v>FUN</v>
      </c>
      <c r="B187" s="116" t="str">
        <f ca="1">IF(H186&gt;2,OFFSET(cmd,$F186,0),"")</f>
        <v>RAT</v>
      </c>
      <c r="C187" s="116" t="str">
        <f ca="1">(OFFSET(j,$F186,0))</f>
        <v/>
      </c>
    </row>
    <row r="188" spans="1:8">
      <c r="A188" s="116" t="str">
        <f ca="1">IF(OFFSET(T,$F186,0)&lt;phasenum,"RAT","")</f>
        <v>RAT</v>
      </c>
      <c r="B188" s="116">
        <f ca="1">IF(A188&lt;&gt;"",OFFSET(Rate,$F186,0),"")</f>
        <v>102.9</v>
      </c>
      <c r="C188" s="116" t="str">
        <f ca="1">IF(A188&lt;&gt;"",T(OFFSET(U,$F186,0)),"")</f>
        <v>UM</v>
      </c>
    </row>
    <row r="189" spans="1:8">
      <c r="A189" s="116" t="str">
        <f ca="1">IF(OR(A188="",OFFSET(Volume,$F186,0)=""),"","VOL")</f>
        <v>VOL</v>
      </c>
      <c r="B189" s="116">
        <f ca="1">IF(($A189)="","",OFFSET(Volume,$F186,0))</f>
        <v>32.160000000000004</v>
      </c>
      <c r="D189" s="118" t="str">
        <f ca="1">IF(($C189)="","",OFFSET(Time,$F186,0))</f>
        <v/>
      </c>
    </row>
    <row r="190" spans="1:8">
      <c r="A190" s="116" t="str">
        <f ca="1">IF(AND(A186&lt;&gt;"",OFFSET(dt,$F186,0)&gt;1),"DIR","")</f>
        <v>DIR</v>
      </c>
      <c r="B190" s="116" t="str">
        <f ca="1">IF(A190="","",OFFSET(d,$F186,0))</f>
        <v>INF</v>
      </c>
    </row>
    <row r="191" spans="1:8">
      <c r="A191" s="116" t="s">
        <v>36</v>
      </c>
    </row>
    <row r="192" spans="1:8">
      <c r="A192" s="116" t="str">
        <f ca="1">IF(H192&gt;2,"PHN","")</f>
        <v>PHN</v>
      </c>
      <c r="B192" s="116">
        <f ca="1">IF(H192&lt;3,"",OFFSET(phase,$F192,0))</f>
        <v>30</v>
      </c>
      <c r="E192" s="116" t="s">
        <v>37</v>
      </c>
      <c r="F192" s="116">
        <v>30</v>
      </c>
      <c r="H192" s="116">
        <f ca="1">IF(ISTEXT(OFFSET(cmd,$F192,0)),3,1+OFFSET(cmd,$F192,0))</f>
        <v>3</v>
      </c>
    </row>
    <row r="193" spans="1:8">
      <c r="A193" s="116" t="str">
        <f ca="1">CHOOSE(H192,"","SETUP ADR=","FUN")</f>
        <v>FUN</v>
      </c>
      <c r="B193" s="116" t="str">
        <f ca="1">IF(H192&gt;2,OFFSET(cmd,$F192,0),"")</f>
        <v>RAT</v>
      </c>
      <c r="C193" s="116" t="str">
        <f ca="1">(OFFSET(j,$F192,0))</f>
        <v/>
      </c>
    </row>
    <row r="194" spans="1:8">
      <c r="A194" s="116" t="str">
        <f ca="1">IF(OFFSET(T,$F192,0)&lt;phasenum,"RAT","")</f>
        <v>RAT</v>
      </c>
      <c r="B194" s="116">
        <f ca="1">IF(A194&lt;&gt;"",OFFSET(Rate,$F192,0),"")</f>
        <v>103</v>
      </c>
      <c r="C194" s="116" t="str">
        <f ca="1">IF(A194&lt;&gt;"",T(OFFSET(U,$F192,0)),"")</f>
        <v>UM</v>
      </c>
    </row>
    <row r="195" spans="1:8">
      <c r="A195" s="116" t="str">
        <f ca="1">IF(OR(A194="",OFFSET(Volume,$F192,0)=""),"","VOL")</f>
        <v>VOL</v>
      </c>
      <c r="B195" s="116">
        <f ca="1">IF(($A195)="","",OFFSET(Volume,$F192,0))</f>
        <v>32.200000000000003</v>
      </c>
      <c r="D195" s="118" t="str">
        <f ca="1">IF(($C195)="","",OFFSET(Time,$F192,0))</f>
        <v/>
      </c>
    </row>
    <row r="196" spans="1:8">
      <c r="A196" s="116" t="str">
        <f ca="1">IF(AND(A192&lt;&gt;"",OFFSET(dt,$F192,0)&gt;1),"DIR","")</f>
        <v>DIR</v>
      </c>
      <c r="B196" s="116" t="str">
        <f ca="1">IF(A196="","",OFFSET(d,$F192,0))</f>
        <v>INF</v>
      </c>
    </row>
    <row r="197" spans="1:8">
      <c r="A197" s="116" t="s">
        <v>36</v>
      </c>
    </row>
    <row r="198" spans="1:8">
      <c r="A198" s="116" t="str">
        <f ca="1">IF(H198&gt;2,"PHN","")</f>
        <v>PHN</v>
      </c>
      <c r="B198" s="116">
        <f ca="1">IF(H198&lt;3,"",OFFSET(phase,$F198,0))</f>
        <v>31</v>
      </c>
      <c r="E198" s="116" t="s">
        <v>37</v>
      </c>
      <c r="F198" s="116">
        <v>31</v>
      </c>
      <c r="H198" s="116">
        <f ca="1">IF(ISTEXT(OFFSET(cmd,$F198,0)),3,1+OFFSET(cmd,$F198,0))</f>
        <v>3</v>
      </c>
    </row>
    <row r="199" spans="1:8">
      <c r="A199" s="116" t="str">
        <f ca="1">CHOOSE(H198,"","SETUP ADR=","FUN")</f>
        <v>FUN</v>
      </c>
      <c r="B199" s="116" t="str">
        <f ca="1">IF(H198&gt;2,OFFSET(cmd,$F198,0),"")</f>
        <v>RAT</v>
      </c>
      <c r="C199" s="116" t="str">
        <f ca="1">(OFFSET(j,$F198,0))</f>
        <v/>
      </c>
    </row>
    <row r="200" spans="1:8">
      <c r="A200" s="116" t="str">
        <f ca="1">IF(OFFSET(T,$F198,0)&lt;phasenum,"RAT","")</f>
        <v>RAT</v>
      </c>
      <c r="B200" s="116">
        <f ca="1">IF(A200&lt;&gt;"",OFFSET(Rate,$F198,0),"")</f>
        <v>103.10000000000001</v>
      </c>
      <c r="C200" s="116" t="str">
        <f ca="1">IF(A200&lt;&gt;"",T(OFFSET(U,$F198,0)),"")</f>
        <v>UM</v>
      </c>
    </row>
    <row r="201" spans="1:8">
      <c r="A201" s="116" t="str">
        <f ca="1">IF(OR(A200="",OFFSET(Volume,$F198,0)=""),"","VOL")</f>
        <v>VOL</v>
      </c>
      <c r="B201" s="116">
        <f ca="1">IF(($A201)="","",OFFSET(Volume,$F198,0))</f>
        <v>32.230000000000004</v>
      </c>
      <c r="D201" s="118" t="str">
        <f ca="1">IF(($C201)="","",OFFSET(Time,$F198,0))</f>
        <v/>
      </c>
    </row>
    <row r="202" spans="1:8">
      <c r="A202" s="116" t="str">
        <f ca="1">IF(AND(A198&lt;&gt;"",OFFSET(dt,$F198,0)&gt;1),"DIR","")</f>
        <v>DIR</v>
      </c>
      <c r="B202" s="116" t="str">
        <f ca="1">IF(A202="","",OFFSET(d,$F198,0))</f>
        <v>INF</v>
      </c>
    </row>
    <row r="203" spans="1:8">
      <c r="A203" s="116" t="s">
        <v>36</v>
      </c>
    </row>
    <row r="204" spans="1:8">
      <c r="A204" s="116" t="str">
        <f ca="1">IF(H204&gt;2,"PHN","")</f>
        <v>PHN</v>
      </c>
      <c r="B204" s="116">
        <f ca="1">IF(H204&lt;3,"",OFFSET(phase,$F204,0))</f>
        <v>32</v>
      </c>
      <c r="E204" s="116" t="s">
        <v>37</v>
      </c>
      <c r="F204" s="116">
        <v>32</v>
      </c>
      <c r="H204" s="116">
        <f ca="1">IF(ISTEXT(OFFSET(cmd,$F204,0)),3,1+OFFSET(cmd,$F204,0))</f>
        <v>3</v>
      </c>
    </row>
    <row r="205" spans="1:8">
      <c r="A205" s="116" t="str">
        <f ca="1">CHOOSE(H204,"","SETUP ADR=","FUN")</f>
        <v>FUN</v>
      </c>
      <c r="B205" s="116" t="str">
        <f ca="1">IF(H204&gt;2,OFFSET(cmd,$F204,0),"")</f>
        <v>RAT</v>
      </c>
      <c r="C205" s="116" t="str">
        <f ca="1">(OFFSET(j,$F204,0))</f>
        <v/>
      </c>
    </row>
    <row r="206" spans="1:8">
      <c r="A206" s="116" t="str">
        <f ca="1">IF(OFFSET(T,$F204,0)&lt;phasenum,"RAT","")</f>
        <v>RAT</v>
      </c>
      <c r="B206" s="116">
        <f ca="1">IF(A206&lt;&gt;"",OFFSET(Rate,$F204,0),"")</f>
        <v>103.30000000000001</v>
      </c>
      <c r="C206" s="116" t="str">
        <f ca="1">IF(A206&lt;&gt;"",T(OFFSET(U,$F204,0)),"")</f>
        <v>UM</v>
      </c>
    </row>
    <row r="207" spans="1:8">
      <c r="A207" s="116" t="str">
        <f ca="1">IF(OR(A206="",OFFSET(Volume,$F204,0)=""),"","VOL")</f>
        <v>VOL</v>
      </c>
      <c r="B207" s="116">
        <f ca="1">IF(($A207)="","",OFFSET(Volume,$F204,0))</f>
        <v>32.270000000000003</v>
      </c>
      <c r="D207" s="118" t="str">
        <f ca="1">IF(($C207)="","",OFFSET(Time,$F204,0))</f>
        <v/>
      </c>
    </row>
    <row r="208" spans="1:8">
      <c r="A208" s="116" t="str">
        <f ca="1">IF(AND(A204&lt;&gt;"",OFFSET(dt,$F204,0)&gt;1),"DIR","")</f>
        <v>DIR</v>
      </c>
      <c r="B208" s="116" t="str">
        <f ca="1">IF(A208="","",OFFSET(d,$F204,0))</f>
        <v>INF</v>
      </c>
    </row>
    <row r="209" spans="1:8">
      <c r="A209" s="116" t="s">
        <v>36</v>
      </c>
    </row>
    <row r="210" spans="1:8">
      <c r="A210" s="116" t="str">
        <f ca="1">IF(H210&gt;2,"PHN","")</f>
        <v>PHN</v>
      </c>
      <c r="B210" s="116">
        <f ca="1">IF(H210&lt;3,"",OFFSET(phase,$F210,0))</f>
        <v>33</v>
      </c>
      <c r="E210" s="116" t="s">
        <v>37</v>
      </c>
      <c r="F210" s="116">
        <v>33</v>
      </c>
      <c r="H210" s="116">
        <f ca="1">IF(ISTEXT(OFFSET(cmd,$F210,0)),3,1+OFFSET(cmd,$F210,0))</f>
        <v>3</v>
      </c>
    </row>
    <row r="211" spans="1:8">
      <c r="A211" s="116" t="str">
        <f ca="1">CHOOSE(H210,"","SETUP ADR=","FUN")</f>
        <v>FUN</v>
      </c>
      <c r="B211" s="116" t="str">
        <f ca="1">IF(H210&gt;2,OFFSET(cmd,$F210,0),"")</f>
        <v>RAT</v>
      </c>
      <c r="C211" s="116" t="str">
        <f ca="1">(OFFSET(j,$F210,0))</f>
        <v/>
      </c>
    </row>
    <row r="212" spans="1:8">
      <c r="A212" s="116" t="str">
        <f ca="1">IF(OFFSET(T,$F210,0)&lt;phasenum,"RAT","")</f>
        <v>RAT</v>
      </c>
      <c r="B212" s="116">
        <f ca="1">IF(A212&lt;&gt;"",OFFSET(Rate,$F210,0),"")</f>
        <v>103.4</v>
      </c>
      <c r="C212" s="116" t="str">
        <f ca="1">IF(A212&lt;&gt;"",T(OFFSET(U,$F210,0)),"")</f>
        <v>UM</v>
      </c>
    </row>
    <row r="213" spans="1:8">
      <c r="A213" s="116" t="str">
        <f ca="1">IF(OR(A212="",OFFSET(Volume,$F210,0)=""),"","VOL")</f>
        <v>VOL</v>
      </c>
      <c r="B213" s="116">
        <f ca="1">IF(($A213)="","",OFFSET(Volume,$F210,0))</f>
        <v>32.31</v>
      </c>
      <c r="D213" s="118" t="str">
        <f ca="1">IF(($C213)="","",OFFSET(Time,$F210,0))</f>
        <v/>
      </c>
    </row>
    <row r="214" spans="1:8">
      <c r="A214" s="116" t="str">
        <f ca="1">IF(AND(A210&lt;&gt;"",OFFSET(dt,$F210,0)&gt;1),"DIR","")</f>
        <v>DIR</v>
      </c>
      <c r="B214" s="116" t="str">
        <f ca="1">IF(A214="","",OFFSET(d,$F210,0))</f>
        <v>INF</v>
      </c>
    </row>
    <row r="215" spans="1:8">
      <c r="A215" s="116" t="s">
        <v>36</v>
      </c>
    </row>
    <row r="216" spans="1:8">
      <c r="A216" s="116" t="str">
        <f ca="1">IF(H216&gt;2,"PHN","")</f>
        <v>PHN</v>
      </c>
      <c r="B216" s="116">
        <f ca="1">IF(H216&lt;3,"",OFFSET(phase,$F216,0))</f>
        <v>34</v>
      </c>
      <c r="E216" s="116" t="s">
        <v>37</v>
      </c>
      <c r="F216" s="116">
        <v>34</v>
      </c>
      <c r="H216" s="116">
        <f ca="1">IF(ISTEXT(OFFSET(cmd,$F216,0)),3,1+OFFSET(cmd,$F216,0))</f>
        <v>3</v>
      </c>
    </row>
    <row r="217" spans="1:8">
      <c r="A217" s="116" t="str">
        <f ca="1">CHOOSE(H216,"","SETUP ADR=","FUN")</f>
        <v>FUN</v>
      </c>
      <c r="B217" s="116" t="str">
        <f ca="1">IF(H216&gt;2,OFFSET(cmd,$F216,0),"")</f>
        <v>RAT</v>
      </c>
      <c r="C217" s="116" t="str">
        <f ca="1">(OFFSET(j,$F216,0))</f>
        <v/>
      </c>
    </row>
    <row r="218" spans="1:8">
      <c r="A218" s="116" t="str">
        <f ca="1">IF(OFFSET(T,$F216,0)&lt;phasenum,"RAT","")</f>
        <v>RAT</v>
      </c>
      <c r="B218" s="116">
        <f ca="1">IF(A218&lt;&gt;"",OFFSET(Rate,$F216,0),"")</f>
        <v>103.5</v>
      </c>
      <c r="C218" s="116" t="str">
        <f ca="1">IF(A218&lt;&gt;"",T(OFFSET(U,$F216,0)),"")</f>
        <v>UM</v>
      </c>
    </row>
    <row r="219" spans="1:8">
      <c r="A219" s="116" t="str">
        <f ca="1">IF(OR(A218="",OFFSET(Volume,$F216,0)=""),"","VOL")</f>
        <v>VOL</v>
      </c>
      <c r="B219" s="116">
        <f ca="1">IF(($A219)="","",OFFSET(Volume,$F216,0))</f>
        <v>32.340000000000003</v>
      </c>
      <c r="D219" s="118" t="str">
        <f ca="1">IF(($C219)="","",OFFSET(Time,$F216,0))</f>
        <v/>
      </c>
    </row>
    <row r="220" spans="1:8">
      <c r="A220" s="116" t="str">
        <f ca="1">IF(AND(A216&lt;&gt;"",OFFSET(dt,$F216,0)&gt;1),"DIR","")</f>
        <v>DIR</v>
      </c>
      <c r="B220" s="116" t="str">
        <f ca="1">IF(A220="","",OFFSET(d,$F216,0))</f>
        <v>INF</v>
      </c>
    </row>
    <row r="221" spans="1:8">
      <c r="A221" s="116" t="s">
        <v>36</v>
      </c>
    </row>
    <row r="222" spans="1:8">
      <c r="A222" s="116" t="str">
        <f ca="1">IF(H222&gt;2,"PHN","")</f>
        <v>PHN</v>
      </c>
      <c r="B222" s="116">
        <f ca="1">IF(H222&lt;3,"",OFFSET(phase,$F222,0))</f>
        <v>35</v>
      </c>
      <c r="E222" s="116" t="s">
        <v>37</v>
      </c>
      <c r="F222" s="116">
        <v>35</v>
      </c>
      <c r="H222" s="116">
        <f ca="1">IF(ISTEXT(OFFSET(cmd,$F222,0)),3,1+OFFSET(cmd,$F222,0))</f>
        <v>3</v>
      </c>
    </row>
    <row r="223" spans="1:8">
      <c r="A223" s="116" t="str">
        <f ca="1">CHOOSE(H222,"","SETUP ADR=","FUN")</f>
        <v>FUN</v>
      </c>
      <c r="B223" s="116" t="str">
        <f ca="1">IF(H222&gt;2,OFFSET(cmd,$F222,0),"")</f>
        <v>RAT</v>
      </c>
      <c r="C223" s="116" t="str">
        <f ca="1">(OFFSET(j,$F222,0))</f>
        <v/>
      </c>
    </row>
    <row r="224" spans="1:8">
      <c r="A224" s="116" t="str">
        <f ca="1">IF(OFFSET(T,$F222,0)&lt;phasenum,"RAT","")</f>
        <v>RAT</v>
      </c>
      <c r="B224" s="116">
        <f ca="1">IF(A224&lt;&gt;"",OFFSET(Rate,$F222,0),"")</f>
        <v>103.60000000000001</v>
      </c>
      <c r="C224" s="116" t="str">
        <f ca="1">IF(A224&lt;&gt;"",T(OFFSET(U,$F222,0)),"")</f>
        <v>UM</v>
      </c>
    </row>
    <row r="225" spans="1:8">
      <c r="A225" s="116" t="str">
        <f ca="1">IF(OR(A224="",OFFSET(Volume,$F222,0)=""),"","VOL")</f>
        <v>VOL</v>
      </c>
      <c r="B225" s="116">
        <f ca="1">IF(($A225)="","",OFFSET(Volume,$F222,0))</f>
        <v>32.380000000000003</v>
      </c>
      <c r="D225" s="118" t="str">
        <f ca="1">IF(($C225)="","",OFFSET(Time,$F222,0))</f>
        <v/>
      </c>
    </row>
    <row r="226" spans="1:8">
      <c r="A226" s="116" t="str">
        <f ca="1">IF(AND(A222&lt;&gt;"",OFFSET(dt,$F222,0)&gt;1),"DIR","")</f>
        <v>DIR</v>
      </c>
      <c r="B226" s="116" t="str">
        <f ca="1">IF(A226="","",OFFSET(d,$F222,0))</f>
        <v>INF</v>
      </c>
    </row>
    <row r="227" spans="1:8">
      <c r="A227" s="116" t="s">
        <v>36</v>
      </c>
    </row>
    <row r="228" spans="1:8">
      <c r="A228" s="116" t="str">
        <f ca="1">IF(H228&gt;2,"PHN","")</f>
        <v>PHN</v>
      </c>
      <c r="B228" s="116">
        <f ca="1">IF(H228&lt;3,"",OFFSET(phase,$F228,0))</f>
        <v>36</v>
      </c>
      <c r="E228" s="116" t="s">
        <v>37</v>
      </c>
      <c r="F228" s="116">
        <v>36</v>
      </c>
      <c r="H228" s="116">
        <f ca="1">IF(ISTEXT(OFFSET(cmd,$F228,0)),3,1+OFFSET(cmd,$F228,0))</f>
        <v>3</v>
      </c>
    </row>
    <row r="229" spans="1:8">
      <c r="A229" s="116" t="str">
        <f ca="1">CHOOSE(H228,"","SETUP ADR=","FUN")</f>
        <v>FUN</v>
      </c>
      <c r="B229" s="116" t="str">
        <f ca="1">IF(H228&gt;2,OFFSET(cmd,$F228,0),"")</f>
        <v>RAT</v>
      </c>
      <c r="C229" s="116" t="str">
        <f ca="1">(OFFSET(j,$F228,0))</f>
        <v/>
      </c>
    </row>
    <row r="230" spans="1:8">
      <c r="A230" s="116" t="str">
        <f ca="1">IF(OFFSET(T,$F228,0)&lt;phasenum,"RAT","")</f>
        <v>RAT</v>
      </c>
      <c r="B230" s="116">
        <f ca="1">IF(A230&lt;&gt;"",OFFSET(Rate,$F228,0),"")</f>
        <v>103.7</v>
      </c>
      <c r="C230" s="116" t="str">
        <f ca="1">IF(A230&lt;&gt;"",T(OFFSET(U,$F228,0)),"")</f>
        <v>UM</v>
      </c>
    </row>
    <row r="231" spans="1:8">
      <c r="A231" s="116" t="str">
        <f ca="1">IF(OR(A230="",OFFSET(Volume,$F228,0)=""),"","VOL")</f>
        <v>VOL</v>
      </c>
      <c r="B231" s="116">
        <f ca="1">IF(($A231)="","",OFFSET(Volume,$F228,0))</f>
        <v>32.410000000000004</v>
      </c>
      <c r="D231" s="118" t="str">
        <f ca="1">IF(($C231)="","",OFFSET(Time,$F228,0))</f>
        <v/>
      </c>
    </row>
    <row r="232" spans="1:8">
      <c r="A232" s="116" t="str">
        <f ca="1">IF(AND(A228&lt;&gt;"",OFFSET(dt,$F228,0)&gt;1),"DIR","")</f>
        <v>DIR</v>
      </c>
      <c r="B232" s="116" t="str">
        <f ca="1">IF(A232="","",OFFSET(d,$F228,0))</f>
        <v>INF</v>
      </c>
    </row>
    <row r="233" spans="1:8">
      <c r="A233" s="116" t="s">
        <v>36</v>
      </c>
    </row>
    <row r="234" spans="1:8">
      <c r="A234" s="116" t="str">
        <f ca="1">IF(H234&gt;2,"PHN","")</f>
        <v>PHN</v>
      </c>
      <c r="B234" s="116">
        <f ca="1">IF(H234&lt;3,"",OFFSET(phase,$F234,0))</f>
        <v>37</v>
      </c>
      <c r="E234" s="116" t="s">
        <v>37</v>
      </c>
      <c r="F234" s="116">
        <v>37</v>
      </c>
      <c r="H234" s="116">
        <f ca="1">IF(ISTEXT(OFFSET(cmd,$F234,0)),3,1+OFFSET(cmd,$F234,0))</f>
        <v>3</v>
      </c>
    </row>
    <row r="235" spans="1:8">
      <c r="A235" s="116" t="str">
        <f ca="1">CHOOSE(H234,"","SETUP ADR=","FUN")</f>
        <v>FUN</v>
      </c>
      <c r="B235" s="116" t="str">
        <f ca="1">IF(H234&gt;2,OFFSET(cmd,$F234,0),"")</f>
        <v>RAT</v>
      </c>
      <c r="C235" s="116" t="str">
        <f ca="1">(OFFSET(j,$F234,0))</f>
        <v/>
      </c>
    </row>
    <row r="236" spans="1:8">
      <c r="A236" s="116" t="str">
        <f ca="1">IF(OFFSET(T,$F234,0)&lt;phasenum,"RAT","")</f>
        <v>RAT</v>
      </c>
      <c r="B236" s="116">
        <f ca="1">IF(A236&lt;&gt;"",OFFSET(Rate,$F234,0),"")</f>
        <v>103.80000000000001</v>
      </c>
      <c r="C236" s="116" t="str">
        <f ca="1">IF(A236&lt;&gt;"",T(OFFSET(U,$F234,0)),"")</f>
        <v>UM</v>
      </c>
    </row>
    <row r="237" spans="1:8">
      <c r="A237" s="116" t="str">
        <f ca="1">IF(OR(A236="",OFFSET(Volume,$F234,0)=""),"","VOL")</f>
        <v>VOL</v>
      </c>
      <c r="B237" s="116">
        <f ca="1">IF(($A237)="","",OFFSET(Volume,$F234,0))</f>
        <v>32.450000000000003</v>
      </c>
      <c r="D237" s="118" t="str">
        <f ca="1">IF(($C237)="","",OFFSET(Time,$F234,0))</f>
        <v/>
      </c>
    </row>
    <row r="238" spans="1:8">
      <c r="A238" s="116" t="str">
        <f ca="1">IF(AND(A234&lt;&gt;"",OFFSET(dt,$F234,0)&gt;1),"DIR","")</f>
        <v>DIR</v>
      </c>
      <c r="B238" s="116" t="str">
        <f ca="1">IF(A238="","",OFFSET(d,$F234,0))</f>
        <v>INF</v>
      </c>
    </row>
    <row r="239" spans="1:8">
      <c r="A239" s="116" t="s">
        <v>36</v>
      </c>
    </row>
    <row r="240" spans="1:8">
      <c r="A240" s="116" t="str">
        <f ca="1">IF(H240&gt;2,"PHN","")</f>
        <v>PHN</v>
      </c>
      <c r="B240" s="116">
        <f ca="1">IF(H240&lt;3,"",OFFSET(phase,$F240,0))</f>
        <v>38</v>
      </c>
      <c r="E240" s="116" t="s">
        <v>37</v>
      </c>
      <c r="F240" s="116">
        <v>38</v>
      </c>
      <c r="H240" s="116">
        <f ca="1">IF(ISTEXT(OFFSET(cmd,$F240,0)),3,1+OFFSET(cmd,$F240,0))</f>
        <v>3</v>
      </c>
    </row>
    <row r="241" spans="1:8">
      <c r="A241" s="116" t="str">
        <f ca="1">CHOOSE(H240,"","SETUP ADR=","FUN")</f>
        <v>FUN</v>
      </c>
      <c r="B241" s="116" t="str">
        <f ca="1">IF(H240&gt;2,OFFSET(cmd,$F240,0),"")</f>
        <v>RAT</v>
      </c>
      <c r="C241" s="116" t="str">
        <f ca="1">(OFFSET(j,$F240,0))</f>
        <v/>
      </c>
    </row>
    <row r="242" spans="1:8">
      <c r="A242" s="116" t="str">
        <f ca="1">IF(OFFSET(T,$F240,0)&lt;phasenum,"RAT","")</f>
        <v>RAT</v>
      </c>
      <c r="B242" s="116">
        <f ca="1">IF(A242&lt;&gt;"",OFFSET(Rate,$F240,0),"")</f>
        <v>104</v>
      </c>
      <c r="C242" s="116" t="str">
        <f ca="1">IF(A242&lt;&gt;"",T(OFFSET(U,$F240,0)),"")</f>
        <v>UM</v>
      </c>
    </row>
    <row r="243" spans="1:8">
      <c r="A243" s="116" t="str">
        <f ca="1">IF(OR(A242="",OFFSET(Volume,$F240,0)=""),"","VOL")</f>
        <v>VOL</v>
      </c>
      <c r="B243" s="116">
        <f ca="1">IF(($A243)="","",OFFSET(Volume,$F240,0))</f>
        <v>32.49</v>
      </c>
      <c r="D243" s="118" t="str">
        <f ca="1">IF(($C243)="","",OFFSET(Time,$F240,0))</f>
        <v/>
      </c>
    </row>
    <row r="244" spans="1:8">
      <c r="A244" s="116" t="str">
        <f ca="1">IF(AND(A240&lt;&gt;"",OFFSET(dt,$F240,0)&gt;1),"DIR","")</f>
        <v>DIR</v>
      </c>
      <c r="B244" s="116" t="str">
        <f ca="1">IF(A244="","",OFFSET(d,$F240,0))</f>
        <v>INF</v>
      </c>
    </row>
    <row r="245" spans="1:8">
      <c r="A245" s="116" t="s">
        <v>36</v>
      </c>
    </row>
    <row r="246" spans="1:8">
      <c r="A246" s="116" t="str">
        <f ca="1">IF(H246&gt;2,"PHN","")</f>
        <v>PHN</v>
      </c>
      <c r="B246" s="116">
        <f ca="1">IF(H246&lt;3,"",OFFSET(phase,$F246,0))</f>
        <v>39</v>
      </c>
      <c r="E246" s="116" t="s">
        <v>37</v>
      </c>
      <c r="F246" s="116">
        <v>39</v>
      </c>
      <c r="H246" s="116">
        <f ca="1">IF(ISTEXT(OFFSET(cmd,$F246,0)),3,1+OFFSET(cmd,$F246,0))</f>
        <v>3</v>
      </c>
    </row>
    <row r="247" spans="1:8">
      <c r="A247" s="116" t="str">
        <f ca="1">CHOOSE(H246,"","SETUP ADR=","FUN")</f>
        <v>FUN</v>
      </c>
      <c r="B247" s="116" t="str">
        <f ca="1">IF(H246&gt;2,OFFSET(cmd,$F246,0),"")</f>
        <v>RAT</v>
      </c>
      <c r="C247" s="116" t="str">
        <f ca="1">(OFFSET(j,$F246,0))</f>
        <v/>
      </c>
    </row>
    <row r="248" spans="1:8">
      <c r="A248" s="116" t="str">
        <f ca="1">IF(OFFSET(T,$F246,0)&lt;phasenum,"RAT","")</f>
        <v>RAT</v>
      </c>
      <c r="B248" s="116">
        <f ca="1">IF(A248&lt;&gt;"",OFFSET(Rate,$F246,0),"")</f>
        <v>104.10000000000001</v>
      </c>
      <c r="C248" s="116" t="str">
        <f ca="1">IF(A248&lt;&gt;"",T(OFFSET(U,$F246,0)),"")</f>
        <v>UM</v>
      </c>
    </row>
    <row r="249" spans="1:8">
      <c r="A249" s="116" t="str">
        <f ca="1">IF(OR(A248="",OFFSET(Volume,$F246,0)=""),"","VOL")</f>
        <v>VOL</v>
      </c>
      <c r="B249" s="116">
        <f ca="1">IF(($A249)="","",OFFSET(Volume,$F246,0))</f>
        <v>32.53</v>
      </c>
      <c r="D249" s="118" t="str">
        <f ca="1">IF(($C249)="","",OFFSET(Time,$F246,0))</f>
        <v/>
      </c>
    </row>
    <row r="250" spans="1:8">
      <c r="A250" s="116" t="str">
        <f ca="1">IF(AND(A246&lt;&gt;"",OFFSET(dt,$F246,0)&gt;1),"DIR","")</f>
        <v>DIR</v>
      </c>
      <c r="B250" s="116" t="str">
        <f ca="1">IF(A250="","",OFFSET(d,$F246,0))</f>
        <v>INF</v>
      </c>
    </row>
    <row r="251" spans="1:8">
      <c r="A251" s="116" t="s">
        <v>36</v>
      </c>
    </row>
    <row r="252" spans="1:8">
      <c r="A252" s="116" t="str">
        <f ca="1">IF(H252&gt;2,"PHN","")</f>
        <v>PHN</v>
      </c>
      <c r="B252" s="116">
        <f ca="1">IF(H252&lt;3,"",OFFSET(phase,$F252,0))</f>
        <v>40</v>
      </c>
      <c r="E252" s="116" t="s">
        <v>37</v>
      </c>
      <c r="F252" s="116">
        <v>40</v>
      </c>
      <c r="H252" s="116">
        <f ca="1">IF(ISTEXT(OFFSET(cmd,$F252,0)),3,1+OFFSET(cmd,$F252,0))</f>
        <v>3</v>
      </c>
    </row>
    <row r="253" spans="1:8">
      <c r="A253" s="116" t="str">
        <f ca="1">CHOOSE(H252,"","SETUP ADR=","FUN")</f>
        <v>FUN</v>
      </c>
      <c r="B253" s="116" t="str">
        <f ca="1">IF(H252&gt;2,OFFSET(cmd,$F252,0),"")</f>
        <v>RAT</v>
      </c>
      <c r="C253" s="116" t="str">
        <f ca="1">(OFFSET(j,$F252,0))</f>
        <v/>
      </c>
    </row>
    <row r="254" spans="1:8">
      <c r="A254" s="116" t="str">
        <f ca="1">IF(OFFSET(T,$F252,0)&lt;phasenum,"RAT","")</f>
        <v>RAT</v>
      </c>
      <c r="B254" s="116">
        <f ca="1">IF(A254&lt;&gt;"",OFFSET(Rate,$F252,0),"")</f>
        <v>104.2</v>
      </c>
      <c r="C254" s="116" t="str">
        <f ca="1">IF(A254&lt;&gt;"",T(OFFSET(U,$F252,0)),"")</f>
        <v>UM</v>
      </c>
    </row>
    <row r="255" spans="1:8">
      <c r="A255" s="116" t="str">
        <f ca="1">IF(OR(A254="",OFFSET(Volume,$F252,0)=""),"","VOL")</f>
        <v>VOL</v>
      </c>
      <c r="B255" s="116">
        <f ca="1">IF(($A255)="","",OFFSET(Volume,$F252,0))</f>
        <v>32.56</v>
      </c>
      <c r="D255" s="118" t="str">
        <f ca="1">IF(($C255)="","",OFFSET(Time,$F252,0))</f>
        <v/>
      </c>
    </row>
    <row r="256" spans="1:8">
      <c r="A256" s="116" t="str">
        <f ca="1">IF(AND(A252&lt;&gt;"",OFFSET(dt,$F252,0)&gt;1),"DIR","")</f>
        <v>DIR</v>
      </c>
      <c r="B256" s="116" t="str">
        <f ca="1">IF(A256="","",OFFSET(d,$F252,0))</f>
        <v>INF</v>
      </c>
    </row>
    <row r="257" spans="1:8">
      <c r="A257" s="116" t="s">
        <v>36</v>
      </c>
    </row>
    <row r="258" spans="1:8">
      <c r="A258" s="116" t="str">
        <f ca="1">IF(H258&gt;2,"PHN","")</f>
        <v/>
      </c>
      <c r="B258" s="116" t="str">
        <f ca="1">IF(H258&lt;3,"",OFFSET(phase,$F258,0))</f>
        <v/>
      </c>
      <c r="E258" s="116" t="s">
        <v>37</v>
      </c>
      <c r="F258" s="116">
        <v>41</v>
      </c>
      <c r="H258" s="116">
        <f ca="1">IF(ISTEXT(OFFSET(cmd,$F258,0)),3,1+OFFSET(cmd,$F258,0))</f>
        <v>1</v>
      </c>
    </row>
    <row r="259" spans="1:8">
      <c r="A259" s="116" t="str">
        <f ca="1">CHOOSE(H258,"","SETUP ADR=","FUN")</f>
        <v/>
      </c>
      <c r="B259" s="116" t="str">
        <f ca="1">IF(H258&gt;2,OFFSET(cmd,$F258,0),"")</f>
        <v/>
      </c>
      <c r="C259" s="116" t="str">
        <f ca="1">(OFFSET(j,$F258,0))</f>
        <v/>
      </c>
    </row>
    <row r="260" spans="1:8">
      <c r="A260" s="116" t="str">
        <f ca="1">IF(OFFSET(T,$F258,0)&lt;phasenum,"RAT","")</f>
        <v/>
      </c>
      <c r="B260" s="116" t="str">
        <f ca="1">IF(A260&lt;&gt;"",OFFSET(Rate,$F258,0),"")</f>
        <v/>
      </c>
      <c r="C260" s="116" t="str">
        <f ca="1">IF(A260&lt;&gt;"",T(OFFSET(U,$F258,0)),"")</f>
        <v/>
      </c>
    </row>
    <row r="261" spans="1:8">
      <c r="A261" s="116" t="str">
        <f ca="1">IF(OR(A260="",OFFSET(Volume,$F258,0)=""),"","VOL")</f>
        <v/>
      </c>
      <c r="B261" s="116" t="str">
        <f ca="1">IF(($A261)="","",OFFSET(Volume,$F258,0))</f>
        <v/>
      </c>
      <c r="D261" s="118" t="str">
        <f ca="1">IF(($C261)="","",OFFSET(Time,$F258,0))</f>
        <v/>
      </c>
    </row>
    <row r="262" spans="1:8">
      <c r="A262" s="116" t="str">
        <f ca="1">IF(AND(A258&lt;&gt;"",OFFSET(dt,$F258,0)&gt;1),"DIR","")</f>
        <v/>
      </c>
      <c r="B262" s="116" t="str">
        <f ca="1">IF(A262="","",OFFSET(d,$F258,0))</f>
        <v/>
      </c>
    </row>
    <row r="263" spans="1:8">
      <c r="A263" s="116" t="s">
        <v>36</v>
      </c>
    </row>
    <row r="264" spans="1:8">
      <c r="A264" s="116" t="s">
        <v>75</v>
      </c>
    </row>
    <row r="265" spans="1:8">
      <c r="A265" s="116" t="str">
        <f>IF(r_in_60m!P25="After",T(r_in_60m!O25),"")</f>
        <v/>
      </c>
    </row>
    <row r="266" spans="1:8">
      <c r="A266" s="116" t="str">
        <f>IF(r_in_60m!P26="After",T(r_in_60m!O26),"")</f>
        <v/>
      </c>
    </row>
    <row r="267" spans="1:8">
      <c r="A267" s="116" t="str">
        <f>IF(r_in_60m!P27="After",T(r_in_60m!O27),"")</f>
        <v/>
      </c>
      <c r="D267" s="118"/>
    </row>
    <row r="268" spans="1:8">
      <c r="A268" s="119" t="str">
        <f>IF(r_in_60m!P30="Yes","RUN","")</f>
        <v/>
      </c>
    </row>
    <row r="269" spans="1:8">
      <c r="A269" s="119" t="str">
        <f>IF(r_in_60m!P34="Yes","EXIT","")</f>
        <v>EXIT</v>
      </c>
    </row>
  </sheetData>
  <sheetProtection password="E07E" sheet="1" scenarios="1" insertColumns="0" insertRows="0" deleteColumns="0" deleteRows="0"/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54</vt:i4>
      </vt:variant>
    </vt:vector>
  </HeadingPairs>
  <TitlesOfParts>
    <vt:vector size="56" baseType="lpstr">
      <vt:lpstr>r_in_60m</vt:lpstr>
      <vt:lpstr>I_25m_3M</vt:lpstr>
      <vt:lpstr>Air_Tite</vt:lpstr>
      <vt:lpstr>Becton_Dickinson</vt:lpstr>
      <vt:lpstr>Cadence</vt:lpstr>
      <vt:lpstr>cmd</vt:lpstr>
      <vt:lpstr>Commands</vt:lpstr>
      <vt:lpstr>corner</vt:lpstr>
      <vt:lpstr>count1_99</vt:lpstr>
      <vt:lpstr>d</vt:lpstr>
      <vt:lpstr>dcmd</vt:lpstr>
      <vt:lpstr>diameters</vt:lpstr>
      <vt:lpstr>dir</vt:lpstr>
      <vt:lpstr>Direction</vt:lpstr>
      <vt:lpstr>dmax</vt:lpstr>
      <vt:lpstr>dmin</vt:lpstr>
      <vt:lpstr>drcmd</vt:lpstr>
      <vt:lpstr>dt</vt:lpstr>
      <vt:lpstr>dtype</vt:lpstr>
      <vt:lpstr>Functions</vt:lpstr>
      <vt:lpstr>Hamilton_Microliter</vt:lpstr>
      <vt:lpstr>HSW_Norm_Ject</vt:lpstr>
      <vt:lpstr>j</vt:lpstr>
      <vt:lpstr>logic</vt:lpstr>
      <vt:lpstr>Max_Phase</vt:lpstr>
      <vt:lpstr>Mono_Ject</vt:lpstr>
      <vt:lpstr>nodata</vt:lpstr>
      <vt:lpstr>notused</vt:lpstr>
      <vt:lpstr>number0_99</vt:lpstr>
      <vt:lpstr>pdir</vt:lpstr>
      <vt:lpstr>phase</vt:lpstr>
      <vt:lpstr>phasenum</vt:lpstr>
      <vt:lpstr>pname</vt:lpstr>
      <vt:lpstr>Poulten_Graf</vt:lpstr>
      <vt:lpstr>pparam</vt:lpstr>
      <vt:lpstr>ppath</vt:lpstr>
      <vt:lpstr>Rate</vt:lpstr>
      <vt:lpstr>ratenovol</vt:lpstr>
      <vt:lpstr>rateonly</vt:lpstr>
      <vt:lpstr>ratetime</vt:lpstr>
      <vt:lpstr>rateunits</vt:lpstr>
      <vt:lpstr>SGE</vt:lpstr>
      <vt:lpstr>Steel</vt:lpstr>
      <vt:lpstr>Syringe_Makes</vt:lpstr>
      <vt:lpstr>T</vt:lpstr>
      <vt:lpstr>Terumo</vt:lpstr>
      <vt:lpstr>trgcmd</vt:lpstr>
      <vt:lpstr>trigger</vt:lpstr>
      <vt:lpstr>Triggerfunct</vt:lpstr>
      <vt:lpstr>U</vt:lpstr>
      <vt:lpstr>ucmd</vt:lpstr>
      <vt:lpstr>umult</vt:lpstr>
      <vt:lpstr>Units</vt:lpstr>
      <vt:lpstr>value</vt:lpstr>
      <vt:lpstr>Volume</vt:lpstr>
      <vt:lpstr>vu</vt:lpstr>
    </vt:vector>
  </TitlesOfParts>
  <Company>New Era Pump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www.SyringePump.com</dc:title>
  <dc:subject>NE-1000 Syringe Pump Program Creator</dc:subject>
  <dc:creator>Barry Cowen (New Era Pump Systems Inc.)</dc:creator>
  <dc:description>Creates PPL pumping programs for the NE-1000 family of syringe pumps from New Era Pump Systems Inc.</dc:description>
  <cp:lastModifiedBy>Hossein Jashnsaz</cp:lastModifiedBy>
  <dcterms:created xsi:type="dcterms:W3CDTF">2008-12-08T00:30:53Z</dcterms:created>
  <dcterms:modified xsi:type="dcterms:W3CDTF">2020-06-09T18:22:20Z</dcterms:modified>
  <cp:contentStatus>V2.2a</cp:contentStatus>
</cp:coreProperties>
</file>