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workbookViewId="0"/>
  </sheetViews>
  <sheetData>
    <row r="1">
      <c r="A1">
        <v>6000</v>
      </c>
      <c r="B1" t="str">
        <v>UBND Ủy ban nhân dân phường Quang Hanh  tỉnh Quảng Ninh</v>
      </c>
    </row>
    <row r="2">
      <c r="A2">
        <v>6001</v>
      </c>
      <c r="B2" t="str">
        <f>HYPERLINK("https://www.facebook.com/p/%C4%90o%C3%A0n-ph%C6%B0%E1%BB%9Dng-C%E1%BA%A9m-Th%E1%BB%8Bnh-100064029249495/", "Công an phường Cẩm Thịnh  tỉnh Quảng Ninh")</f>
        <v>Công an phường Cẩm Thịnh  tỉnh Quảng Ninh</v>
      </c>
      <c r="C2" t="str">
        <v>https://www.facebook.com/p/%C4%90o%C3%A0n-ph%C6%B0%E1%BB%9Dng-C%E1%BA%A9m-Th%E1%BB%8Bnh-100064029249495/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6002</v>
      </c>
      <c r="B3" t="str">
        <f>HYPERLINK("https://phuongcamthinh.campha.gov.vn/phuongcamthinh/thong-tin/to-chuc-bo-may-242", "UBND Ủy ban nhân dân phường Cẩm Thịnh  tỉnh Quảng Ninh")</f>
        <v>UBND Ủy ban nhân dân phường Cẩm Thịnh  tỉnh Quảng Ninh</v>
      </c>
      <c r="C3" t="str">
        <v>https://phuongcamthinh.campha.gov.vn/phuongcamthinh/thong-tin/to-chuc-bo-may-242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6003</v>
      </c>
      <c r="B4" t="str">
        <v>Công an phường Cẩm Thủy  tỉnh Quảng Ninh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6004</v>
      </c>
      <c r="B5" t="str">
        <f>HYPERLINK("https://tthcc.campha.gov.vn/phuongcamthuy/thong-tin/to-chuc-bo-may-257", "UBND Ủy ban nhân dân phường Cẩm Thủy  tỉnh Quảng Ninh")</f>
        <v>UBND Ủy ban nhân dân phường Cẩm Thủy  tỉnh Quảng Ninh</v>
      </c>
      <c r="C5" t="str">
        <v>https://tthcc.campha.gov.vn/phuongcamthuy/thong-tin/to-chuc-bo-may-257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6005</v>
      </c>
      <c r="B6" t="str">
        <v>Công an phường Cẩm Thạch  tỉnh Quảng Ninh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6006</v>
      </c>
      <c r="B7" t="str">
        <f>HYPERLINK("https://www.quangninh.gov.vn/donvi/tpcampha/Trang/ChiTietTinTuc.aspx?nid=8836", "UBND Ủy ban nhân dân phường Cẩm Thạch  tỉnh Quảng Ninh")</f>
        <v>UBND Ủy ban nhân dân phường Cẩm Thạch  tỉnh Quảng Ninh</v>
      </c>
      <c r="C7" t="str">
        <v>https://www.quangninh.gov.vn/donvi/tpcampha/Trang/ChiTietTinTuc.aspx?nid=8836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6007</v>
      </c>
      <c r="B8" t="str">
        <v>Công an phường Cẩm Thành  tỉnh Quảng Ninh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6008</v>
      </c>
      <c r="B9" t="str">
        <f>HYPERLINK("https://tthcc.campha.gov.vn/phuongcamthanh/thong-tin/to-chuc-bo-may-5451", "UBND Ủy ban nhân dân phường Cẩm Thành  tỉnh Quảng Ninh")</f>
        <v>UBND Ủy ban nhân dân phường Cẩm Thành  tỉnh Quảng Ninh</v>
      </c>
      <c r="C9" t="str">
        <v>https://tthcc.campha.gov.vn/phuongcamthanh/thong-tin/to-chuc-bo-may-5451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6009</v>
      </c>
      <c r="B10" t="str">
        <v>Công an phường Cẩm Trung  tỉnh Quảng Ninh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6010</v>
      </c>
      <c r="B11" t="str">
        <f>HYPERLINK("https://tthcc.campha.gov.vn/phuongcamtrung/chi-tiet/to-chuc-bo-may-phuong-cam-trung-15356", "UBND Ủy ban nhân dân phường Cẩm Trung  tỉnh Quảng Ninh")</f>
        <v>UBND Ủy ban nhân dân phường Cẩm Trung  tỉnh Quảng Ninh</v>
      </c>
      <c r="C11" t="str">
        <v>https://tthcc.campha.gov.vn/phuongcamtrung/chi-tiet/to-chuc-bo-may-phuong-cam-trung-15356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6011</v>
      </c>
      <c r="B12" t="str">
        <f>HYPERLINK("https://www.facebook.com/p/Ph%C6%B0%E1%BB%9Dng-C%E1%BA%A9m-B%C3%ACnh-C%E1%BA%A9m-Ph%E1%BA%A3-Qu%E1%BA%A3ng-Ninh-100064338356151/", "Công an phường Cẩm Bình  tỉnh Quảng Ninh")</f>
        <v>Công an phường Cẩm Bình  tỉnh Quảng Ninh</v>
      </c>
      <c r="C12" t="str">
        <v>https://www.facebook.com/p/Ph%C6%B0%E1%BB%9Dng-C%E1%BA%A9m-B%C3%ACnh-C%E1%BA%A9m-Ph%E1%BA%A3-Qu%E1%BA%A3ng-Ninh-100064338356151/</v>
      </c>
      <c r="D12" t="str">
        <v>-</v>
      </c>
      <c r="E12" t="str">
        <v>02033862226</v>
      </c>
      <c r="F12" t="str">
        <v>-</v>
      </c>
      <c r="G12" t="str">
        <v>-</v>
      </c>
    </row>
    <row r="13">
      <c r="A13">
        <v>6012</v>
      </c>
      <c r="B13" t="str">
        <f>HYPERLINK("https://tthcc.campha.gov.vn/phuongcambinh/chi-tiet/uy-ban-nhan-dan-phuong-cam-binh-14297", "UBND Ủy ban nhân dân phường Cẩm Bình  tỉnh Quảng Ninh")</f>
        <v>UBND Ủy ban nhân dân phường Cẩm Bình  tỉnh Quảng Ninh</v>
      </c>
      <c r="C13" t="str">
        <v>https://tthcc.campha.gov.vn/phuongcambinh/chi-tiet/uy-ban-nhan-dan-phuong-cam-binh-14297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6013</v>
      </c>
      <c r="B14" t="str">
        <f>HYPERLINK("https://www.facebook.com/conghoacpqn/?locale=vi_VN", "Công an xã Cộng Hòa  tỉnh Quảng Ninh")</f>
        <v>Công an xã Cộng Hòa  tỉnh Quảng Ninh</v>
      </c>
      <c r="C14" t="str">
        <v>https://www.facebook.com/conghoacpqn/?locale=vi_VN</v>
      </c>
      <c r="D14" t="str">
        <v>-</v>
      </c>
      <c r="E14" t="str">
        <v>02033868554</v>
      </c>
      <c r="F14" t="str">
        <f>HYPERLINK("mailto:ubndconghoa.cp@quangninh.gov.vn", "ubndconghoa.cp@quangninh.gov.vn")</f>
        <v>ubndconghoa.cp@quangninh.gov.vn</v>
      </c>
      <c r="G14" t="str">
        <v>xã Hải Hoà, Cam Pha, Vietnam</v>
      </c>
    </row>
    <row r="15">
      <c r="A15">
        <v>6014</v>
      </c>
      <c r="B15" t="str">
        <f>HYPERLINK("https://www.quangninh.gov.vn/donvi/TXQuangYen/Trang/ChiTietBVGioiThieu.aspx?bvid=199", "UBND Ủy ban nhân dân xã Cộng Hòa  tỉnh Quảng Ninh")</f>
        <v>UBND Ủy ban nhân dân xã Cộng Hòa  tỉnh Quảng Ninh</v>
      </c>
      <c r="C15" t="str">
        <v>https://www.quangninh.gov.vn/donvi/TXQuangYen/Trang/ChiTietBVGioiThieu.aspx?bvid=199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6015</v>
      </c>
      <c r="B16" t="str">
        <v>Công an xã Cẩm Hải  tỉnh Quảng Ninh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6016</v>
      </c>
      <c r="B17" t="str">
        <f>HYPERLINK("https://xacamhai.campha.gov.vn/xacamhai/thong-tin/to-chuc-bo-may-79", "UBND Ủy ban nhân dân xã Cẩm Hải  tỉnh Quảng Ninh")</f>
        <v>UBND Ủy ban nhân dân xã Cẩm Hải  tỉnh Quảng Ninh</v>
      </c>
      <c r="C17" t="str">
        <v>https://xacamhai.campha.gov.vn/xacamhai/thong-tin/to-chuc-bo-may-79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6017</v>
      </c>
      <c r="B18" t="str">
        <v>Công an xã Dương Huy  tỉnh Quảng Ninh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6018</v>
      </c>
      <c r="B19" t="str">
        <f>HYPERLINK("https://www.quangninh.gov.vn/donvi/xaduonghuy/Trang/ChiTietTinTuc.aspx?nid=75", "UBND Ủy ban nhân dân xã Dương Huy  tỉnh Quảng Ninh")</f>
        <v>UBND Ủy ban nhân dân xã Dương Huy  tỉnh Quảng Ninh</v>
      </c>
      <c r="C19" t="str">
        <v>https://www.quangninh.gov.vn/donvi/xaduonghuy/Trang/ChiTietTinTuc.aspx?nid=75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6019</v>
      </c>
      <c r="B20" t="str">
        <v>Công an phường Vàng Danh  tỉnh Quảng Ninh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6020</v>
      </c>
      <c r="B21" t="str">
        <f>HYPERLINK("https://www.quangninh.gov.vn/donvi/tpuongbi/Trang/ChiTietBVGioiThieu.aspx?bvid=133", "UBND Ủy ban nhân dân phường Vàng Danh  tỉnh Quảng Ninh")</f>
        <v>UBND Ủy ban nhân dân phường Vàng Danh  tỉnh Quảng Ninh</v>
      </c>
      <c r="C21" t="str">
        <v>https://www.quangninh.gov.vn/donvi/tpuongbi/Trang/ChiTietBVGioiThieu.aspx?bvid=133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6021</v>
      </c>
      <c r="B22" t="str">
        <f>HYPERLINK("https://www.facebook.com/p/Tu%E1%BB%95i-tr%E1%BA%BB-C%C3%B4ng-an-TP-S%E1%BA%A7m-S%C6%A1n-100069346653553/?locale=cs_CZ", "Công an phường Thanh Sơn  tỉnh Quảng Ninh")</f>
        <v>Công an phường Thanh Sơn  tỉnh Quảng Ninh</v>
      </c>
      <c r="C22" t="str">
        <v>https://www.facebook.com/p/Tu%E1%BB%95i-tr%E1%BA%BB-C%C3%B4ng-an-TP-S%E1%BA%A7m-S%C6%A1n-100069346653553/?locale=cs_CZ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6022</v>
      </c>
      <c r="B23" t="str">
        <f>HYPERLINK("https://www.quangninh.gov.vn/donvi/tpuongbi/Trang/ChiTietBVGioiThieu.aspx?bvid=128", "UBND Ủy ban nhân dân phường Thanh Sơn  tỉnh Quảng Ninh")</f>
        <v>UBND Ủy ban nhân dân phường Thanh Sơn  tỉnh Quảng Ninh</v>
      </c>
      <c r="C23" t="str">
        <v>https://www.quangninh.gov.vn/donvi/tpuongbi/Trang/ChiTietBVGioiThieu.aspx?bvid=128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6023</v>
      </c>
      <c r="B24" t="str">
        <v>Công an phường Bắc Sơn  tỉnh Quảng Ninh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6024</v>
      </c>
      <c r="B25" t="str">
        <f>HYPERLINK("https://uongbi.gov.vn/uy-ban-nhan-dan-phuong-bac-son.-p13n6741.html", "UBND Ủy ban nhân dân phường Bắc Sơn  tỉnh Quảng Ninh")</f>
        <v>UBND Ủy ban nhân dân phường Bắc Sơn  tỉnh Quảng Ninh</v>
      </c>
      <c r="C25" t="str">
        <v>https://uongbi.gov.vn/uy-ban-nhan-dan-phuong-bac-son.-p13n6741.html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6025</v>
      </c>
      <c r="B26" t="str">
        <f>HYPERLINK("https://www.facebook.com/p/Ph%C6%B0%E1%BB%9Dng-Quang-Trung-Th%C3%A0nh-ph%E1%BB%91-U%C3%B4ng-B%C3%AD-T%E1%BB%89nh-Qu%E1%BA%A3ng-Ninh-100089528376577/", "Công an phường Quang Trung  tỉnh Quảng Ninh")</f>
        <v>Công an phường Quang Trung  tỉnh Quảng Ninh</v>
      </c>
      <c r="C26" t="str">
        <v>https://www.facebook.com/p/Ph%C6%B0%E1%BB%9Dng-Quang-Trung-Th%C3%A0nh-ph%E1%BB%91-U%C3%B4ng-B%C3%AD-T%E1%BB%89nh-Qu%E1%BA%A3ng-Ninh-100089528376577/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6026</v>
      </c>
      <c r="B27" t="str">
        <f>HYPERLINK("https://www.quangninh.gov.vn/donvi/tpuongbi/Trang/ChiTietBVGioiThieu.aspx?bvid=127", "UBND Ủy ban nhân dân phường Quang Trung  tỉnh Quảng Ninh")</f>
        <v>UBND Ủy ban nhân dân phường Quang Trung  tỉnh Quảng Ninh</v>
      </c>
      <c r="C27" t="str">
        <v>https://www.quangninh.gov.vn/donvi/tpuongbi/Trang/ChiTietBVGioiThieu.aspx?bvid=127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6027</v>
      </c>
      <c r="B28" t="str">
        <f>HYPERLINK("https://www.facebook.com/p/C%E1%BB%ADa-s%E1%BB%95-ph%C6%B0%E1%BB%9Dng-Tr%C6%B0ng-V%C6%B0%C6%A1ng-%C4%90i%E1%BB%81n-C%C3%B4ng-100028942127646/", "Công an phường Trưng Vương  tỉnh Quảng Ninh")</f>
        <v>Công an phường Trưng Vương  tỉnh Quảng Ninh</v>
      </c>
      <c r="C28" t="str">
        <v>https://www.facebook.com/p/C%E1%BB%ADa-s%E1%BB%95-ph%C6%B0%E1%BB%9Dng-Tr%C6%B0ng-V%C6%B0%C6%A1ng-%C4%90i%E1%BB%81n-C%C3%B4ng-100028942127646/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6028</v>
      </c>
      <c r="B29" t="str">
        <f>HYPERLINK("https://www.quangninh.gov.vn/donvi/tpuongbi/Trang/ChiTietBVGioiThieu.aspx?bvid=129", "UBND Ủy ban nhân dân phường Trưng Vương  tỉnh Quảng Ninh")</f>
        <v>UBND Ủy ban nhân dân phường Trưng Vương  tỉnh Quảng Ninh</v>
      </c>
      <c r="C29" t="str">
        <v>https://www.quangninh.gov.vn/donvi/tpuongbi/Trang/ChiTietBVGioiThieu.aspx?bvid=129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6029</v>
      </c>
      <c r="B30" t="str">
        <v>Công an phường Nam Khê  tỉnh Quảng Ninh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6030</v>
      </c>
      <c r="B31" t="str">
        <f>HYPERLINK("https://uongbi.gov.vn/uy-ban-nhan-dan-phuong-nam-khe--p13n6739.html", "UBND Ủy ban nhân dân phường Nam Khê  tỉnh Quảng Ninh")</f>
        <v>UBND Ủy ban nhân dân phường Nam Khê  tỉnh Quảng Ninh</v>
      </c>
      <c r="C31" t="str">
        <v>https://uongbi.gov.vn/uy-ban-nhan-dan-phuong-nam-khe--p13n6739.html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6031</v>
      </c>
      <c r="B32" t="str">
        <v>Công an phường Yên Thanh  tỉnh Quảng Ninh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6032</v>
      </c>
      <c r="B33" t="str">
        <f>HYPERLINK("https://uongbi.gov.vn/ubnd-phuong-yen-thanh-p13n4371.html", "UBND Ủy ban nhân dân phường Yên Thanh  tỉnh Quảng Ninh")</f>
        <v>UBND Ủy ban nhân dân phường Yên Thanh  tỉnh Quảng Ninh</v>
      </c>
      <c r="C33" t="str">
        <v>https://uongbi.gov.vn/ubnd-phuong-yen-thanh-p13n4371.html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6033</v>
      </c>
      <c r="B34" t="str">
        <v>Công an xã Thượng Yên Công  tỉnh Quảng Ninh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6034</v>
      </c>
      <c r="B35" t="str">
        <f>HYPERLINK("https://www.quangninh.gov.vn/donvi/tpuongbi/Trang/ChiTietBVGioiThieu.aspx?bvid=137", "UBND Ủy ban nhân dân xã Thượng Yên Công  tỉnh Quảng Ninh")</f>
        <v>UBND Ủy ban nhân dân xã Thượng Yên Công  tỉnh Quảng Ninh</v>
      </c>
      <c r="C35" t="str">
        <v>https://www.quangninh.gov.vn/donvi/tpuongbi/Trang/ChiTietBVGioiThieu.aspx?bvid=137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6035</v>
      </c>
      <c r="B36" t="str">
        <v>Công an phường Phương Đông  tỉnh Quảng Ninh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6036</v>
      </c>
      <c r="B37" t="str">
        <f>HYPERLINK("https://www.quangninh.gov.vn/donvi/phuongphuongdong/Trang/ChiTietBVGioiThieu.aspx?bvid=6", "UBND Ủy ban nhân dân phường Phương Đông  tỉnh Quảng Ninh")</f>
        <v>UBND Ủy ban nhân dân phường Phương Đông  tỉnh Quảng Ninh</v>
      </c>
      <c r="C37" t="str">
        <v>https://www.quangninh.gov.vn/donvi/phuongphuongdong/Trang/ChiTietBVGioiThieu.aspx?bvid=6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6037</v>
      </c>
      <c r="B38" t="str">
        <f>HYPERLINK("https://www.facebook.com/UBNDphuongnam/", "Công an phường Phương Nam  tỉnh Quảng Ninh")</f>
        <v>Công an phường Phương Nam  tỉnh Quảng Ninh</v>
      </c>
      <c r="C38" t="str">
        <v>https://www.facebook.com/UBNDphuongnam/</v>
      </c>
      <c r="D38" t="str">
        <v>-</v>
      </c>
      <c r="E38" t="str">
        <v>+2033854214</v>
      </c>
      <c r="F38" t="str">
        <v>-</v>
      </c>
      <c r="G38" t="str">
        <v>-</v>
      </c>
    </row>
    <row r="39">
      <c r="A39">
        <v>6038</v>
      </c>
      <c r="B39" t="str">
        <f>HYPERLINK("https://www.quangninh.gov.vn/donvi/tpuongbi/Trang/ChiTietBVGioiThieu.aspx?bvid=135", "UBND Ủy ban nhân dân phường Phương Nam  tỉnh Quảng Ninh")</f>
        <v>UBND Ủy ban nhân dân phường Phương Nam  tỉnh Quảng Ninh</v>
      </c>
      <c r="C39" t="str">
        <v>https://www.quangninh.gov.vn/donvi/tpuongbi/Trang/ChiTietBVGioiThieu.aspx?bvid=135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6039</v>
      </c>
      <c r="B40" t="str">
        <v>Công an xã Điền Công  tỉnh Quảng Ninh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6040</v>
      </c>
      <c r="B41" t="str">
        <f>HYPERLINK("https://www.quangninh.gov.vn/donvi/huyentienyen/Trang/ChiTietBVGioiThieu.aspx?bvid=109", "UBND Ủy ban nhân dân xã Điền Công  tỉnh Quảng Ninh")</f>
        <v>UBND Ủy ban nhân dân xã Điền Công  tỉnh Quảng Ninh</v>
      </c>
      <c r="C41" t="str">
        <v>https://www.quangninh.gov.vn/donvi/huyentienyen/Trang/ChiTietBVGioiThieu.aspx?bvid=109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6041</v>
      </c>
      <c r="B42" t="str">
        <f>HYPERLINK("https://www.facebook.com/thitranbinhlieu/", "Công an thị trấn Bình Liêu  tỉnh Quảng Ninh")</f>
        <v>Công an thị trấn Bình Liêu  tỉnh Quảng Ninh</v>
      </c>
      <c r="C42" t="str">
        <v>https://www.facebook.com/thitranbinhlieu/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6042</v>
      </c>
      <c r="B43" t="str">
        <f>HYPERLINK("https://binhlieu.quangninh.gov.vn/", "UBND Ủy ban nhân dân thị trấn Bình Liêu  tỉnh Quảng Ninh")</f>
        <v>UBND Ủy ban nhân dân thị trấn Bình Liêu  tỉnh Quảng Ninh</v>
      </c>
      <c r="C43" t="str">
        <v>https://binhlieu.quangninh.gov.vn/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6043</v>
      </c>
      <c r="B44" t="str">
        <v>Công an xã Hoành Mô  tỉnh Quảng Ninh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6044</v>
      </c>
      <c r="B45" t="str">
        <f>HYPERLINK("https://binhlieu.quangninh.gov.vn/Trang/ChiTietBVGioiThieu.aspx?bvid=42", "UBND Ủy ban nhân dân xã Hoành Mô  tỉnh Quảng Ninh")</f>
        <v>UBND Ủy ban nhân dân xã Hoành Mô  tỉnh Quảng Ninh</v>
      </c>
      <c r="C45" t="str">
        <v>https://binhlieu.quangninh.gov.vn/Trang/ChiTietBVGioiThieu.aspx?bvid=42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6045</v>
      </c>
      <c r="B46" t="str">
        <v>Công an xã Đồng Tâm  tỉnh Quảng Ninh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6046</v>
      </c>
      <c r="B47" t="str">
        <f>HYPERLINK("https://www.quangninh.gov.vn/donvi/xadongtam/Trang/Default.aspx", "UBND Ủy ban nhân dân xã Đồng Tâm  tỉnh Quảng Ninh")</f>
        <v>UBND Ủy ban nhân dân xã Đồng Tâm  tỉnh Quảng Ninh</v>
      </c>
      <c r="C47" t="str">
        <v>https://www.quangninh.gov.vn/donvi/xadongtam/Trang/Default.aspx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6047</v>
      </c>
      <c r="B48" t="str">
        <v>Công an xã Đồng Văn  tỉnh Quảng Ninh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6048</v>
      </c>
      <c r="B49" t="str">
        <f>HYPERLINK("https://www.quangninh.gov.vn/donvi/xadongvan/Trang/Default.aspx", "UBND Ủy ban nhân dân xã Đồng Văn  tỉnh Quảng Ninh")</f>
        <v>UBND Ủy ban nhân dân xã Đồng Văn  tỉnh Quảng Ninh</v>
      </c>
      <c r="C49" t="str">
        <v>https://www.quangninh.gov.vn/donvi/xadongvan/Trang/Default.aspx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6049</v>
      </c>
      <c r="B50" t="str">
        <v>Công an xã Tình Húc  tỉnh Quảng Ninh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6050</v>
      </c>
      <c r="B51" t="str">
        <f>HYPERLINK("https://binhlieu.quangninh.gov.vn/Trang/ChiTietTinTuc.aspx?nid=2203", "UBND Ủy ban nhân dân xã Tình Húc  tỉnh Quảng Ninh")</f>
        <v>UBND Ủy ban nhân dân xã Tình Húc  tỉnh Quảng Ninh</v>
      </c>
      <c r="C51" t="str">
        <v>https://binhlieu.quangninh.gov.vn/Trang/ChiTietTinTuc.aspx?nid=2203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6051</v>
      </c>
      <c r="B52" t="str">
        <v>Công an xã Vô Ngại  tỉnh Quảng Ninh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6052</v>
      </c>
      <c r="B53" t="str">
        <f>HYPERLINK("https://www.quangninh.gov.vn/donvi/xavongai/Trang/ChiTietTinTuc.aspx?nid=12", "UBND Ủy ban nhân dân xã Vô Ngại  tỉnh Quảng Ninh")</f>
        <v>UBND Ủy ban nhân dân xã Vô Ngại  tỉnh Quảng Ninh</v>
      </c>
      <c r="C53" t="str">
        <v>https://www.quangninh.gov.vn/donvi/xavongai/Trang/ChiTietTinTuc.aspx?nid=12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6053</v>
      </c>
      <c r="B54" t="str">
        <v>Công an xã Lục Hồn  tỉnh Quảng Ninh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6054</v>
      </c>
      <c r="B55" t="str">
        <f>HYPERLINK("https://www.quangninh.gov.vn/donvi/xaluchon/Trang/Default.aspx", "UBND Ủy ban nhân dân xã Lục Hồn  tỉnh Quảng Ninh")</f>
        <v>UBND Ủy ban nhân dân xã Lục Hồn  tỉnh Quảng Ninh</v>
      </c>
      <c r="C55" t="str">
        <v>https://www.quangninh.gov.vn/donvi/xaluchon/Trang/Default.aspx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6055</v>
      </c>
      <c r="B56" t="str">
        <v>Công an xã Húc Động  tỉnh Quảng Ninh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6056</v>
      </c>
      <c r="B57" t="str">
        <f>HYPERLINK("https://binhlieu.quangninh.gov.vn/Trang/ChiTietBVGioiThieu.aspx?bvid=42", "UBND Ủy ban nhân dân xã Húc Động  tỉnh Quảng Ninh")</f>
        <v>UBND Ủy ban nhân dân xã Húc Động  tỉnh Quảng Ninh</v>
      </c>
      <c r="C57" t="str">
        <v>https://binhlieu.quangninh.gov.vn/Trang/ChiTietBVGioiThieu.aspx?bvid=42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6057</v>
      </c>
      <c r="B58" t="str">
        <f>HYPERLINK("https://www.facebook.com/Truong.THCS.Thi.tran.Tien.Yen/", "Công an thị trấn Tiên Yên  tỉnh Quảng Ninh")</f>
        <v>Công an thị trấn Tiên Yên  tỉnh Quảng Ninh</v>
      </c>
      <c r="C58" t="str">
        <v>https://www.facebook.com/Truong.THCS.Thi.tran.Tien.Yen/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6058</v>
      </c>
      <c r="B59" t="str">
        <f>HYPERLINK("https://www.quangninh.gov.vn/donvi/huyentienyen/Trang/ChiTietBVGioiThieu.aspx?bvid=70", "UBND Ủy ban nhân dân thị trấn Tiên Yên  tỉnh Quảng Ninh")</f>
        <v>UBND Ủy ban nhân dân thị trấn Tiên Yên  tỉnh Quảng Ninh</v>
      </c>
      <c r="C59" t="str">
        <v>https://www.quangninh.gov.vn/donvi/huyentienyen/Trang/ChiTietBVGioiThieu.aspx?bvid=70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6059</v>
      </c>
      <c r="B60" t="str">
        <v>Công an xã Hà Lâu  tỉnh Quảng Ninh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6060</v>
      </c>
      <c r="B61" t="str">
        <f>HYPERLINK("https://www.quangninh.gov.vn/donvi/huyentienyen/Trang/ChiTietBVGioiThieu.aspx?bvid=110", "UBND Ủy ban nhân dân xã Hà Lâu  tỉnh Quảng Ninh")</f>
        <v>UBND Ủy ban nhân dân xã Hà Lâu  tỉnh Quảng Ninh</v>
      </c>
      <c r="C61" t="str">
        <v>https://www.quangninh.gov.vn/donvi/huyentienyen/Trang/ChiTietBVGioiThieu.aspx?bvid=110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6061</v>
      </c>
      <c r="B62" t="str">
        <v>Công an xã Đại Dực  tỉnh Quảng Ninh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6062</v>
      </c>
      <c r="B63" t="str">
        <f>HYPERLINK("https://www.quangninh.gov.vn/donvi/huyentienyen/Trang/ChiTietBVGioiThieu.aspx?bvid=71", "UBND Ủy ban nhân dân xã Đại Dực  tỉnh Quảng Ninh")</f>
        <v>UBND Ủy ban nhân dân xã Đại Dực  tỉnh Quảng Ninh</v>
      </c>
      <c r="C63" t="str">
        <v>https://www.quangninh.gov.vn/donvi/huyentienyen/Trang/ChiTietBVGioiThieu.aspx?bvid=71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6063</v>
      </c>
      <c r="B64" t="str">
        <f>HYPERLINK("https://www.facebook.com/tuoitreconganquangbinh/", "Công an xã Đại Thành  tỉnh Quảng Ninh")</f>
        <v>Công an xã Đại Thành  tỉnh Quảng Ninh</v>
      </c>
      <c r="C64" t="str">
        <v>https://www.facebook.com/tuoitreconganquangbinh/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6064</v>
      </c>
      <c r="B65" t="str">
        <f>HYPERLINK("https://daithanh.hiephoa.bacgiang.gov.vn/", "UBND Ủy ban nhân dân xã Đại Thành  tỉnh Quảng Ninh")</f>
        <v>UBND Ủy ban nhân dân xã Đại Thành  tỉnh Quảng Ninh</v>
      </c>
      <c r="C65" t="str">
        <v>https://daithanh.hiephoa.bacgiang.gov.vn/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6065</v>
      </c>
      <c r="B66" t="str">
        <f>HYPERLINK("https://www.facebook.com/suctreQuangNinh/?locale=vi_VN", "Công an xã Phong Dụ  tỉnh Quảng Ninh")</f>
        <v>Công an xã Phong Dụ  tỉnh Quảng Ninh</v>
      </c>
      <c r="C66" t="str">
        <v>https://www.facebook.com/suctreQuangNinh/?locale=vi_VN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6066</v>
      </c>
      <c r="B67" t="str">
        <f>HYPERLINK("https://www.quangninh.gov.vn/donvi/huyentienyen/Trang/ChiTietBVGioiThieu.aspx?bvid=72", "UBND Ủy ban nhân dân xã Phong Dụ  tỉnh Quảng Ninh")</f>
        <v>UBND Ủy ban nhân dân xã Phong Dụ  tỉnh Quảng Ninh</v>
      </c>
      <c r="C67" t="str">
        <v>https://www.quangninh.gov.vn/donvi/huyentienyen/Trang/ChiTietBVGioiThieu.aspx?bvid=72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6067</v>
      </c>
      <c r="B68" t="str">
        <v>Công an xã Điền Xá  tỉnh Quảng Ninh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6068</v>
      </c>
      <c r="B69" t="str">
        <f>HYPERLINK("https://www.quangninh.gov.vn/donvi/huyentienyen/Trang/ChiTietBVGioiThieu.aspx?bvid=109", "UBND Ủy ban nhân dân xã Điền Xá  tỉnh Quảng Ninh")</f>
        <v>UBND Ủy ban nhân dân xã Điền Xá  tỉnh Quảng Ninh</v>
      </c>
      <c r="C69" t="str">
        <v>https://www.quangninh.gov.vn/donvi/huyentienyen/Trang/ChiTietBVGioiThieu.aspx?bvid=109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6069</v>
      </c>
      <c r="B70" t="str">
        <f>HYPERLINK("https://www.facebook.com/THCSDongNgu/", "Công an xã Đông Ngũ  tỉnh Quảng Ninh")</f>
        <v>Công an xã Đông Ngũ  tỉnh Quảng Ninh</v>
      </c>
      <c r="C70" t="str">
        <v>https://www.facebook.com/THCSDongNgu/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6070</v>
      </c>
      <c r="B71" t="str">
        <f>HYPERLINK("https://www.quangninh.gov.vn/donvi/huyentienyen/Trang/ChiTietBVGioiThieu.aspx?bvid=68", "UBND Ủy ban nhân dân xã Đông Ngũ  tỉnh Quảng Ninh")</f>
        <v>UBND Ủy ban nhân dân xã Đông Ngũ  tỉnh Quảng Ninh</v>
      </c>
      <c r="C71" t="str">
        <v>https://www.quangninh.gov.vn/donvi/huyentienyen/Trang/ChiTietBVGioiThieu.aspx?bvid=68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6071</v>
      </c>
      <c r="B72" t="str">
        <v>Công an xã Yên Than  tỉnh Quảng Ninh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6072</v>
      </c>
      <c r="B73" t="str">
        <f>HYPERLINK("https://www.quangninh.gov.vn/donvi/huyentienyen/Trang/ChiTietBVGioiThieu.aspx?bvid=74", "UBND Ủy ban nhân dân xã Yên Than  tỉnh Quảng Ninh")</f>
        <v>UBND Ủy ban nhân dân xã Yên Than  tỉnh Quảng Ninh</v>
      </c>
      <c r="C73" t="str">
        <v>https://www.quangninh.gov.vn/donvi/huyentienyen/Trang/ChiTietBVGioiThieu.aspx?bvid=74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6073</v>
      </c>
      <c r="B74" t="str">
        <f>HYPERLINK("https://www.facebook.com/p/C%C3%B4ng-an-x%C3%A3-%C4%90%C3%B4ng-H%E1%BA%A3i-huy%E1%BB%87n-Ti%C3%AAn-Y%C3%AAn-Qu%E1%BA%A3ng-Ninh-100069372711821/", "Công an xã Đông Hải  tỉnh Quảng Ninh")</f>
        <v>Công an xã Đông Hải  tỉnh Quảng Ninh</v>
      </c>
      <c r="C74" t="str">
        <v>https://www.facebook.com/p/C%C3%B4ng-an-x%C3%A3-%C4%90%C3%B4ng-H%E1%BA%A3i-huy%E1%BB%87n-Ti%C3%AAn-Y%C3%AAn-Qu%E1%BA%A3ng-Ninh-100069372711821/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6074</v>
      </c>
      <c r="B75" t="str">
        <f>HYPERLINK("https://www.quangninh.gov.vn/donvi/huyentienyen/Trang/ChiTietBVGioiThieu.aspx?bvid=67", "UBND Ủy ban nhân dân xã Đông Hải  tỉnh Quảng Ninh")</f>
        <v>UBND Ủy ban nhân dân xã Đông Hải  tỉnh Quảng Ninh</v>
      </c>
      <c r="C75" t="str">
        <v>https://www.quangninh.gov.vn/donvi/huyentienyen/Trang/ChiTietBVGioiThieu.aspx?bvid=67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6075</v>
      </c>
      <c r="B76" t="str">
        <v>Công an xã Hải Lạng  tỉnh Quảng Ninh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6076</v>
      </c>
      <c r="B77" t="str">
        <f>HYPERLINK("https://www.quangninh.gov.vn/donvi/huyentienyen/Trang/ChiTietBVGioiThieu.aspx?bvid=107", "UBND Ủy ban nhân dân xã Hải Lạng  tỉnh Quảng Ninh")</f>
        <v>UBND Ủy ban nhân dân xã Hải Lạng  tỉnh Quảng Ninh</v>
      </c>
      <c r="C77" t="str">
        <v>https://www.quangninh.gov.vn/donvi/huyentienyen/Trang/ChiTietBVGioiThieu.aspx?bvid=107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6077</v>
      </c>
      <c r="B78" t="str">
        <f>HYPERLINK("https://www.facebook.com/p/%C4%90o%C3%A0n-TN-x%C3%A3-Ti%C3%AAn-L%C3%A3ng-100083504244301/", "Công an xã Tiên Lãng  tỉnh Quảng Ninh")</f>
        <v>Công an xã Tiên Lãng  tỉnh Quảng Ninh</v>
      </c>
      <c r="C78" t="str">
        <v>https://www.facebook.com/p/%C4%90o%C3%A0n-TN-x%C3%A3-Ti%C3%AAn-L%C3%A3ng-100083504244301/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6078</v>
      </c>
      <c r="B79" t="str">
        <f>HYPERLINK("https://www.quangninh.gov.vn/donvi/huyentienyen/Trang/ChiTietBVGioiThieu.aspx?bvid=69", "UBND Ủy ban nhân dân xã Tiên Lãng  tỉnh Quảng Ninh")</f>
        <v>UBND Ủy ban nhân dân xã Tiên Lãng  tỉnh Quảng Ninh</v>
      </c>
      <c r="C79" t="str">
        <v>https://www.quangninh.gov.vn/donvi/huyentienyen/Trang/ChiTietBVGioiThieu.aspx?bvid=69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6079</v>
      </c>
      <c r="B80" t="str">
        <v>Công an xã Đồng Rui  tỉnh Quảng Ninh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6080</v>
      </c>
      <c r="B81" t="str">
        <f>HYPERLINK("https://www.quangninh.gov.vn/donvi/huyentienyen/Trang/ChiTietBVGioiThieu.aspx?bvid=108", "UBND Ủy ban nhân dân xã Đồng Rui  tỉnh Quảng Ninh")</f>
        <v>UBND Ủy ban nhân dân xã Đồng Rui  tỉnh Quảng Ninh</v>
      </c>
      <c r="C81" t="str">
        <v>https://www.quangninh.gov.vn/donvi/huyentienyen/Trang/ChiTietBVGioiThieu.aspx?bvid=108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6081</v>
      </c>
      <c r="B82" t="str">
        <f>HYPERLINK("https://www.facebook.com/tuoitredamha/", "Công an thị trấn Đầm Hà  tỉnh Quảng Ninh")</f>
        <v>Công an thị trấn Đầm Hà  tỉnh Quảng Ninh</v>
      </c>
      <c r="C82" t="str">
        <v>https://www.facebook.com/tuoitredamha/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6082</v>
      </c>
      <c r="B83" t="str">
        <f>HYPERLINK("https://www.quangninh.gov.vn/donvi/huyendamha/Trang/ChiTietBVGioiThieu.aspx?bvid=72", "UBND Ủy ban nhân dân thị trấn Đầm Hà  tỉnh Quảng Ninh")</f>
        <v>UBND Ủy ban nhân dân thị trấn Đầm Hà  tỉnh Quảng Ninh</v>
      </c>
      <c r="C83" t="str">
        <v>https://www.quangninh.gov.vn/donvi/huyendamha/Trang/ChiTietBVGioiThieu.aspx?bvid=72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6083</v>
      </c>
      <c r="B84" t="str">
        <v>Công an xã Quảng Lâm  tỉnh Quảng Ninh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6084</v>
      </c>
      <c r="B85" t="str">
        <f>HYPERLINK("https://www.quangninh.gov.vn/donvi/huyendamha/Trang/ChiTietBVGioiThieu.aspx?bvid=78", "UBND Ủy ban nhân dân xã Quảng Lâm  tỉnh Quảng Ninh")</f>
        <v>UBND Ủy ban nhân dân xã Quảng Lâm  tỉnh Quảng Ninh</v>
      </c>
      <c r="C85" t="str">
        <v>https://www.quangninh.gov.vn/donvi/huyendamha/Trang/ChiTietBVGioiThieu.aspx?bvid=78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6085</v>
      </c>
      <c r="B86" t="str">
        <f>HYPERLINK("https://www.facebook.com/tuoitreconganquangbinh/", "Công an xã Quảng An  tỉnh Quảng Ninh")</f>
        <v>Công an xã Quảng An  tỉnh Quảng Ninh</v>
      </c>
      <c r="C86" t="str">
        <v>https://www.facebook.com/tuoitreconganquangbinh/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6086</v>
      </c>
      <c r="B87" t="str">
        <f>HYPERLINK("https://www.quangninh.gov.vn/donvi/TXQuangYen/Trang/ChiTietBVGioiThieu.aspx?bvid=209", "UBND Ủy ban nhân dân xã Quảng An  tỉnh Quảng Ninh")</f>
        <v>UBND Ủy ban nhân dân xã Quảng An  tỉnh Quảng Ninh</v>
      </c>
      <c r="C87" t="str">
        <v>https://www.quangninh.gov.vn/donvi/TXQuangYen/Trang/ChiTietBVGioiThieu.aspx?bvid=209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6087</v>
      </c>
      <c r="B88" t="str">
        <v>Công an xã Tân Bình  tỉnh Quảng Ninh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6088</v>
      </c>
      <c r="B89" t="str">
        <f>HYPERLINK("https://www.quangninh.gov.vn/donvi/huyendamha/Trang/ChiTietBVGioiThieu.aspx?bvid=80", "UBND Ủy ban nhân dân xã Tân Bình  tỉnh Quảng Ninh")</f>
        <v>UBND Ủy ban nhân dân xã Tân Bình  tỉnh Quảng Ninh</v>
      </c>
      <c r="C89" t="str">
        <v>https://www.quangninh.gov.vn/donvi/huyendamha/Trang/ChiTietBVGioiThieu.aspx?bvid=80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6089</v>
      </c>
      <c r="B90" t="str">
        <v>Công an xã Quảng Lợi  tỉnh Quảng Ninh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6090</v>
      </c>
      <c r="B91" t="str">
        <f>HYPERLINK("https://www.quangninh.gov.vn/donvi/huyendamha/Trang/ChiTietBVGioiThieu.aspx?bvid=77", "UBND Ủy ban nhân dân xã Quảng Lợi  tỉnh Quảng Ninh")</f>
        <v>UBND Ủy ban nhân dân xã Quảng Lợi  tỉnh Quảng Ninh</v>
      </c>
      <c r="C91" t="str">
        <v>https://www.quangninh.gov.vn/donvi/huyendamha/Trang/ChiTietBVGioiThieu.aspx?bvid=77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6091</v>
      </c>
      <c r="B92" t="str">
        <f>HYPERLINK("https://www.facebook.com/xaducyen/", "Công an xã Dực Yên  tỉnh Quảng Ninh")</f>
        <v>Công an xã Dực Yên  tỉnh Quảng Ninh</v>
      </c>
      <c r="C92" t="str">
        <v>https://www.facebook.com/xaducyen/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6092</v>
      </c>
      <c r="B93" t="str">
        <f>HYPERLINK("https://www.quangninh.gov.vn/donvi/huyendamha/Trang/ChiTietBVGioiThieu.aspx?bvid=74", "UBND Ủy ban nhân dân xã Dực Yên  tỉnh Quảng Ninh")</f>
        <v>UBND Ủy ban nhân dân xã Dực Yên  tỉnh Quảng Ninh</v>
      </c>
      <c r="C93" t="str">
        <v>https://www.quangninh.gov.vn/donvi/huyendamha/Trang/ChiTietBVGioiThieu.aspx?bvid=74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6093</v>
      </c>
      <c r="B94" t="str">
        <f>HYPERLINK("https://www.facebook.com/p/C%C3%B4ng-an-x%C3%A3-Qu%E1%BA%A3ng-T%C3%A2n-C%C3%B4ng-an-th%E1%BB%8B-x%C3%A3-Ba-%C4%90%E1%BB%93n-100089357495082/", "Công an xã Quảng Tân  tỉnh Quảng Ninh")</f>
        <v>Công an xã Quảng Tân  tỉnh Quảng Ninh</v>
      </c>
      <c r="C94" t="str">
        <v>https://www.facebook.com/p/C%C3%B4ng-an-x%C3%A3-Qu%E1%BA%A3ng-T%C3%A2n-C%C3%B4ng-an-th%E1%BB%8B-x%C3%A3-Ba-%C4%90%E1%BB%93n-100089357495082/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6094</v>
      </c>
      <c r="B95" t="str">
        <f>HYPERLINK("https://www.quangninh.gov.vn/donvi/huyendamha/Trang/ChiTietBVGioiThieu.aspx?bvid=75", "UBND Ủy ban nhân dân xã Quảng Tân  tỉnh Quảng Ninh")</f>
        <v>UBND Ủy ban nhân dân xã Quảng Tân  tỉnh Quảng Ninh</v>
      </c>
      <c r="C95" t="str">
        <v>https://www.quangninh.gov.vn/donvi/huyendamha/Trang/ChiTietBVGioiThieu.aspx?bvid=75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6095</v>
      </c>
      <c r="B96" t="str">
        <f>HYPERLINK("https://www.facebook.com/tuoitredamha/", "Công an xã Đầm Hà  tỉnh Quảng Ninh")</f>
        <v>Công an xã Đầm Hà  tỉnh Quảng Ninh</v>
      </c>
      <c r="C96" t="str">
        <v>https://www.facebook.com/tuoitredamha/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6096</v>
      </c>
      <c r="B97" t="str">
        <f>HYPERLINK("https://www.quangninh.gov.vn/donvi/huyendamha/Trang/Default.aspx", "UBND Ủy ban nhân dân xã Đầm Hà  tỉnh Quảng Ninh")</f>
        <v>UBND Ủy ban nhân dân xã Đầm Hà  tỉnh Quảng Ninh</v>
      </c>
      <c r="C97" t="str">
        <v>https://www.quangninh.gov.vn/donvi/huyendamha/Trang/Default.aspx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6097</v>
      </c>
      <c r="B98" t="str">
        <v>Công an xã Tân Lập  tỉnh Quảng Ninh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6098</v>
      </c>
      <c r="B99" t="str">
        <f>HYPERLINK("https://dongtrieu.quangninh.gov.vn/Trang/ChiTietBVGioiThieu.aspx?bvid=208", "UBND Ủy ban nhân dân xã Tân Lập  tỉnh Quảng Ninh")</f>
        <v>UBND Ủy ban nhân dân xã Tân Lập  tỉnh Quảng Ninh</v>
      </c>
      <c r="C99" t="str">
        <v>https://dongtrieu.quangninh.gov.vn/Trang/ChiTietBVGioiThieu.aspx?bvid=208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6099</v>
      </c>
      <c r="B100" t="str">
        <f>HYPERLINK("https://www.facebook.com/tuoitreconganquangbinh/", "Công an xã Đại Bình  tỉnh Quảng Ninh")</f>
        <v>Công an xã Đại Bình  tỉnh Quảng Ninh</v>
      </c>
      <c r="C100" t="str">
        <v>https://www.facebook.com/tuoitreconganquangbinh/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6100</v>
      </c>
      <c r="B101" t="str">
        <f>HYPERLINK("https://www.quangninh.gov.vn/donvi/huyendamha/Trang/ChiTietBVGioiThieu.aspx?bvid=73", "UBND Ủy ban nhân dân xã Đại Bình  tỉnh Quảng Ninh")</f>
        <v>UBND Ủy ban nhân dân xã Đại Bình  tỉnh Quảng Ninh</v>
      </c>
      <c r="C101" t="str">
        <v>https://www.quangninh.gov.vn/donvi/huyendamha/Trang/ChiTietBVGioiThieu.aspx?bvid=73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6101</v>
      </c>
      <c r="B102" t="str">
        <v>Công an thị trấn Quảng Hà  tỉnh Quảng Ninh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6102</v>
      </c>
      <c r="B103" t="str">
        <f>HYPERLINK("https://haiha.quangninh.gov.vn/trang/chitietbvgioithieu.aspx?bvid=112", "UBND Ủy ban nhân dân thị trấn Quảng Hà  tỉnh Quảng Ninh")</f>
        <v>UBND Ủy ban nhân dân thị trấn Quảng Hà  tỉnh Quảng Ninh</v>
      </c>
      <c r="C103" t="str">
        <v>https://haiha.quangninh.gov.vn/trang/chitietbvgioithieu.aspx?bvid=112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6103</v>
      </c>
      <c r="B104" t="str">
        <v>Công an xã Quảng Đức  tỉnh Quảng Ninh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6104</v>
      </c>
      <c r="B105" t="str">
        <f>HYPERLINK("https://haiha.quangninh.gov.vn/Trang/ChiTietBVGioiThieu.aspx?bvid=126", "UBND Ủy ban nhân dân xã Quảng Đức  tỉnh Quảng Ninh")</f>
        <v>UBND Ủy ban nhân dân xã Quảng Đức  tỉnh Quảng Ninh</v>
      </c>
      <c r="C105" t="str">
        <v>https://haiha.quangninh.gov.vn/Trang/ChiTietBVGioiThieu.aspx?bvid=126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6105</v>
      </c>
      <c r="B106" t="str">
        <f>HYPERLINK("https://www.facebook.com/p/C%C3%B4ng-an-x%C3%A3-Qu%E1%BA%A3ng-S%C6%A1n-100068854224748/", "Công an xã Quảng Sơn  tỉnh Quảng Ninh")</f>
        <v>Công an xã Quảng Sơn  tỉnh Quảng Ninh</v>
      </c>
      <c r="C106" t="str">
        <v>https://www.facebook.com/p/C%C3%B4ng-an-x%C3%A3-Qu%E1%BA%A3ng-S%C6%A1n-100068854224748/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6106</v>
      </c>
      <c r="B107" t="str">
        <f>HYPERLINK("https://haiha.quangninh.gov.vn/Trang/ChiTietBVGioiThieu.aspx?bvid=134", "UBND Ủy ban nhân dân xã Quảng Sơn  tỉnh Quảng Ninh")</f>
        <v>UBND Ủy ban nhân dân xã Quảng Sơn  tỉnh Quảng Ninh</v>
      </c>
      <c r="C107" t="str">
        <v>https://haiha.quangninh.gov.vn/Trang/ChiTietBVGioiThieu.aspx?bvid=134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6107</v>
      </c>
      <c r="B108" t="str">
        <f>HYPERLINK("https://www.facebook.com/AnreQuoc/", "Công an xã Quảng Thành  tỉnh Quảng Ninh")</f>
        <v>Công an xã Quảng Thành  tỉnh Quảng Ninh</v>
      </c>
      <c r="C108" t="str">
        <v>https://www.facebook.com/AnreQuoc/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6108</v>
      </c>
      <c r="B109" t="str">
        <f>HYPERLINK("https://quangthanh.chauduc.baria-vungtau.gov.vn/", "UBND Ủy ban nhân dân xã Quảng Thành  tỉnh Quảng Ninh")</f>
        <v>UBND Ủy ban nhân dân xã Quảng Thành  tỉnh Quảng Ninh</v>
      </c>
      <c r="C109" t="str">
        <v>https://quangthanh.chauduc.baria-vungtau.gov.vn/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6109</v>
      </c>
      <c r="B110" t="str">
        <v>Công an xã Quảng Thắng  tỉnh Quảng Ninh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6110</v>
      </c>
      <c r="B111" t="str">
        <f>HYPERLINK("https://dichvucong.quangninh.gov.vn/Default.aspx?tabid=121&amp;ctl=ndetail&amp;mid=511&amp;nid=186547", "UBND Ủy ban nhân dân xã Quảng Thắng  tỉnh Quảng Ninh")</f>
        <v>UBND Ủy ban nhân dân xã Quảng Thắng  tỉnh Quảng Ninh</v>
      </c>
      <c r="C111" t="str">
        <v>https://dichvucong.quangninh.gov.vn/Default.aspx?tabid=121&amp;ctl=ndetail&amp;mid=511&amp;nid=186547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6111</v>
      </c>
      <c r="B112" t="str">
        <f>HYPERLINK("https://www.facebook.com/capquangthinh.th.vn/", "Công an xã Quảng Thịnh  tỉnh Quảng Ninh")</f>
        <v>Công an xã Quảng Thịnh  tỉnh Quảng Ninh</v>
      </c>
      <c r="C112" t="str">
        <v>https://www.facebook.com/capquangthinh.th.vn/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6112</v>
      </c>
      <c r="B113" t="str">
        <f>HYPERLINK("https://haiha.quangninh.gov.vn/Trang/ChiTietBVGioiThieu.aspx?bvid=133", "UBND Ủy ban nhân dân xã Quảng Thịnh  tỉnh Quảng Ninh")</f>
        <v>UBND Ủy ban nhân dân xã Quảng Thịnh  tỉnh Quảng Ninh</v>
      </c>
      <c r="C113" t="str">
        <v>https://haiha.quangninh.gov.vn/Trang/ChiTietBVGioiThieu.aspx?bvid=133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6113</v>
      </c>
      <c r="B114" t="str">
        <f>HYPERLINK("https://www.facebook.com/tuoitreconganquangbinh/", "Công an xã Quảng Minh  tỉnh Quảng Ninh")</f>
        <v>Công an xã Quảng Minh  tỉnh Quảng Ninh</v>
      </c>
      <c r="C114" t="str">
        <v>https://www.facebook.com/tuoitreconganquangbinh/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6114</v>
      </c>
      <c r="B115" t="str">
        <f>HYPERLINK("https://haiha.quangninh.gov.vn/Trang/ChiTietBVGioiThieu.aspx?bvid=128", "UBND Ủy ban nhân dân xã Quảng Minh  tỉnh Quảng Ninh")</f>
        <v>UBND Ủy ban nhân dân xã Quảng Minh  tỉnh Quảng Ninh</v>
      </c>
      <c r="C115" t="str">
        <v>https://haiha.quangninh.gov.vn/Trang/ChiTietBVGioiThieu.aspx?bvid=128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6115</v>
      </c>
      <c r="B116" t="str">
        <f>HYPERLINK("https://www.facebook.com/tuoitreconganquangbinh/", "Công an xã Quảng Chính  tỉnh Quảng Ninh")</f>
        <v>Công an xã Quảng Chính  tỉnh Quảng Ninh</v>
      </c>
      <c r="C116" t="str">
        <v>https://www.facebook.com/tuoitreconganquangbinh/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6116</v>
      </c>
      <c r="B117" t="str">
        <f>HYPERLINK("https://haiha.quangninh.gov.vn/trang/chitietbvgioithieu.aspx?bvid=117", "UBND Ủy ban nhân dân xã Quảng Chính  tỉnh Quảng Ninh")</f>
        <v>UBND Ủy ban nhân dân xã Quảng Chính  tỉnh Quảng Ninh</v>
      </c>
      <c r="C117" t="str">
        <v>https://haiha.quangninh.gov.vn/trang/chitietbvgioithieu.aspx?bvid=117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6117</v>
      </c>
      <c r="B118" t="str">
        <f>HYPERLINK("https://www.facebook.com/p/C%C3%B4ng-an-x%C3%A3-Qu%E1%BA%A3ng-Long-Qu%E1%BA%A3ng-X%C6%B0%C6%A1ng-Thanh-H%C3%B3a-100064958701361/", "Công an xã Quảng Long  tỉnh Quảng Ninh")</f>
        <v>Công an xã Quảng Long  tỉnh Quảng Ninh</v>
      </c>
      <c r="C118" t="str">
        <v>https://www.facebook.com/p/C%C3%B4ng-an-x%C3%A3-Qu%E1%BA%A3ng-Long-Qu%E1%BA%A3ng-X%C6%B0%C6%A1ng-Thanh-H%C3%B3a-100064958701361/</v>
      </c>
      <c r="D118" t="str">
        <v>-</v>
      </c>
      <c r="E118" t="str">
        <v>0869549226</v>
      </c>
      <c r="F118" t="str">
        <v>-</v>
      </c>
      <c r="G118" t="str">
        <v>-</v>
      </c>
    </row>
    <row r="119">
      <c r="A119">
        <v>6118</v>
      </c>
      <c r="B119" t="str">
        <f>HYPERLINK("https://haiha.quangninh.gov.vn/trang/chitietbvgioithieu.aspx?bvid=129", "UBND Ủy ban nhân dân xã Quảng Long  tỉnh Quảng Ninh")</f>
        <v>UBND Ủy ban nhân dân xã Quảng Long  tỉnh Quảng Ninh</v>
      </c>
      <c r="C119" t="str">
        <v>https://haiha.quangninh.gov.vn/trang/chitietbvgioithieu.aspx?bvid=129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6119</v>
      </c>
      <c r="B120" t="str">
        <v>Công an xã Đường Hoa  tỉnh Quảng Ninh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6120</v>
      </c>
      <c r="B121" t="str">
        <f>HYPERLINK("https://haiha.quangninh.gov.vn/Trang/ChiTietBVGioiThieu.aspx?bvid=124", "UBND Ủy ban nhân dân xã Đường Hoa  tỉnh Quảng Ninh")</f>
        <v>UBND Ủy ban nhân dân xã Đường Hoa  tỉnh Quảng Ninh</v>
      </c>
      <c r="C121" t="str">
        <v>https://haiha.quangninh.gov.vn/Trang/ChiTietBVGioiThieu.aspx?bvid=124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6121</v>
      </c>
      <c r="B122" t="str">
        <v>Công an xã Quảng Phong  tỉnh Quảng Ninh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6122</v>
      </c>
      <c r="B123" t="str">
        <f>HYPERLINK("https://haiha.quangninh.gov.vn/Trang/ChiTietBVGioiThieu.aspx?bvid=130", "UBND Ủy ban nhân dân xã Quảng Phong  tỉnh Quảng Ninh")</f>
        <v>UBND Ủy ban nhân dân xã Quảng Phong  tỉnh Quảng Ninh</v>
      </c>
      <c r="C123" t="str">
        <v>https://haiha.quangninh.gov.vn/Trang/ChiTietBVGioiThieu.aspx?bvid=130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6123</v>
      </c>
      <c r="B124" t="str">
        <f>HYPERLINK("https://www.facebook.com/tuoitreconganquangbinh/", "Công an xã Quảng Trung  tỉnh Quảng Ninh")</f>
        <v>Công an xã Quảng Trung  tỉnh Quảng Ninh</v>
      </c>
      <c r="C124" t="str">
        <v>https://www.facebook.com/tuoitreconganquangbinh/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6124</v>
      </c>
      <c r="B125" t="str">
        <f>HYPERLINK("https://haiha.quangninh.gov.vn/trang/chitietbvgioithieu.aspx?bvid=117", "UBND Ủy ban nhân dân xã Quảng Trung  tỉnh Quảng Ninh")</f>
        <v>UBND Ủy ban nhân dân xã Quảng Trung  tỉnh Quảng Ninh</v>
      </c>
      <c r="C125" t="str">
        <v>https://haiha.quangninh.gov.vn/trang/chitietbvgioithieu.aspx?bvid=117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6125</v>
      </c>
      <c r="B126" t="str">
        <v>Công an xã Phú Hải  tỉnh Quảng Ninh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6126</v>
      </c>
      <c r="B127" t="str">
        <f>HYPERLINK("https://www.quangninh.gov.vn/", "UBND Ủy ban nhân dân xã Phú Hải  tỉnh Quảng Ninh")</f>
        <v>UBND Ủy ban nhân dân xã Phú Hải  tỉnh Quảng Ninh</v>
      </c>
      <c r="C127" t="str">
        <v>https://www.quangninh.gov.vn/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6127</v>
      </c>
      <c r="B128" t="str">
        <v>Công an xã Quảng Điền  tỉnh Quảng Ninh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6128</v>
      </c>
      <c r="B129" t="str">
        <f>HYPERLINK("https://krongana.daklak.gov.vn/uy-ban-nhan-dan-xa-quang-dien-to-chuc-hoi-nghi-trao-doi-doi-thoai-voi-nhan-dan-nam-2020-6163.html", "UBND Ủy ban nhân dân xã Quảng Điền  tỉnh Quảng Ninh")</f>
        <v>UBND Ủy ban nhân dân xã Quảng Điền  tỉnh Quảng Ninh</v>
      </c>
      <c r="C129" t="str">
        <v>https://krongana.daklak.gov.vn/uy-ban-nhan-dan-xa-quang-dien-to-chuc-hoi-nghi-trao-doi-doi-thoai-voi-nhan-dan-nam-2020-6163.html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6129</v>
      </c>
      <c r="B130" t="str">
        <v>Công an xã Tiến Tới  tỉnh Quảng Ninh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6130</v>
      </c>
      <c r="B131" t="str">
        <f>HYPERLINK("https://www.quangninh.gov.vn/", "UBND Ủy ban nhân dân xã Tiến Tới  tỉnh Quảng Ninh")</f>
        <v>UBND Ủy ban nhân dân xã Tiến Tới  tỉnh Quảng Ninh</v>
      </c>
      <c r="C131" t="str">
        <v>https://www.quangninh.gov.vn/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6131</v>
      </c>
      <c r="B132" t="str">
        <f>HYPERLINK("https://www.facebook.com/groups/caichien/", "Công an xã Cái Chiên  tỉnh Quảng Ninh")</f>
        <v>Công an xã Cái Chiên  tỉnh Quảng Ninh</v>
      </c>
      <c r="C132" t="str">
        <v>https://www.facebook.com/groups/caichien/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6132</v>
      </c>
      <c r="B133" t="str">
        <f>HYPERLINK("https://haiha.quangninh.gov.vn/Trang/ChiTietBVGioiThieu.aspx?bvid=125", "UBND Ủy ban nhân dân xã Cái Chiên  tỉnh Quảng Ninh")</f>
        <v>UBND Ủy ban nhân dân xã Cái Chiên  tỉnh Quảng Ninh</v>
      </c>
      <c r="C133" t="str">
        <v>https://haiha.quangninh.gov.vn/Trang/ChiTietBVGioiThieu.aspx?bvid=125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6133</v>
      </c>
      <c r="B134" t="str">
        <v>Công an thị trấn Ba Chẽ  tỉnh Quảng Ninh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6134</v>
      </c>
      <c r="B135" t="str">
        <f>HYPERLINK("https://www.quangninh.gov.vn/donvi/huyenbache/Trang/Default.aspx", "UBND Ủy ban nhân dân thị trấn Ba Chẽ  tỉnh Quảng Ninh")</f>
        <v>UBND Ủy ban nhân dân thị trấn Ba Chẽ  tỉnh Quảng Ninh</v>
      </c>
      <c r="C135" t="str">
        <v>https://www.quangninh.gov.vn/donvi/huyenbache/Trang/Default.aspx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6135</v>
      </c>
      <c r="B136" t="str">
        <v>Công an xã Thanh Sơn  tỉnh Quảng Ninh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6136</v>
      </c>
      <c r="B137" t="str">
        <f>HYPERLINK("https://www.quangninh.gov.vn/donvi/huyenbache/Trang/ChiTietBVGioiThieu.aspx?bvid=108", "UBND Ủy ban nhân dân xã Thanh Sơn  tỉnh Quảng Ninh")</f>
        <v>UBND Ủy ban nhân dân xã Thanh Sơn  tỉnh Quảng Ninh</v>
      </c>
      <c r="C137" t="str">
        <v>https://www.quangninh.gov.vn/donvi/huyenbache/Trang/ChiTietBVGioiThieu.aspx?bvid=108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6137</v>
      </c>
      <c r="B138" t="str">
        <v>Công an xã Thanh Lâm  tỉnh Quảng Ninh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6138</v>
      </c>
      <c r="B139" t="str">
        <f>HYPERLINK("https://www.quangninh.gov.vn/donvi/huyenbache/Trang/ChiTietBVGioiThieu.aspx?bvid=107", "UBND Ủy ban nhân dân xã Thanh Lâm  tỉnh Quảng Ninh")</f>
        <v>UBND Ủy ban nhân dân xã Thanh Lâm  tỉnh Quảng Ninh</v>
      </c>
      <c r="C139" t="str">
        <v>https://www.quangninh.gov.vn/donvi/huyenbache/Trang/ChiTietBVGioiThieu.aspx?bvid=107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6139</v>
      </c>
      <c r="B140" t="str">
        <v>Công an xã Đạp Thanh  tỉnh Quảng Ninh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6140</v>
      </c>
      <c r="B141" t="str">
        <f>HYPERLINK("https://www.quangninh.gov.vn/donvi/huyenbache/Trang/ChiTietBVGioiThieu.aspx?bvid=106", "UBND Ủy ban nhân dân xã Đạp Thanh  tỉnh Quảng Ninh")</f>
        <v>UBND Ủy ban nhân dân xã Đạp Thanh  tỉnh Quảng Ninh</v>
      </c>
      <c r="C141" t="str">
        <v>https://www.quangninh.gov.vn/donvi/huyenbache/Trang/ChiTietBVGioiThieu.aspx?bvid=106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6141</v>
      </c>
      <c r="B142" t="str">
        <v>Công an xã Nam Sơn  tỉnh Quảng Ninh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6142</v>
      </c>
      <c r="B143" t="str">
        <f>HYPERLINK("https://www.quangninh.gov.vn/donvi/huyenbache/Trang/ChiTietBVGioiThieu.aspx?bvid=110", "UBND Ủy ban nhân dân xã Nam Sơn  tỉnh Quảng Ninh")</f>
        <v>UBND Ủy ban nhân dân xã Nam Sơn  tỉnh Quảng Ninh</v>
      </c>
      <c r="C143" t="str">
        <v>https://www.quangninh.gov.vn/donvi/huyenbache/Trang/ChiTietBVGioiThieu.aspx?bvid=110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6143</v>
      </c>
      <c r="B144" t="str">
        <v>Công an xã Lương Mông  tỉnh Quảng Ninh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6144</v>
      </c>
      <c r="B145" t="str">
        <f>HYPERLINK("https://www.quangninh.gov.vn/donvi/huyenbache/Trang/ChiTietBVGioiThieu.aspx?bvid=104", "UBND Ủy ban nhân dân xã Lương Mông  tỉnh Quảng Ninh")</f>
        <v>UBND Ủy ban nhân dân xã Lương Mông  tỉnh Quảng Ninh</v>
      </c>
      <c r="C145" t="str">
        <v>https://www.quangninh.gov.vn/donvi/huyenbache/Trang/ChiTietBVGioiThieu.aspx?bvid=104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6145</v>
      </c>
      <c r="B146" t="str">
        <v>Công an xã Đồn Đạc  tỉnh Quảng Ninh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6146</v>
      </c>
      <c r="B147" t="str">
        <f>HYPERLINK("https://www.quangninh.gov.vn/donvi/huyenbache/Trang/ChiTietBVGioiThieu.aspx?bvid=109", "UBND Ủy ban nhân dân xã Đồn Đạc  tỉnh Quảng Ninh")</f>
        <v>UBND Ủy ban nhân dân xã Đồn Đạc  tỉnh Quảng Ninh</v>
      </c>
      <c r="C147" t="str">
        <v>https://www.quangninh.gov.vn/donvi/huyenbache/Trang/ChiTietBVGioiThieu.aspx?bvid=109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6147</v>
      </c>
      <c r="B148" t="str">
        <v>Công an xã Minh Cầm  tỉnh Quảng Ninh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6148</v>
      </c>
      <c r="B149" t="str">
        <f>HYPERLINK("https://www.quangninh.gov.vn/donvi/huyenbache/Trang/ChiTietBVGioiThieu.aspx?bvid=105", "UBND Ủy ban nhân dân xã Minh Cầm  tỉnh Quảng Ninh")</f>
        <v>UBND Ủy ban nhân dân xã Minh Cầm  tỉnh Quảng Ninh</v>
      </c>
      <c r="C149" t="str">
        <v>https://www.quangninh.gov.vn/donvi/huyenbache/Trang/ChiTietBVGioiThieu.aspx?bvid=105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6149</v>
      </c>
      <c r="B150" t="str">
        <f>HYPERLINK("https://www.facebook.com/265963428377240", "Công an thị trấn Cái Rồng  tỉnh Quảng Ninh")</f>
        <v>Công an thị trấn Cái Rồng  tỉnh Quảng Ninh</v>
      </c>
      <c r="C150" t="str">
        <v>https://www.facebook.com/265963428377240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6150</v>
      </c>
      <c r="B151" t="str">
        <f>HYPERLINK("https://vandon.quangninh.gov.vn/Trang/ChiTietBVGioiThieu.aspx?bvid=176", "UBND Ủy ban nhân dân thị trấn Cái Rồng  tỉnh Quảng Ninh")</f>
        <v>UBND Ủy ban nhân dân thị trấn Cái Rồng  tỉnh Quảng Ninh</v>
      </c>
      <c r="C151" t="str">
        <v>https://vandon.quangninh.gov.vn/Trang/ChiTietBVGioiThieu.aspx?bvid=176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6151</v>
      </c>
      <c r="B152" t="str">
        <v>Công an xã Đài Xuyên  tỉnh Quảng Ninh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6152</v>
      </c>
      <c r="B153" t="str">
        <f>HYPERLINK("https://www.quangninh.gov.vn/donvi/xadaixuyen/Trang/Default.aspx", "UBND Ủy ban nhân dân xã Đài Xuyên  tỉnh Quảng Ninh")</f>
        <v>UBND Ủy ban nhân dân xã Đài Xuyên  tỉnh Quảng Ninh</v>
      </c>
      <c r="C153" t="str">
        <v>https://www.quangninh.gov.vn/donvi/xadaixuyen/Trang/Default.aspx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6153</v>
      </c>
      <c r="B154" t="str">
        <f>HYPERLINK("https://www.facebook.com/tuoitreconganquangbinh/", "Công an xã Bình Dân  tỉnh Quảng Ninh")</f>
        <v>Công an xã Bình Dân  tỉnh Quảng Ninh</v>
      </c>
      <c r="C154" t="str">
        <v>https://www.facebook.com/tuoitreconganquangbinh/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6154</v>
      </c>
      <c r="B155" t="str">
        <f>HYPERLINK("https://www.quangninh.gov.vn/donvi/xabinhdan/Trang/so-do.aspx", "UBND Ủy ban nhân dân xã Bình Dân  tỉnh Quảng Ninh")</f>
        <v>UBND Ủy ban nhân dân xã Bình Dân  tỉnh Quảng Ninh</v>
      </c>
      <c r="C155" t="str">
        <v>https://www.quangninh.gov.vn/donvi/xabinhdan/Trang/so-do.aspx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6155</v>
      </c>
      <c r="B156" t="str">
        <f>HYPERLINK("https://www.facebook.com/p/C%C3%B4ng-an-x%C3%A3-V%E1%BA%A1n-Y%C3%AAn-100064755400737/", "Công an xã Vạn Yên  tỉnh Quảng Ninh")</f>
        <v>Công an xã Vạn Yên  tỉnh Quảng Ninh</v>
      </c>
      <c r="C156" t="str">
        <v>https://www.facebook.com/p/C%C3%B4ng-an-x%C3%A3-V%E1%BA%A1n-Y%C3%AAn-100064755400737/</v>
      </c>
      <c r="D156" t="str">
        <v>0988088910</v>
      </c>
      <c r="E156" t="str">
        <v>-</v>
      </c>
      <c r="F156" t="str">
        <v>-</v>
      </c>
      <c r="G156" t="str">
        <v>-</v>
      </c>
    </row>
    <row r="157">
      <c r="A157">
        <v>6156</v>
      </c>
      <c r="B157" t="str">
        <f>HYPERLINK("https://www.quangninh.gov.vn/donvi/xavanyen/Trang/ChiTietTinTuc.aspx?nid=798", "UBND Ủy ban nhân dân xã Vạn Yên  tỉnh Quảng Ninh")</f>
        <v>UBND Ủy ban nhân dân xã Vạn Yên  tỉnh Quảng Ninh</v>
      </c>
      <c r="C157" t="str">
        <v>https://www.quangninh.gov.vn/donvi/xavanyen/Trang/ChiTietTinTuc.aspx?nid=798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6157</v>
      </c>
      <c r="B158" t="str">
        <f>HYPERLINK("https://www.facebook.com/p/C%C3%B4ng-an-x%C3%A3-Minh-Ch%C3%A2u-huy%E1%BB%87n-V%C3%A2n-%C4%90%E1%BB%93n-t%E1%BB%89nh-Qu%E1%BA%A3ng-Ninh-100069379675761/", "Công an xã Minh Châu  tỉnh Quảng Ninh")</f>
        <v>Công an xã Minh Châu  tỉnh Quảng Ninh</v>
      </c>
      <c r="C158" t="str">
        <v>https://www.facebook.com/p/C%C3%B4ng-an-x%C3%A3-Minh-Ch%C3%A2u-huy%E1%BB%87n-V%C3%A2n-%C4%90%E1%BB%93n-t%E1%BB%89nh-Qu%E1%BA%A3ng-Ninh-100069379675761/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6158</v>
      </c>
      <c r="B159" t="str">
        <f>HYPERLINK("https://www.quangninh.gov.vn/donvi/xaminhchau/Trang/Default.aspx", "UBND Ủy ban nhân dân xã Minh Châu  tỉnh Quảng Ninh")</f>
        <v>UBND Ủy ban nhân dân xã Minh Châu  tỉnh Quảng Ninh</v>
      </c>
      <c r="C159" t="str">
        <v>https://www.quangninh.gov.vn/donvi/xaminhchau/Trang/Default.aspx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6159</v>
      </c>
      <c r="B160" t="str">
        <v>Công an xã Đoàn Kết  tỉnh Quảng Ninh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6160</v>
      </c>
      <c r="B161" t="str">
        <f>HYPERLINK("https://www.quangninh.gov.vn/donvi/xadoanket/Trang/so-do.aspx", "UBND Ủy ban nhân dân xã Đoàn Kết  tỉnh Quảng Ninh")</f>
        <v>UBND Ủy ban nhân dân xã Đoàn Kết  tỉnh Quảng Ninh</v>
      </c>
      <c r="C161" t="str">
        <v>https://www.quangninh.gov.vn/donvi/xadoanket/Trang/so-do.aspx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6161</v>
      </c>
      <c r="B162" t="str">
        <f>HYPERLINK("https://www.facebook.com/csqlhcquangninh/", "Công an xã Hạ Long  tỉnh Quảng Ninh")</f>
        <v>Công an xã Hạ Long  tỉnh Quảng Ninh</v>
      </c>
      <c r="C162" t="str">
        <v>https://www.facebook.com/csqlhcquangninh/</v>
      </c>
      <c r="D162" t="str">
        <v>-</v>
      </c>
      <c r="E162" t="str">
        <v/>
      </c>
      <c r="F162" t="str">
        <f>HYPERLINK("mailto:canhsatqlhc@quangninh.gov.vn", "canhsatqlhc@quangninh.gov.vn")</f>
        <v>canhsatqlhc@quangninh.gov.vn</v>
      </c>
      <c r="G162" t="str">
        <v>Quảng Ninh, Ha Long, Vietnam</v>
      </c>
    </row>
    <row r="163">
      <c r="A163">
        <v>6162</v>
      </c>
      <c r="B163" t="str">
        <f>HYPERLINK("https://vandon.quangninh.gov.vn/Trang/ChiTietBVGioiThieu.aspx?bvid=177", "UBND Ủy ban nhân dân xã Hạ Long  tỉnh Quảng Ninh")</f>
        <v>UBND Ủy ban nhân dân xã Hạ Long  tỉnh Quảng Ninh</v>
      </c>
      <c r="C163" t="str">
        <v>https://vandon.quangninh.gov.vn/Trang/ChiTietBVGioiThieu.aspx?bvid=177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6163</v>
      </c>
      <c r="B164" t="str">
        <f>HYPERLINK("https://www.facebook.com/100057383292350", "Công an xã Đông Xá  tỉnh Quảng Ninh")</f>
        <v>Công an xã Đông Xá  tỉnh Quảng Ninh</v>
      </c>
      <c r="C164" t="str">
        <v>https://www.facebook.com/100057383292350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6164</v>
      </c>
      <c r="B165" t="str">
        <f>HYPERLINK("https://www.quangninh.gov.vn/donvi/xadongxa/Trang/Default.aspx", "UBND Ủy ban nhân dân xã Đông Xá  tỉnh Quảng Ninh")</f>
        <v>UBND Ủy ban nhân dân xã Đông Xá  tỉnh Quảng Ninh</v>
      </c>
      <c r="C165" t="str">
        <v>https://www.quangninh.gov.vn/donvi/xadongxa/Trang/Default.aspx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6165</v>
      </c>
      <c r="B166" t="str">
        <v>Công an xã Bản Sen  tỉnh Quảng Ninh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6166</v>
      </c>
      <c r="B167" t="str">
        <f>HYPERLINK("https://congan.quangninh.gov.vn/tin-hoat-dong-cong-an-tinh/xa-ban-sen-huyen-van-don-to-chuc-ngay-hoi-dai-doan-ket-32204.html", "UBND Ủy ban nhân dân xã Bản Sen  tỉnh Quảng Ninh")</f>
        <v>UBND Ủy ban nhân dân xã Bản Sen  tỉnh Quảng Ninh</v>
      </c>
      <c r="C167" t="str">
        <v>https://congan.quangninh.gov.vn/tin-hoat-dong-cong-an-tinh/xa-ban-sen-huyen-van-don-to-chuc-ngay-hoi-dai-doan-ket-32204.html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6167</v>
      </c>
      <c r="B168" t="str">
        <v>Công an xã Thắng Lợi  tỉnh Quảng Ninh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6168</v>
      </c>
      <c r="B169" t="str">
        <f>HYPERLINK("https://www.quangninh.gov.vn/donvi/xathangloi/Trang/ChiTietBVGioiThieu.aspx?bvid=9", "UBND Ủy ban nhân dân xã Thắng Lợi  tỉnh Quảng Ninh")</f>
        <v>UBND Ủy ban nhân dân xã Thắng Lợi  tỉnh Quảng Ninh</v>
      </c>
      <c r="C169" t="str">
        <v>https://www.quangninh.gov.vn/donvi/xathangloi/Trang/ChiTietBVGioiThieu.aspx?bvid=9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6169</v>
      </c>
      <c r="B170" t="str">
        <v>Công an xã Quan Lạn  tỉnh Quảng Ninh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6170</v>
      </c>
      <c r="B171" t="str">
        <f>HYPERLINK("https://www.quangninh.gov.vn/donvi/xaquanlan/Trang/ChiTietBVGioiThieu.aspx?bvid=5", "UBND Ủy ban nhân dân xã Quan Lạn  tỉnh Quảng Ninh")</f>
        <v>UBND Ủy ban nhân dân xã Quan Lạn  tỉnh Quảng Ninh</v>
      </c>
      <c r="C171" t="str">
        <v>https://www.quangninh.gov.vn/donvi/xaquanlan/Trang/ChiTietBVGioiThieu.aspx?bvid=5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6171</v>
      </c>
      <c r="B172" t="str">
        <v>Công an xã Ngọc Vừng  tỉnh Quảng Ninh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6172</v>
      </c>
      <c r="B173" t="str">
        <f>HYPERLINK("https://www.quangninh.gov.vn/donvi/xangocvung/Trang/ChiTietBVGioiThieu.aspx?bvid=83", "UBND Ủy ban nhân dân xã Ngọc Vừng  tỉnh Quảng Ninh")</f>
        <v>UBND Ủy ban nhân dân xã Ngọc Vừng  tỉnh Quảng Ninh</v>
      </c>
      <c r="C173" t="str">
        <v>https://www.quangninh.gov.vn/donvi/xangocvung/Trang/ChiTietBVGioiThieu.aspx?bvid=83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6173</v>
      </c>
      <c r="B174" t="str">
        <v>Công an thị trấn Trới  tỉnh Quảng Ninh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6174</v>
      </c>
      <c r="B175" t="str">
        <f>HYPERLINK("https://dichvucong.quangninh.gov.vn/Default.aspx?tabid=119&amp;ctl=view&amp;mid=507&amp;id=71024&amp;dv=607&amp;pr=1", "UBND Ủy ban nhân dân thị trấn Trới  tỉnh Quảng Ninh")</f>
        <v>UBND Ủy ban nhân dân thị trấn Trới  tỉnh Quảng Ninh</v>
      </c>
      <c r="C175" t="str">
        <v>https://dichvucong.quangninh.gov.vn/Default.aspx?tabid=119&amp;ctl=view&amp;mid=507&amp;id=71024&amp;dv=607&amp;pr=1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6175</v>
      </c>
      <c r="B176" t="str">
        <v>Công an xã Kỳ Thượng  tỉnh Quảng Ninh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6176</v>
      </c>
      <c r="B177" t="str">
        <f>HYPERLINK(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, "UBND Ủy ban nhân dân xã Kỳ Thượng  tỉnh Quảng Ninh")</f>
        <v>UBND Ủy ban nhân dân xã Kỳ Thượng  tỉnh Quảng Ninh</v>
      </c>
      <c r="C177" t="str">
        <v>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6177</v>
      </c>
      <c r="B178" t="str">
        <v>Công an xã Đồng Sơn  tỉnh Quảng Ninh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6178</v>
      </c>
      <c r="B179" t="str">
        <f>HYPERLINK("https://www.quangninh.gov.vn/", "UBND Ủy ban nhân dân xã Đồng Sơn  tỉnh Quảng Ninh")</f>
        <v>UBND Ủy ban nhân dân xã Đồng Sơn  tỉnh Quảng Ninh</v>
      </c>
      <c r="C179" t="str">
        <v>https://www.quangninh.gov.vn/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6179</v>
      </c>
      <c r="B180" t="str">
        <f>HYPERLINK("https://www.facebook.com/p/C%C3%B4ng-an-x%C3%A3-T%C3%A2n-D%C3%A2n-TP-H%E1%BA%A1-Long-Qu%E1%BA%A3ng-Ninh-100069899052309/", "Công an xã Tân Dân  tỉnh Quảng Ninh")</f>
        <v>Công an xã Tân Dân  tỉnh Quảng Ninh</v>
      </c>
      <c r="C180" t="str">
        <v>https://www.facebook.com/p/C%C3%B4ng-an-x%C3%A3-T%C3%A2n-D%C3%A2n-TP-H%E1%BA%A1-Long-Qu%E1%BA%A3ng-Ninh-100069899052309/</v>
      </c>
      <c r="D180" t="str">
        <v>0943643818</v>
      </c>
      <c r="E180" t="str">
        <v>-</v>
      </c>
      <c r="F180" t="str">
        <f>HYPERLINK("mailto:Trieutuananh1234@gmail.com", "Trieutuananh1234@gmail.com")</f>
        <v>Trieutuananh1234@gmail.com</v>
      </c>
      <c r="G180" t="str">
        <v>Quốc lộ 279</v>
      </c>
    </row>
    <row r="181">
      <c r="A181">
        <v>6180</v>
      </c>
      <c r="B181" t="str">
        <f>HYPERLINK("https://dongtrieu.quangninh.gov.vn/Trang/ChiTietBVGioiThieu.aspx?bvid=208", "UBND Ủy ban nhân dân xã Tân Dân  tỉnh Quảng Ninh")</f>
        <v>UBND Ủy ban nhân dân xã Tân Dân  tỉnh Quảng Ninh</v>
      </c>
      <c r="C181" t="str">
        <v>https://dongtrieu.quangninh.gov.vn/Trang/ChiTietBVGioiThieu.aspx?bvid=208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6181</v>
      </c>
      <c r="B182" t="str">
        <v>Công an xã Đồng Lâm  tỉnh Quảng Ninh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6182</v>
      </c>
      <c r="B183" t="str">
        <f>HYPERLINK(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, "UBND Ủy ban nhân dân xã Đồng Lâm  tỉnh Quảng Ninh")</f>
        <v>UBND Ủy ban nhân dân xã Đồng Lâm  tỉnh Quảng Ninh</v>
      </c>
      <c r="C183" t="str">
        <v>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6183</v>
      </c>
      <c r="B184" t="str">
        <f>HYPERLINK("https://www.facebook.com/tuoitreconganquangbinh/", "Công an xã Hòa Bình  tỉnh Quảng Ninh")</f>
        <v>Công an xã Hòa Bình  tỉnh Quảng Ninh</v>
      </c>
      <c r="C184" t="str">
        <v>https://www.facebook.com/tuoitreconganquangbinh/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6184</v>
      </c>
      <c r="B185" t="str">
        <f>HYPERLINK("https://www.quangninh.gov.vn/", "UBND Ủy ban nhân dân xã Hòa Bình  tỉnh Quảng Ninh")</f>
        <v>UBND Ủy ban nhân dân xã Hòa Bình  tỉnh Quảng Ninh</v>
      </c>
      <c r="C185" t="str">
        <v>https://www.quangninh.gov.vn/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6185</v>
      </c>
      <c r="B186" t="str">
        <v>Công an xã Vũ Oai  tỉnh Quảng Ninh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6186</v>
      </c>
      <c r="B187" t="str">
        <f>HYPERLINK("https://dichvucong.quangninh.gov.vn/Default.aspx?tabid=121&amp;ctl=ndetail&amp;mid=511&amp;nid=330086", "UBND Ủy ban nhân dân xã Vũ Oai  tỉnh Quảng Ninh")</f>
        <v>UBND Ủy ban nhân dân xã Vũ Oai  tỉnh Quảng Ninh</v>
      </c>
      <c r="C187" t="str">
        <v>https://dichvucong.quangninh.gov.vn/Default.aspx?tabid=121&amp;ctl=ndetail&amp;mid=511&amp;nid=330086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6187</v>
      </c>
      <c r="B188" t="str">
        <v>Công an xã Dân Chủ  tỉnh Quảng Ninh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6188</v>
      </c>
      <c r="B189" t="str">
        <f>HYPERLINK("https://www.quangninh.gov.vn/donvi/xadanchu/Trang/ChiTietBVGioiThieu.aspx?bvid=1", "UBND Ủy ban nhân dân xã Dân Chủ  tỉnh Quảng Ninh")</f>
        <v>UBND Ủy ban nhân dân xã Dân Chủ  tỉnh Quảng Ninh</v>
      </c>
      <c r="C189" t="str">
        <v>https://www.quangninh.gov.vn/donvi/xadanchu/Trang/ChiTietBVGioiThieu.aspx?bvid=1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6189</v>
      </c>
      <c r="B190" t="str">
        <f>HYPERLINK("https://www.facebook.com/tuoitreconganquangbinh/", "Công an xã Quảng La  tỉnh Quảng Ninh")</f>
        <v>Công an xã Quảng La  tỉnh Quảng Ninh</v>
      </c>
      <c r="C190" t="str">
        <v>https://www.facebook.com/tuoitreconganquangbinh/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6190</v>
      </c>
      <c r="B191" t="str">
        <f>HYPERLINK(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, "UBND Ủy ban nhân dân xã Quảng La  tỉnh Quảng Ninh")</f>
        <v>UBND Ủy ban nhân dân xã Quảng La  tỉnh Quảng Ninh</v>
      </c>
      <c r="C191" t="str">
        <v>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6191</v>
      </c>
      <c r="B192" t="str">
        <v>Công an xã Bằng Cả  tỉnh Quảng Ninh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6192</v>
      </c>
      <c r="B193" t="str">
        <f>HYPERLINK(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, "UBND Ủy ban nhân dân xã Bằng Cả  tỉnh Quảng Ninh")</f>
        <v>UBND Ủy ban nhân dân xã Bằng Cả  tỉnh Quảng Ninh</v>
      </c>
      <c r="C193" t="str">
        <v>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6193</v>
      </c>
      <c r="B194" t="str">
        <f>HYPERLINK("https://www.facebook.com/tuoitreconganquangbinh/", "Công an xã Thống Nhất  tỉnh Quảng Ninh")</f>
        <v>Công an xã Thống Nhất  tỉnh Quảng Ninh</v>
      </c>
      <c r="C194" t="str">
        <v>https://www.facebook.com/tuoitreconganquangbinh/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6194</v>
      </c>
      <c r="B195" t="str">
        <f>HYPERLINK(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, "UBND Ủy ban nhân dân xã Thống Nhất  tỉnh Quảng Ninh")</f>
        <v>UBND Ủy ban nhân dân xã Thống Nhất  tỉnh Quảng Ninh</v>
      </c>
      <c r="C195" t="str">
        <v>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6195</v>
      </c>
      <c r="B196" t="str">
        <v>Công an xã Sơn Dương  tỉnh Quảng Ninh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6196</v>
      </c>
      <c r="B197" t="str">
        <f>HYPERLINK(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, "UBND Ủy ban nhân dân xã Sơn Dương  tỉnh Quảng Ninh")</f>
        <v>UBND Ủy ban nhân dân xã Sơn Dương  tỉnh Quảng Ninh</v>
      </c>
      <c r="C197" t="str">
        <v>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6197</v>
      </c>
      <c r="B198" t="str">
        <v>Công an xã Lê Lợi  tỉnh Quảng Ninh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6198</v>
      </c>
      <c r="B199" t="str">
        <f>HYPERLINK(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, "UBND Ủy ban nhân dân xã Lê Lợi  tỉnh Quảng Ninh")</f>
        <v>UBND Ủy ban nhân dân xã Lê Lợi  tỉnh Quảng Ninh</v>
      </c>
      <c r="C199" t="str">
        <v>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6199</v>
      </c>
      <c r="B200" t="str">
        <f>HYPERLINK("https://www.facebook.com/Thuy19968/", "Công an phường Mạo Khê  tỉnh Quảng Ninh")</f>
        <v>Công an phường Mạo Khê  tỉnh Quảng Ninh</v>
      </c>
      <c r="C200" t="str">
        <v>https://www.facebook.com/Thuy19968/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6200</v>
      </c>
      <c r="B201" t="str">
        <f>HYPERLINK("https://dongtrieu.quangninh.gov.vn/Trang/ChiTietBVGioiThieu.aspx?bvid=189", "UBND Ủy ban nhân dân phường Mạo Khê  tỉnh Quảng Ninh")</f>
        <v>UBND Ủy ban nhân dân phường Mạo Khê  tỉnh Quảng Ninh</v>
      </c>
      <c r="C201" t="str">
        <v>https://dongtrieu.quangninh.gov.vn/Trang/ChiTietBVGioiThieu.aspx?bvid=189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6201</v>
      </c>
      <c r="B202" t="str">
        <f>HYPERLINK("https://www.facebook.com/tuoitre.dongtrieu/", "Công an phường Đông Triều  tỉnh Quảng Ninh")</f>
        <v>Công an phường Đông Triều  tỉnh Quảng Ninh</v>
      </c>
      <c r="C202" t="str">
        <v>https://www.facebook.com/tuoitre.dongtrieu/</v>
      </c>
      <c r="D202" t="str">
        <v>-</v>
      </c>
      <c r="E202" t="str">
        <v/>
      </c>
      <c r="F202" t="str">
        <f>HYPERLINK("mailto:huyendoandt@gmail.com", "huyendoandt@gmail.com")</f>
        <v>huyendoandt@gmail.com</v>
      </c>
      <c r="G202" t="str">
        <v>Đường Lê Hồng Phong, phường Đức Chính, Khê Mao, Vietnam</v>
      </c>
    </row>
    <row r="203">
      <c r="A203">
        <v>6202</v>
      </c>
      <c r="B203" t="str">
        <f>HYPERLINK("https://dongtrieu.quangninh.gov.vn/Trang/ChiTietBVGioiThieu.aspx?bvid=188", "UBND Ủy ban nhân dân phường Đông Triều  tỉnh Quảng Ninh")</f>
        <v>UBND Ủy ban nhân dân phường Đông Triều  tỉnh Quảng Ninh</v>
      </c>
      <c r="C203" t="str">
        <v>https://dongtrieu.quangninh.gov.vn/Trang/ChiTietBVGioiThieu.aspx?bvid=188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6203</v>
      </c>
      <c r="B204" t="str">
        <f>HYPERLINK("https://www.facebook.com/tuoitreconganquangbinh/", "Công an xã An Sinh  tỉnh Quảng Ninh")</f>
        <v>Công an xã An Sinh  tỉnh Quảng Ninh</v>
      </c>
      <c r="C204" t="str">
        <v>https://www.facebook.com/tuoitreconganquangbinh/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6204</v>
      </c>
      <c r="B205" t="str">
        <f>HYPERLINK("https://dongtrieu.quangninh.gov.vn/Trang/ChiTietBVGioiThieu.aspx?bvid=271", "UBND Ủy ban nhân dân xã An Sinh  tỉnh Quảng Ninh")</f>
        <v>UBND Ủy ban nhân dân xã An Sinh  tỉnh Quảng Ninh</v>
      </c>
      <c r="C205" t="str">
        <v>https://dongtrieu.quangninh.gov.vn/Trang/ChiTietBVGioiThieu.aspx?bvid=271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6205</v>
      </c>
      <c r="B206" t="str">
        <f>HYPERLINK("https://www.facebook.com/trangluong.gov.com.vn/", "Công an xã Tràng Lương  tỉnh Quảng Ninh")</f>
        <v>Công an xã Tràng Lương  tỉnh Quảng Ninh</v>
      </c>
      <c r="C206" t="str">
        <v>https://www.facebook.com/trangluong.gov.com.vn/</v>
      </c>
      <c r="D206" t="str">
        <v>-</v>
      </c>
      <c r="E206" t="str">
        <v/>
      </c>
      <c r="F206" t="str">
        <v>-</v>
      </c>
      <c r="G206" t="str">
        <v>Tràng Lương - Tx. Đông Triều -  Quảng Ninh</v>
      </c>
    </row>
    <row r="207">
      <c r="A207">
        <v>6206</v>
      </c>
      <c r="B207" t="str">
        <f>HYPERLINK("https://www.quangninh.gov.vn/donvi/xatrangluong/Trang/ChiTietBVGioiThieu.aspx?bvid=9", "UBND Ủy ban nhân dân xã Tràng Lương  tỉnh Quảng Ninh")</f>
        <v>UBND Ủy ban nhân dân xã Tràng Lương  tỉnh Quảng Ninh</v>
      </c>
      <c r="C207" t="str">
        <v>https://www.quangninh.gov.vn/donvi/xatrangluong/Trang/ChiTietBVGioiThieu.aspx?bvid=9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6207</v>
      </c>
      <c r="B208" t="str">
        <f>HYPERLINK("https://www.facebook.com/p/X%C3%A3-B%C3%ACnh-Kh%C3%AA-Th%E1%BB%8B-x%C3%A3-%C4%90%C3%B4ng-Tri%E1%BB%81u-T%E1%BB%89nh-Qu%E1%BA%A3ng-Ninh-100076220717736/?locale=vi_VN", "Công an xã Bình Khê  tỉnh Quảng Ninh")</f>
        <v>Công an xã Bình Khê  tỉnh Quảng Ninh</v>
      </c>
      <c r="C208" t="str">
        <v>https://www.facebook.com/p/X%C3%A3-B%C3%ACnh-Kh%C3%AA-Th%E1%BB%8B-x%C3%A3-%C4%90%C3%B4ng-Tri%E1%BB%81u-T%E1%BB%89nh-Qu%E1%BA%A3ng-Ninh-100076220717736/?locale=vi_VN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6208</v>
      </c>
      <c r="B209" t="str">
        <f>HYPERLINK("https://dongtrieu.quangninh.gov.vn/Trang/ChiTietBVGioiThieu.aspx?bvid=212", "UBND Ủy ban nhân dân xã Bình Khê  tỉnh Quảng Ninh")</f>
        <v>UBND Ủy ban nhân dân xã Bình Khê  tỉnh Quảng Ninh</v>
      </c>
      <c r="C209" t="str">
        <v>https://dongtrieu.quangninh.gov.vn/Trang/ChiTietBVGioiThieu.aspx?bvid=212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6209</v>
      </c>
      <c r="B210" t="str">
        <v>Công an xã Việt Dân  tỉnh Quảng Ninh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6210</v>
      </c>
      <c r="B211" t="str">
        <f>HYPERLINK("https://dongtrieu.quangninh.gov.vn/Trang/ChiTietBVGioiThieu.aspx?bvid=204", "UBND Ủy ban nhân dân xã Việt Dân  tỉnh Quảng Ninh")</f>
        <v>UBND Ủy ban nhân dân xã Việt Dân  tỉnh Quảng Ninh</v>
      </c>
      <c r="C211" t="str">
        <v>https://dongtrieu.quangninh.gov.vn/Trang/ChiTietBVGioiThieu.aspx?bvid=204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6211</v>
      </c>
      <c r="B212" t="str">
        <v>Công an xã Tân Việt  tỉnh Quảng Ninh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6212</v>
      </c>
      <c r="B213" t="str">
        <f>HYPERLINK("https://dongtrieu.quangninh.gov.vn/Trang/ChiTietBVGioiThieu.aspx?bvid=208", "UBND Ủy ban nhân dân xã Tân Việt  tỉnh Quảng Ninh")</f>
        <v>UBND Ủy ban nhân dân xã Tân Việt  tỉnh Quảng Ninh</v>
      </c>
      <c r="C213" t="str">
        <v>https://dongtrieu.quangninh.gov.vn/Trang/ChiTietBVGioiThieu.aspx?bvid=208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6213</v>
      </c>
      <c r="B214" t="str">
        <v>Công an xã Bình Dương  tỉnh Quảng Ninh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6214</v>
      </c>
      <c r="B215" t="str">
        <f>HYPERLINK("https://dongtrieu.quangninh.gov.vn/Trang/ChiTietBVGioiThieu.aspx?bvid=190", "UBND Ủy ban nhân dân xã Bình Dương  tỉnh Quảng Ninh")</f>
        <v>UBND Ủy ban nhân dân xã Bình Dương  tỉnh Quảng Ninh</v>
      </c>
      <c r="C215" t="str">
        <v>https://dongtrieu.quangninh.gov.vn/Trang/ChiTietBVGioiThieu.aspx?bvid=190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6215</v>
      </c>
      <c r="B216" t="str">
        <v>Công an phường Đức Chính  tỉnh Quảng Ninh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6216</v>
      </c>
      <c r="B217" t="str">
        <f>HYPERLINK("https://www.quangninh.gov.vn/donvi/phuongducchinh/Trang/ChiTietBVGioiThieu.aspx?bvid=5", "UBND Ủy ban nhân dân phường Đức Chính  tỉnh Quảng Ninh")</f>
        <v>UBND Ủy ban nhân dân phường Đức Chính  tỉnh Quảng Ninh</v>
      </c>
      <c r="C217" t="str">
        <v>https://www.quangninh.gov.vn/donvi/phuongducchinh/Trang/ChiTietBVGioiThieu.aspx?bvid=5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6217</v>
      </c>
      <c r="B218" t="str">
        <v>Công an xã Tràng An  tỉnh Quảng Ninh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6218</v>
      </c>
      <c r="B219" t="str">
        <f>HYPERLINK("https://www.quangninh.gov.vn/donvi/xatrangan/Trang/ChiTietBVGioiThieu.aspx?bvid=1", "UBND Ủy ban nhân dân xã Tràng An  tỉnh Quảng Ninh")</f>
        <v>UBND Ủy ban nhân dân xã Tràng An  tỉnh Quảng Ninh</v>
      </c>
      <c r="C219" t="str">
        <v>https://www.quangninh.gov.vn/donvi/xatrangan/Trang/ChiTietBVGioiThieu.aspx?bvid=1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6219</v>
      </c>
      <c r="B220" t="str">
        <v>Công an xã Nguyễn Huệ  tỉnh Quảng Ninh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6220</v>
      </c>
      <c r="B221" t="str">
        <f>HYPERLINK("https://www.quangninh.gov.vn/donvi/xanguyenhue/Trang/ChiTietBVGioiThieu.aspx?bvid=2", "UBND Ủy ban nhân dân xã Nguyễn Huệ  tỉnh Quảng Ninh")</f>
        <v>UBND Ủy ban nhân dân xã Nguyễn Huệ  tỉnh Quảng Ninh</v>
      </c>
      <c r="C221" t="str">
        <v>https://www.quangninh.gov.vn/donvi/xanguyenhue/Trang/ChiTietBVGioiThieu.aspx?bvid=2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6221</v>
      </c>
      <c r="B222" t="str">
        <v>Công an xã Thủy An  tỉnh Quảng Ninh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6222</v>
      </c>
      <c r="B223" t="str">
        <f>HYPERLINK("https://dongtrieu.quangninh.gov.vn/Trang/ChiTietBVGioiThieu.aspx?bvid=207", "UBND Ủy ban nhân dân xã Thủy An  tỉnh Quảng Ninh")</f>
        <v>UBND Ủy ban nhân dân xã Thủy An  tỉnh Quảng Ninh</v>
      </c>
      <c r="C223" t="str">
        <v>https://dongtrieu.quangninh.gov.vn/Trang/ChiTietBVGioiThieu.aspx?bvid=207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6223</v>
      </c>
      <c r="B224" t="str">
        <f>HYPERLINK("https://www.facebook.com/UBNDXuanSon/", "Công an phường Xuân Sơn  tỉnh Quảng Ninh")</f>
        <v>Công an phường Xuân Sơn  tỉnh Quảng Ninh</v>
      </c>
      <c r="C224" t="str">
        <v>https://www.facebook.com/UBNDXuanSon/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6224</v>
      </c>
      <c r="B225" t="str">
        <f>HYPERLINK("https://dongtrieu.quangninh.gov.vn/Trang/ChiTietBVGioiThieu.aspx?bvid=215", "UBND Ủy ban nhân dân phường Xuân Sơn  tỉnh Quảng Ninh")</f>
        <v>UBND Ủy ban nhân dân phường Xuân Sơn  tỉnh Quảng Ninh</v>
      </c>
      <c r="C225" t="str">
        <v>https://dongtrieu.quangninh.gov.vn/Trang/ChiTietBVGioiThieu.aspx?bvid=215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6225</v>
      </c>
      <c r="B226" t="str">
        <f>HYPERLINK("https://www.facebook.com/p/H%E1%BB%93ng-th%C3%A1i-t%C3%A2y-%C4%90%C3%B4ng-Tri%E1%BB%81u-Qu%E1%BA%A3ng-Ninh-100063798630454/", "Công an xã Hồng Thái Tây  tỉnh Quảng Ninh")</f>
        <v>Công an xã Hồng Thái Tây  tỉnh Quảng Ninh</v>
      </c>
      <c r="C226" t="str">
        <v>https://www.facebook.com/p/H%E1%BB%93ng-th%C3%A1i-t%C3%A2y-%C4%90%C3%B4ng-Tri%E1%BB%81u-Qu%E1%BA%A3ng-Ninh-100063798630454/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6226</v>
      </c>
      <c r="B227" t="str">
        <f>HYPERLINK("https://dongtrieu.quangninh.gov.vn/Trang/ChiTietBVGioiThieu.aspx?bvid=219", "UBND Ủy ban nhân dân xã Hồng Thái Tây  tỉnh Quảng Ninh")</f>
        <v>UBND Ủy ban nhân dân xã Hồng Thái Tây  tỉnh Quảng Ninh</v>
      </c>
      <c r="C227" t="str">
        <v>https://dongtrieu.quangninh.gov.vn/Trang/ChiTietBVGioiThieu.aspx?bvid=219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6227</v>
      </c>
      <c r="B228" t="str">
        <f>HYPERLINK("https://www.facebook.com/xahongthaidong/?locale=vi_VN", "Công an xã Hồng Thái Đông  tỉnh Quảng Ninh")</f>
        <v>Công an xã Hồng Thái Đông  tỉnh Quảng Ninh</v>
      </c>
      <c r="C228" t="str">
        <v>https://www.facebook.com/xahongthaidong/?locale=vi_VN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6228</v>
      </c>
      <c r="B229" t="str">
        <f>HYPERLINK("https://dongtrieu.quangninh.gov.vn/Trang/ChiTietBVGioiThieu.aspx?bvid=220", "UBND Ủy ban nhân dân xã Hồng Thái Đông  tỉnh Quảng Ninh")</f>
        <v>UBND Ủy ban nhân dân xã Hồng Thái Đông  tỉnh Quảng Ninh</v>
      </c>
      <c r="C229" t="str">
        <v>https://dongtrieu.quangninh.gov.vn/Trang/ChiTietBVGioiThieu.aspx?bvid=220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6229</v>
      </c>
      <c r="B230" t="str">
        <f>HYPERLINK("https://www.facebook.com/ubndphuonghoangque/", "Công an xã Hoàng Quế  tỉnh Quảng Ninh")</f>
        <v>Công an xã Hoàng Quế  tỉnh Quảng Ninh</v>
      </c>
      <c r="C230" t="str">
        <v>https://www.facebook.com/ubndphuonghoangque/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6230</v>
      </c>
      <c r="B231" t="str">
        <f>HYPERLINK("https://dongtrieu.quangninh.gov.vn/Trang/ChiTietBVGioiThieu.aspx?bvid=182", "UBND Ủy ban nhân dân xã Hoàng Quế  tỉnh Quảng Ninh")</f>
        <v>UBND Ủy ban nhân dân xã Hoàng Quế  tỉnh Quảng Ninh</v>
      </c>
      <c r="C231" t="str">
        <v>https://dongtrieu.quangninh.gov.vn/Trang/ChiTietBVGioiThieu.aspx?bvid=182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6231</v>
      </c>
      <c r="B232" t="str">
        <f>HYPERLINK("https://www.facebook.com/p/Ph%C6%B0%E1%BB%9Dng-Y%C3%AAn-Th%E1%BB%8D-Th%E1%BB%8B-x%C3%A3-%C4%90%C3%B4ng-Tri%E1%BB%81u-T%E1%BB%89nh-Qu%E1%BA%A3ng-Ninh-100046929739539/", "Công an xã Yên Thọ  tỉnh Quảng Ninh")</f>
        <v>Công an xã Yên Thọ  tỉnh Quảng Ninh</v>
      </c>
      <c r="C232" t="str">
        <v>https://www.facebook.com/p/Ph%C6%B0%E1%BB%9Dng-Y%C3%AAn-Th%E1%BB%8D-Th%E1%BB%8B-x%C3%A3-%C4%90%C3%B4ng-Tri%E1%BB%81u-T%E1%BB%89nh-Qu%E1%BA%A3ng-Ninh-100046929739539/</v>
      </c>
      <c r="D232" t="str">
        <v>-</v>
      </c>
      <c r="E232" t="str">
        <v>02033871313</v>
      </c>
      <c r="F232" t="str">
        <v>-</v>
      </c>
      <c r="G232" t="str">
        <v>Yên Lãng 3, Yên Thọ, Đông Triều, Quảng Ninh, Ã?ong Trieu, Vietnam</v>
      </c>
    </row>
    <row r="233">
      <c r="A233">
        <v>6232</v>
      </c>
      <c r="B233" t="str">
        <f>HYPERLINK("https://dongtrieu.quangninh.gov.vn/Trang/ChiTietBVGioiThieu.aspx?bvid=218", "UBND Ủy ban nhân dân xã Yên Thọ  tỉnh Quảng Ninh")</f>
        <v>UBND Ủy ban nhân dân xã Yên Thọ  tỉnh Quảng Ninh</v>
      </c>
      <c r="C233" t="str">
        <v>https://dongtrieu.quangninh.gov.vn/Trang/ChiTietBVGioiThieu.aspx?bvid=218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6233</v>
      </c>
      <c r="B234" t="str">
        <v>Công an xã Hồng Phong  tỉnh Quảng Ninh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6234</v>
      </c>
      <c r="B235" t="str">
        <f>HYPERLINK("https://dongtrieu.quangninh.gov.vn/Trang/ChiTietBVGioiThieu.aspx?bvid=206", "UBND Ủy ban nhân dân xã Hồng Phong  tỉnh Quảng Ninh")</f>
        <v>UBND Ủy ban nhân dân xã Hồng Phong  tỉnh Quảng Ninh</v>
      </c>
      <c r="C235" t="str">
        <v>https://dongtrieu.quangninh.gov.vn/Trang/ChiTietBVGioiThieu.aspx?bvid=206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6235</v>
      </c>
      <c r="B236" t="str">
        <f>HYPERLINK("https://www.facebook.com/p/Tu%E1%BB%95i-tr%E1%BA%BB-ph%C6%B0%E1%BB%9Dng-Kim-S%C6%A1n-100068969837544/", "Công an phường Kim Sơn  tỉnh Quảng Ninh")</f>
        <v>Công an phường Kim Sơn  tỉnh Quảng Ninh</v>
      </c>
      <c r="C236" t="str">
        <v>https://www.facebook.com/p/Tu%E1%BB%95i-tr%E1%BA%BB-ph%C6%B0%E1%BB%9Dng-Kim-S%C6%A1n-100068969837544/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6236</v>
      </c>
      <c r="B237" t="str">
        <f>HYPERLINK("https://www.quangninh.gov.vn/donvi/phuongkimson/Trang/ChiTietBVGioiThieu.aspx?bvid=2", "UBND Ủy ban nhân dân phường Kim Sơn  tỉnh Quảng Ninh")</f>
        <v>UBND Ủy ban nhân dân phường Kim Sơn  tỉnh Quảng Ninh</v>
      </c>
      <c r="C237" t="str">
        <v>https://www.quangninh.gov.vn/donvi/phuongkimson/Trang/ChiTietBVGioiThieu.aspx?bvid=2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6237</v>
      </c>
      <c r="B238" t="str">
        <f>HYPERLINK("https://www.facebook.com/HungDao.DongTrieu.QN/", "Công an phường Hưng Đạo  tỉnh Quảng Ninh")</f>
        <v>Công an phường Hưng Đạo  tỉnh Quảng Ninh</v>
      </c>
      <c r="C238" t="str">
        <v>https://www.facebook.com/HungDao.DongTrieu.QN/</v>
      </c>
      <c r="D238" t="str">
        <v>-</v>
      </c>
      <c r="E238" t="str">
        <v/>
      </c>
      <c r="F238" t="str">
        <v>-</v>
      </c>
      <c r="G238" t="str">
        <v>Phường Hưng Đạo</v>
      </c>
    </row>
    <row r="239">
      <c r="A239">
        <v>6238</v>
      </c>
      <c r="B239" t="str">
        <f>HYPERLINK("https://dongtrieu.quangninh.gov.vn/Trang/ChiTietBVGioiThieu.aspx?bvid=214", "UBND Ủy ban nhân dân phường Hưng Đạo  tỉnh Quảng Ninh")</f>
        <v>UBND Ủy ban nhân dân phường Hưng Đạo  tỉnh Quảng Ninh</v>
      </c>
      <c r="C239" t="str">
        <v>https://dongtrieu.quangninh.gov.vn/Trang/ChiTietBVGioiThieu.aspx?bvid=214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6239</v>
      </c>
      <c r="B240" t="str">
        <v>Công an xã Yên Đức  tỉnh Quảng Ninh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6240</v>
      </c>
      <c r="B241" t="str">
        <f>HYPERLINK("https://dongtrieu.quangninh.gov.vn/Trang/ChiTietBVGioiThieu.aspx?bvid=217", "UBND Ủy ban nhân dân xã Yên Đức  tỉnh Quảng Ninh")</f>
        <v>UBND Ủy ban nhân dân xã Yên Đức  tỉnh Quảng Ninh</v>
      </c>
      <c r="C241" t="str">
        <v>https://dongtrieu.quangninh.gov.vn/Trang/ChiTietBVGioiThieu.aspx?bvid=217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6241</v>
      </c>
      <c r="B242" t="str">
        <v>Công an phường Quảng Yên  tỉnh Quảng Ninh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6242</v>
      </c>
      <c r="B243" t="str">
        <f>HYPERLINK("https://www.quangninh.gov.vn/donvi/TXQuangYen/Trang/ChiTietBVGioiThieu.aspx?bvid=197", "UBND Ủy ban nhân dân phường Quảng Yên  tỉnh Quảng Ninh")</f>
        <v>UBND Ủy ban nhân dân phường Quảng Yên  tỉnh Quảng Ninh</v>
      </c>
      <c r="C243" t="str">
        <v>https://www.quangninh.gov.vn/donvi/TXQuangYen/Trang/ChiTietBVGioiThieu.aspx?bvid=197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6243</v>
      </c>
      <c r="B244" t="str">
        <f>HYPERLINK("https://www.facebook.com/p/M%E1%BA%B7t-tr%E1%BA%ADn-ph%C6%B0%E1%BB%9Dng-%C4%90%C3%B4ng-Mai-Qu%E1%BA%A3ng-Y%C3%AAn-Qu%E1%BA%A3ng-Ninh-100082081204420/", "Công an phường Đông Mai  tỉnh Quảng Ninh")</f>
        <v>Công an phường Đông Mai  tỉnh Quảng Ninh</v>
      </c>
      <c r="C244" t="str">
        <v>https://www.facebook.com/p/M%E1%BA%B7t-tr%E1%BA%ADn-ph%C6%B0%E1%BB%9Dng-%C4%90%C3%B4ng-Mai-Qu%E1%BA%A3ng-Y%C3%AAn-Qu%E1%BA%A3ng-Ninh-100082081204420/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6244</v>
      </c>
      <c r="B245" t="str">
        <f>HYPERLINK("https://www.quangninh.gov.vn/donvi/TXQuangYen/Trang/ChiTietBVGioiThieu.aspx?bvid=200", "UBND Ủy ban nhân dân phường Đông Mai  tỉnh Quảng Ninh")</f>
        <v>UBND Ủy ban nhân dân phường Đông Mai  tỉnh Quảng Ninh</v>
      </c>
      <c r="C245" t="str">
        <v>https://www.quangninh.gov.vn/donvi/TXQuangYen/Trang/ChiTietBVGioiThieu.aspx?bvid=200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6245</v>
      </c>
      <c r="B246" t="str">
        <v>Công an phường Minh Thành  tỉnh Quảng Ninh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6246</v>
      </c>
      <c r="B247" t="str">
        <f>HYPERLINK("https://www.quangninh.gov.vn/donvi/TXQuangYen/Trang/ChiTietBVGioiThieu.aspx?bvid=205", "UBND Ủy ban nhân dân phường Minh Thành  tỉnh Quảng Ninh")</f>
        <v>UBND Ủy ban nhân dân phường Minh Thành  tỉnh Quảng Ninh</v>
      </c>
      <c r="C247" t="str">
        <v>https://www.quangninh.gov.vn/donvi/TXQuangYen/Trang/ChiTietBVGioiThieu.aspx?bvid=205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6247</v>
      </c>
      <c r="B248" t="str">
        <f>HYPERLINK("https://www.facebook.com/suctreQuangNinh/?locale=sq_AL", "Công an xã Sông Khoai  tỉnh Quảng Ninh")</f>
        <v>Công an xã Sông Khoai  tỉnh Quảng Ninh</v>
      </c>
      <c r="C248" t="str">
        <v>https://www.facebook.com/suctreQuangNinh/?locale=sq_AL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6248</v>
      </c>
      <c r="B249" t="str">
        <f>HYPERLINK("https://www.quangninh.gov.vn/donvi/TXQuangYen/Trang/ChiTietBVGioiThieu.aspx?bvid=209", "UBND Ủy ban nhân dân xã Sông Khoai  tỉnh Quảng Ninh")</f>
        <v>UBND Ủy ban nhân dân xã Sông Khoai  tỉnh Quảng Ninh</v>
      </c>
      <c r="C249" t="str">
        <v>https://www.quangninh.gov.vn/donvi/TXQuangYen/Trang/ChiTietBVGioiThieu.aspx?bvid=209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6249</v>
      </c>
      <c r="B250" t="str">
        <v>Công an xã Hiệp Hòa  tỉnh Quảng Ninh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6250</v>
      </c>
      <c r="B251" t="str">
        <f>HYPERLINK("https://www.quangninh.gov.vn/donvi/TXQuangYen/Trang/ChiTietBVGioiThieu.aspx?bvid=203", "UBND Ủy ban nhân dân xã Hiệp Hòa  tỉnh Quảng Ninh")</f>
        <v>UBND Ủy ban nhân dân xã Hiệp Hòa  tỉnh Quảng Ninh</v>
      </c>
      <c r="C251" t="str">
        <v>https://www.quangninh.gov.vn/donvi/TXQuangYen/Trang/ChiTietBVGioiThieu.aspx?bvid=203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6251</v>
      </c>
      <c r="B252" t="str">
        <v>Công an phường Cộng Hòa  tỉnh Quảng Ninh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6252</v>
      </c>
      <c r="B253" t="str">
        <f>HYPERLINK("https://www.quangninh.gov.vn/donvi/TXQuangYen/Trang/ChiTietBVGioiThieu.aspx?bvid=199", "UBND Ủy ban nhân dân phường Cộng Hòa  tỉnh Quảng Ninh")</f>
        <v>UBND Ủy ban nhân dân phường Cộng Hòa  tỉnh Quảng Ninh</v>
      </c>
      <c r="C253" t="str">
        <v>https://www.quangninh.gov.vn/donvi/TXQuangYen/Trang/ChiTietBVGioiThieu.aspx?bvid=199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6253</v>
      </c>
      <c r="B254" t="str">
        <v>Công an xã Tiền An  tỉnh Quảng Ninh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6254</v>
      </c>
      <c r="B255" t="str">
        <f>HYPERLINK("https://www.quangninh.gov.vn/donvi/TXQuangYen/Trang/ChiTietBVGioiThieu.aspx?bvid=211", "UBND Ủy ban nhân dân xã Tiền An  tỉnh Quảng Ninh")</f>
        <v>UBND Ủy ban nhân dân xã Tiền An  tỉnh Quảng Ninh</v>
      </c>
      <c r="C255" t="str">
        <v>https://www.quangninh.gov.vn/donvi/TXQuangYen/Trang/ChiTietBVGioiThieu.aspx?bvid=211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6255</v>
      </c>
      <c r="B256" t="str">
        <f>HYPERLINK("https://www.facebook.com/p/X%C3%A3-Ho%C3%A0ng-T%C3%A2n-th%E1%BB%8B-x%C3%A3-Qu%E1%BA%A3ng-Y%C3%AAn-100064352455830/", "Công an xã Hoàng Tân  tỉnh Quảng Ninh")</f>
        <v>Công an xã Hoàng Tân  tỉnh Quảng Ninh</v>
      </c>
      <c r="C256" t="str">
        <v>https://www.facebook.com/p/X%C3%A3-Ho%C3%A0ng-T%C3%A2n-th%E1%BB%8B-x%C3%A3-Qu%E1%BA%A3ng-Y%C3%AAn-100064352455830/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6256</v>
      </c>
      <c r="B257" t="str">
        <f>HYPERLINK("https://www.quangninh.gov.vn/donvi/TXQuangYen/Trang/ChiTietBVGioiThieu.aspx?bvid=204", "UBND Ủy ban nhân dân xã Hoàng Tân  tỉnh Quảng Ninh")</f>
        <v>UBND Ủy ban nhân dân xã Hoàng Tân  tỉnh Quảng Ninh</v>
      </c>
      <c r="C257" t="str">
        <v>https://www.quangninh.gov.vn/donvi/TXQuangYen/Trang/ChiTietBVGioiThieu.aspx?bvid=204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6257</v>
      </c>
      <c r="B258" t="str">
        <f>HYPERLINK("https://www.facebook.com/p/C%C3%B4ng-an-Ph%C6%B0%E1%BB%9Dng-T%C3%A2n-An-Th%E1%BB%8B-x%C3%A3-Qu%E1%BA%A3ng-Y%C3%AAn-100075915578321/", "Công an phường Tân An  tỉnh Quảng Ninh")</f>
        <v>Công an phường Tân An  tỉnh Quảng Ninh</v>
      </c>
      <c r="C258" t="str">
        <v>https://www.facebook.com/p/C%C3%B4ng-an-Ph%C6%B0%E1%BB%9Dng-T%C3%A2n-An-Th%E1%BB%8B-x%C3%A3-Qu%E1%BA%A3ng-Y%C3%AAn-100075915578321/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6258</v>
      </c>
      <c r="B259" t="str">
        <f>HYPERLINK("https://www.quangninh.gov.vn/donvi/TXQuangYen/Trang/ChiTietBVGioiThieu.aspx?bvid=210", "UBND Ủy ban nhân dân phường Tân An  tỉnh Quảng Ninh")</f>
        <v>UBND Ủy ban nhân dân phường Tân An  tỉnh Quảng Ninh</v>
      </c>
      <c r="C259" t="str">
        <v>https://www.quangninh.gov.vn/donvi/TXQuangYen/Trang/ChiTietBVGioiThieu.aspx?bvid=210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6259</v>
      </c>
      <c r="B260" t="str">
        <f>HYPERLINK("https://www.facebook.com/UBNDphuongYenGiang/", "Công an phường Yên Giang  tỉnh Quảng Ninh")</f>
        <v>Công an phường Yên Giang  tỉnh Quảng Ninh</v>
      </c>
      <c r="C260" t="str">
        <v>https://www.facebook.com/UBNDphuongYenGiang/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6260</v>
      </c>
      <c r="B261" t="str">
        <f>HYPERLINK("https://www.quangninh.gov.vn/donvi/phuongyengiang/Trang/ChiTietBVGioiThieu.aspx?bvid=4", "UBND Ủy ban nhân dân phường Yên Giang  tỉnh Quảng Ninh")</f>
        <v>UBND Ủy ban nhân dân phường Yên Giang  tỉnh Quảng Ninh</v>
      </c>
      <c r="C261" t="str">
        <v>https://www.quangninh.gov.vn/donvi/phuongyengiang/Trang/ChiTietBVGioiThieu.aspx?bvid=4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6261</v>
      </c>
      <c r="B262" t="str">
        <f>HYPERLINK("https://www.facebook.com/p/C%C3%B4ng-an-ph%C6%B0%E1%BB%9Dng-Nam-Ho%C3%A0-C%C3%B4ng-an-th%E1%BB%8B-x%C3%A3-Qu%E1%BA%A3ng-Y%C3%AAn-100070869695745/", "Công an phường Nam Hoà  tỉnh Quảng Ninh")</f>
        <v>Công an phường Nam Hoà  tỉnh Quảng Ninh</v>
      </c>
      <c r="C262" t="str">
        <v>https://www.facebook.com/p/C%C3%B4ng-an-ph%C6%B0%E1%BB%9Dng-Nam-Ho%C3%A0-C%C3%B4ng-an-th%E1%BB%8B-x%C3%A3-Qu%E1%BA%A3ng-Y%C3%AAn-100070869695745/</v>
      </c>
      <c r="D262" t="str">
        <v>0356452056</v>
      </c>
      <c r="E262" t="str">
        <v>-</v>
      </c>
      <c r="F262" t="str">
        <v>-</v>
      </c>
      <c r="G262" t="str">
        <v>-</v>
      </c>
    </row>
    <row r="263">
      <c r="A263">
        <v>6262</v>
      </c>
      <c r="B263" t="str">
        <f>HYPERLINK("https://www.quangninh.gov.vn/donvi/TXQuangYen/Trang/ChiTietBVGioiThieu.aspx?bvid=206", "UBND Ủy ban nhân dân phường Nam Hoà  tỉnh Quảng Ninh")</f>
        <v>UBND Ủy ban nhân dân phường Nam Hoà  tỉnh Quảng Ninh</v>
      </c>
      <c r="C263" t="str">
        <v>https://www.quangninh.gov.vn/donvi/TXQuangYen/Trang/ChiTietBVGioiThieu.aspx?bvid=206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6263</v>
      </c>
      <c r="B264" t="str">
        <f>HYPERLINK("https://www.facebook.com/ubndphuonghatu/", "Công an phường Hà An  tỉnh Quảng Ninh")</f>
        <v>Công an phường Hà An  tỉnh Quảng Ninh</v>
      </c>
      <c r="C264" t="str">
        <v>https://www.facebook.com/ubndphuonghatu/</v>
      </c>
      <c r="D264" t="str">
        <v>-</v>
      </c>
      <c r="E264" t="str">
        <v>02033835910</v>
      </c>
      <c r="F264" t="str">
        <v>-</v>
      </c>
      <c r="G264" t="str">
        <v>-</v>
      </c>
    </row>
    <row r="265">
      <c r="A265">
        <v>6264</v>
      </c>
      <c r="B265" t="str">
        <f>HYPERLINK("https://www.quangninh.gov.vn/donvi/TXQuangYen/Trang/ChiTietBVGioiThieu.aspx?bvid=201", "UBND Ủy ban nhân dân phường Hà An  tỉnh Quảng Ninh")</f>
        <v>UBND Ủy ban nhân dân phường Hà An  tỉnh Quảng Ninh</v>
      </c>
      <c r="C265" t="str">
        <v>https://www.quangninh.gov.vn/donvi/TXQuangYen/Trang/ChiTietBVGioiThieu.aspx?bvid=201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6265</v>
      </c>
      <c r="B266" t="str">
        <v>Công an xã Cẩm La  tỉnh Quảng Ninh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6266</v>
      </c>
      <c r="B267" t="str">
        <f>HYPERLINK("https://www.quangninh.gov.vn/donvi/TXQuangYen/Trang/ChiTietBVGioiThieu.aspx?bvid=198", "UBND Ủy ban nhân dân xã Cẩm La  tỉnh Quảng Ninh")</f>
        <v>UBND Ủy ban nhân dân xã Cẩm La  tỉnh Quảng Ninh</v>
      </c>
      <c r="C267" t="str">
        <v>https://www.quangninh.gov.vn/donvi/TXQuangYen/Trang/ChiTietBVGioiThieu.aspx?bvid=198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6267</v>
      </c>
      <c r="B268" t="str">
        <f>HYPERLINK("https://www.facebook.com/265963428377240", "Công an phường Phong Hải  tỉnh Quảng Ninh")</f>
        <v>Công an phường Phong Hải  tỉnh Quảng Ninh</v>
      </c>
      <c r="C268" t="str">
        <v>https://www.facebook.com/265963428377240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6268</v>
      </c>
      <c r="B269" t="str">
        <f>HYPERLINK("https://www.quangninh.gov.vn/donvi/TXQuangYen/Trang/ChiTietBVGioiThieu.aspx?bvid=208", "UBND Ủy ban nhân dân phường Phong Hải  tỉnh Quảng Ninh")</f>
        <v>UBND Ủy ban nhân dân phường Phong Hải  tỉnh Quảng Ninh</v>
      </c>
      <c r="C269" t="str">
        <v>https://www.quangninh.gov.vn/donvi/TXQuangYen/Trang/ChiTietBVGioiThieu.aspx?bvid=208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6269</v>
      </c>
      <c r="B270" t="str">
        <f>HYPERLINK("https://www.facebook.com/suctreQuangNinh/", "Công an phường Yên Hải  tỉnh Quảng Ninh")</f>
        <v>Công an phường Yên Hải  tỉnh Quảng Ninh</v>
      </c>
      <c r="C270" t="str">
        <v>https://www.facebook.com/suctreQuangNinh/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6270</v>
      </c>
      <c r="B271" t="str">
        <f>HYPERLINK("https://www.quangninh.gov.vn/donvi/TXQuangYen/Trang/ChiTietBVGioiThieu.aspx?bvid=214", "UBND Ủy ban nhân dân phường Yên Hải  tỉnh Quảng Ninh")</f>
        <v>UBND Ủy ban nhân dân phường Yên Hải  tỉnh Quảng Ninh</v>
      </c>
      <c r="C271" t="str">
        <v>https://www.quangninh.gov.vn/donvi/TXQuangYen/Trang/ChiTietBVGioiThieu.aspx?bvid=214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6271</v>
      </c>
      <c r="B272" t="str">
        <f>HYPERLINK("https://www.facebook.com/conganlienhoa/", "Công an xã Liên Hòa  tỉnh Quảng Ninh")</f>
        <v>Công an xã Liên Hòa  tỉnh Quảng Ninh</v>
      </c>
      <c r="C272" t="str">
        <v>https://www.facebook.com/conganlienhoa/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6272</v>
      </c>
      <c r="B273" t="str">
        <f>HYPERLINK("https://www.quangninh.gov.vn/", "UBND Ủy ban nhân dân xã Liên Hòa  tỉnh Quảng Ninh")</f>
        <v>UBND Ủy ban nhân dân xã Liên Hòa  tỉnh Quảng Ninh</v>
      </c>
      <c r="C273" t="str">
        <v>https://www.quangninh.gov.vn/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6273</v>
      </c>
      <c r="B274" t="str">
        <v>Công an phường Phong Cốc  tỉnh Quảng Ninh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6274</v>
      </c>
      <c r="B275" t="str">
        <f>HYPERLINK("https://www.quangninh.gov.vn/donvi/TXQuangYen/Trang/ChiTietBVGioiThieu.aspx?bvid=207", "UBND Ủy ban nhân dân phường Phong Cốc  tỉnh Quảng Ninh")</f>
        <v>UBND Ủy ban nhân dân phường Phong Cốc  tỉnh Quảng Ninh</v>
      </c>
      <c r="C275" t="str">
        <v>https://www.quangninh.gov.vn/donvi/TXQuangYen/Trang/ChiTietBVGioiThieu.aspx?bvid=207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6275</v>
      </c>
      <c r="B276" t="str">
        <v>Công an xã Liên Vị  tỉnh Quảng Ninh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6276</v>
      </c>
      <c r="B277" t="str">
        <f>HYPERLINK("https://www.quangninh.gov.vn/donvi/TXQuangYen/Trang/ChiTietBVGioiThieu.aspx?bvid=215", "UBND Ủy ban nhân dân xã Liên Vị  tỉnh Quảng Ninh")</f>
        <v>UBND Ủy ban nhân dân xã Liên Vị  tỉnh Quảng Ninh</v>
      </c>
      <c r="C277" t="str">
        <v>https://www.quangninh.gov.vn/donvi/TXQuangYen/Trang/ChiTietBVGioiThieu.aspx?bvid=215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6277</v>
      </c>
      <c r="B278" t="str">
        <v>Công an xã Tiền Phong  tỉnh Quảng Ninh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6278</v>
      </c>
      <c r="B279" t="str">
        <f>HYPERLINK("https://www.quangninh.gov.vn/donvi/TXQuangYen/Trang/ChiTietBVGioiThieu.aspx?bvid=212", "UBND Ủy ban nhân dân xã Tiền Phong  tỉnh Quảng Ninh")</f>
        <v>UBND Ủy ban nhân dân xã Tiền Phong  tỉnh Quảng Ninh</v>
      </c>
      <c r="C279" t="str">
        <v>https://www.quangninh.gov.vn/donvi/TXQuangYen/Trang/ChiTietBVGioiThieu.aspx?bvid=212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6279</v>
      </c>
      <c r="B280" t="str">
        <v>Công an thị trấn Cô Tô  tỉnh Quảng Ninh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6280</v>
      </c>
      <c r="B281" t="str">
        <f>HYPERLINK("https://www.quangninh.gov.vn/donvi/huyencoto/Trang/ChiTietBVGioiThieu.aspx?bvid=114", "UBND Ủy ban nhân dân thị trấn Cô Tô  tỉnh Quảng Ninh")</f>
        <v>UBND Ủy ban nhân dân thị trấn Cô Tô  tỉnh Quảng Ninh</v>
      </c>
      <c r="C281" t="str">
        <v>https://www.quangninh.gov.vn/donvi/huyencoto/Trang/ChiTietBVGioiThieu.aspx?bvid=114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6281</v>
      </c>
      <c r="B282" t="str">
        <f>HYPERLINK("https://www.facebook.com/CaxDongTien.TS/", "Công an xã Đồng Tiến  tỉnh Quảng Ninh")</f>
        <v>Công an xã Đồng Tiến  tỉnh Quảng Ninh</v>
      </c>
      <c r="C282" t="str">
        <v>https://www.facebook.com/CaxDongTien.TS/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6282</v>
      </c>
      <c r="B283" t="str">
        <f>HYPERLINK("https://www.quangninh.gov.vn/donvi/huyencoto/Trang/ChiTietBVGioiThieu.aspx?bvid=95", "UBND Ủy ban nhân dân xã Đồng Tiến  tỉnh Quảng Ninh")</f>
        <v>UBND Ủy ban nhân dân xã Đồng Tiến  tỉnh Quảng Ninh</v>
      </c>
      <c r="C283" t="str">
        <v>https://www.quangninh.gov.vn/donvi/huyencoto/Trang/ChiTietBVGioiThieu.aspx?bvid=95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6283</v>
      </c>
      <c r="B284" t="str">
        <f>HYPERLINK("https://www.facebook.com/100075797689158", "Công an xã Thanh Lân  tỉnh Quảng Ninh")</f>
        <v>Công an xã Thanh Lân  tỉnh Quảng Ninh</v>
      </c>
      <c r="C284" t="str">
        <v>https://www.facebook.com/100075797689158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6284</v>
      </c>
      <c r="B285" t="str">
        <f>HYPERLINK("https://www.quangninh.gov.vn/donvi/xathanhlan/Trang/ChiTietBVGioiThieu.aspx?bvid=1", "UBND Ủy ban nhân dân xã Thanh Lân  tỉnh Quảng Ninh")</f>
        <v>UBND Ủy ban nhân dân xã Thanh Lân  tỉnh Quảng Ninh</v>
      </c>
      <c r="C285" t="str">
        <v>https://www.quangninh.gov.vn/donvi/xathanhlan/Trang/ChiTietBVGioiThieu.aspx?bvid=1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6285</v>
      </c>
      <c r="B286" t="str">
        <v>Công an phường Thọ Xương  tỉnh Bắc Giang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6286</v>
      </c>
      <c r="B287" t="str">
        <f>HYPERLINK("https://thoxuong.tpbacgiang.bacgiang.gov.vn/", "UBND Ủy ban nhân dân phường Thọ Xương  tỉnh Bắc Giang")</f>
        <v>UBND Ủy ban nhân dân phường Thọ Xương  tỉnh Bắc Giang</v>
      </c>
      <c r="C287" t="str">
        <v>https://thoxuong.tpbacgiang.bacgiang.gov.vn/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6287</v>
      </c>
      <c r="B288" t="str">
        <v>Công an phường Trần Nguyên Hãn  tỉnh Bắc Giang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6288</v>
      </c>
      <c r="B289" t="str">
        <f>HYPERLINK("https://trannguyenhan.tpbacgiang.bacgiang.gov.vn/", "UBND Ủy ban nhân dân phường Trần Nguyên Hãn  tỉnh Bắc Giang")</f>
        <v>UBND Ủy ban nhân dân phường Trần Nguyên Hãn  tỉnh Bắc Giang</v>
      </c>
      <c r="C289" t="str">
        <v>https://trannguyenhan.tpbacgiang.bacgiang.gov.vn/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6289</v>
      </c>
      <c r="B290" t="str">
        <v>Công an phường Ngô Quyền  tỉnh Bắc Giang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6290</v>
      </c>
      <c r="B291" t="str">
        <f>HYPERLINK("https://ngoquyen.tpbacgiang.bacgiang.gov.vn/", "UBND Ủy ban nhân dân phường Ngô Quyền  tỉnh Bắc Giang")</f>
        <v>UBND Ủy ban nhân dân phường Ngô Quyền  tỉnh Bắc Giang</v>
      </c>
      <c r="C291" t="str">
        <v>https://ngoquyen.tpbacgiang.bacgiang.gov.vn/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6291</v>
      </c>
      <c r="B292" t="str">
        <v>Công an phường Hoàng Văn Thụ  tỉnh Bắc Giang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6292</v>
      </c>
      <c r="B293" t="str">
        <f>HYPERLINK("https://hoangvanthu.tpbacgiang.bacgiang.gov.vn/", "UBND Ủy ban nhân dân phường Hoàng Văn Thụ  tỉnh Bắc Giang")</f>
        <v>UBND Ủy ban nhân dân phường Hoàng Văn Thụ  tỉnh Bắc Giang</v>
      </c>
      <c r="C293" t="str">
        <v>https://hoangvanthu.tpbacgiang.bacgiang.gov.vn/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6293</v>
      </c>
      <c r="B294" t="str">
        <v>Công an phường Trần Phú  tỉnh Bắc Giang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6294</v>
      </c>
      <c r="B295" t="str">
        <f>HYPERLINK("https://tranphu.tpbacgiang.bacgiang.gov.vn/", "UBND Ủy ban nhân dân phường Trần Phú  tỉnh Bắc Giang")</f>
        <v>UBND Ủy ban nhân dân phường Trần Phú  tỉnh Bắc Giang</v>
      </c>
      <c r="C295" t="str">
        <v>https://tranphu.tpbacgiang.bacgiang.gov.vn/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6295</v>
      </c>
      <c r="B296" t="str">
        <v>Công an phường Mỹ Độ  tỉnh Bắc Giang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6296</v>
      </c>
      <c r="B297" t="str">
        <f>HYPERLINK("https://mydo.tpbacgiang.bacgiang.gov.vn/", "UBND Ủy ban nhân dân phường Mỹ Độ  tỉnh Bắc Giang")</f>
        <v>UBND Ủy ban nhân dân phường Mỹ Độ  tỉnh Bắc Giang</v>
      </c>
      <c r="C297" t="str">
        <v>https://mydo.tpbacgiang.bacgiang.gov.vn/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6297</v>
      </c>
      <c r="B298" t="str">
        <f>HYPERLINK("https://www.facebook.com/PhuongLeLoiTPBacGiang/?locale=vi_VN", "Công an phường Lê Lợi  tỉnh Bắc Giang")</f>
        <v>Công an phường Lê Lợi  tỉnh Bắc Giang</v>
      </c>
      <c r="C298" t="str">
        <v>https://www.facebook.com/PhuongLeLoiTPBacGiang/?locale=vi_VN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6298</v>
      </c>
      <c r="B299" t="str">
        <f>HYPERLINK("https://leloi.tpbacgiang.bacgiang.gov.vn/", "UBND Ủy ban nhân dân phường Lê Lợi  tỉnh Bắc Giang")</f>
        <v>UBND Ủy ban nhân dân phường Lê Lợi  tỉnh Bắc Giang</v>
      </c>
      <c r="C299" t="str">
        <v>https://leloi.tpbacgiang.bacgiang.gov.vn/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6299</v>
      </c>
      <c r="B300" t="str">
        <v>Công an xã Song Mai  tỉnh Bắc Giang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6300</v>
      </c>
      <c r="B301" t="str">
        <f>HYPERLINK("https://songmai.tpbacgiang.bacgiang.gov.vn/", "UBND Ủy ban nhân dân xã Song Mai  tỉnh Bắc Giang")</f>
        <v>UBND Ủy ban nhân dân xã Song Mai  tỉnh Bắc Giang</v>
      </c>
      <c r="C301" t="str">
        <v>https://songmai.tpbacgiang.bacgiang.gov.vn/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6301</v>
      </c>
      <c r="B302" t="str">
        <v>Công an phường Xương Giang  tỉnh Bắc Giang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6302</v>
      </c>
      <c r="B303" t="str">
        <f>HYPERLINK("https://xuonggiang.tpbacgiang.bacgiang.gov.vn/", "UBND Ủy ban nhân dân phường Xương Giang  tỉnh Bắc Giang")</f>
        <v>UBND Ủy ban nhân dân phường Xương Giang  tỉnh Bắc Giang</v>
      </c>
      <c r="C303" t="str">
        <v>https://xuonggiang.tpbacgiang.bacgiang.gov.vn/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6303</v>
      </c>
      <c r="B304" t="str">
        <v>Công an phường Đa Mai  tỉnh Bắc Giang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6304</v>
      </c>
      <c r="B305" t="str">
        <f>HYPERLINK("https://damai.tpbacgiang.bacgiang.gov.vn/", "UBND Ủy ban nhân dân phường Đa Mai  tỉnh Bắc Giang")</f>
        <v>UBND Ủy ban nhân dân phường Đa Mai  tỉnh Bắc Giang</v>
      </c>
      <c r="C305" t="str">
        <v>https://damai.tpbacgiang.bacgiang.gov.vn/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6305</v>
      </c>
      <c r="B306" t="str">
        <v>Công an phường Dĩnh Kế  tỉnh Bắc Giang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6306</v>
      </c>
      <c r="B307" t="str">
        <f>HYPERLINK("https://dinhke.tpbacgiang.bacgiang.gov.vn/", "UBND Ủy ban nhân dân phường Dĩnh Kế  tỉnh Bắc Giang")</f>
        <v>UBND Ủy ban nhân dân phường Dĩnh Kế  tỉnh Bắc Giang</v>
      </c>
      <c r="C307" t="str">
        <v>https://dinhke.tpbacgiang.bacgiang.gov.vn/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6307</v>
      </c>
      <c r="B308" t="str">
        <f>HYPERLINK("https://www.facebook.com/BacGiangcitytelevision/videos/tri%E1%BB%83n-khai-ph%C6%B0%C6%A1ng-%C3%A1n-c%C6%B0%E1%BB%A1ng-ch%E1%BA%BF-thu-h%E1%BB%93i-%C4%91%E1%BA%A5t-t%E1%BA%A1i-x%C3%A3-d%C4%A9nh-tr%C3%AC/415265981647106/", "Công an xã Dĩnh Trì  tỉnh Bắc Giang")</f>
        <v>Công an xã Dĩnh Trì  tỉnh Bắc Giang</v>
      </c>
      <c r="C308" t="str">
        <v>https://www.facebook.com/BacGiangcitytelevision/videos/tri%E1%BB%83n-khai-ph%C6%B0%C6%A1ng-%C3%A1n-c%C6%B0%E1%BB%A1ng-ch%E1%BA%BF-thu-h%E1%BB%93i-%C4%91%E1%BA%A5t-t%E1%BA%A1i-x%C3%A3-d%C4%A9nh-tr%C3%AC/415265981647106/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6308</v>
      </c>
      <c r="B309" t="str">
        <f>HYPERLINK("https://dinhtri.tpbacgiang.bacgiang.gov.vn/", "UBND Ủy ban nhân dân xã Dĩnh Trì  tỉnh Bắc Giang")</f>
        <v>UBND Ủy ban nhân dân xã Dĩnh Trì  tỉnh Bắc Giang</v>
      </c>
      <c r="C309" t="str">
        <v>https://dinhtri.tpbacgiang.bacgiang.gov.vn/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6309</v>
      </c>
      <c r="B310" t="str">
        <v>Công an xã Tân Mỹ  tỉnh Bắc Giang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6310</v>
      </c>
      <c r="B311" t="str">
        <f>HYPERLINK("https://tanmy.tpbacgiang.bacgiang.gov.vn/", "UBND Ủy ban nhân dân xã Tân Mỹ  tỉnh Bắc Giang")</f>
        <v>UBND Ủy ban nhân dân xã Tân Mỹ  tỉnh Bắc Giang</v>
      </c>
      <c r="C311" t="str">
        <v>https://tanmy.tpbacgiang.bacgiang.gov.vn/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6311</v>
      </c>
      <c r="B312" t="str">
        <f>HYPERLINK("https://www.facebook.com/tuoitreconganbacgiang/", "Công an xã Đồng Sơn  tỉnh Bắc Giang")</f>
        <v>Công an xã Đồng Sơn  tỉnh Bắc Giang</v>
      </c>
      <c r="C312" t="str">
        <v>https://www.facebook.com/tuoitreconganbacgiang/</v>
      </c>
      <c r="D312" t="str">
        <v>-</v>
      </c>
      <c r="E312" t="str">
        <v/>
      </c>
      <c r="F312" t="str">
        <f>HYPERLINK("mailto:doanthanhniencatbg@gmail.com", "doanthanhniencatbg@gmail.com")</f>
        <v>doanthanhniencatbg@gmail.com</v>
      </c>
      <c r="G312" t="str">
        <v>Bac Giang, Vietnam</v>
      </c>
    </row>
    <row r="313">
      <c r="A313">
        <v>6312</v>
      </c>
      <c r="B313" t="str">
        <f>HYPERLINK("https://dongson.tpbacgiang.bacgiang.gov.vn/", "UBND Ủy ban nhân dân xã Đồng Sơn  tỉnh Bắc Giang")</f>
        <v>UBND Ủy ban nhân dân xã Đồng Sơn  tỉnh Bắc Giang</v>
      </c>
      <c r="C313" t="str">
        <v>https://dongson.tpbacgiang.bacgiang.gov.vn/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6313</v>
      </c>
      <c r="B314" t="str">
        <v>Công an xã Tân Tiến  tỉnh Bắc Giang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6314</v>
      </c>
      <c r="B315" t="str">
        <f>HYPERLINK("https://tantien.tpbacgiang.bacgiang.gov.vn/", "UBND Ủy ban nhân dân xã Tân Tiến  tỉnh Bắc Giang")</f>
        <v>UBND Ủy ban nhân dân xã Tân Tiến  tỉnh Bắc Giang</v>
      </c>
      <c r="C315" t="str">
        <v>https://tantien.tpbacgiang.bacgiang.gov.vn/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6315</v>
      </c>
      <c r="B316" t="str">
        <f>HYPERLINK("https://www.facebook.com/BacGiangcitytelevision/videos/tri%E1%BB%83n-khai-ph%C6%B0%C6%A1ng-%C3%A1n-c%C6%B0%E1%BB%A1ng-ch%E1%BA%BF-thu-h%E1%BB%93i-%C4%91%E1%BA%A5t-th%E1%BB%B1c-hi%E1%BB%87n-d%E1%BB%B1-%C3%A1n-kdc-song-kh%C3%AA-2-x%C3%A3-son/567532695659620/", "Công an xã Song Khê  tỉnh Bắc Giang")</f>
        <v>Công an xã Song Khê  tỉnh Bắc Giang</v>
      </c>
      <c r="C316" t="str">
        <v>https://www.facebook.com/BacGiangcitytelevision/videos/tri%E1%BB%83n-khai-ph%C6%B0%C6%A1ng-%C3%A1n-c%C6%B0%E1%BB%A1ng-ch%E1%BA%BF-thu-h%E1%BB%93i-%C4%91%E1%BA%A5t-th%E1%BB%B1c-hi%E1%BB%87n-d%E1%BB%B1-%C3%A1n-kdc-song-kh%C3%AA-2-x%C3%A3-son/567532695659620/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6316</v>
      </c>
      <c r="B317" t="str">
        <f>HYPERLINK("https://songkhe.tpbacgiang.bacgiang.gov.vn/", "UBND Ủy ban nhân dân xã Song Khê  tỉnh Bắc Giang")</f>
        <v>UBND Ủy ban nhân dân xã Song Khê  tỉnh Bắc Giang</v>
      </c>
      <c r="C317" t="str">
        <v>https://songkhe.tpbacgiang.bacgiang.gov.vn/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6317</v>
      </c>
      <c r="B318" t="str">
        <v>Công an thị trấn Cầu Gồ  tỉnh Bắc Giang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6318</v>
      </c>
      <c r="B31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 tỉnh Bắc Giang")</f>
        <v>UBND Ủy ban nhân dân thị trấn Cầu Gồ  tỉnh Bắc Giang</v>
      </c>
      <c r="C319" t="str">
        <v>https://ttboha.yenthe.bacgiang.gov.vn/chi-tiet-tin-tuc/-/asset_publisher/M0UUAFstbTMq/content/yen-the-nhap-xa-bo-ha-vao-thi-tran-bo-ha-thanh-lap-thi-tran-bo-ha-nhap-xa-phon-xuong-vao-thi-tran-cau-go-thanh-lap-thi-tran-phon-xuong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6319</v>
      </c>
      <c r="B320" t="str">
        <f>HYPERLINK("https://www.facebook.com/conganttbohayenthe.bacgiang/", "Công an thị trấn Bố Hạ  tỉnh Bắc Giang")</f>
        <v>Công an thị trấn Bố Hạ  tỉnh Bắc Giang</v>
      </c>
      <c r="C320" t="str">
        <v>https://www.facebook.com/conganttbohayenthe.bacgiang/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6320</v>
      </c>
      <c r="B321" t="str">
        <f>HYPERLINK("https://ttboha.yenthe.bacgiang.gov.vn/", "UBND Ủy ban nhân dân thị trấn Bố Hạ  tỉnh Bắc Giang")</f>
        <v>UBND Ủy ban nhân dân thị trấn Bố Hạ  tỉnh Bắc Giang</v>
      </c>
      <c r="C321" t="str">
        <v>https://ttboha.yenthe.bacgiang.gov.vn/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6321</v>
      </c>
      <c r="B322" t="str">
        <f>HYPERLINK("https://www.facebook.com/p/C%C3%B4ng-an-x%C3%A3-%C4%90%E1%BB%93ng-Ti%E1%BA%BFn-Y%C3%AAn-Th%E1%BA%BF-B%E1%BA%AFc-Giang-100055980432762/", "Công an xã Đồng Tiến  tỉnh Bắc Giang")</f>
        <v>Công an xã Đồng Tiến  tỉnh Bắc Giang</v>
      </c>
      <c r="C322" t="str">
        <v>https://www.facebook.com/p/C%C3%B4ng-an-x%C3%A3-%C4%90%E1%BB%93ng-Ti%E1%BA%BFn-Y%C3%AAn-Th%E1%BA%BF-B%E1%BA%AFc-Giang-100055980432762/</v>
      </c>
      <c r="D322" t="str">
        <v>-</v>
      </c>
      <c r="E322" t="str">
        <v>02043509119</v>
      </c>
      <c r="F322" t="str">
        <v>-</v>
      </c>
      <c r="G322" t="str">
        <v>Đồng Tiến, Yên Thế, Bắc Giang</v>
      </c>
    </row>
    <row r="323">
      <c r="A323">
        <v>6322</v>
      </c>
      <c r="B323" t="str">
        <f>HYPERLINK("https://dongtien.yenthe.bacgiang.gov.vn/", "UBND Ủy ban nhân dân xã Đồng Tiến  tỉnh Bắc Giang")</f>
        <v>UBND Ủy ban nhân dân xã Đồng Tiến  tỉnh Bắc Giang</v>
      </c>
      <c r="C323" t="str">
        <v>https://dongtien.yenthe.bacgiang.gov.vn/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6323</v>
      </c>
      <c r="B324" t="str">
        <v>Công an xã Canh Nậu  tỉnh Bắc Giang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6324</v>
      </c>
      <c r="B325" t="str">
        <f>HYPERLINK("https://canhnau.yenthe.bacgiang.gov.vn/", "UBND Ủy ban nhân dân xã Canh Nậu  tỉnh Bắc Giang")</f>
        <v>UBND Ủy ban nhân dân xã Canh Nậu  tỉnh Bắc Giang</v>
      </c>
      <c r="C325" t="str">
        <v>https://canhnau.yenthe.bacgiang.gov.vn/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6325</v>
      </c>
      <c r="B326" t="str">
        <v>Công an xã Xuân Lương  tỉnh Bắc Giang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6326</v>
      </c>
      <c r="B327" t="str">
        <f>HYPERLINK("https://xuanluong.yenthe.bacgiang.gov.vn/", "UBND Ủy ban nhân dân xã Xuân Lương  tỉnh Bắc Giang")</f>
        <v>UBND Ủy ban nhân dân xã Xuân Lương  tỉnh Bắc Giang</v>
      </c>
      <c r="C327" t="str">
        <v>https://xuanluong.yenthe.bacgiang.gov.vn/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6327</v>
      </c>
      <c r="B328" t="str">
        <f>HYPERLINK("https://www.facebook.com/p/C%C3%B4ng-an-x%C3%A3-Tam-Ti%E1%BA%BFn-huy%E1%BB%87n-Y%C3%AAn-Th%E1%BA%BF-B%E1%BA%AFc-Giang-100063760157490/", "Công an xã Tam Tiến  tỉnh Bắc Giang")</f>
        <v>Công an xã Tam Tiến  tỉnh Bắc Giang</v>
      </c>
      <c r="C328" t="str">
        <v>https://www.facebook.com/p/C%C3%B4ng-an-x%C3%A3-Tam-Ti%E1%BA%BFn-huy%E1%BB%87n-Y%C3%AAn-Th%E1%BA%BF-B%E1%BA%AFc-Giang-100063760157490/</v>
      </c>
      <c r="D328" t="str">
        <v>-</v>
      </c>
      <c r="E328" t="str">
        <v/>
      </c>
      <c r="F328" t="str">
        <f>HYPERLINK("mailto:phamtuancsgtyt@gmail.com", "phamtuancsgtyt@gmail.com")</f>
        <v>phamtuancsgtyt@gmail.com</v>
      </c>
      <c r="G328" t="str">
        <v>-</v>
      </c>
    </row>
    <row r="329">
      <c r="A329">
        <v>6328</v>
      </c>
      <c r="B329" t="str">
        <f>HYPERLINK("https://tamtien.yenthe.bacgiang.gov.vn/", "UBND Ủy ban nhân dân xã Tam Tiến  tỉnh Bắc Giang")</f>
        <v>UBND Ủy ban nhân dân xã Tam Tiến  tỉnh Bắc Giang</v>
      </c>
      <c r="C329" t="str">
        <v>https://tamtien.yenthe.bacgiang.gov.vn/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6329</v>
      </c>
      <c r="B330" t="str">
        <f>HYPERLINK("https://www.facebook.com/p/C%C3%B4ng-an-x%C3%A3-%C4%90%E1%BB%93ng-V%C6%B0%C6%A1ng-Y%C3%AAn-Th%E1%BA%BF-100023841949778/", "Công an xã Đồng Vương  tỉnh Bắc Giang")</f>
        <v>Công an xã Đồng Vương  tỉnh Bắc Giang</v>
      </c>
      <c r="C330" t="str">
        <v>https://www.facebook.com/p/C%C3%B4ng-an-x%C3%A3-%C4%90%E1%BB%93ng-V%C6%B0%C6%A1ng-Y%C3%AAn-Th%E1%BA%BF-100023841949778/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6330</v>
      </c>
      <c r="B331" t="str">
        <f>HYPERLINK("https://dongvuong.yenthe.bacgiang.gov.vn/", "UBND Ủy ban nhân dân xã Đồng Vương  tỉnh Bắc Giang")</f>
        <v>UBND Ủy ban nhân dân xã Đồng Vương  tỉnh Bắc Giang</v>
      </c>
      <c r="C331" t="str">
        <v>https://dongvuong.yenthe.bacgiang.gov.vn/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6331</v>
      </c>
      <c r="B332" t="str">
        <f>HYPERLINK("https://www.facebook.com/p/C%C3%B4ng-an-x%C3%A3-%C4%90%E1%BB%93ng-H%C6%B0u-huy%E1%BB%87n-Y%C3%AAn-Th%E1%BA%BF-t%E1%BB%89nh-B%E1%BA%AFc-Giang-100063475754164/", "Công an xã Đồng Hưu  tỉnh Bắc Giang")</f>
        <v>Công an xã Đồng Hưu  tỉnh Bắc Giang</v>
      </c>
      <c r="C332" t="str">
        <v>https://www.facebook.com/p/C%C3%B4ng-an-x%C3%A3-%C4%90%E1%BB%93ng-H%C6%B0u-huy%E1%BB%87n-Y%C3%AAn-Th%E1%BA%BF-t%E1%BB%89nh-B%E1%BA%AFc-Giang-100063475754164/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6332</v>
      </c>
      <c r="B333" t="str">
        <f>HYPERLINK("https://donghuu.yenthe.bacgiang.gov.vn/", "UBND Ủy ban nhân dân xã Đồng Hưu  tỉnh Bắc Giang")</f>
        <v>UBND Ủy ban nhân dân xã Đồng Hưu  tỉnh Bắc Giang</v>
      </c>
      <c r="C333" t="str">
        <v>https://donghuu.yenthe.bacgiang.gov.vn/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6333</v>
      </c>
      <c r="B334" t="str">
        <v>Công an xã Đồng Tâm  tỉnh Bắc Giang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6334</v>
      </c>
      <c r="B335" t="str">
        <f>HYPERLINK("https://dongtam.yenthe.bacgiang.gov.vn/", "UBND Ủy ban nhân dân xã Đồng Tâm  tỉnh Bắc Giang")</f>
        <v>UBND Ủy ban nhân dân xã Đồng Tâm  tỉnh Bắc Giang</v>
      </c>
      <c r="C335" t="str">
        <v>https://dongtam.yenthe.bacgiang.gov.vn/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6335</v>
      </c>
      <c r="B336" t="str">
        <f>HYPERLINK("https://www.facebook.com/p/C%C3%B4ng-an-x%C3%A3-Tam-Hi%E1%BB%87p-huy%E1%BB%87n-Y%C3%AAn-Th%E1%BA%BF-61551214854498/", "Công an xã Tam Hiệp  tỉnh Bắc Giang")</f>
        <v>Công an xã Tam Hiệp  tỉnh Bắc Giang</v>
      </c>
      <c r="C336" t="str">
        <v>https://www.facebook.com/p/C%C3%B4ng-an-x%C3%A3-Tam-Hi%E1%BB%87p-huy%E1%BB%87n-Y%C3%AAn-Th%E1%BA%BF-61551214854498/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6336</v>
      </c>
      <c r="B337" t="str">
        <f>HYPERLINK("https://tamhiep.yenthe.bacgiang.gov.vn/", "UBND Ủy ban nhân dân xã Tam Hiệp  tỉnh Bắc Giang")</f>
        <v>UBND Ủy ban nhân dân xã Tam Hiệp  tỉnh Bắc Giang</v>
      </c>
      <c r="C337" t="str">
        <v>https://tamhiep.yenthe.bacgiang.gov.vn/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6337</v>
      </c>
      <c r="B338" t="str">
        <v>Công an xã Tiến Thắng  tỉnh Bắc Giang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6338</v>
      </c>
      <c r="B339" t="str">
        <f>HYPERLINK("https://tienthang.yenthe.bacgiang.gov.vn/", "UBND Ủy ban nhân dân xã Tiến Thắng  tỉnh Bắc Giang")</f>
        <v>UBND Ủy ban nhân dân xã Tiến Thắng  tỉnh Bắc Giang</v>
      </c>
      <c r="C339" t="str">
        <v>https://tienthang.yenthe.bacgiang.gov.vn/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6339</v>
      </c>
      <c r="B340" t="str">
        <v>Công an xã Hồng Kỳ  tỉnh Bắc Giang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6340</v>
      </c>
      <c r="B341" t="str">
        <f>HYPERLINK("https://hongky.yenthe.bacgiang.gov.vn/", "UBND Ủy ban nhân dân xã Hồng Kỳ  tỉnh Bắc Giang")</f>
        <v>UBND Ủy ban nhân dân xã Hồng Kỳ  tỉnh Bắc Giang</v>
      </c>
      <c r="C341" t="str">
        <v>https://hongky.yenthe.bacgiang.gov.vn/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6341</v>
      </c>
      <c r="B342" t="str">
        <f>HYPERLINK("https://www.facebook.com/p/C%C3%B4ng-an-x%C3%A3-%C4%90%E1%BB%93ng-L%E1%BA%A1chuy%E1%BB%87n-Y%C3%AAn-Th%E1%BA%BF-t%E1%BB%89nh-B%E1%BA%AFc-Giang-100064084207434/", "Công an xã Đồng Lạc  tỉnh Bắc Giang")</f>
        <v>Công an xã Đồng Lạc  tỉnh Bắc Giang</v>
      </c>
      <c r="C342" t="str">
        <v>https://www.facebook.com/p/C%C3%B4ng-an-x%C3%A3-%C4%90%E1%BB%93ng-L%E1%BA%A1chuy%E1%BB%87n-Y%C3%AAn-Th%E1%BA%BF-t%E1%BB%89nh-B%E1%BA%AFc-Giang-100064084207434/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6342</v>
      </c>
      <c r="B343" t="str">
        <f>HYPERLINK("https://donglac.yenthe.bacgiang.gov.vn/", "UBND Ủy ban nhân dân xã Đồng Lạc  tỉnh Bắc Giang")</f>
        <v>UBND Ủy ban nhân dân xã Đồng Lạc  tỉnh Bắc Giang</v>
      </c>
      <c r="C343" t="str">
        <v>https://donglac.yenthe.bacgiang.gov.vn/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6343</v>
      </c>
      <c r="B344" t="str">
        <f>HYPERLINK("https://www.facebook.com/conganxadongson/", "Công an xã Đông Sơn  tỉnh Bắc Giang")</f>
        <v>Công an xã Đông Sơn  tỉnh Bắc Giang</v>
      </c>
      <c r="C344" t="str">
        <v>https://www.facebook.com/conganxadongson/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6344</v>
      </c>
      <c r="B345" t="str">
        <f>HYPERLINK("https://dongson.tpbacgiang.bacgiang.gov.vn/", "UBND Ủy ban nhân dân xã Đông Sơn  tỉnh Bắc Giang")</f>
        <v>UBND Ủy ban nhân dân xã Đông Sơn  tỉnh Bắc Giang</v>
      </c>
      <c r="C345" t="str">
        <v>https://dongson.tpbacgiang.bacgiang.gov.vn/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6345</v>
      </c>
      <c r="B346" t="str">
        <f>HYPERLINK("https://www.facebook.com/caxtanhiep/", "Công an xã Tân Hiệp  tỉnh Bắc Giang")</f>
        <v>Công an xã Tân Hiệp  tỉnh Bắc Giang</v>
      </c>
      <c r="C346" t="str">
        <v>https://www.facebook.com/caxtanhiep/</v>
      </c>
      <c r="D346" t="str">
        <v>-</v>
      </c>
      <c r="E346" t="str">
        <v>02043565181</v>
      </c>
      <c r="F346" t="str">
        <f>HYPERLINK("mailto:congan_tanhiep_yenthe@bacgiang.gov.vn", "congan_tanhiep_yenthe@bacgiang.gov.vn")</f>
        <v>congan_tanhiep_yenthe@bacgiang.gov.vn</v>
      </c>
      <c r="G346" t="str">
        <v>-</v>
      </c>
    </row>
    <row r="347">
      <c r="A347">
        <v>6346</v>
      </c>
      <c r="B347" t="str">
        <f>HYPERLINK("https://tanhiep.yenthe.bacgiang.gov.vn/", "UBND Ủy ban nhân dân xã Tân Hiệp  tỉnh Bắc Giang")</f>
        <v>UBND Ủy ban nhân dân xã Tân Hiệp  tỉnh Bắc Giang</v>
      </c>
      <c r="C347" t="str">
        <v>https://tanhiep.yenthe.bacgiang.gov.vn/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6347</v>
      </c>
      <c r="B348" t="str">
        <f>HYPERLINK("https://www.facebook.com/caxhuongvi/", "Công an xã Hương Vĩ  tỉnh Bắc Giang")</f>
        <v>Công an xã Hương Vĩ  tỉnh Bắc Giang</v>
      </c>
      <c r="C348" t="str">
        <v>https://www.facebook.com/caxhuongvi/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6348</v>
      </c>
      <c r="B349" t="str">
        <f>HYPERLINK("https://huongvi.yenthe.bacgiang.gov.vn/", "UBND Ủy ban nhân dân xã Hương Vĩ  tỉnh Bắc Giang")</f>
        <v>UBND Ủy ban nhân dân xã Hương Vĩ  tỉnh Bắc Giang</v>
      </c>
      <c r="C349" t="str">
        <v>https://huongvi.yenthe.bacgiang.gov.vn/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6349</v>
      </c>
      <c r="B350" t="str">
        <f>HYPERLINK("https://www.facebook.com/p/C%C3%B4ng-an-x%C3%A3-%C4%90%E1%BB%93ng-K%E1%BB%B3-huy%E1%BB%87n-Y%C3%AAn-Th%E1%BA%BF-100040276068469/", "Công an xã Đồng Kỳ  tỉnh Bắc Giang")</f>
        <v>Công an xã Đồng Kỳ  tỉnh Bắc Giang</v>
      </c>
      <c r="C350" t="str">
        <v>https://www.facebook.com/p/C%C3%B4ng-an-x%C3%A3-%C4%90%E1%BB%93ng-K%E1%BB%B3-huy%E1%BB%87n-Y%C3%AAn-Th%E1%BA%BF-100040276068469/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6350</v>
      </c>
      <c r="B351" t="str">
        <f>HYPERLINK("https://dongky.yenthe.bacgiang.gov.vn/", "UBND Ủy ban nhân dân xã Đồng Kỳ  tỉnh Bắc Giang")</f>
        <v>UBND Ủy ban nhân dân xã Đồng Kỳ  tỉnh Bắc Giang</v>
      </c>
      <c r="C351" t="str">
        <v>https://dongky.yenthe.bacgiang.gov.vn/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6351</v>
      </c>
      <c r="B352" t="str">
        <f>HYPERLINK("https://www.facebook.com/caxanthuongytbg/", "Công an xã An Thượng  tỉnh Bắc Giang")</f>
        <v>Công an xã An Thượng  tỉnh Bắc Giang</v>
      </c>
      <c r="C352" t="str">
        <v>https://www.facebook.com/caxanthuongytbg/</v>
      </c>
      <c r="D352" t="str">
        <v>-</v>
      </c>
      <c r="E352" t="str">
        <v>02043609626</v>
      </c>
      <c r="F352" t="str">
        <v>-</v>
      </c>
      <c r="G352" t="str">
        <v>Xã An Thượng, huyện Yên Thế, Bac Giang, Vietnam</v>
      </c>
    </row>
    <row r="353">
      <c r="A353">
        <v>6352</v>
      </c>
      <c r="B353" t="str">
        <f>HYPERLINK("https://anthuong.yenthe.bacgiang.gov.vn/", "UBND Ủy ban nhân dân xã An Thượng  tỉnh Bắc Giang")</f>
        <v>UBND Ủy ban nhân dân xã An Thượng  tỉnh Bắc Giang</v>
      </c>
      <c r="C353" t="str">
        <v>https://anthuong.yenthe.bacgiang.gov.vn/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6353</v>
      </c>
      <c r="B354" t="str">
        <v>Công an xã Phồn Xương  tỉnh Bắc Giang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6354</v>
      </c>
      <c r="B355" t="str">
        <f>HYPERLINK("https://yenthe.bacgiang.gov.vn/cac-xa-thi-tran", "UBND Ủy ban nhân dân xã Phồn Xương  tỉnh Bắc Giang")</f>
        <v>UBND Ủy ban nhân dân xã Phồn Xương  tỉnh Bắc Giang</v>
      </c>
      <c r="C355" t="str">
        <v>https://yenthe.bacgiang.gov.vn/cac-xa-thi-tran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6355</v>
      </c>
      <c r="B356" t="str">
        <f>HYPERLINK("https://www.facebook.com/conganxathaidao/videos/800154997621765/", "Công an xã Tân Sỏi  tỉnh Bắc Giang")</f>
        <v>Công an xã Tân Sỏi  tỉnh Bắc Giang</v>
      </c>
      <c r="C356" t="str">
        <v>https://www.facebook.com/conganxathaidao/videos/800154997621765/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6356</v>
      </c>
      <c r="B357" t="str">
        <f>HYPERLINK("https://tansoi.yenthe.bacgiang.gov.vn/", "UBND Ủy ban nhân dân xã Tân Sỏi  tỉnh Bắc Giang")</f>
        <v>UBND Ủy ban nhân dân xã Tân Sỏi  tỉnh Bắc Giang</v>
      </c>
      <c r="C357" t="str">
        <v>https://tansoi.yenthe.bacgiang.gov.vn/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6357</v>
      </c>
      <c r="B358" t="str">
        <f>HYPERLINK("https://www.facebook.com/conganttbohayenthe.bacgiang/", "Công an xã Bố Hạ  tỉnh Bắc Giang")</f>
        <v>Công an xã Bố Hạ  tỉnh Bắc Giang</v>
      </c>
      <c r="C358" t="str">
        <v>https://www.facebook.com/conganttbohayenthe.bacgiang/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6358</v>
      </c>
      <c r="B359" t="str">
        <f>HYPERLINK("https://ttboha.yenthe.bacgiang.gov.vn/", "UBND Ủy ban nhân dân xã Bố Hạ  tỉnh Bắc Giang")</f>
        <v>UBND Ủy ban nhân dân xã Bố Hạ  tỉnh Bắc Giang</v>
      </c>
      <c r="C359" t="str">
        <v>https://ttboha.yenthe.bacgiang.gov.vn/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6359</v>
      </c>
      <c r="B360" t="str">
        <f>HYPERLINK("https://www.facebook.com/p/C%C3%B4ng-an-huy%E1%BB%87n-T%C3%A2n-Y%C3%AAn-B%E1%BA%AFc-Giang-100080975141230/?locale=fa_IR", "Công an thị trấn Cao Thượng  tỉnh Bắc Giang")</f>
        <v>Công an thị trấn Cao Thượng  tỉnh Bắc Giang</v>
      </c>
      <c r="C360" t="str">
        <v>https://www.facebook.com/p/C%C3%B4ng-an-huy%E1%BB%87n-T%C3%A2n-Y%C3%AAn-B%E1%BA%AFc-Giang-100080975141230/?locale=fa_IR</v>
      </c>
      <c r="D360" t="str">
        <v>-</v>
      </c>
      <c r="E360" t="str">
        <v>02043878205</v>
      </c>
      <c r="F360" t="str">
        <v>-</v>
      </c>
      <c r="G360" t="str">
        <v>TDP Hợp Tiến, TT Cao Thượng, huyện Tân Yên, tỉnh Bắc Giang, Bac Giang, Vietnam</v>
      </c>
    </row>
    <row r="361">
      <c r="A361">
        <v>6360</v>
      </c>
      <c r="B361" t="str">
        <f>HYPERLINK("https://thitrancaothuong.tanyen.bacgiang.gov.vn/", "UBND Ủy ban nhân dân thị trấn Cao Thượng  tỉnh Bắc Giang")</f>
        <v>UBND Ủy ban nhân dân thị trấn Cao Thượng  tỉnh Bắc Giang</v>
      </c>
      <c r="C361" t="str">
        <v>https://thitrancaothuong.tanyen.bacgiang.gov.vn/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6361</v>
      </c>
      <c r="B362" t="str">
        <v>Công an thị trấn Nhã Nam  tỉnh Bắc Giang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6362</v>
      </c>
      <c r="B363" t="str">
        <f>HYPERLINK("https://thitrannhanam.tanyen.bacgiang.gov.vn/", "UBND Ủy ban nhân dân thị trấn Nhã Nam  tỉnh Bắc Giang")</f>
        <v>UBND Ủy ban nhân dân thị trấn Nhã Nam  tỉnh Bắc Giang</v>
      </c>
      <c r="C363" t="str">
        <v>https://thitrannhanam.tanyen.bacgiang.gov.vn/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6363</v>
      </c>
      <c r="B364" t="str">
        <v>Công an xã Lan Giới  tỉnh Bắc Giang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6364</v>
      </c>
      <c r="B365" t="str">
        <f>HYPERLINK("https://langioi-tanyen.bacgiang.gov.vn/", "UBND Ủy ban nhân dân xã Lan Giới  tỉnh Bắc Giang")</f>
        <v>UBND Ủy ban nhân dân xã Lan Giới  tỉnh Bắc Giang</v>
      </c>
      <c r="C365" t="str">
        <v>https://langioi-tanyen.bacgiang.gov.vn/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6365</v>
      </c>
      <c r="B366" t="str">
        <v>Công an xã Nhã Nam  tỉnh Bắc Giang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6366</v>
      </c>
      <c r="B367" t="str">
        <f>HYPERLINK("https://thitrannhanam.tanyen.bacgiang.gov.vn/", "UBND Ủy ban nhân dân xã Nhã Nam  tỉnh Bắc Giang")</f>
        <v>UBND Ủy ban nhân dân xã Nhã Nam  tỉnh Bắc Giang</v>
      </c>
      <c r="C367" t="str">
        <v>https://thitrannhanam.tanyen.bacgiang.gov.vn/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6367</v>
      </c>
      <c r="B368" t="str">
        <v>Công an xã Tân Trung  tỉnh Bắc Giang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6368</v>
      </c>
      <c r="B369" t="str">
        <f>HYPERLINK("https://tantrung.tanyen.bacgiang.gov.vn/", "UBND Ủy ban nhân dân xã Tân Trung  tỉnh Bắc Giang")</f>
        <v>UBND Ủy ban nhân dân xã Tân Trung  tỉnh Bắc Giang</v>
      </c>
      <c r="C369" t="str">
        <v>https://tantrung.tanyen.bacgiang.gov.vn/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6369</v>
      </c>
      <c r="B370" t="str">
        <f>HYPERLINK("https://www.facebook.com/p/C%C3%B4ng-an-x%C3%A3-%C4%90%E1%BA%A1i-Ho%C3%A1-huy%E1%BB%87n-T%C3%A2n-Y%C3%AAn-t%E1%BB%89nh-B%E1%BA%AFc-Giang-100063552843813/", "Công an xã Đại Hóa  tỉnh Bắc Giang")</f>
        <v>Công an xã Đại Hóa  tỉnh Bắc Giang</v>
      </c>
      <c r="C370" t="str">
        <v>https://www.facebook.com/p/C%C3%B4ng-an-x%C3%A3-%C4%90%E1%BA%A1i-Ho%C3%A1-huy%E1%BB%87n-T%C3%A2n-Y%C3%AAn-t%E1%BB%89nh-B%E1%BA%AFc-Giang-100063552843813/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6370</v>
      </c>
      <c r="B371" t="str">
        <f>HYPERLINK("https://daithanh.hiephoa.bacgiang.gov.vn/", "UBND Ủy ban nhân dân xã Đại Hóa  tỉnh Bắc Giang")</f>
        <v>UBND Ủy ban nhân dân xã Đại Hóa  tỉnh Bắc Giang</v>
      </c>
      <c r="C371" t="str">
        <v>https://daithanh.hiephoa.bacgiang.gov.vn/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6371</v>
      </c>
      <c r="B372" t="str">
        <v>Công an xã Quang Tiến  tỉnh Bắc Giang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6372</v>
      </c>
      <c r="B373" t="str">
        <f>HYPERLINK("https://quangtien-tanyen.bacgiang.gov.vn/", "UBND Ủy ban nhân dân xã Quang Tiến  tỉnh Bắc Giang")</f>
        <v>UBND Ủy ban nhân dân xã Quang Tiến  tỉnh Bắc Giang</v>
      </c>
      <c r="C373" t="str">
        <v>https://quangtien-tanyen.bacgiang.gov.vn/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6373</v>
      </c>
      <c r="B374" t="str">
        <f>HYPERLINK("https://www.facebook.com/tuoitrecongansonla/", "Công an xã Phúc Sơn  tỉnh Bắc Giang")</f>
        <v>Công an xã Phúc Sơn  tỉnh Bắc Giang</v>
      </c>
      <c r="C374" t="str">
        <v>https://www.facebook.com/tuoitrecongansonla/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6374</v>
      </c>
      <c r="B375" t="str">
        <f>HYPERLINK("https://phucson-tanyen.bacgiang.gov.vn/", "UBND Ủy ban nhân dân xã Phúc Sơn  tỉnh Bắc Giang")</f>
        <v>UBND Ủy ban nhân dân xã Phúc Sơn  tỉnh Bắc Giang</v>
      </c>
      <c r="C375" t="str">
        <v>https://phucson-tanyen.bacgiang.gov.vn/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6375</v>
      </c>
      <c r="B376" t="str">
        <v>Công an xã An Dương  tỉnh Bắc Giang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6376</v>
      </c>
      <c r="B377" t="str">
        <f>HYPERLINK("https://anduong.tanyen.bacgiang.gov.vn/", "UBND Ủy ban nhân dân xã An Dương  tỉnh Bắc Giang")</f>
        <v>UBND Ủy ban nhân dân xã An Dương  tỉnh Bắc Giang</v>
      </c>
      <c r="C377" t="str">
        <v>https://anduong.tanyen.bacgiang.gov.vn/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6377</v>
      </c>
      <c r="B378" t="str">
        <v>Công an xã Phúc Hòa  tỉnh Bắc Giang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6378</v>
      </c>
      <c r="B379" t="str">
        <f>HYPERLINK("https://phuchoa.tanyen.bacgiang.gov.vn/", "UBND Ủy ban nhân dân xã Phúc Hòa  tỉnh Bắc Giang")</f>
        <v>UBND Ủy ban nhân dân xã Phúc Hòa  tỉnh Bắc Giang</v>
      </c>
      <c r="C379" t="str">
        <v>https://phuchoa.tanyen.bacgiang.gov.vn/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6379</v>
      </c>
      <c r="B380" t="str">
        <v>Công an xã Liên Sơn  tỉnh Bắc Giang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6380</v>
      </c>
      <c r="B381" t="str">
        <f>HYPERLINK("https://lienson.tanyen.bacgiang.gov.vn/", "UBND Ủy ban nhân dân xã Liên Sơn  tỉnh Bắc Giang")</f>
        <v>UBND Ủy ban nhân dân xã Liên Sơn  tỉnh Bắc Giang</v>
      </c>
      <c r="C381" t="str">
        <v>https://lienson.tanyen.bacgiang.gov.vn/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6381</v>
      </c>
      <c r="B382" t="str">
        <v>Công an xã Hợp Đức  tỉnh Bắc Giang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6382</v>
      </c>
      <c r="B383" t="str">
        <f>HYPERLINK("https://hopduc.tanyen.bacgiang.gov.vn/", "UBND Ủy ban nhân dân xã Hợp Đức  tỉnh Bắc Giang")</f>
        <v>UBND Ủy ban nhân dân xã Hợp Đức  tỉnh Bắc Giang</v>
      </c>
      <c r="C383" t="str">
        <v>https://hopduc.tanyen.bacgiang.gov.vn/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6383</v>
      </c>
      <c r="B384" t="str">
        <f>HYPERLINK("https://www.facebook.com/p/C%C3%B4ng-an-x%C3%A3-Lam-C%E1%BB%91t-100063645669904/", "Công an xã Lam Cốt  tỉnh Bắc Giang")</f>
        <v>Công an xã Lam Cốt  tỉnh Bắc Giang</v>
      </c>
      <c r="C384" t="str">
        <v>https://www.facebook.com/p/C%C3%B4ng-an-x%C3%A3-Lam-C%E1%BB%91t-100063645669904/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6384</v>
      </c>
      <c r="B385" t="str">
        <f>HYPERLINK("https://lamcot-tanyen.bacgiang.gov.vn/", "UBND Ủy ban nhân dân xã Lam Cốt  tỉnh Bắc Giang")</f>
        <v>UBND Ủy ban nhân dân xã Lam Cốt  tỉnh Bắc Giang</v>
      </c>
      <c r="C385" t="str">
        <v>https://lamcot-tanyen.bacgiang.gov.vn/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6385</v>
      </c>
      <c r="B386" t="str">
        <v>Công an xã Cao Xá  tỉnh Bắc Giang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6386</v>
      </c>
      <c r="B387" t="str">
        <f>HYPERLINK("https://caoxa.tanyen.bacgiang.gov.vn/", "UBND Ủy ban nhân dân xã Cao Xá  tỉnh Bắc Giang")</f>
        <v>UBND Ủy ban nhân dân xã Cao Xá  tỉnh Bắc Giang</v>
      </c>
      <c r="C387" t="str">
        <v>https://caoxa.tanyen.bacgiang.gov.vn/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6387</v>
      </c>
      <c r="B388" t="str">
        <f>HYPERLINK("https://www.facebook.com/p/C%C3%B4ng-an-huy%E1%BB%87n-T%C3%A2n-Y%C3%AAn-B%E1%BA%AFc-Giang-100080975141230/?locale=fa_IR", "Công an xã Cao Thượng  tỉnh Bắc Giang")</f>
        <v>Công an xã Cao Thượng  tỉnh Bắc Giang</v>
      </c>
      <c r="C388" t="str">
        <v>https://www.facebook.com/p/C%C3%B4ng-an-huy%E1%BB%87n-T%C3%A2n-Y%C3%AAn-B%E1%BA%AFc-Giang-100080975141230/?locale=fa_IR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6388</v>
      </c>
      <c r="B389" t="str">
        <f>HYPERLINK("https://thitrancaothuong.tanyen.bacgiang.gov.vn/", "UBND Ủy ban nhân dân xã Cao Thượng  tỉnh Bắc Giang")</f>
        <v>UBND Ủy ban nhân dân xã Cao Thượng  tỉnh Bắc Giang</v>
      </c>
      <c r="C389" t="str">
        <v>https://thitrancaothuong.tanyen.bacgiang.gov.vn/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6389</v>
      </c>
      <c r="B390" t="str">
        <v>Công an xã Việt Ngọc  tỉnh Bắc Giang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6390</v>
      </c>
      <c r="B391" t="str">
        <f>HYPERLINK("https://vietngoc.tanyen.bacgiang.gov.vn/", "UBND Ủy ban nhân dân xã Việt Ngọc  tỉnh Bắc Giang")</f>
        <v>UBND Ủy ban nhân dân xã Việt Ngọc  tỉnh Bắc Giang</v>
      </c>
      <c r="C391" t="str">
        <v>https://vietngoc.tanyen.bacgiang.gov.vn/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6391</v>
      </c>
      <c r="B392" t="str">
        <v>Công an xã Song Vân  tỉnh Bắc Giang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6392</v>
      </c>
      <c r="B393" t="str">
        <f>HYPERLINK("https://songvan.tanyen.bacgiang.gov.vn/", "UBND Ủy ban nhân dân xã Song Vân  tỉnh Bắc Giang")</f>
        <v>UBND Ủy ban nhân dân xã Song Vân  tỉnh Bắc Giang</v>
      </c>
      <c r="C393" t="str">
        <v>https://songvan.tanyen.bacgiang.gov.vn/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6393</v>
      </c>
      <c r="B394" t="str">
        <v>Công an xã Ngọc Châu  tỉnh Bắc Giang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6394</v>
      </c>
      <c r="B395" t="str">
        <f>HYPERLINK("https://ngocchau.tanyen.bacgiang.gov.vn/", "UBND Ủy ban nhân dân xã Ngọc Châu  tỉnh Bắc Giang")</f>
        <v>UBND Ủy ban nhân dân xã Ngọc Châu  tỉnh Bắc Giang</v>
      </c>
      <c r="C395" t="str">
        <v>https://ngocchau.tanyen.bacgiang.gov.vn/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6395</v>
      </c>
      <c r="B396" t="str">
        <v>Công an xã Ngọc Vân  tỉnh Bắc Giang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6396</v>
      </c>
      <c r="B397" t="str">
        <f>HYPERLINK("https://ngocvan.tanyen.bacgiang.gov.vn/", "UBND Ủy ban nhân dân xã Ngọc Vân  tỉnh Bắc Giang")</f>
        <v>UBND Ủy ban nhân dân xã Ngọc Vân  tỉnh Bắc Giang</v>
      </c>
      <c r="C397" t="str">
        <v>https://ngocvan.tanyen.bacgiang.gov.vn/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6397</v>
      </c>
      <c r="B398" t="str">
        <v>Công an xã Việt Lập  tỉnh Bắc Giang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6398</v>
      </c>
      <c r="B399" t="str">
        <f>HYPERLINK("https://vietlap.tanyen.bacgiang.gov.vn/", "UBND Ủy ban nhân dân xã Việt Lập  tỉnh Bắc Giang")</f>
        <v>UBND Ủy ban nhân dân xã Việt Lập  tỉnh Bắc Giang</v>
      </c>
      <c r="C399" t="str">
        <v>https://vietlap.tanyen.bacgiang.gov.vn/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6399</v>
      </c>
      <c r="B400" t="str">
        <v>Công an xã Liên Chung  tỉnh Bắc Giang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6400</v>
      </c>
      <c r="B401" t="str">
        <f>HYPERLINK("https://lienchung.tanyen.bacgiang.gov.vn/", "UBND Ủy ban nhân dân xã Liên Chung  tỉnh Bắc Giang")</f>
        <v>UBND Ủy ban nhân dân xã Liên Chung  tỉnh Bắc Giang</v>
      </c>
      <c r="C401" t="str">
        <v>https://lienchung.tanyen.bacgiang.gov.vn/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6401</v>
      </c>
      <c r="B402" t="str">
        <v>Công an xã Ngọc Thiện  tỉnh Bắc Giang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6402</v>
      </c>
      <c r="B403" t="str">
        <f>HYPERLINK("https://ngocthien.tanyen.bacgiang.gov.vn/", "UBND Ủy ban nhân dân xã Ngọc Thiện  tỉnh Bắc Giang")</f>
        <v>UBND Ủy ban nhân dân xã Ngọc Thiện  tỉnh Bắc Giang</v>
      </c>
      <c r="C403" t="str">
        <v>https://ngocthien.tanyen.bacgiang.gov.vn/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6403</v>
      </c>
      <c r="B404" t="str">
        <f>HYPERLINK("https://www.facebook.com/p/C%C3%B4ng-an-x%C3%A3-Ng%E1%BB%8Dc-L%C3%BD-100063702474087/", "Công an xã Ngọc Lý  tỉnh Bắc Giang")</f>
        <v>Công an xã Ngọc Lý  tỉnh Bắc Giang</v>
      </c>
      <c r="C404" t="str">
        <v>https://www.facebook.com/p/C%C3%B4ng-an-x%C3%A3-Ng%E1%BB%8Dc-L%C3%BD-100063702474087/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6404</v>
      </c>
      <c r="B405" t="str">
        <f>HYPERLINK("https://ngocly.tanyen.bacgiang.gov.vn/", "UBND Ủy ban nhân dân xã Ngọc Lý  tỉnh Bắc Giang")</f>
        <v>UBND Ủy ban nhân dân xã Ngọc Lý  tỉnh Bắc Giang</v>
      </c>
      <c r="C405" t="str">
        <v>https://ngocly.tanyen.bacgiang.gov.vn/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6405</v>
      </c>
      <c r="B406" t="str">
        <v>Công an xã Quế Nham  tỉnh Bắc Giang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6406</v>
      </c>
      <c r="B407" t="str">
        <f>HYPERLINK("https://quenham.tanyen.bacgiang.gov.vn/", "UBND Ủy ban nhân dân xã Quế Nham  tỉnh Bắc Giang")</f>
        <v>UBND Ủy ban nhân dân xã Quế Nham  tỉnh Bắc Giang</v>
      </c>
      <c r="C407" t="str">
        <v>https://quenham.tanyen.bacgiang.gov.vn/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6407</v>
      </c>
      <c r="B408" t="str">
        <v>Công an thị trấn Kép  tỉnh Bắc Giang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6408</v>
      </c>
      <c r="B409" t="str">
        <f>HYPERLINK("https://kep.langgiang.bacgiang.gov.vn/", "UBND Ủy ban nhân dân thị trấn Kép  tỉnh Bắc Giang")</f>
        <v>UBND Ủy ban nhân dân thị trấn Kép  tỉnh Bắc Giang</v>
      </c>
      <c r="C409" t="str">
        <v>https://kep.langgiang.bacgiang.gov.vn/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6409</v>
      </c>
      <c r="B410" t="str">
        <f>HYPERLINK("https://www.facebook.com/cathitranvoi/", "Công an thị trấn Vôi  tỉnh Bắc Giang")</f>
        <v>Công an thị trấn Vôi  tỉnh Bắc Giang</v>
      </c>
      <c r="C410" t="str">
        <v>https://www.facebook.com/cathitranvoi/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6410</v>
      </c>
      <c r="B411" t="str">
        <v>UBND Ủy ban nhân dân thị trấn Vôi  tỉnh Bắc Giang</v>
      </c>
      <c r="C411" t="str">
        <v>-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6411</v>
      </c>
      <c r="B412" t="str">
        <f>HYPERLINK("https://www.facebook.com/p/C%C3%B4ng-an-x%C3%A3-Ngh%C4%A9a-Ho%C3%A0-100082855706411/", "Công an xã Nghĩa Hòa  tỉnh Bắc Giang")</f>
        <v>Công an xã Nghĩa Hòa  tỉnh Bắc Giang</v>
      </c>
      <c r="C412" t="str">
        <v>https://www.facebook.com/p/C%C3%B4ng-an-x%C3%A3-Ngh%C4%A9a-Ho%C3%A0-100082855706411/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6412</v>
      </c>
      <c r="B413" t="str">
        <f>HYPERLINK("https://nghiahoa.langgiang.bacgiang.gov.vn/", "UBND Ủy ban nhân dân xã Nghĩa Hòa  tỉnh Bắc Giang")</f>
        <v>UBND Ủy ban nhân dân xã Nghĩa Hòa  tỉnh Bắc Giang</v>
      </c>
      <c r="C413" t="str">
        <v>https://nghiahoa.langgiang.bacgiang.gov.vn/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6413</v>
      </c>
      <c r="B414" t="str">
        <f>HYPERLINK("https://www.facebook.com/conganxanghiahung", "Công an xã Nghĩa Hưng  tỉnh Bắc Giang")</f>
        <v>Công an xã Nghĩa Hưng  tỉnh Bắc Giang</v>
      </c>
      <c r="C414" t="str">
        <v>https://www.facebook.com/conganxanghiahung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6414</v>
      </c>
      <c r="B415" t="str">
        <f>HYPERLINK("https://nghiahung.langgiang.bacgiang.gov.vn/", "UBND Ủy ban nhân dân xã Nghĩa Hưng  tỉnh Bắc Giang")</f>
        <v>UBND Ủy ban nhân dân xã Nghĩa Hưng  tỉnh Bắc Giang</v>
      </c>
      <c r="C415" t="str">
        <v>https://nghiahung.langgiang.bacgiang.gov.vn/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6415</v>
      </c>
      <c r="B416" t="str">
        <f>HYPERLINK("https://www.facebook.com/p/C%C3%B4ng-an-x%C3%A3-Quang-Th%E1%BB%8Bnh-100064386754001/", "Công an xã Quang Thịnh  tỉnh Bắc Giang")</f>
        <v>Công an xã Quang Thịnh  tỉnh Bắc Giang</v>
      </c>
      <c r="C416" t="str">
        <v>https://www.facebook.com/p/C%C3%B4ng-an-x%C3%A3-Quang-Th%E1%BB%8Bnh-100064386754001/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6416</v>
      </c>
      <c r="B417" t="str">
        <f>HYPERLINK("https://langgiang.bacgiang.gov.vn/chi-tiet-tin-tuc/-/asset_publisher/0tBnd4sOntxK/content/xa-quang-thinh-on-nhan-quyet-inh-cong-nhan-xa-at-chuan-nong-thon-moi-nang-cao-nam-2022?inheritRedirect=false", "UBND Ủy ban nhân dân xã Quang Thịnh  tỉnh Bắc Giang")</f>
        <v>UBND Ủy ban nhân dân xã Quang Thịnh  tỉnh Bắc Giang</v>
      </c>
      <c r="C417" t="str">
        <v>https://langgiang.bacgiang.gov.vn/chi-tiet-tin-tuc/-/asset_publisher/0tBnd4sOntxK/content/xa-quang-thinh-on-nhan-quyet-inh-cong-nhan-xa-at-chuan-nong-thon-moi-nang-cao-nam-2022?inheritRedirect=false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6417</v>
      </c>
      <c r="B418" t="str">
        <v>Công an xã Hương Sơn  tỉnh Bắc Giang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6418</v>
      </c>
      <c r="B419" t="str">
        <f>HYPERLINK("https://huongson.langgiang.bacgiang.gov.vn/", "UBND Ủy ban nhân dân xã Hương Sơn  tỉnh Bắc Giang")</f>
        <v>UBND Ủy ban nhân dân xã Hương Sơn  tỉnh Bắc Giang</v>
      </c>
      <c r="C419" t="str">
        <v>https://huongson.langgiang.bacgiang.gov.vn/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6419</v>
      </c>
      <c r="B420" t="str">
        <v>Công an xã Đào Mỹ  tỉnh Bắc Giang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6420</v>
      </c>
      <c r="B421" t="str">
        <f>HYPERLINK("https://langgiang.bacgiang.gov.vn/", "UBND Ủy ban nhân dân xã Đào Mỹ  tỉnh Bắc Giang")</f>
        <v>UBND Ủy ban nhân dân xã Đào Mỹ  tỉnh Bắc Giang</v>
      </c>
      <c r="C421" t="str">
        <v>https://langgiang.bacgiang.gov.vn/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6421</v>
      </c>
      <c r="B422" t="str">
        <f>HYPERLINK("https://www.facebook.com/p/C%C3%B4ng-an-x%C3%A3-Ti%C3%AAn-L%E1%BB%A5c-100068308819972/", "Công an xã Tiên Lục  tỉnh Bắc Giang")</f>
        <v>Công an xã Tiên Lục  tỉnh Bắc Giang</v>
      </c>
      <c r="C422" t="str">
        <v>https://www.facebook.com/p/C%C3%B4ng-an-x%C3%A3-Ti%C3%AAn-L%E1%BB%A5c-100068308819972/</v>
      </c>
      <c r="D422" t="str">
        <v>0818788111</v>
      </c>
      <c r="E422" t="str">
        <v>-</v>
      </c>
      <c r="F422" t="str">
        <v>-</v>
      </c>
      <c r="G422" t="str">
        <v>Xã Tiên Lục, Lạng Giang, Bac Giang, Vietnam</v>
      </c>
    </row>
    <row r="423">
      <c r="A423">
        <v>6422</v>
      </c>
      <c r="B423" t="str">
        <f>HYPERLINK("https://tienluc.langgiang.bacgiang.gov.vn/", "UBND Ủy ban nhân dân xã Tiên Lục  tỉnh Bắc Giang")</f>
        <v>UBND Ủy ban nhân dân xã Tiên Lục  tỉnh Bắc Giang</v>
      </c>
      <c r="C423" t="str">
        <v>https://tienluc.langgiang.bacgiang.gov.vn/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6423</v>
      </c>
      <c r="B424" t="str">
        <v>Công an xã An Hà  tỉnh Bắc Giang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6424</v>
      </c>
      <c r="B425" t="str">
        <f>HYPERLINK("https://vietyen.bacgiang.gov.vn/xuat-ban-thong-tin/-/asset_publisher/vYGFBWdWN3jE/content/van-ha", "UBND Ủy ban nhân dân xã An Hà  tỉnh Bắc Giang")</f>
        <v>UBND Ủy ban nhân dân xã An Hà  tỉnh Bắc Giang</v>
      </c>
      <c r="C425" t="str">
        <v>https://vietyen.bacgiang.gov.vn/xuat-ban-thong-tin/-/asset_publisher/vYGFBWdWN3jE/content/van-ha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6425</v>
      </c>
      <c r="B426" t="str">
        <v>Công an xã Tân Thịnh  tỉnh Bắc Giang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6426</v>
      </c>
      <c r="B427" t="str">
        <f>HYPERLINK("https://langgiang.bacgiang.gov.vn/chi-tiet-tin-tuc/-/asset_publisher/0tBnd4sOntxK/content/-ang-uy-ubnd-xa-thi-tran", "UBND Ủy ban nhân dân xã Tân Thịnh  tỉnh Bắc Giang")</f>
        <v>UBND Ủy ban nhân dân xã Tân Thịnh  tỉnh Bắc Giang</v>
      </c>
      <c r="C427" t="str">
        <v>https://langgiang.bacgiang.gov.vn/chi-tiet-tin-tuc/-/asset_publisher/0tBnd4sOntxK/content/-ang-uy-ubnd-xa-thi-tran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6427</v>
      </c>
      <c r="B428" t="str">
        <v>Công an xã Mỹ Hà  tỉnh Bắc Giang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6428</v>
      </c>
      <c r="B429" t="str">
        <f>HYPERLINK("https://myha.langgiang.bacgiang.gov.vn/", "UBND Ủy ban nhân dân xã Mỹ Hà  tỉnh Bắc Giang")</f>
        <v>UBND Ủy ban nhân dân xã Mỹ Hà  tỉnh Bắc Giang</v>
      </c>
      <c r="C429" t="str">
        <v>https://myha.langgiang.bacgiang.gov.vn/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6429</v>
      </c>
      <c r="B430" t="str">
        <v>Công an xã Hương Lạc  tỉnh Bắc Giang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6430</v>
      </c>
      <c r="B431" t="str">
        <f>HYPERLINK("https://huonglac.langgiang.bacgiang.gov.vn/", "UBND Ủy ban nhân dân xã Hương Lạc  tỉnh Bắc Giang")</f>
        <v>UBND Ủy ban nhân dân xã Hương Lạc  tỉnh Bắc Giang</v>
      </c>
      <c r="C431" t="str">
        <v>https://huonglac.langgiang.bacgiang.gov.vn/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6431</v>
      </c>
      <c r="B432" t="str">
        <v>Công an xã Dương Đức  tỉnh Bắc Giang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6432</v>
      </c>
      <c r="B433" t="str">
        <f>HYPERLINK("https://langgiang.bacgiang.gov.vn/chi-tiet-tin-tuc/-/asset_publisher/0tBnd4sOntxK/content/xa-duong-uc-to-chuc-le-cong-bo-quyet-inh-cua-ubnd-tinh-cong-nhan-at-bo-tieu-chi-quoc-gia-ve-y-te-xa-giai-oan-en-nam-2030-va-ky-niem-69-nam-ngay-thay-t", "UBND Ủy ban nhân dân xã Dương Đức  tỉnh Bắc Giang")</f>
        <v>UBND Ủy ban nhân dân xã Dương Đức  tỉnh Bắc Giang</v>
      </c>
      <c r="C433" t="str">
        <v>https://langgiang.bacgiang.gov.vn/chi-tiet-tin-tuc/-/asset_publisher/0tBnd4sOntxK/content/xa-duong-uc-to-chuc-le-cong-bo-quyet-inh-cua-ubnd-tinh-cong-nhan-at-bo-tieu-chi-quoc-gia-ve-y-te-xa-giai-oan-en-nam-2030-va-ky-niem-69-nam-ngay-thay-t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6433</v>
      </c>
      <c r="B434" t="str">
        <v>Công an xã Tân Thanh  tỉnh Bắc Giang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6434</v>
      </c>
      <c r="B435" t="str">
        <f>HYPERLINK("https://tanthanh.langgiang.bacgiang.gov.vn/", "UBND Ủy ban nhân dân xã Tân Thanh  tỉnh Bắc Giang")</f>
        <v>UBND Ủy ban nhân dân xã Tân Thanh  tỉnh Bắc Giang</v>
      </c>
      <c r="C435" t="str">
        <v>https://tanthanh.langgiang.bacgiang.gov.vn/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6435</v>
      </c>
      <c r="B436" t="str">
        <v>Công an xã Yên Mỹ  tỉnh Bắc Giang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6436</v>
      </c>
      <c r="B437" t="str">
        <f>HYPERLINK("https://langgiang.bacgiang.gov.vn/", "UBND Ủy ban nhân dân xã Yên Mỹ  tỉnh Bắc Giang")</f>
        <v>UBND Ủy ban nhân dân xã Yên Mỹ  tỉnh Bắc Giang</v>
      </c>
      <c r="C437" t="str">
        <v>https://langgiang.bacgiang.gov.vn/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6437</v>
      </c>
      <c r="B438" t="str">
        <v>Công an xã Tân Hưng  tỉnh Bắc Giang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6438</v>
      </c>
      <c r="B439" t="str">
        <f>HYPERLINK("https://tanhung.langgiang.bacgiang.gov.vn/", "UBND Ủy ban nhân dân xã Tân Hưng  tỉnh Bắc Giang")</f>
        <v>UBND Ủy ban nhân dân xã Tân Hưng  tỉnh Bắc Giang</v>
      </c>
      <c r="C439" t="str">
        <v>https://tanhung.langgiang.bacgiang.gov.vn/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6439</v>
      </c>
      <c r="B440" t="str">
        <v>Công an xã Mỹ Thái  tỉnh Bắc Giang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6440</v>
      </c>
      <c r="B441" t="str">
        <f>HYPERLINK("https://mythai.langgiang.bacgiang.gov.vn/", "UBND Ủy ban nhân dân xã Mỹ Thái  tỉnh Bắc Giang")</f>
        <v>UBND Ủy ban nhân dân xã Mỹ Thái  tỉnh Bắc Giang</v>
      </c>
      <c r="C441" t="str">
        <v>https://mythai.langgiang.bacgiang.gov.vn/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6441</v>
      </c>
      <c r="B442" t="str">
        <v>Công an xã Phi Mô  tỉnh Bắc Giang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6442</v>
      </c>
      <c r="B443" t="str">
        <f>HYPERLINK("https://bacgiang.gov.vn/chi-tiet-tin-tuc/-/asset_publisher/St1DaeZNsp94/content/lang-giang-cong-bo-thanh-lap-thi-tran-kep-va-thi-tran-voi-sau-sap-nhap?inheritRedirect=true", "UBND Ủy ban nhân dân xã Phi Mô  tỉnh Bắc Giang")</f>
        <v>UBND Ủy ban nhân dân xã Phi Mô  tỉnh Bắc Giang</v>
      </c>
      <c r="C443" t="str">
        <v>https://bacgiang.gov.vn/chi-tiet-tin-tuc/-/asset_publisher/St1DaeZNsp94/content/lang-giang-cong-bo-thanh-lap-thi-tran-kep-va-thi-tran-voi-sau-sap-nhap?inheritRedirect=true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6443</v>
      </c>
      <c r="B444" t="str">
        <v>Công an xã Xương Lâm  tỉnh Bắc Giang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6444</v>
      </c>
      <c r="B445" t="str">
        <f>HYPERLINK("https://xuonglam.langgiang.bacgiang.gov.vn/", "UBND Ủy ban nhân dân xã Xương Lâm  tỉnh Bắc Giang")</f>
        <v>UBND Ủy ban nhân dân xã Xương Lâm  tỉnh Bắc Giang</v>
      </c>
      <c r="C445" t="str">
        <v>https://xuonglam.langgiang.bacgiang.gov.vn/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6445</v>
      </c>
      <c r="B446" t="str">
        <v>Công an xã Xuân Hương  tỉnh Bắc Giang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6446</v>
      </c>
      <c r="B447" t="str">
        <f>HYPERLINK("https://xuanhuong.langgiang.bacgiang.gov.vn/", "UBND Ủy ban nhân dân xã Xuân Hương  tỉnh Bắc Giang")</f>
        <v>UBND Ủy ban nhân dân xã Xuân Hương  tỉnh Bắc Giang</v>
      </c>
      <c r="C447" t="str">
        <v>https://xuanhuong.langgiang.bacgiang.gov.vn/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6447</v>
      </c>
      <c r="B448" t="str">
        <v>Công an xã Tân Dĩnh  tỉnh Bắc Giang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6448</v>
      </c>
      <c r="B449" t="str">
        <f>HYPERLINK("https://tandinh.langgiang.bacgiang.gov.vn/", "UBND Ủy ban nhân dân xã Tân Dĩnh  tỉnh Bắc Giang")</f>
        <v>UBND Ủy ban nhân dân xã Tân Dĩnh  tỉnh Bắc Giang</v>
      </c>
      <c r="C449" t="str">
        <v>https://tandinh.langgiang.bacgiang.gov.vn/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6449</v>
      </c>
      <c r="B450" t="str">
        <v>Công an xã Đại Lâm  tỉnh Bắc Giang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6450</v>
      </c>
      <c r="B451" t="str">
        <f>HYPERLINK("https://dailam.langgiang.bacgiang.gov.vn/", "UBND Ủy ban nhân dân xã Đại Lâm  tỉnh Bắc Giang")</f>
        <v>UBND Ủy ban nhân dân xã Đại Lâm  tỉnh Bắc Giang</v>
      </c>
      <c r="C451" t="str">
        <v>https://dailam.langgiang.bacgiang.gov.vn/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6451</v>
      </c>
      <c r="B452" t="str">
        <f>HYPERLINK("https://www.facebook.com/conganxathaidao/", "Công an xã Thái Đào  tỉnh Bắc Giang")</f>
        <v>Công an xã Thái Đào  tỉnh Bắc Giang</v>
      </c>
      <c r="C452" t="str">
        <v>https://www.facebook.com/conganxathaidao/</v>
      </c>
      <c r="D452" t="str">
        <v>-</v>
      </c>
      <c r="E452" t="str">
        <v/>
      </c>
      <c r="F452" t="str">
        <f>HYPERLINK("mailto:Vanngancabg@gmail.com", "Vanngancabg@gmail.com")</f>
        <v>Vanngancabg@gmail.com</v>
      </c>
      <c r="G452" t="str">
        <v>thôn Thái An</v>
      </c>
    </row>
    <row r="453">
      <c r="A453">
        <v>6452</v>
      </c>
      <c r="B453" t="str">
        <f>HYPERLINK("https://thaidao.langgiang.bacgiang.gov.vn/", "UBND Ủy ban nhân dân xã Thái Đào  tỉnh Bắc Giang")</f>
        <v>UBND Ủy ban nhân dân xã Thái Đào  tỉnh Bắc Giang</v>
      </c>
      <c r="C453" t="str">
        <v>https://thaidao.langgiang.bacgiang.gov.vn/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6453</v>
      </c>
      <c r="B454" t="str">
        <f>HYPERLINK("https://www.facebook.com/mamnonhuongduongdoingo/?locale=vi_VN", "Công an thị trấn Đồi Ngô  tỉnh Bắc Giang")</f>
        <v>Công an thị trấn Đồi Ngô  tỉnh Bắc Giang</v>
      </c>
      <c r="C454" t="str">
        <v>https://www.facebook.com/mamnonhuongduongdoingo/?locale=vi_VN</v>
      </c>
      <c r="D454" t="str">
        <v>0335840108</v>
      </c>
      <c r="E454" t="str">
        <v>-</v>
      </c>
      <c r="F454" t="str">
        <f>HYPERLINK("mailto:mamnonhuongduongdoingo@gmail.com", "mamnonhuongduongdoingo@gmail.com")</f>
        <v>mamnonhuongduongdoingo@gmail.com</v>
      </c>
      <c r="G454" t="str">
        <v>Cơ sở 1 : Đường Giáp Văn Cương - Phố Thanh Tân, Cơ Sở 2 : Phố Thanh Hưng, cơ sở 3 ngõ số 1, số 2 phố Đồi Ngô thị trấn Đồi Ngô Lục Nam Bắc Giang ., Luc Nam, Vietnam</v>
      </c>
    </row>
    <row r="455">
      <c r="A455">
        <v>6454</v>
      </c>
      <c r="B455" t="str">
        <f>HYPERLINK("https://doingo-lucnam.bacgiang.gov.vn/", "UBND Ủy ban nhân dân thị trấn Đồi Ngô  tỉnh Bắc Giang")</f>
        <v>UBND Ủy ban nhân dân thị trấn Đồi Ngô  tỉnh Bắc Giang</v>
      </c>
      <c r="C455" t="str">
        <v>https://doingo-lucnam.bacgiang.gov.vn/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6455</v>
      </c>
      <c r="B456" t="str">
        <f>HYPERLINK("https://www.facebook.com/conganhuyenlucnam/?locale=vi_VN", "Công an thị trấn Lục Nam  tỉnh Bắc Giang")</f>
        <v>Công an thị trấn Lục Nam  tỉnh Bắc Giang</v>
      </c>
      <c r="C456" t="str">
        <v>https://www.facebook.com/conganhuyenlucnam/?locale=vi_VN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6456</v>
      </c>
      <c r="B457" t="str">
        <f>HYPERLINK("https://lucnam.bacgiang.gov.vn/", "UBND Ủy ban nhân dân thị trấn Lục Nam  tỉnh Bắc Giang")</f>
        <v>UBND Ủy ban nhân dân thị trấn Lục Nam  tỉnh Bắc Giang</v>
      </c>
      <c r="C457" t="str">
        <v>https://lucnam.bacgiang.gov.vn/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6457</v>
      </c>
      <c r="B458" t="str">
        <v>Công an xã Đông Hưng  tỉnh Bắc Giang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6458</v>
      </c>
      <c r="B459" t="str">
        <f>HYPERLINK("https://donghung.lucnam.bacgiang.gov.vn/", "UBND Ủy ban nhân dân xã Đông Hưng  tỉnh Bắc Giang")</f>
        <v>UBND Ủy ban nhân dân xã Đông Hưng  tỉnh Bắc Giang</v>
      </c>
      <c r="C459" t="str">
        <v>https://donghung.lucnam.bacgiang.gov.vn/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6459</v>
      </c>
      <c r="B460" t="str">
        <v>Công an xã Đông Phú  tỉnh Bắc Giang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6460</v>
      </c>
      <c r="B461" t="str">
        <f>HYPERLINK("https://bacgiang.gov.vn/web/ubnd-xa-dong-phu", "UBND Ủy ban nhân dân xã Đông Phú  tỉnh Bắc Giang")</f>
        <v>UBND Ủy ban nhân dân xã Đông Phú  tỉnh Bắc Giang</v>
      </c>
      <c r="C461" t="str">
        <v>https://bacgiang.gov.vn/web/ubnd-xa-dong-phu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6461</v>
      </c>
      <c r="B462" t="str">
        <f>HYPERLINK("https://www.facebook.com/p/C%C3%B4ng-an-x%C3%A3-Tam-D%E1%BB%8B-L%E1%BB%A5c-Nam-B%E1%BA%AFc-Giang-100065681375066/", "Công an xã Tam Dị  tỉnh Bắc Giang")</f>
        <v>Công an xã Tam Dị  tỉnh Bắc Giang</v>
      </c>
      <c r="C462" t="str">
        <v>https://www.facebook.com/p/C%C3%B4ng-an-x%C3%A3-Tam-D%E1%BB%8B-L%E1%BB%A5c-Nam-B%E1%BA%AFc-Giang-100065681375066/</v>
      </c>
      <c r="D462" t="str">
        <v>0983987228</v>
      </c>
      <c r="E462" t="str">
        <v>-</v>
      </c>
      <c r="F462" t="str">
        <v>-</v>
      </c>
      <c r="G462" t="str">
        <v>Bac Giang, Vietnam</v>
      </c>
    </row>
    <row r="463">
      <c r="A463">
        <v>6462</v>
      </c>
      <c r="B463" t="str">
        <f>HYPERLINK("https://bacgiang.gov.vn/web/ubnd-xa-tam-di/co-cau-to-chuc", "UBND Ủy ban nhân dân xã Tam Dị  tỉnh Bắc Giang")</f>
        <v>UBND Ủy ban nhân dân xã Tam Dị  tỉnh Bắc Giang</v>
      </c>
      <c r="C463" t="str">
        <v>https://bacgiang.gov.vn/web/ubnd-xa-tam-di/co-cau-to-chuc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6463</v>
      </c>
      <c r="B464" t="str">
        <f>HYPERLINK("https://www.facebook.com/p/C%C3%B4ng-an-x%C3%A3-B%E1%BA%A3o-S%C6%A1n-huy%E1%BB%87n-L%E1%BB%A5c-Nam-t%E1%BB%89nh-B%E1%BA%AFc-Giang-100065147402604/", "Công an xã Bảo Sơn  tỉnh Bắc Giang")</f>
        <v>Công an xã Bảo Sơn  tỉnh Bắc Giang</v>
      </c>
      <c r="C464" t="str">
        <v>https://www.facebook.com/p/C%C3%B4ng-an-x%C3%A3-B%E1%BA%A3o-S%C6%A1n-huy%E1%BB%87n-L%E1%BB%A5c-Nam-t%E1%BB%89nh-B%E1%BA%AFc-Giang-100065147402604/</v>
      </c>
      <c r="D464" t="str">
        <v>0983050666</v>
      </c>
      <c r="E464" t="str">
        <v>-</v>
      </c>
      <c r="F464" t="str">
        <v>-</v>
      </c>
      <c r="G464" t="str">
        <v>-</v>
      </c>
    </row>
    <row r="465">
      <c r="A465">
        <v>6464</v>
      </c>
      <c r="B465" t="str">
        <f>HYPERLINK("https://bacgiang.gov.vn/web/ubnd-xa-bao-son", "UBND Ủy ban nhân dân xã Bảo Sơn  tỉnh Bắc Giang")</f>
        <v>UBND Ủy ban nhân dân xã Bảo Sơn  tỉnh Bắc Giang</v>
      </c>
      <c r="C465" t="str">
        <v>https://bacgiang.gov.vn/web/ubnd-xa-bao-son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6465</v>
      </c>
      <c r="B466" t="str">
        <v>Công an xã Bảo Đài  tỉnh Bắc Giang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6466</v>
      </c>
      <c r="B467" t="str">
        <f>HYPERLINK("https://bacgiang.gov.vn/web/ubnd-xa-bao-dai", "UBND Ủy ban nhân dân xã Bảo Đài  tỉnh Bắc Giang")</f>
        <v>UBND Ủy ban nhân dân xã Bảo Đài  tỉnh Bắc Giang</v>
      </c>
      <c r="C467" t="str">
        <v>https://bacgiang.gov.vn/web/ubnd-xa-bao-dai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6467</v>
      </c>
      <c r="B468" t="str">
        <v>Công an xã Thanh Lâm  tỉnh Bắc Giang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6468</v>
      </c>
      <c r="B469" t="str">
        <f>HYPERLINK("https://bacgiang.gov.vn/web/ubnd-xa-thanh-lam", "UBND Ủy ban nhân dân xã Thanh Lâm  tỉnh Bắc Giang")</f>
        <v>UBND Ủy ban nhân dân xã Thanh Lâm  tỉnh Bắc Giang</v>
      </c>
      <c r="C469" t="str">
        <v>https://bacgiang.gov.vn/web/ubnd-xa-thanh-lam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6469</v>
      </c>
      <c r="B470" t="str">
        <v>Công an xã Tiên Nha  tỉnh Bắc Giang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6470</v>
      </c>
      <c r="B471" t="str">
        <f>HYPERLINK("https://bacgiang.gov.vn/web/ubnd-xa-tien-nha", "UBND Ủy ban nhân dân xã Tiên Nha  tỉnh Bắc Giang")</f>
        <v>UBND Ủy ban nhân dân xã Tiên Nha  tỉnh Bắc Giang</v>
      </c>
      <c r="C471" t="str">
        <v>https://bacgiang.gov.vn/web/ubnd-xa-tien-nha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6471</v>
      </c>
      <c r="B472" t="str">
        <f>HYPERLINK("https://www.facebook.com/p/C%C3%B4ng-an-x%C3%A3-Tr%C6%B0%E1%BB%9Dng-Giang-huy%E1%BB%87n-N%C3%B4ng-C%E1%BB%91ng-t%E1%BB%89nh-Thanh-Ho%C3%A1-100029619587768/", "Công an xã Trường Giang  tỉnh Bắc Giang")</f>
        <v>Công an xã Trường Giang  tỉnh Bắc Giang</v>
      </c>
      <c r="C472" t="str">
        <v>https://www.facebook.com/p/C%C3%B4ng-an-x%C3%A3-Tr%C6%B0%E1%BB%9Dng-Giang-huy%E1%BB%87n-N%C3%B4ng-C%E1%BB%91ng-t%E1%BB%89nh-Thanh-Ho%C3%A1-100029619587768/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6472</v>
      </c>
      <c r="B473" t="str">
        <f>HYPERLINK("https://bacgiang.gov.vn/web/ubnd-xa-truong-giang", "UBND Ủy ban nhân dân xã Trường Giang  tỉnh Bắc Giang")</f>
        <v>UBND Ủy ban nhân dân xã Trường Giang  tỉnh Bắc Giang</v>
      </c>
      <c r="C473" t="str">
        <v>https://bacgiang.gov.vn/web/ubnd-xa-truong-giang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6473</v>
      </c>
      <c r="B474" t="str">
        <v>Công an xã Tiên Hưng  tỉnh Bắc Giang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6474</v>
      </c>
      <c r="B475" t="str">
        <f>HYPERLINK("https://lucnam.bacgiang.gov.vn/web/ubnd-huyen-luc-nam-tinh-bg/cac-xa-thi-tran", "UBND Ủy ban nhân dân xã Tiên Hưng  tỉnh Bắc Giang")</f>
        <v>UBND Ủy ban nhân dân xã Tiên Hưng  tỉnh Bắc Giang</v>
      </c>
      <c r="C475" t="str">
        <v>https://lucnam.bacgiang.gov.vn/web/ubnd-huyen-luc-nam-tinh-bg/cac-xa-thi-tran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6475</v>
      </c>
      <c r="B476" t="str">
        <v>Công an xã Phương Sơn  tỉnh Bắc Giang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6476</v>
      </c>
      <c r="B477" t="str">
        <f>HYPERLINK("https://bacgiang.gov.vn/web/ubnd-xa-phuong-son", "UBND Ủy ban nhân dân xã Phương Sơn  tỉnh Bắc Giang")</f>
        <v>UBND Ủy ban nhân dân xã Phương Sơn  tỉnh Bắc Giang</v>
      </c>
      <c r="C477" t="str">
        <v>https://bacgiang.gov.vn/web/ubnd-xa-phuong-son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6477</v>
      </c>
      <c r="B478" t="str">
        <f>HYPERLINK("https://www.facebook.com/p/C%C3%B4ng-an-x%C3%A3-Chu-%C4%90i%E1%BB%87n-L%E1%BB%A5c-Nam-100071035270894/", "Công an xã Chu Điện  tỉnh Bắc Giang")</f>
        <v>Công an xã Chu Điện  tỉnh Bắc Giang</v>
      </c>
      <c r="C478" t="str">
        <v>https://www.facebook.com/p/C%C3%B4ng-an-x%C3%A3-Chu-%C4%90i%E1%BB%87n-L%E1%BB%A5c-Nam-100071035270894/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6478</v>
      </c>
      <c r="B479" t="str">
        <f>HYPERLINK("https://bacgiang.gov.vn/web/ubnd-xa-chu-ien", "UBND Ủy ban nhân dân xã Chu Điện  tỉnh Bắc Giang")</f>
        <v>UBND Ủy ban nhân dân xã Chu Điện  tỉnh Bắc Giang</v>
      </c>
      <c r="C479" t="str">
        <v>https://bacgiang.gov.vn/web/ubnd-xa-chu-ien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6479</v>
      </c>
      <c r="B480" t="str">
        <v>Công an xã Cương Sơn  tỉnh Bắc Giang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6480</v>
      </c>
      <c r="B481" t="str">
        <f>HYPERLINK("https://bacgiang.gov.vn/web/ubnd-xa-cuong-son", "UBND Ủy ban nhân dân xã Cương Sơn  tỉnh Bắc Giang")</f>
        <v>UBND Ủy ban nhân dân xã Cương Sơn  tỉnh Bắc Giang</v>
      </c>
      <c r="C481" t="str">
        <v>https://bacgiang.gov.vn/web/ubnd-xa-cuong-son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6481</v>
      </c>
      <c r="B482" t="str">
        <f>HYPERLINK("https://www.facebook.com/Haokabg/", "Công an xã Nghĩa Phương  tỉnh Bắc Giang")</f>
        <v>Công an xã Nghĩa Phương  tỉnh Bắc Giang</v>
      </c>
      <c r="C482" t="str">
        <v>https://www.facebook.com/Haokabg/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6482</v>
      </c>
      <c r="B483" t="str">
        <f>HYPERLINK("https://bacgiang.gov.vn/web/ubnd-xa-nghia-phuong/co-cau-to-chuc", "UBND Ủy ban nhân dân xã Nghĩa Phương  tỉnh Bắc Giang")</f>
        <v>UBND Ủy ban nhân dân xã Nghĩa Phương  tỉnh Bắc Giang</v>
      </c>
      <c r="C483" t="str">
        <v>https://bacgiang.gov.vn/web/ubnd-xa-nghia-phuong/co-cau-to-chuc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6483</v>
      </c>
      <c r="B484" t="str">
        <f>HYPERLINK("https://www.facebook.com/ConganxaVoTranhLucNam/", "Công an xã Vô Tranh  tỉnh Bắc Giang")</f>
        <v>Công an xã Vô Tranh  tỉnh Bắc Giang</v>
      </c>
      <c r="C484" t="str">
        <v>https://www.facebook.com/ConganxaVoTranhLucNam/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6484</v>
      </c>
      <c r="B485" t="str">
        <f>HYPERLINK("https://bacgiang.gov.vn/web/ubnd-xa-vo-tranh", "UBND Ủy ban nhân dân xã Vô Tranh  tỉnh Bắc Giang")</f>
        <v>UBND Ủy ban nhân dân xã Vô Tranh  tỉnh Bắc Giang</v>
      </c>
      <c r="C485" t="str">
        <v>https://bacgiang.gov.vn/web/ubnd-xa-vo-tranh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6485</v>
      </c>
      <c r="B486" t="str">
        <f>HYPERLINK("https://www.facebook.com/p/C%C3%B4ng-an-x%C3%A3-B%C3%ACnh-S%C6%A1n-L%E1%BB%A5c-Nam-B%E1%BA%AFc-Giang-100080489739167/", "Công an xã Bình Sơn  tỉnh Bắc Giang")</f>
        <v>Công an xã Bình Sơn  tỉnh Bắc Giang</v>
      </c>
      <c r="C486" t="str">
        <v>https://www.facebook.com/p/C%C3%B4ng-an-x%C3%A3-B%C3%ACnh-S%C6%A1n-L%E1%BB%A5c-Nam-B%E1%BA%AFc-Giang-100080489739167/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6486</v>
      </c>
      <c r="B487" t="str">
        <f>HYPERLINK("https://bacgiang.gov.vn/web/ubnd-xa-binh-son", "UBND Ủy ban nhân dân xã Bình Sơn  tỉnh Bắc Giang")</f>
        <v>UBND Ủy ban nhân dân xã Bình Sơn  tỉnh Bắc Giang</v>
      </c>
      <c r="C487" t="str">
        <v>https://bacgiang.gov.vn/web/ubnd-xa-binh-son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6487</v>
      </c>
      <c r="B488" t="str">
        <f>HYPERLINK("https://www.facebook.com/p/C%C3%B4ng-an-x%C3%A3-Lan-M%E1%BA%ABu-100063447177118/", "Công an xã Lan Mẫu  tỉnh Bắc Giang")</f>
        <v>Công an xã Lan Mẫu  tỉnh Bắc Giang</v>
      </c>
      <c r="C488" t="str">
        <v>https://www.facebook.com/p/C%C3%B4ng-an-x%C3%A3-Lan-M%E1%BA%ABu-100063447177118/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6488</v>
      </c>
      <c r="B489" t="str">
        <f>HYPERLINK("https://bacgiang.gov.vn/web/ubnd-xa-lan-mau", "UBND Ủy ban nhân dân xã Lan Mẫu  tỉnh Bắc Giang")</f>
        <v>UBND Ủy ban nhân dân xã Lan Mẫu  tỉnh Bắc Giang</v>
      </c>
      <c r="C489" t="str">
        <v>https://bacgiang.gov.vn/web/ubnd-xa-lan-mau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6489</v>
      </c>
      <c r="B490" t="str">
        <v>Công an xã Yên Sơn  tỉnh Bắc Giang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6490</v>
      </c>
      <c r="B491" t="str">
        <f>HYPERLINK("https://bacgiang.gov.vn/web/ubnd-xa-yen-son", "UBND Ủy ban nhân dân xã Yên Sơn  tỉnh Bắc Giang")</f>
        <v>UBND Ủy ban nhân dân xã Yên Sơn  tỉnh Bắc Giang</v>
      </c>
      <c r="C491" t="str">
        <v>https://bacgiang.gov.vn/web/ubnd-xa-yen-son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6491</v>
      </c>
      <c r="B492" t="str">
        <f>HYPERLINK("https://www.facebook.com/ConganxaKhamLang/", "Công an xã Khám Lạng  tỉnh Bắc Giang")</f>
        <v>Công an xã Khám Lạng  tỉnh Bắc Giang</v>
      </c>
      <c r="C492" t="str">
        <v>https://www.facebook.com/ConganxaKhamLang/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6492</v>
      </c>
      <c r="B493" t="str">
        <f>HYPERLINK("https://bacgiang.gov.vn/web/ubnd-xa-kham-lang", "UBND Ủy ban nhân dân xã Khám Lạng  tỉnh Bắc Giang")</f>
        <v>UBND Ủy ban nhân dân xã Khám Lạng  tỉnh Bắc Giang</v>
      </c>
      <c r="C493" t="str">
        <v>https://bacgiang.gov.vn/web/ubnd-xa-kham-lang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6493</v>
      </c>
      <c r="B494" t="str">
        <f>HYPERLINK("https://www.facebook.com/ConganxaHuyenSon/", "Công an xã Huyền Sơn  tỉnh Bắc Giang")</f>
        <v>Công an xã Huyền Sơn  tỉnh Bắc Giang</v>
      </c>
      <c r="C494" t="str">
        <v>https://www.facebook.com/ConganxaHuyenSon/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6494</v>
      </c>
      <c r="B495" t="str">
        <f>HYPERLINK("https://bacgiang.gov.vn/web/ubnd-xa-huyen-son/co-cau-to-chuc", "UBND Ủy ban nhân dân xã Huyền Sơn  tỉnh Bắc Giang")</f>
        <v>UBND Ủy ban nhân dân xã Huyền Sơn  tỉnh Bắc Giang</v>
      </c>
      <c r="C495" t="str">
        <v>https://bacgiang.gov.vn/web/ubnd-xa-huyen-son/co-cau-to-chuc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6495</v>
      </c>
      <c r="B496" t="str">
        <v>Công an xã Trường Sơn  tỉnh Bắc Giang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6496</v>
      </c>
      <c r="B497" t="str">
        <f>HYPERLINK("https://bacgiang.gov.vn/web/ubnd-xa-truong-son", "UBND Ủy ban nhân dân xã Trường Sơn  tỉnh Bắc Giang")</f>
        <v>UBND Ủy ban nhân dân xã Trường Sơn  tỉnh Bắc Giang</v>
      </c>
      <c r="C497" t="str">
        <v>https://bacgiang.gov.vn/web/ubnd-xa-truong-son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6497</v>
      </c>
      <c r="B498" t="str">
        <f>HYPERLINK("https://www.facebook.com/p/C%C3%B4ng-an-x%C3%A3-L%E1%BB%A5c-S%C6%A1n-L%E1%BB%A5c-Nam-B%E1%BA%AFc-Giang-100063636092587/", "Công an xã Lục Sơn  tỉnh Bắc Giang")</f>
        <v>Công an xã Lục Sơn  tỉnh Bắc Giang</v>
      </c>
      <c r="C498" t="str">
        <v>https://www.facebook.com/p/C%C3%B4ng-an-x%C3%A3-L%E1%BB%A5c-S%C6%A1n-L%E1%BB%A5c-Nam-B%E1%BA%AFc-Giang-100063636092587/</v>
      </c>
      <c r="D498" t="str">
        <v>0947776686</v>
      </c>
      <c r="E498" t="str">
        <v>-</v>
      </c>
      <c r="F498" t="str">
        <f>HYPERLINK("mailto:thuykien123911@gmail.com", "thuykien123911@gmail.com")</f>
        <v>thuykien123911@gmail.com</v>
      </c>
      <c r="G498" t="str">
        <v>-</v>
      </c>
    </row>
    <row r="499">
      <c r="A499">
        <v>6498</v>
      </c>
      <c r="B499" t="str">
        <f>HYPERLINK("https://bacgiang.gov.vn/web/ubnd-xa-huyen-son/co-cau-to-chuc", "UBND Ủy ban nhân dân xã Lục Sơn  tỉnh Bắc Giang")</f>
        <v>UBND Ủy ban nhân dân xã Lục Sơn  tỉnh Bắc Giang</v>
      </c>
      <c r="C499" t="str">
        <v>https://bacgiang.gov.vn/web/ubnd-xa-huyen-son/co-cau-to-chuc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6499</v>
      </c>
      <c r="B500" t="str">
        <v>Công an xã Bắc Lũng  tỉnh Bắc Giang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6500</v>
      </c>
      <c r="B501" t="str">
        <f>HYPERLINK("https://bacgiang.gov.vn/web/ubnd-xa-bac-lung", "UBND Ủy ban nhân dân xã Bắc Lũng  tỉnh Bắc Giang")</f>
        <v>UBND Ủy ban nhân dân xã Bắc Lũng  tỉnh Bắc Giang</v>
      </c>
      <c r="C501" t="str">
        <v>https://bacgiang.gov.vn/web/ubnd-xa-bac-lung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6501</v>
      </c>
      <c r="B502" t="str">
        <f>HYPERLINK("https://www.facebook.com/p/C%C3%B4ng-an-x%C3%A3-V%C5%A9-X%C3%A1-L%E1%BB%A5c-Nam-B%E1%BA%AFc-Giang-100066610848128/", "Công an xã Vũ Xá  tỉnh Bắc Giang")</f>
        <v>Công an xã Vũ Xá  tỉnh Bắc Giang</v>
      </c>
      <c r="C502" t="str">
        <v>https://www.facebook.com/p/C%C3%B4ng-an-x%C3%A3-V%C5%A9-X%C3%A1-L%E1%BB%A5c-Nam-B%E1%BA%AFc-Giang-100066610848128/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6502</v>
      </c>
      <c r="B503" t="str">
        <f>HYPERLINK("https://bacgiang.gov.vn/web/ubnd-xa-vu-xa", "UBND Ủy ban nhân dân xã Vũ Xá  tỉnh Bắc Giang")</f>
        <v>UBND Ủy ban nhân dân xã Vũ Xá  tỉnh Bắc Giang</v>
      </c>
      <c r="C503" t="str">
        <v>https://bacgiang.gov.vn/web/ubnd-xa-vu-xa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6503</v>
      </c>
      <c r="B504" t="str">
        <f>HYPERLINK("https://www.facebook.com/p/C%C3%B4ng-an-x%C3%A3-C%E1%BA%A9m-L%C3%BD-L%E1%BB%A5c-Nam-B%E1%BA%AFc-Giang-100088781361781/", "Công an xã Cẩm Lý  tỉnh Bắc Giang")</f>
        <v>Công an xã Cẩm Lý  tỉnh Bắc Giang</v>
      </c>
      <c r="C504" t="str">
        <v>https://www.facebook.com/p/C%C3%B4ng-an-x%C3%A3-C%E1%BA%A9m-L%C3%BD-L%E1%BB%A5c-Nam-B%E1%BA%AFc-Giang-100088781361781/</v>
      </c>
      <c r="D504" t="str">
        <v>0987115113</v>
      </c>
      <c r="E504" t="str">
        <v>-</v>
      </c>
      <c r="F504" t="str">
        <f>HYPERLINK("mailto:caxcamly@gmail.com", "caxcamly@gmail.com")</f>
        <v>caxcamly@gmail.com</v>
      </c>
      <c r="G504" t="str">
        <v>UBND xã Cẩm Lý, Luc Nam, Vietnam</v>
      </c>
    </row>
    <row r="505">
      <c r="A505">
        <v>6504</v>
      </c>
      <c r="B505" t="str">
        <f>HYPERLINK("https://bacgiang.gov.vn/web/ubnd-xa-cam-ly", "UBND Ủy ban nhân dân xã Cẩm Lý  tỉnh Bắc Giang")</f>
        <v>UBND Ủy ban nhân dân xã Cẩm Lý  tỉnh Bắc Giang</v>
      </c>
      <c r="C505" t="str">
        <v>https://bacgiang.gov.vn/web/ubnd-xa-cam-ly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6505</v>
      </c>
      <c r="B506" t="str">
        <f>HYPERLINK("https://www.facebook.com/tuoitreconganbacgiang/", "Công an xã Đan Hội  tỉnh Bắc Giang")</f>
        <v>Công an xã Đan Hội  tỉnh Bắc Giang</v>
      </c>
      <c r="C506" t="str">
        <v>https://www.facebook.com/tuoitreconganbacgiang/</v>
      </c>
      <c r="D506" t="str">
        <v>-</v>
      </c>
      <c r="E506" t="str">
        <v/>
      </c>
      <c r="F506" t="str">
        <f>HYPERLINK("mailto:doanthanhniencatbg@gmail.com", "doanthanhniencatbg@gmail.com")</f>
        <v>doanthanhniencatbg@gmail.com</v>
      </c>
      <c r="G506" t="str">
        <v>Bac Giang, Vietnam</v>
      </c>
    </row>
    <row r="507">
      <c r="A507">
        <v>6506</v>
      </c>
      <c r="B507" t="str">
        <f>HYPERLINK("https://bacgiang.gov.vn/web/ubnd-xa-an-hoi", "UBND Ủy ban nhân dân xã Đan Hội  tỉnh Bắc Giang")</f>
        <v>UBND Ủy ban nhân dân xã Đan Hội  tỉnh Bắc Giang</v>
      </c>
      <c r="C507" t="str">
        <v>https://bacgiang.gov.vn/web/ubnd-xa-an-hoi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6507</v>
      </c>
      <c r="B508" t="str">
        <v>Công an thị trấn Chũ  tỉnh Bắc Giang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6508</v>
      </c>
      <c r="B509" t="str">
        <f>HYPERLINK("https://lucngan.bacgiang.gov.vn/web/ubnd-tt-chu", "UBND Ủy ban nhân dân thị trấn Chũ  tỉnh Bắc Giang")</f>
        <v>UBND Ủy ban nhân dân thị trấn Chũ  tỉnh Bắc Giang</v>
      </c>
      <c r="C509" t="str">
        <v>https://lucngan.bacgiang.gov.vn/web/ubnd-tt-chu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6509</v>
      </c>
      <c r="B510" t="str">
        <f>HYPERLINK("https://www.facebook.com/tuoitrecongansonla/", "Công an xã Cấm Sơn  tỉnh Bắc Giang")</f>
        <v>Công an xã Cấm Sơn  tỉnh Bắc Giang</v>
      </c>
      <c r="C510" t="str">
        <v>https://www.facebook.com/tuoitrecongansonla/</v>
      </c>
      <c r="D510" t="str">
        <v>-</v>
      </c>
      <c r="E510" t="str">
        <v/>
      </c>
      <c r="F510" t="str">
        <f>HYPERLINK("mailto:doanthanhniencasl@gmail.com", "doanthanhniencasl@gmail.com")</f>
        <v>doanthanhniencasl@gmail.com</v>
      </c>
      <c r="G510" t="str">
        <v>-</v>
      </c>
    </row>
    <row r="511">
      <c r="A511">
        <v>6510</v>
      </c>
      <c r="B511" t="str">
        <f>HYPERLINK("https://lucngan.bacgiang.gov.vn/cac-xa-thi-tran/-/asset_publisher/bBAN92NMZesR/content/danh-ba-ang-uy-h-nd-ubnd-cac-xa-thi-tran?inheritRedirect=false", "UBND Ủy ban nhân dân xã Cấm Sơn  tỉnh Bắc Giang")</f>
        <v>UBND Ủy ban nhân dân xã Cấm Sơn  tỉnh Bắc Giang</v>
      </c>
      <c r="C511" t="str">
        <v>https://lucngan.bacgiang.gov.vn/cac-xa-thi-tran/-/asset_publisher/bBAN92NMZesR/content/danh-ba-ang-uy-h-nd-ubnd-cac-xa-thi-tran?inheritRedirect=false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6511</v>
      </c>
      <c r="B512" t="str">
        <v>Công an xã Tân Sơn  tỉnh Bắc Giang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6512</v>
      </c>
      <c r="B513" t="str">
        <f>HYPERLINK("https://lucngan.bacgiang.gov.vn/tin-tuc-ubnd-xa-tan-son", "UBND Ủy ban nhân dân xã Tân Sơn  tỉnh Bắc Giang")</f>
        <v>UBND Ủy ban nhân dân xã Tân Sơn  tỉnh Bắc Giang</v>
      </c>
      <c r="C513" t="str">
        <v>https://lucngan.bacgiang.gov.vn/tin-tuc-ubnd-xa-tan-son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6513</v>
      </c>
      <c r="B514" t="str">
        <v>Công an xã Phong Minh  tỉnh Bắc Giang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6514</v>
      </c>
      <c r="B515" t="str">
        <f>HYPERLINK("https://lucngan.bacgiang.gov.vn/cac-xa-thi-tran", "UBND Ủy ban nhân dân xã Phong Minh  tỉnh Bắc Giang")</f>
        <v>UBND Ủy ban nhân dân xã Phong Minh  tỉnh Bắc Giang</v>
      </c>
      <c r="C515" t="str">
        <v>https://lucngan.bacgiang.gov.vn/cac-xa-thi-tran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6515</v>
      </c>
      <c r="B516" t="str">
        <v>Công an xã Phong Vân  tỉnh Bắc Giang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6516</v>
      </c>
      <c r="B517" t="str">
        <f>HYPERLINK("https://lucngan.bacgiang.gov.vn/chi-tiet-tin-tuc/-/asset_publisher/Enp27vgshTez/content/xa-phong-van-tap-trung-thuc-hien-chi-thi-so-17-ve-moi-truong", "UBND Ủy ban nhân dân xã Phong Vân  tỉnh Bắc Giang")</f>
        <v>UBND Ủy ban nhân dân xã Phong Vân  tỉnh Bắc Giang</v>
      </c>
      <c r="C517" t="str">
        <v>https://lucngan.bacgiang.gov.vn/chi-tiet-tin-tuc/-/asset_publisher/Enp27vgshTez/content/xa-phong-van-tap-trung-thuc-hien-chi-thi-so-17-ve-moi-truong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6517</v>
      </c>
      <c r="B518" t="str">
        <v>Công an xã Xa Lý  tỉnh Bắc Giang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6518</v>
      </c>
      <c r="B519" t="str">
        <f>HYPERLINK("https://ngocly.tanyen.bacgiang.gov.vn/", "UBND Ủy ban nhân dân xã Xa Lý  tỉnh Bắc Giang")</f>
        <v>UBND Ủy ban nhân dân xã Xa Lý  tỉnh Bắc Giang</v>
      </c>
      <c r="C519" t="str">
        <v>https://ngocly.tanyen.bacgiang.gov.vn/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6519</v>
      </c>
      <c r="B520" t="str">
        <v>Công an xã Hộ Đáp  tỉnh Bắc Giang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6520</v>
      </c>
      <c r="B521" t="str">
        <f>HYPERLINK("https://lucngan.bacgiang.gov.vn/chi-tiet-tin-tuc/-/asset_publisher/Enp27vgshTez/content/chu-tich-ubnd-huyen-oi-thoai-voi-can-bo-ang-vien-va-nhan-dan-xa-ho-ap?inheritRedirect=false", "UBND Ủy ban nhân dân xã Hộ Đáp  tỉnh Bắc Giang")</f>
        <v>UBND Ủy ban nhân dân xã Hộ Đáp  tỉnh Bắc Giang</v>
      </c>
      <c r="C521" t="str">
        <v>https://lucngan.bacgiang.gov.vn/chi-tiet-tin-tuc/-/asset_publisher/Enp27vgshTez/content/chu-tich-ubnd-huyen-oi-thoai-voi-can-bo-ang-vien-va-nhan-dan-xa-ho-ap?inheritRedirect=false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6521</v>
      </c>
      <c r="B522" t="str">
        <v>Công an xã Sơn Hải  tỉnh Bắc Giang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6522</v>
      </c>
      <c r="B523" t="str">
        <f>HYPERLINK("https://lucngan.bacgiang.gov.vn/", "UBND Ủy ban nhân dân xã Sơn Hải  tỉnh Bắc Giang")</f>
        <v>UBND Ủy ban nhân dân xã Sơn Hải  tỉnh Bắc Giang</v>
      </c>
      <c r="C523" t="str">
        <v>https://lucngan.bacgiang.gov.vn/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6523</v>
      </c>
      <c r="B524" t="str">
        <v>Công an xã Thanh Hải  tỉnh Bắc Giang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6524</v>
      </c>
      <c r="B525" t="str">
        <f>HYPERLINK("https://lucngan.bacgiang.gov.vn/chi-tiet-tin-tuc/-/asset_publisher/Enp27vgshTez/content/xa-thanh-hai-on-nhan-huan-chuong-lao-ong-hang-ba-va-bang-cong-nhan-xa-at-chuan-nong-thon-moi-nang-cao-nam-2022", "UBND Ủy ban nhân dân xã Thanh Hải  tỉnh Bắc Giang")</f>
        <v>UBND Ủy ban nhân dân xã Thanh Hải  tỉnh Bắc Giang</v>
      </c>
      <c r="C525" t="str">
        <v>https://lucngan.bacgiang.gov.vn/chi-tiet-tin-tuc/-/asset_publisher/Enp27vgshTez/content/xa-thanh-hai-on-nhan-huan-chuong-lao-ong-hang-ba-va-bang-cong-nhan-xa-at-chuan-nong-thon-moi-nang-cao-nam-2022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6525</v>
      </c>
      <c r="B526" t="str">
        <v>Công an xã Kiên Lao  tỉnh Bắc Giang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6526</v>
      </c>
      <c r="B527" t="str">
        <f>HYPERLINK("https://lucngan.bacgiang.gov.vn/chi-tiet-tin-tuc/-/asset_publisher/Enp27vgshTez/content/xa-kien-lao-cong-bo-quyet-inh-at-chuan-nong-thon-moi-nam-2023", "UBND Ủy ban nhân dân xã Kiên Lao  tỉnh Bắc Giang")</f>
        <v>UBND Ủy ban nhân dân xã Kiên Lao  tỉnh Bắc Giang</v>
      </c>
      <c r="C527" t="str">
        <v>https://lucngan.bacgiang.gov.vn/chi-tiet-tin-tuc/-/asset_publisher/Enp27vgshTez/content/xa-kien-lao-cong-bo-quyet-inh-at-chuan-nong-thon-moi-nam-2023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6527</v>
      </c>
      <c r="B528" t="str">
        <f>HYPERLINK("https://www.facebook.com/tuoitrecongansonla/", "Công an xã Biên Sơn  tỉnh Bắc Giang")</f>
        <v>Công an xã Biên Sơn  tỉnh Bắc Giang</v>
      </c>
      <c r="C528" t="str">
        <v>https://www.facebook.com/tuoitrecongansonla/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6528</v>
      </c>
      <c r="B529" t="str">
        <f>HYPERLINK("https://lucngan.bacgiang.gov.vn/cac-xa-thi-tran", "UBND Ủy ban nhân dân xã Biên Sơn  tỉnh Bắc Giang")</f>
        <v>UBND Ủy ban nhân dân xã Biên Sơn  tỉnh Bắc Giang</v>
      </c>
      <c r="C529" t="str">
        <v>https://lucngan.bacgiang.gov.vn/cac-xa-thi-tran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6529</v>
      </c>
      <c r="B530" t="str">
        <f>HYPERLINK("https://www.facebook.com/p/C%C3%B4ng-an-x%C3%A3-Ki%C3%AAn-Th%C3%A0nh-100034975303409/", "Công an xã Kiên Thành  tỉnh Bắc Giang")</f>
        <v>Công an xã Kiên Thành  tỉnh Bắc Giang</v>
      </c>
      <c r="C530" t="str">
        <v>https://www.facebook.com/p/C%C3%B4ng-an-x%C3%A3-Ki%C3%AAn-Th%C3%A0nh-100034975303409/</v>
      </c>
      <c r="D530" t="str">
        <v>0982545626</v>
      </c>
      <c r="E530" t="str">
        <v>-</v>
      </c>
      <c r="F530" t="str">
        <f>HYPERLINK("mailto:Conganxakienthanh2020@gmail.com", "Conganxakienthanh2020@gmail.com")</f>
        <v>Conganxakienthanh2020@gmail.com</v>
      </c>
      <c r="G530" t="str">
        <v>-</v>
      </c>
    </row>
    <row r="531">
      <c r="A531">
        <v>6530</v>
      </c>
      <c r="B531" t="str">
        <f>HYPERLINK("https://lucngan.bacgiang.gov.vn/tin-tuc-ubnd-xa-kien-thanh", "UBND Ủy ban nhân dân xã Kiên Thành  tỉnh Bắc Giang")</f>
        <v>UBND Ủy ban nhân dân xã Kiên Thành  tỉnh Bắc Giang</v>
      </c>
      <c r="C531" t="str">
        <v>https://lucngan.bacgiang.gov.vn/tin-tuc-ubnd-xa-kien-thanh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6531</v>
      </c>
      <c r="B532" t="str">
        <v>Công an xã Hồng Giang  tỉnh Bắc Giang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6532</v>
      </c>
      <c r="B533" t="str">
        <f>HYPERLINK("https://www.bacgiang.gov.vn/web/ubnd-xa-hong-giang", "UBND Ủy ban nhân dân xã Hồng Giang  tỉnh Bắc Giang")</f>
        <v>UBND Ủy ban nhân dân xã Hồng Giang  tỉnh Bắc Giang</v>
      </c>
      <c r="C533" t="str">
        <v>https://www.bacgiang.gov.vn/web/ubnd-xa-hong-giang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6533</v>
      </c>
      <c r="B534" t="str">
        <v>Công an xã Kim Sơn  tỉnh Bắc Giang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6534</v>
      </c>
      <c r="B535" t="str">
        <f>HYPERLINK("https://kimson.ninhbinh.gov.vn/gioi-thieu/xa-kim-my", "UBND Ủy ban nhân dân xã Kim Sơn  tỉnh Bắc Giang")</f>
        <v>UBND Ủy ban nhân dân xã Kim Sơn  tỉnh Bắc Giang</v>
      </c>
      <c r="C535" t="str">
        <v>https://kimson.ninhbinh.gov.vn/gioi-thieu/xa-kim-my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6535</v>
      </c>
      <c r="B536" t="str">
        <f>HYPERLINK("https://www.facebook.com/Congantanhoa/", "Công an xã Tân Hoa  tỉnh Bắc Giang")</f>
        <v>Công an xã Tân Hoa  tỉnh Bắc Giang</v>
      </c>
      <c r="C536" t="str">
        <v>https://www.facebook.com/Congantanhoa/</v>
      </c>
      <c r="D536" t="str">
        <v>0982309991</v>
      </c>
      <c r="E536" t="str">
        <v>-</v>
      </c>
      <c r="F536" t="str">
        <f>HYPERLINK("mailto:congantanhoa@gmail.com", "congantanhoa@gmail.com")</f>
        <v>congantanhoa@gmail.com</v>
      </c>
      <c r="G536" t="str">
        <v>thôn Xóm Cũ, xã Tân Hoa, huyện Lục Ngạn, tỉnh Bắc Giang, Bac Giang, Vietnam</v>
      </c>
    </row>
    <row r="537">
      <c r="A537">
        <v>6536</v>
      </c>
      <c r="B537" t="str">
        <f>HYPERLINK("https://tanphuoc.tiengiang.gov.vn/ubnd-xa-tan-hoa-ong", "UBND Ủy ban nhân dân xã Tân Hoa  tỉnh Bắc Giang")</f>
        <v>UBND Ủy ban nhân dân xã Tân Hoa  tỉnh Bắc Giang</v>
      </c>
      <c r="C537" t="str">
        <v>https://tanphuoc.tiengiang.gov.vn/ubnd-xa-tan-hoa-ong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6537</v>
      </c>
      <c r="B538" t="str">
        <f>HYPERLINK("https://www.facebook.com/p/C%C3%B4ng-an-x%C3%A3-Gi%C3%A1p-S%C6%A1n-100067814175354/", "Công an xã Giáp Sơn  tỉnh Bắc Giang")</f>
        <v>Công an xã Giáp Sơn  tỉnh Bắc Giang</v>
      </c>
      <c r="C538" t="str">
        <v>https://www.facebook.com/p/C%C3%B4ng-an-x%C3%A3-Gi%C3%A1p-S%C6%A1n-100067814175354/</v>
      </c>
      <c r="D538" t="str">
        <v>-</v>
      </c>
      <c r="E538" t="str">
        <v/>
      </c>
      <c r="F538" t="str">
        <v>-</v>
      </c>
      <c r="G538" t="str">
        <v>xã Giáp Sơn, huyện Lục Ngạn, tỉnh Bắc Giang, Bac Giang, Vietnam</v>
      </c>
    </row>
    <row r="539">
      <c r="A539">
        <v>6538</v>
      </c>
      <c r="B539" t="str">
        <f>HYPERLINK("https://lucngan.bacgiang.gov.vn/cac-xa-thi-tran", "UBND Ủy ban nhân dân xã Giáp Sơn  tỉnh Bắc Giang")</f>
        <v>UBND Ủy ban nhân dân xã Giáp Sơn  tỉnh Bắc Giang</v>
      </c>
      <c r="C539" t="str">
        <v>https://lucngan.bacgiang.gov.vn/cac-xa-thi-tran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6539</v>
      </c>
      <c r="B540" t="str">
        <f>HYPERLINK("https://www.facebook.com/vibinhyencuocsongcuanhandan/", "Công an xã Biển Động  tỉnh Bắc Giang")</f>
        <v>Công an xã Biển Động  tỉnh Bắc Giang</v>
      </c>
      <c r="C540" t="str">
        <v>https://www.facebook.com/vibinhyencuocsongcuanhandan/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6540</v>
      </c>
      <c r="B541" t="str">
        <f>HYPERLINK("https://lucngan.bacgiang.gov.vn/cac-xa-thi-tran", "UBND Ủy ban nhân dân xã Biển Động  tỉnh Bắc Giang")</f>
        <v>UBND Ủy ban nhân dân xã Biển Động  tỉnh Bắc Giang</v>
      </c>
      <c r="C541" t="str">
        <v>https://lucngan.bacgiang.gov.vn/cac-xa-thi-tran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6541</v>
      </c>
      <c r="B542" t="str">
        <f>HYPERLINK("https://www.facebook.com/p/C%C3%B4ng-An-X%C3%A3-Qu%C3%BD-S%C6%A1n-100069202959921/", "Công an xã Quý Sơn  tỉnh Bắc Giang")</f>
        <v>Công an xã Quý Sơn  tỉnh Bắc Giang</v>
      </c>
      <c r="C542" t="str">
        <v>https://www.facebook.com/p/C%C3%B4ng-An-X%C3%A3-Qu%C3%BD-S%C6%A1n-100069202959921/</v>
      </c>
      <c r="D542" t="str">
        <v>0986188323</v>
      </c>
      <c r="E542" t="str">
        <v>-</v>
      </c>
      <c r="F542" t="str">
        <f>HYPERLINK("mailto:Conganquyson@gmail.com", "Conganquyson@gmail.com")</f>
        <v>Conganquyson@gmail.com</v>
      </c>
      <c r="G542" t="str">
        <v>-</v>
      </c>
    </row>
    <row r="543">
      <c r="A543">
        <v>6542</v>
      </c>
      <c r="B543" t="str">
        <f>HYPERLINK("https://lucngan.bacgiang.gov.vn/cac-xa-thi-tran", "UBND Ủy ban nhân dân xã Quý Sơn  tỉnh Bắc Giang")</f>
        <v>UBND Ủy ban nhân dân xã Quý Sơn  tỉnh Bắc Giang</v>
      </c>
      <c r="C543" t="str">
        <v>https://lucngan.bacgiang.gov.vn/cac-xa-thi-tran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6543</v>
      </c>
      <c r="B544" t="str">
        <v>Công an xã Trù Hựu  tỉnh Bắc Giang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6544</v>
      </c>
      <c r="B545" t="str">
        <f>HYPERLINK("https://lucngan.bacgiang.gov.vn/tin-tuc-ubnd-xa-tru-huu", "UBND Ủy ban nhân dân xã Trù Hựu  tỉnh Bắc Giang")</f>
        <v>UBND Ủy ban nhân dân xã Trù Hựu  tỉnh Bắc Giang</v>
      </c>
      <c r="C545" t="str">
        <v>https://lucngan.bacgiang.gov.vn/tin-tuc-ubnd-xa-tru-huu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6545</v>
      </c>
      <c r="B546" t="str">
        <v>Công an xã Phì Điền  tỉnh Bắc Giang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6546</v>
      </c>
      <c r="B547" t="str">
        <f>HYPERLINK("https://lucngan.bacgiang.gov.vn/", "UBND Ủy ban nhân dân xã Phì Điền  tỉnh Bắc Giang")</f>
        <v>UBND Ủy ban nhân dân xã Phì Điền  tỉnh Bắc Giang</v>
      </c>
      <c r="C547" t="str">
        <v>https://lucngan.bacgiang.gov.vn/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6547</v>
      </c>
      <c r="B548" t="str">
        <v>Công an xã Nghĩa Hồ  tỉnh Bắc Giang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6548</v>
      </c>
      <c r="B549" t="str">
        <f>HYPERLINK("https://bacgiang.gov.vn/web/ubnd-xa-nghia-phuong/co-cau-to-chuc", "UBND Ủy ban nhân dân xã Nghĩa Hồ  tỉnh Bắc Giang")</f>
        <v>UBND Ủy ban nhân dân xã Nghĩa Hồ  tỉnh Bắc Giang</v>
      </c>
      <c r="C549" t="str">
        <v>https://bacgiang.gov.vn/web/ubnd-xa-nghia-phuong/co-cau-to-chuc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6549</v>
      </c>
      <c r="B550" t="str">
        <v>Công an xã Tân Quang  tỉnh Bắc Giang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6550</v>
      </c>
      <c r="B551" t="str">
        <f>HYPERLINK("https://lucngan.bacgiang.gov.vn/cac-xa-thi-tran/-/asset_publisher/bBAN92NMZesR/content/danh-ba-ang-uy-h-nd-ubnd-cac-xa-thi-tran?inheritRedirect=false", "UBND Ủy ban nhân dân xã Tân Quang  tỉnh Bắc Giang")</f>
        <v>UBND Ủy ban nhân dân xã Tân Quang  tỉnh Bắc Giang</v>
      </c>
      <c r="C551" t="str">
        <v>https://lucngan.bacgiang.gov.vn/cac-xa-thi-tran/-/asset_publisher/bBAN92NMZesR/content/danh-ba-ang-uy-h-nd-ubnd-cac-xa-thi-tran?inheritRedirect=false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6551</v>
      </c>
      <c r="B552" t="str">
        <v>Công an xã Đồng Cốc  tỉnh Bắc Giang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6552</v>
      </c>
      <c r="B553" t="str">
        <f>HYPERLINK("https://lucngan.bacgiang.gov.vn/cac-xa-thi-tran", "UBND Ủy ban nhân dân xã Đồng Cốc  tỉnh Bắc Giang")</f>
        <v>UBND Ủy ban nhân dân xã Đồng Cốc  tỉnh Bắc Giang</v>
      </c>
      <c r="C553" t="str">
        <v>https://lucngan.bacgiang.gov.vn/cac-xa-thi-tran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6553</v>
      </c>
      <c r="B554" t="str">
        <v>Công an xã Tân Lập  tỉnh Bắc Giang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6554</v>
      </c>
      <c r="B555" t="str">
        <f>HYPERLINK("https://lucngan.bacgiang.gov.vn/tin-tuc-ubnd-xa-tan-lap", "UBND Ủy ban nhân dân xã Tân Lập  tỉnh Bắc Giang")</f>
        <v>UBND Ủy ban nhân dân xã Tân Lập  tỉnh Bắc Giang</v>
      </c>
      <c r="C555" t="str">
        <v>https://lucngan.bacgiang.gov.vn/tin-tuc-ubnd-xa-tan-lap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6555</v>
      </c>
      <c r="B556" t="str">
        <v>Công an xã Phú Nhuận  tỉnh Bắc Giang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6556</v>
      </c>
      <c r="B557" t="str">
        <f>HYPERLINK("https://lucngan.bacgiang.gov.vn/cac-xa-thi-tran", "UBND Ủy ban nhân dân xã Phú Nhuận  tỉnh Bắc Giang")</f>
        <v>UBND Ủy ban nhân dân xã Phú Nhuận  tỉnh Bắc Giang</v>
      </c>
      <c r="C557" t="str">
        <v>https://lucngan.bacgiang.gov.vn/cac-xa-thi-tran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6557</v>
      </c>
      <c r="B558" t="str">
        <v>Công an xã Mỹ An  tỉnh Bắc Giang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6558</v>
      </c>
      <c r="B559" t="str">
        <f>HYPERLINK("https://mythai.langgiang.bacgiang.gov.vn/", "UBND Ủy ban nhân dân xã Mỹ An  tỉnh Bắc Giang")</f>
        <v>UBND Ủy ban nhân dân xã Mỹ An  tỉnh Bắc Giang</v>
      </c>
      <c r="C559" t="str">
        <v>https://mythai.langgiang.bacgiang.gov.vn/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6559</v>
      </c>
      <c r="B560" t="str">
        <f>HYPERLINK("https://www.facebook.com/p/C%C3%B4ng-an-x%C3%A3-Nam-D%C6%B0%C6%A1ng-L%E1%BB%A5c-Ng%E1%BA%A1n-100027321983841/", "Công an xã Nam Dương  tỉnh Bắc Giang")</f>
        <v>Công an xã Nam Dương  tỉnh Bắc Giang</v>
      </c>
      <c r="C560" t="str">
        <v>https://www.facebook.com/p/C%C3%B4ng-an-x%C3%A3-Nam-D%C6%B0%C6%A1ng-L%E1%BB%A5c-Ng%E1%BA%A1n-100027321983841/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6560</v>
      </c>
      <c r="B561" t="str">
        <f>HYPERLINK("https://lucngan.bacgiang.gov.vn/chi-tiet-tin-tuc/-/asset_publisher/Enp27vgshTez/content/tan-bi-thu-ang-uy-xa-nam-duong", "UBND Ủy ban nhân dân xã Nam Dương  tỉnh Bắc Giang")</f>
        <v>UBND Ủy ban nhân dân xã Nam Dương  tỉnh Bắc Giang</v>
      </c>
      <c r="C561" t="str">
        <v>https://lucngan.bacgiang.gov.vn/chi-tiet-tin-tuc/-/asset_publisher/Enp27vgshTez/content/tan-bi-thu-ang-uy-xa-nam-duong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6561</v>
      </c>
      <c r="B562" t="str">
        <v>Công an xã Tân Mộc  tỉnh Bắc Giang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6562</v>
      </c>
      <c r="B563" t="str">
        <f>HYPERLINK("https://lucngan.bacgiang.gov.vn/cac-xa-thi-tran/-/asset_publisher/bBAN92NMZesR/content/danh-ba-ang-uy-h-nd-ubnd-cac-xa-thi-tran?inheritRedirect=false", "UBND Ủy ban nhân dân xã Tân Mộc  tỉnh Bắc Giang")</f>
        <v>UBND Ủy ban nhân dân xã Tân Mộc  tỉnh Bắc Giang</v>
      </c>
      <c r="C563" t="str">
        <v>https://lucngan.bacgiang.gov.vn/cac-xa-thi-tran/-/asset_publisher/bBAN92NMZesR/content/danh-ba-ang-uy-h-nd-ubnd-cac-xa-thi-tran?inheritRedirect=false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6563</v>
      </c>
      <c r="B564" t="str">
        <v>Công an xã Đèo Gia  tỉnh Bắc Giang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6564</v>
      </c>
      <c r="B565" t="str">
        <f>HYPERLINK("https://lucngan.bacgiang.gov.vn/cac-xa-thi-tran/-/asset_publisher/bBAN92NMZesR/content/danh-ba-ang-uy-h-nd-ubnd-cac-xa-thi-tran?inheritRedirect=false", "UBND Ủy ban nhân dân xã Đèo Gia  tỉnh Bắc Giang")</f>
        <v>UBND Ủy ban nhân dân xã Đèo Gia  tỉnh Bắc Giang</v>
      </c>
      <c r="C565" t="str">
        <v>https://lucngan.bacgiang.gov.vn/cac-xa-thi-tran/-/asset_publisher/bBAN92NMZesR/content/danh-ba-ang-uy-h-nd-ubnd-cac-xa-thi-tran?inheritRedirect=false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6565</v>
      </c>
      <c r="B566" t="str">
        <v>Công an xã Phượng Sơn  tỉnh Bắc Giang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6566</v>
      </c>
      <c r="B567" t="str">
        <f>HYPERLINK("https://bacgiang.gov.vn/web/ubnd-xa-phuong-son", "UBND Ủy ban nhân dân xã Phượng Sơn  tỉnh Bắc Giang")</f>
        <v>UBND Ủy ban nhân dân xã Phượng Sơn  tỉnh Bắc Giang</v>
      </c>
      <c r="C567" t="str">
        <v>https://bacgiang.gov.vn/web/ubnd-xa-phuong-son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6567</v>
      </c>
      <c r="B568" t="str">
        <v>Công an thị trấn An Châu  tỉnh Bắc Giang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6568</v>
      </c>
      <c r="B569" t="str">
        <f>HYPERLINK("https://sondong.bacgiang.gov.vn/chi-tiet-tin-tuc/-/asset_publisher/C55IVjY8YjNe/content/thi-tran-an-chau", "UBND Ủy ban nhân dân thị trấn An Châu  tỉnh Bắc Giang")</f>
        <v>UBND Ủy ban nhân dân thị trấn An Châu  tỉnh Bắc Giang</v>
      </c>
      <c r="C569" t="str">
        <v>https://sondong.bacgiang.gov.vn/chi-tiet-tin-tuc/-/asset_publisher/C55IVjY8YjNe/content/thi-tran-an-chau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6569</v>
      </c>
      <c r="B570" t="str">
        <v>Công an thị trấn Thanh Sơn  tỉnh Bắc Giang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6570</v>
      </c>
      <c r="B571" t="str">
        <f>HYPERLINK("https://sondong.bacgiang.gov.vn/chi-tiet-tin-tuc/-/asset_publisher/C55IVjY8YjNe/content/thi-tran-thanh-son", "UBND Ủy ban nhân dân thị trấn Thanh Sơn  tỉnh Bắc Giang")</f>
        <v>UBND Ủy ban nhân dân thị trấn Thanh Sơn  tỉnh Bắc Giang</v>
      </c>
      <c r="C571" t="str">
        <v>https://sondong.bacgiang.gov.vn/chi-tiet-tin-tuc/-/asset_publisher/C55IVjY8YjNe/content/thi-tran-thanh-son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6571</v>
      </c>
      <c r="B572" t="str">
        <v>Công an xã Thạch Sơn  tỉnh Bắc Giang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6572</v>
      </c>
      <c r="B573" t="str">
        <f>HYPERLINK("https://sondong.bacgiang.gov.vn/chi-tiet-tin-tuc/-/asset_publisher/C55IVjY8YjNe/content/bi-thu-tinh-uy-tran-sy-thanh-tham-va-lam-viec-tai-huyen-son-ong", "UBND Ủy ban nhân dân xã Thạch Sơn  tỉnh Bắc Giang")</f>
        <v>UBND Ủy ban nhân dân xã Thạch Sơn  tỉnh Bắc Giang</v>
      </c>
      <c r="C573" t="str">
        <v>https://sondong.bacgiang.gov.vn/chi-tiet-tin-tuc/-/asset_publisher/C55IVjY8YjNe/content/bi-thu-tinh-uy-tran-sy-thanh-tham-va-lam-viec-tai-huyen-son-ong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6573</v>
      </c>
      <c r="B574" t="str">
        <v>Công an xã Vân Sơn  tỉnh Bắc Giang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6574</v>
      </c>
      <c r="B575" t="str">
        <f>HYPERLINK("https://sondong.bacgiang.gov.vn/chi-tiet-tin-tuc/-/asset_publisher/C55IVjY8YjNe/content/xa-van-son", "UBND Ủy ban nhân dân xã Vân Sơn  tỉnh Bắc Giang")</f>
        <v>UBND Ủy ban nhân dân xã Vân Sơn  tỉnh Bắc Giang</v>
      </c>
      <c r="C575" t="str">
        <v>https://sondong.bacgiang.gov.vn/chi-tiet-tin-tuc/-/asset_publisher/C55IVjY8YjNe/content/xa-van-son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6575</v>
      </c>
      <c r="B576" t="str">
        <f>HYPERLINK("https://www.facebook.com/tuoitreconganbacgiang/", "Công an xã Hữu Sản  tỉnh Bắc Giang")</f>
        <v>Công an xã Hữu Sản  tỉnh Bắc Giang</v>
      </c>
      <c r="C576" t="str">
        <v>https://www.facebook.com/tuoitreconganbacgiang/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6576</v>
      </c>
      <c r="B577" t="str">
        <f>HYPERLINK("https://sondong.bacgiang.gov.vn/chi-tiet-tin-tuc/-/asset_publisher/C55IVjY8YjNe/content/xa-huu-san", "UBND Ủy ban nhân dân xã Hữu Sản  tỉnh Bắc Giang")</f>
        <v>UBND Ủy ban nhân dân xã Hữu Sản  tỉnh Bắc Giang</v>
      </c>
      <c r="C577" t="str">
        <v>https://sondong.bacgiang.gov.vn/chi-tiet-tin-tuc/-/asset_publisher/C55IVjY8YjNe/content/xa-huu-san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6577</v>
      </c>
      <c r="B578" t="str">
        <v>Công an xã Quế Sơn  tỉnh Bắc Giang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6578</v>
      </c>
      <c r="B579" t="str">
        <f>HYPERLINK("https://queson.quangnam.gov.vn/webcenter/portal/queson", "UBND Ủy ban nhân dân xã Quế Sơn  tỉnh Bắc Giang")</f>
        <v>UBND Ủy ban nhân dân xã Quế Sơn  tỉnh Bắc Giang</v>
      </c>
      <c r="C579" t="str">
        <v>https://queson.quangnam.gov.vn/webcenter/portal/queson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6579</v>
      </c>
      <c r="B580" t="str">
        <f>HYPERLINK("https://www.facebook.com/tuoitrecongansonla/", "Công an xã Phúc Thắng  tỉnh Bắc Giang")</f>
        <v>Công an xã Phúc Thắng  tỉnh Bắc Giang</v>
      </c>
      <c r="C580" t="str">
        <v>https://www.facebook.com/tuoitrecongansonla/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6580</v>
      </c>
      <c r="B581" t="str">
        <f>HYPERLINK("https://phucthang.namdinh.gov.vn/", "UBND Ủy ban nhân dân xã Phúc Thắng  tỉnh Bắc Giang")</f>
        <v>UBND Ủy ban nhân dân xã Phúc Thắng  tỉnh Bắc Giang</v>
      </c>
      <c r="C581" t="str">
        <v>https://phucthang.namdinh.gov.vn/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6581</v>
      </c>
      <c r="B582" t="str">
        <f>HYPERLINK("https://www.facebook.com/tuoitreconganbacgiang/", "Công an xã Chiên Sơn  tỉnh Bắc Giang")</f>
        <v>Công an xã Chiên Sơn  tỉnh Bắc Giang</v>
      </c>
      <c r="C582" t="str">
        <v>https://www.facebook.com/tuoitreconganbacgiang/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6582</v>
      </c>
      <c r="B583" t="str">
        <f>HYPERLINK("https://bacgiang.gov.vn/", "UBND Ủy ban nhân dân xã Chiên Sơn  tỉnh Bắc Giang")</f>
        <v>UBND Ủy ban nhân dân xã Chiên Sơn  tỉnh Bắc Giang</v>
      </c>
      <c r="C583" t="str">
        <v>https://bacgiang.gov.vn/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6583</v>
      </c>
      <c r="B584" t="str">
        <v>Công an xã Giáo Liêm  tỉnh Bắc Giang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6584</v>
      </c>
      <c r="B585" t="str">
        <f>HYPERLINK("https://sondong.bacgiang.gov.vn/chi-tiet-tin-tuc/-/asset_publisher/C55IVjY8YjNe/content/xa-giao-liem", "UBND Ủy ban nhân dân xã Giáo Liêm  tỉnh Bắc Giang")</f>
        <v>UBND Ủy ban nhân dân xã Giáo Liêm  tỉnh Bắc Giang</v>
      </c>
      <c r="C585" t="str">
        <v>https://sondong.bacgiang.gov.vn/chi-tiet-tin-tuc/-/asset_publisher/C55IVjY8YjNe/content/xa-giao-liem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6585</v>
      </c>
      <c r="B586" t="str">
        <v>Công an xã Vĩnh Khương  tỉnh Bắc Giang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6586</v>
      </c>
      <c r="B587" t="str">
        <f>HYPERLINK("https://bacgiang.gov.vn/chi-tiet-tin-tuc/-/asset_publisher/St1DaeZNsp94/content/son-ong-cong-bo-thanh-lap-6-on-vi-hanh-chinh-cap-xa-moi", "UBND Ủy ban nhân dân xã Vĩnh Khương  tỉnh Bắc Giang")</f>
        <v>UBND Ủy ban nhân dân xã Vĩnh Khương  tỉnh Bắc Giang</v>
      </c>
      <c r="C587" t="str">
        <v>https://bacgiang.gov.vn/chi-tiet-tin-tuc/-/asset_publisher/St1DaeZNsp94/content/son-ong-cong-bo-thanh-lap-6-on-vi-hanh-chinh-cap-xa-moi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6587</v>
      </c>
      <c r="B588" t="str">
        <v>Công an xã Cẩm Đàn  tỉnh Bắc Giang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6588</v>
      </c>
      <c r="B589" t="str">
        <f>HYPERLINK("https://sondong.bacgiang.gov.vn/chi-tiet-tin-tuc/-/asset_publisher/C55IVjY8YjNe/content/xa-cam-an", "UBND Ủy ban nhân dân xã Cẩm Đàn  tỉnh Bắc Giang")</f>
        <v>UBND Ủy ban nhân dân xã Cẩm Đàn  tỉnh Bắc Giang</v>
      </c>
      <c r="C589" t="str">
        <v>https://sondong.bacgiang.gov.vn/chi-tiet-tin-tuc/-/asset_publisher/C55IVjY8YjNe/content/xa-cam-an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6589</v>
      </c>
      <c r="B590" t="str">
        <v>Công an xã An Lạc  tỉnh Bắc Giang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6590</v>
      </c>
      <c r="B591" t="str">
        <f>HYPERLINK("https://sondong.bacgiang.gov.vn/chi-tiet-tin-tuc/-/asset_publisher/C55IVjY8YjNe/content/xa-an-lac", "UBND Ủy ban nhân dân xã An Lạc  tỉnh Bắc Giang")</f>
        <v>UBND Ủy ban nhân dân xã An Lạc  tỉnh Bắc Giang</v>
      </c>
      <c r="C591" t="str">
        <v>https://sondong.bacgiang.gov.vn/chi-tiet-tin-tuc/-/asset_publisher/C55IVjY8YjNe/content/xa-an-lac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6591</v>
      </c>
      <c r="B592" t="str">
        <v>Công an xã An Lập  tỉnh Bắc Giang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6592</v>
      </c>
      <c r="B593" t="str">
        <f>HYPERLINK("https://vietlap.tanyen.bacgiang.gov.vn/", "UBND Ủy ban nhân dân xã An Lập  tỉnh Bắc Giang")</f>
        <v>UBND Ủy ban nhân dân xã An Lập  tỉnh Bắc Giang</v>
      </c>
      <c r="C593" t="str">
        <v>https://vietlap.tanyen.bacgiang.gov.vn/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6593</v>
      </c>
      <c r="B594" t="str">
        <v>Công an xã Yên Định  tỉnh Bắc Giang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6594</v>
      </c>
      <c r="B595" t="str">
        <f>HYPERLINK("https://sondong.bacgiang.gov.vn/chi-tiet-tin-tuc/-/asset_publisher/C55IVjY8YjNe/content/xa-yen-inh", "UBND Ủy ban nhân dân xã Yên Định  tỉnh Bắc Giang")</f>
        <v>UBND Ủy ban nhân dân xã Yên Định  tỉnh Bắc Giang</v>
      </c>
      <c r="C595" t="str">
        <v>https://sondong.bacgiang.gov.vn/chi-tiet-tin-tuc/-/asset_publisher/C55IVjY8YjNe/content/xa-yen-inh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6595</v>
      </c>
      <c r="B596" t="str">
        <v>Công an xã Lệ Viễn  tỉnh Bắc Giang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6596</v>
      </c>
      <c r="B597" t="str">
        <f>HYPERLINK("https://sondong.bacgiang.gov.vn/chi-tiet-tin-tuc/-/asset_publisher/C55IVjY8YjNe/content/xa-le-vien", "UBND Ủy ban nhân dân xã Lệ Viễn  tỉnh Bắc Giang")</f>
        <v>UBND Ủy ban nhân dân xã Lệ Viễn  tỉnh Bắc Giang</v>
      </c>
      <c r="C597" t="str">
        <v>https://sondong.bacgiang.gov.vn/chi-tiet-tin-tuc/-/asset_publisher/C55IVjY8YjNe/content/xa-le-vien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6597</v>
      </c>
      <c r="B598" t="str">
        <v>Công an xã An Châu  tỉnh Bắc Giang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6598</v>
      </c>
      <c r="B599" t="str">
        <f>HYPERLINK("https://chauminh.hiephoa.bacgiang.gov.vn/", "UBND Ủy ban nhân dân xã An Châu  tỉnh Bắc Giang")</f>
        <v>UBND Ủy ban nhân dân xã An Châu  tỉnh Bắc Giang</v>
      </c>
      <c r="C599" t="str">
        <v>https://chauminh.hiephoa.bacgiang.gov.vn/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6599</v>
      </c>
      <c r="B600" t="str">
        <v>Công an xã An Bá  tỉnh Bắc Giang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6600</v>
      </c>
      <c r="B601" t="str">
        <f>HYPERLINK("https://sondong.bacgiang.gov.vn/chi-tiet-tin-tuc/-/asset_publisher/C55IVjY8YjNe/content/xa-an-ba", "UBND Ủy ban nhân dân xã An Bá  tỉnh Bắc Giang")</f>
        <v>UBND Ủy ban nhân dân xã An Bá  tỉnh Bắc Giang</v>
      </c>
      <c r="C601" t="str">
        <v>https://sondong.bacgiang.gov.vn/chi-tiet-tin-tuc/-/asset_publisher/C55IVjY8YjNe/content/xa-an-ba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6601</v>
      </c>
      <c r="B602" t="str">
        <v>Công an xã Tuấn Đạo  tỉnh Bắc Giang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6602</v>
      </c>
      <c r="B603" t="str">
        <f>HYPERLINK("https://sondong.bacgiang.gov.vn/chi-tiet-tin-tuc/-/asset_publisher/C55IVjY8YjNe/content/xa-tuan-ao", "UBND Ủy ban nhân dân xã Tuấn Đạo  tỉnh Bắc Giang")</f>
        <v>UBND Ủy ban nhân dân xã Tuấn Đạo  tỉnh Bắc Giang</v>
      </c>
      <c r="C603" t="str">
        <v>https://sondong.bacgiang.gov.vn/chi-tiet-tin-tuc/-/asset_publisher/C55IVjY8YjNe/content/xa-tuan-ao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6603</v>
      </c>
      <c r="B604" t="str">
        <v>Công an xã Dương Hưu  tỉnh Bắc Giang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6604</v>
      </c>
      <c r="B605" t="str">
        <f>HYPERLINK("https://sondong.bacgiang.gov.vn/chi-tiet-tin-tuc/-/asset_publisher/C55IVjY8YjNe/content/xa-duong-huu", "UBND Ủy ban nhân dân xã Dương Hưu  tỉnh Bắc Giang")</f>
        <v>UBND Ủy ban nhân dân xã Dương Hưu  tỉnh Bắc Giang</v>
      </c>
      <c r="C605" t="str">
        <v>https://sondong.bacgiang.gov.vn/chi-tiet-tin-tuc/-/asset_publisher/C55IVjY8YjNe/content/xa-duong-huu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6605</v>
      </c>
      <c r="B606" t="str">
        <v>Công an xã Bồng Am  tỉnh Bắc Giang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6606</v>
      </c>
      <c r="B607" t="str">
        <f>HYPERLINK("https://bacgiang.gov.vn/chi-tiet-dau-thau-mua-sam-cong/-/asset_publisher/uXic1gzJmVN1/content/uy-ban-nhan-dan-xa-bong-am-huyen-son-ong-tinh-bac-giang-thong-bao-moi-thau/pop_up?_101_INSTANCE_uXic1gzJmVN1_viewMode=print&amp;_101_INSTANCE_uXic1gzJmVN1_languageId=vi_VN", "UBND Ủy ban nhân dân xã Bồng Am  tỉnh Bắc Giang")</f>
        <v>UBND Ủy ban nhân dân xã Bồng Am  tỉnh Bắc Giang</v>
      </c>
      <c r="C607" t="str">
        <v>https://bacgiang.gov.vn/chi-tiet-dau-thau-mua-sam-cong/-/asset_publisher/uXic1gzJmVN1/content/uy-ban-nhan-dan-xa-bong-am-huyen-son-ong-tinh-bac-giang-thong-bao-moi-thau/pop_up?_101_INSTANCE_uXic1gzJmVN1_viewMode=print&amp;_101_INSTANCE_uXic1gzJmVN1_languageId=vi_VN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6607</v>
      </c>
      <c r="B608" t="str">
        <f>HYPERLINK("https://www.facebook.com/groups/636299963100481/", "Công an xã Long Sơn  tỉnh Bắc Giang")</f>
        <v>Công an xã Long Sơn  tỉnh Bắc Giang</v>
      </c>
      <c r="C608" t="str">
        <v>https://www.facebook.com/groups/636299963100481/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6608</v>
      </c>
      <c r="B609" t="str">
        <f>HYPERLINK("https://sondong.bacgiang.gov.vn/chi-tiet-tin-tuc/-/asset_publisher/C55IVjY8YjNe/content/xa-long-son?inheritRedirect=false", "UBND Ủy ban nhân dân xã Long Sơn  tỉnh Bắc Giang")</f>
        <v>UBND Ủy ban nhân dân xã Long Sơn  tỉnh Bắc Giang</v>
      </c>
      <c r="C609" t="str">
        <v>https://sondong.bacgiang.gov.vn/chi-tiet-tin-tuc/-/asset_publisher/C55IVjY8YjNe/content/xa-long-son?inheritRedirect=false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6609</v>
      </c>
      <c r="B610" t="str">
        <v>Công an xã Tuấn Mậu  tỉnh Bắc Giang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6610</v>
      </c>
      <c r="B611" t="str">
        <f>HYPERLINK(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, "UBND Ủy ban nhân dân xã Tuấn Mậu  tỉnh Bắc Giang")</f>
        <v>UBND Ủy ban nhân dân xã Tuấn Mậu  tỉnh Bắc Giang</v>
      </c>
      <c r="C611" t="str">
        <v>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6611</v>
      </c>
      <c r="B612" t="str">
        <v>Công an xã Thanh Luận  tỉnh Bắc Giang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6612</v>
      </c>
      <c r="B613" t="str">
        <f>HYPERLINK("https://sondong.bacgiang.gov.vn/chi-tiet-tin-tuc/-/asset_publisher/C55IVjY8YjNe/content/xa-thanh-luan", "UBND Ủy ban nhân dân xã Thanh Luận  tỉnh Bắc Giang")</f>
        <v>UBND Ủy ban nhân dân xã Thanh Luận  tỉnh Bắc Giang</v>
      </c>
      <c r="C613" t="str">
        <v>https://sondong.bacgiang.gov.vn/chi-tiet-tin-tuc/-/asset_publisher/C55IVjY8YjNe/content/xa-thanh-luan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6613</v>
      </c>
      <c r="B614" t="str">
        <v>Công an thị trấn Neo  tỉnh Bắc Giang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6614</v>
      </c>
      <c r="B615" t="str">
        <f>HYPERLINK("https://sondong.bacgiang.gov.vn/chi-tiet-tin-tuc/-/asset_publisher/C55IVjY8YjNe/content/thi-tran-thanh-son", "UBND Ủy ban nhân dân thị trấn Neo  tỉnh Bắc Giang")</f>
        <v>UBND Ủy ban nhân dân thị trấn Neo  tỉnh Bắc Giang</v>
      </c>
      <c r="C615" t="str">
        <v>https://sondong.bacgiang.gov.vn/chi-tiet-tin-tuc/-/asset_publisher/C55IVjY8YjNe/content/thi-tran-thanh-son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6615</v>
      </c>
      <c r="B616" t="str">
        <f>HYPERLINK("https://www.facebook.com/p/C%C3%B4ng-an-th%E1%BB%8B-tr%E1%BA%A5n-T%C3%A2n-An-Y%C3%AAn-Dung-B%E1%BA%AFc-Giang-100066949255453/", "Công an thị trấn Tân Dân  tỉnh Bắc Giang")</f>
        <v>Công an thị trấn Tân Dân  tỉnh Bắc Giang</v>
      </c>
      <c r="C616" t="str">
        <v>https://www.facebook.com/p/C%C3%B4ng-an-th%E1%BB%8B-tr%E1%BA%A5n-T%C3%A2n-An-Y%C3%AAn-Dung-B%E1%BA%AFc-Giang-100066949255453/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6616</v>
      </c>
      <c r="B617" t="str">
        <f>HYPERLINK("https://tanan.yendung.bacgiang.gov.vn/", "UBND Ủy ban nhân dân thị trấn Tân Dân  tỉnh Bắc Giang")</f>
        <v>UBND Ủy ban nhân dân thị trấn Tân Dân  tỉnh Bắc Giang</v>
      </c>
      <c r="C617" t="str">
        <v>https://tanan.yendung.bacgiang.gov.vn/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6617</v>
      </c>
      <c r="B618" t="str">
        <f>HYPERLINK("https://www.facebook.com/p/C%C3%B4ng-an-x%C3%A3-L%C3%A3o-H%E1%BB%99-huy%E1%BB%87n-Y%C3%AAn-D%C5%A9ng-100068103942294/", "Công an xã Lão Hộ  tỉnh Bắc Giang")</f>
        <v>Công an xã Lão Hộ  tỉnh Bắc Giang</v>
      </c>
      <c r="C618" t="str">
        <v>https://www.facebook.com/p/C%C3%B4ng-an-x%C3%A3-L%C3%A3o-H%E1%BB%99-huy%E1%BB%87n-Y%C3%AAn-D%C5%A9ng-100068103942294/</v>
      </c>
      <c r="D618" t="str">
        <v>-</v>
      </c>
      <c r="E618" t="str">
        <v>02043768999</v>
      </c>
      <c r="F618" t="str">
        <v>-</v>
      </c>
      <c r="G618" t="str">
        <v>UBND xã Lão Hộ, huyện Yên Dũng,tỉnh Bắc Giang</v>
      </c>
    </row>
    <row r="619">
      <c r="A619">
        <v>6618</v>
      </c>
      <c r="B619" t="str">
        <f>HYPERLINK("https://laoho.yendung.bacgiang.gov.vn/", "UBND Ủy ban nhân dân xã Lão Hộ  tỉnh Bắc Giang")</f>
        <v>UBND Ủy ban nhân dân xã Lão Hộ  tỉnh Bắc Giang</v>
      </c>
      <c r="C619" t="str">
        <v>https://laoho.yendung.bacgiang.gov.vn/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6619</v>
      </c>
      <c r="B620" t="str">
        <f>HYPERLINK("https://www.facebook.com/cahgbg/", "Công an xã Hương Gián  tỉnh Bắc Giang")</f>
        <v>Công an xã Hương Gián  tỉnh Bắc Giang</v>
      </c>
      <c r="C620" t="str">
        <v>https://www.facebook.com/cahgbg/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6620</v>
      </c>
      <c r="B621" t="str">
        <f>HYPERLINK("https://huonggian.yendung.bacgiang.gov.vn/", "UBND Ủy ban nhân dân xã Hương Gián  tỉnh Bắc Giang")</f>
        <v>UBND Ủy ban nhân dân xã Hương Gián  tỉnh Bắc Giang</v>
      </c>
      <c r="C621" t="str">
        <v>https://huonggian.yendung.bacgiang.gov.vn/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6621</v>
      </c>
      <c r="B622" t="str">
        <v>Công an xã Tân An  tỉnh Bắc Giang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6622</v>
      </c>
      <c r="B623" t="str">
        <f>HYPERLINK("https://tantien.tpbacgiang.bacgiang.gov.vn/", "UBND Ủy ban nhân dân xã Tân An  tỉnh Bắc Giang")</f>
        <v>UBND Ủy ban nhân dân xã Tân An  tỉnh Bắc Giang</v>
      </c>
      <c r="C623" t="str">
        <v>https://tantien.tpbacgiang.bacgiang.gov.vn/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6623</v>
      </c>
      <c r="B624" t="str">
        <f>HYPERLINK("https://www.facebook.com/p/C%C3%B4ng-an-x%C3%A3-Qu%E1%BB%B3nh-S%C6%A1n-huy%E1%BB%87n-Y%C3%AAn-D%C5%A9ng-100066526178431/", "Công an xã Quỳnh Sơn  tỉnh Bắc Giang")</f>
        <v>Công an xã Quỳnh Sơn  tỉnh Bắc Giang</v>
      </c>
      <c r="C624" t="str">
        <v>https://www.facebook.com/p/C%C3%B4ng-an-x%C3%A3-Qu%E1%BB%B3nh-S%C6%A1n-huy%E1%BB%87n-Y%C3%AAn-D%C5%A9ng-100066526178431/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6624</v>
      </c>
      <c r="B625" t="str">
        <f>HYPERLINK("https://quynhson.yendung.bacgiang.gov.vn/", "UBND Ủy ban nhân dân xã Quỳnh Sơn  tỉnh Bắc Giang")</f>
        <v>UBND Ủy ban nhân dân xã Quỳnh Sơn  tỉnh Bắc Giang</v>
      </c>
      <c r="C625" t="str">
        <v>https://quynhson.yendung.bacgiang.gov.vn/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6625</v>
      </c>
      <c r="B626" t="str">
        <f>HYPERLINK("https://www.facebook.com/p/C%C3%B4ng-an-x%C3%A3-N%E1%BB%99i-Ho%C3%A0ng-Y%C3%AAn-D%C5%A9ng-100068010092940/", "Công an xã Nội Hoàng  tỉnh Bắc Giang")</f>
        <v>Công an xã Nội Hoàng  tỉnh Bắc Giang</v>
      </c>
      <c r="C626" t="str">
        <v>https://www.facebook.com/p/C%C3%B4ng-an-x%C3%A3-N%E1%BB%99i-Ho%C3%A0ng-Y%C3%AAn-D%C5%A9ng-100068010092940/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6626</v>
      </c>
      <c r="B627" t="str">
        <f>HYPERLINK("https://noihoang.yendung.bacgiang.gov.vn/", "UBND Ủy ban nhân dân xã Nội Hoàng  tỉnh Bắc Giang")</f>
        <v>UBND Ủy ban nhân dân xã Nội Hoàng  tỉnh Bắc Giang</v>
      </c>
      <c r="C627" t="str">
        <v>https://noihoang.yendung.bacgiang.gov.vn/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6627</v>
      </c>
      <c r="B628" t="str">
        <f>HYPERLINK("https://www.facebook.com/p/C%C3%B4ng-an-x%C3%A3-Ti%E1%BB%81n-Phong-Y%C3%AAn-D%C5%A9ng-B%E1%BA%AFc-Giang-100067110930337/", "Công an xã Tiền Phong  tỉnh Bắc Giang")</f>
        <v>Công an xã Tiền Phong  tỉnh Bắc Giang</v>
      </c>
      <c r="C628" t="str">
        <v>https://www.facebook.com/p/C%C3%B4ng-an-x%C3%A3-Ti%E1%BB%81n-Phong-Y%C3%AAn-D%C5%A9ng-B%E1%BA%AFc-Giang-100067110930337/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6628</v>
      </c>
      <c r="B629" t="str">
        <f>HYPERLINK("https://tienphong.yendung.bacgiang.gov.vn/", "UBND Ủy ban nhân dân xã Tiền Phong  tỉnh Bắc Giang")</f>
        <v>UBND Ủy ban nhân dân xã Tiền Phong  tỉnh Bắc Giang</v>
      </c>
      <c r="C629" t="str">
        <v>https://tienphong.yendung.bacgiang.gov.vn/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6629</v>
      </c>
      <c r="B630" t="str">
        <f>HYPERLINK("https://www.facebook.com/p/C%C3%B4ng-an-x%C3%A3-Xu%C3%A2n-Ph%C3%BA-Y%C3%AAn-D%C5%A9ng-B%E1%BA%AFc-Giang-100068834365827/", "Công an xã Xuân Phú  tỉnh Bắc Giang")</f>
        <v>Công an xã Xuân Phú  tỉnh Bắc Giang</v>
      </c>
      <c r="C630" t="str">
        <v>https://www.facebook.com/p/C%C3%B4ng-an-x%C3%A3-Xu%C3%A2n-Ph%C3%BA-Y%C3%AAn-D%C5%A9ng-B%E1%BA%AFc-Giang-100068834365827/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6630</v>
      </c>
      <c r="B631" t="str">
        <f>HYPERLINK("https://xuanphu.yendung.bacgiang.gov.vn/", "UBND Ủy ban nhân dân xã Xuân Phú  tỉnh Bắc Giang")</f>
        <v>UBND Ủy ban nhân dân xã Xuân Phú  tỉnh Bắc Giang</v>
      </c>
      <c r="C631" t="str">
        <v>https://xuanphu.yendung.bacgiang.gov.vn/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6631</v>
      </c>
      <c r="B632" t="str">
        <f>HYPERLINK("https://www.facebook.com/CAX.TanLieu/", "Công an xã Tân Liễu  tỉnh Bắc Giang")</f>
        <v>Công an xã Tân Liễu  tỉnh Bắc Giang</v>
      </c>
      <c r="C632" t="str">
        <v>https://www.facebook.com/CAX.TanLieu/</v>
      </c>
      <c r="D632" t="str">
        <v>0977978876</v>
      </c>
      <c r="E632" t="str">
        <v>-</v>
      </c>
      <c r="F632" t="str">
        <v>-</v>
      </c>
      <c r="G632" t="str">
        <v>Bac Giang, Vietnam</v>
      </c>
    </row>
    <row r="633">
      <c r="A633">
        <v>6632</v>
      </c>
      <c r="B633" t="str">
        <f>HYPERLINK("https://tanlieu.yendung.bacgiang.gov.vn/", "UBND Ủy ban nhân dân xã Tân Liễu  tỉnh Bắc Giang")</f>
        <v>UBND Ủy ban nhân dân xã Tân Liễu  tỉnh Bắc Giang</v>
      </c>
      <c r="C633" t="str">
        <v>https://tanlieu.yendung.bacgiang.gov.vn/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6633</v>
      </c>
      <c r="B634" t="str">
        <v>Công an xã Trí Yên  tỉnh Bắc Giang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6634</v>
      </c>
      <c r="B635" t="str">
        <f>HYPERLINK("https://triyen.yendung.bacgiang.gov.vn/", "UBND Ủy ban nhân dân xã Trí Yên  tỉnh Bắc Giang")</f>
        <v>UBND Ủy ban nhân dân xã Trí Yên  tỉnh Bắc Giang</v>
      </c>
      <c r="C635" t="str">
        <v>https://triyen.yendung.bacgiang.gov.vn/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6635</v>
      </c>
      <c r="B636" t="str">
        <f>HYPERLINK("https://www.facebook.com/ConganxaLangSon/", "Công an xã Lãng Sơn  tỉnh Bắc Giang")</f>
        <v>Công an xã Lãng Sơn  tỉnh Bắc Giang</v>
      </c>
      <c r="C636" t="str">
        <v>https://www.facebook.com/ConganxaLangSon/</v>
      </c>
      <c r="D636" t="str">
        <v>-</v>
      </c>
      <c r="E636" t="str">
        <v>02046262838</v>
      </c>
      <c r="F636" t="str">
        <f>HYPERLINK("mailto:Tranchinhll09@gmail.com", "Tranchinhll09@gmail.com")</f>
        <v>Tranchinhll09@gmail.com</v>
      </c>
      <c r="G636" t="str">
        <v>Bac Giang, Vietnam</v>
      </c>
    </row>
    <row r="637">
      <c r="A637">
        <v>6636</v>
      </c>
      <c r="B637" t="str">
        <f>HYPERLINK("https://langson.yendung.bacgiang.gov.vn/", "UBND Ủy ban nhân dân xã Lãng Sơn  tỉnh Bắc Giang")</f>
        <v>UBND Ủy ban nhân dân xã Lãng Sơn  tỉnh Bắc Giang</v>
      </c>
      <c r="C637" t="str">
        <v>https://langson.yendung.bacgiang.gov.vn/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6637</v>
      </c>
      <c r="B638" t="str">
        <f>HYPERLINK("https://www.facebook.com/p/C%C3%B4ng-an-x%C3%A3-Y%C3%AAn-L%C6%B0-Y%C3%AAn-D%C5%A9ng-B%E1%BA%AFc-Giang-100063642022304/", "Công an xã Yên Lư  tỉnh Bắc Giang")</f>
        <v>Công an xã Yên Lư  tỉnh Bắc Giang</v>
      </c>
      <c r="C638" t="str">
        <v>https://www.facebook.com/p/C%C3%B4ng-an-x%C3%A3-Y%C3%AAn-L%C6%B0-Y%C3%AAn-D%C5%A9ng-B%E1%BA%AFc-Giang-100063642022304/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6638</v>
      </c>
      <c r="B639" t="str">
        <f>HYPERLINK("https://yenlu.yendung.bacgiang.gov.vn/", "UBND Ủy ban nhân dân xã Yên Lư  tỉnh Bắc Giang")</f>
        <v>UBND Ủy ban nhân dân xã Yên Lư  tỉnh Bắc Giang</v>
      </c>
      <c r="C639" t="str">
        <v>https://yenlu.yendung.bacgiang.gov.vn/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6639</v>
      </c>
      <c r="B640" t="str">
        <f>HYPERLINK("https://www.facebook.com/p/C%C3%B4ng-an-x%C3%A3-Ti%E1%BA%BFn-D%C5%A9ng-huy%E1%BB%87n-Y%C3%AAn-D%C5%A9ng-100067905488210/", "Công an xã Tiến Dũng  tỉnh Bắc Giang")</f>
        <v>Công an xã Tiến Dũng  tỉnh Bắc Giang</v>
      </c>
      <c r="C640" t="str">
        <v>https://www.facebook.com/p/C%C3%B4ng-an-x%C3%A3-Ti%E1%BA%BFn-D%C5%A9ng-huy%E1%BB%87n-Y%C3%AAn-D%C5%A9ng-100067905488210/</v>
      </c>
      <c r="D640" t="str">
        <v>-</v>
      </c>
      <c r="E640" t="str">
        <v>02043604904</v>
      </c>
      <c r="F640" t="str">
        <f>HYPERLINK("mailto:caxtiendung@gmail.com", "caxtiendung@gmail.com")</f>
        <v>caxtiendung@gmail.com</v>
      </c>
      <c r="G640" t="str">
        <v>Bac Giang, Vietnam</v>
      </c>
    </row>
    <row r="641">
      <c r="A641">
        <v>6640</v>
      </c>
      <c r="B641" t="str">
        <f>HYPERLINK("https://tiendung.yendung.bacgiang.gov.vn/co-cau-to-chuc", "UBND Ủy ban nhân dân xã Tiến Dũng  tỉnh Bắc Giang")</f>
        <v>UBND Ủy ban nhân dân xã Tiến Dũng  tỉnh Bắc Giang</v>
      </c>
      <c r="C641" t="str">
        <v>https://tiendung.yendung.bacgiang.gov.vn/co-cau-to-chuc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6641</v>
      </c>
      <c r="B642" t="str">
        <v>Công an xã Nham Sơn  tỉnh Bắc Giang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6642</v>
      </c>
      <c r="B643" t="str">
        <f>HYPERLINK("https://bacgiang.gov.vn/", "UBND Ủy ban nhân dân xã Nham Sơn  tỉnh Bắc Giang")</f>
        <v>UBND Ủy ban nhân dân xã Nham Sơn  tỉnh Bắc Giang</v>
      </c>
      <c r="C643" t="str">
        <v>https://bacgiang.gov.vn/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6643</v>
      </c>
      <c r="B644" t="str">
        <f>HYPERLINK("https://www.facebook.com/people/C%C3%B4ng-an-x%C3%A3-%C4%90%E1%BB%A9c-Giang/100077472080241/", "Công an xã Đức Giang  tỉnh Bắc Giang")</f>
        <v>Công an xã Đức Giang  tỉnh Bắc Giang</v>
      </c>
      <c r="C644" t="str">
        <v>https://www.facebook.com/people/C%C3%B4ng-an-x%C3%A3-%C4%90%E1%BB%A9c-Giang/100077472080241/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6644</v>
      </c>
      <c r="B645" t="str">
        <f>HYPERLINK("https://ducgiang.yendung.bacgiang.gov.vn/co-cau-to-chuc", "UBND Ủy ban nhân dân xã Đức Giang  tỉnh Bắc Giang")</f>
        <v>UBND Ủy ban nhân dân xã Đức Giang  tỉnh Bắc Giang</v>
      </c>
      <c r="C645" t="str">
        <v>https://ducgiang.yendung.bacgiang.gov.vn/co-cau-to-chuc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6645</v>
      </c>
      <c r="B646" t="str">
        <f>HYPERLINK("https://www.facebook.com/p/C%C3%B4ng-An-X%C3%A3-C%E1%BA%A3nh-Th%E1%BB%A5y-100067788162953/", "Công an xã Cảnh Thụy  tỉnh Bắc Giang")</f>
        <v>Công an xã Cảnh Thụy  tỉnh Bắc Giang</v>
      </c>
      <c r="C646" t="str">
        <v>https://www.facebook.com/p/C%C3%B4ng-An-X%C3%A3-C%E1%BA%A3nh-Th%E1%BB%A5y-100067788162953/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6646</v>
      </c>
      <c r="B647" t="str">
        <f>HYPERLINK("https://canhthuy.yendung.bacgiang.gov.vn/", "UBND Ủy ban nhân dân xã Cảnh Thụy  tỉnh Bắc Giang")</f>
        <v>UBND Ủy ban nhân dân xã Cảnh Thụy  tỉnh Bắc Giang</v>
      </c>
      <c r="C647" t="str">
        <v>https://canhthuy.yendung.bacgiang.gov.vn/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6647</v>
      </c>
      <c r="B648" t="str">
        <f>HYPERLINK("https://www.facebook.com/conganxaTuMai/", "Công an xã Tư Mại  tỉnh Bắc Giang")</f>
        <v>Công an xã Tư Mại  tỉnh Bắc Giang</v>
      </c>
      <c r="C648" t="str">
        <v>https://www.facebook.com/conganxaTuMai/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6648</v>
      </c>
      <c r="B649" t="str">
        <f>HYPERLINK("https://tumai.yendung.bacgiang.gov.vn/", "UBND Ủy ban nhân dân xã Tư Mại  tỉnh Bắc Giang")</f>
        <v>UBND Ủy ban nhân dân xã Tư Mại  tỉnh Bắc Giang</v>
      </c>
      <c r="C649" t="str">
        <v>https://tumai.yendung.bacgiang.gov.vn/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6649</v>
      </c>
      <c r="B650" t="str">
        <v>Công an xã Thắng Cương  tỉnh Bắc Giang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6650</v>
      </c>
      <c r="B651" t="str">
        <f>HYPERLINK("https://yendung.bacgiang.gov.vn/chi-tiet-tin-tuc/-/asset_publisher/qTgPsPzauIIT/content/ubnd-huyen-thanh-lap-hai-khu-vuc-cach-ly-tap-trung-cua-huyen", "UBND Ủy ban nhân dân xã Thắng Cương  tỉnh Bắc Giang")</f>
        <v>UBND Ủy ban nhân dân xã Thắng Cương  tỉnh Bắc Giang</v>
      </c>
      <c r="C651" t="str">
        <v>https://yendung.bacgiang.gov.vn/chi-tiet-tin-tuc/-/asset_publisher/qTgPsPzauIIT/content/ubnd-huyen-thanh-lap-hai-khu-vuc-cach-ly-tap-trung-cua-huyen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6651</v>
      </c>
      <c r="B652" t="str">
        <f>HYPERLINK("https://www.facebook.com/p/C%C3%B4ng-an-x%C3%A3-%C4%90%E1%BB%93ng-Vi%E1%BB%87t-100067628379591/", "Công an xã Đồng Việt  tỉnh Bắc Giang")</f>
        <v>Công an xã Đồng Việt  tỉnh Bắc Giang</v>
      </c>
      <c r="C652" t="str">
        <v>https://www.facebook.com/p/C%C3%B4ng-an-x%C3%A3-%C4%90%E1%BB%93ng-Vi%E1%BB%87t-100067628379591/</v>
      </c>
      <c r="D652" t="str">
        <v>-</v>
      </c>
      <c r="E652" t="str">
        <v/>
      </c>
      <c r="F652" t="str">
        <v>-</v>
      </c>
      <c r="G652" t="str">
        <v>xã Đồng Việt, huyện Yên Dũng, Bac Giang, Vietnam</v>
      </c>
    </row>
    <row r="653">
      <c r="A653">
        <v>6652</v>
      </c>
      <c r="B653" t="str">
        <f>HYPERLINK("https://dongviet.yendung.bacgiang.gov.vn/", "UBND Ủy ban nhân dân xã Đồng Việt  tỉnh Bắc Giang")</f>
        <v>UBND Ủy ban nhân dân xã Đồng Việt  tỉnh Bắc Giang</v>
      </c>
      <c r="C653" t="str">
        <v>https://dongviet.yendung.bacgiang.gov.vn/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6653</v>
      </c>
      <c r="B654" t="str">
        <f>HYPERLINK("https://www.facebook.com/caxdongphuc/?locale=vi_VN", "Công an xã Đồng Phúc  tỉnh Bắc Giang")</f>
        <v>Công an xã Đồng Phúc  tỉnh Bắc Giang</v>
      </c>
      <c r="C654" t="str">
        <v>https://www.facebook.com/caxdongphuc/?locale=vi_VN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6654</v>
      </c>
      <c r="B655" t="str">
        <f>HYPERLINK("https://dongphuc.yendung.bacgiang.gov.vn/", "UBND Ủy ban nhân dân xã Đồng Phúc  tỉnh Bắc Giang")</f>
        <v>UBND Ủy ban nhân dân xã Đồng Phúc  tỉnh Bắc Giang</v>
      </c>
      <c r="C655" t="str">
        <v>https://dongphuc.yendung.bacgiang.gov.vn/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6655</v>
      </c>
      <c r="B656" t="str">
        <v>Công an thị trấn  Bích Động  tỉnh Bắc Giang</v>
      </c>
      <c r="C656" t="str">
        <v>-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6656</v>
      </c>
      <c r="B657" t="str">
        <f>HYPERLINK("https://bichdong.vietyen.bacgiang.gov.vn/", "UBND Ủy ban nhân dân thị trấn  Bích Động  tỉnh Bắc Giang")</f>
        <v>UBND Ủy ban nhân dân thị trấn  Bích Động  tỉnh Bắc Giang</v>
      </c>
      <c r="C657" t="str">
        <v>https://bichdong.vietyen.bacgiang.gov.vn/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6657</v>
      </c>
      <c r="B658" t="str">
        <v>Công an thị trấn Nếnh  tỉnh Bắc Giang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6658</v>
      </c>
      <c r="B659" t="str">
        <f>HYPERLINK("https://vietyen.bacgiang.gov.vn/xuat-ban-thong-tin/-/asset_publisher/vYGFBWdWN3jE/content/h-nd-thi-tran-nenh-bau-chuc-danh-chu-tich-h-nd-va-chu-tich-ubnd?inheritRedirect=false", "UBND Ủy ban nhân dân thị trấn Nếnh  tỉnh Bắc Giang")</f>
        <v>UBND Ủy ban nhân dân thị trấn Nếnh  tỉnh Bắc Giang</v>
      </c>
      <c r="C659" t="str">
        <v>https://vietyen.bacgiang.gov.vn/xuat-ban-thong-tin/-/asset_publisher/vYGFBWdWN3jE/content/h-nd-thi-tran-nenh-bau-chuc-danh-chu-tich-h-nd-va-chu-tich-ubnd?inheritRedirect=false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6659</v>
      </c>
      <c r="B660" t="str">
        <v>Công an xã Thượng Lan  tỉnh Bắc Giang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6660</v>
      </c>
      <c r="B661" t="str">
        <f>HYPERLINK("https://vietyen.bacgiang.gov.vn/xuat-ban-thong-tin/-/asset_publisher/vYGFBWdWN3jE/content/h-nd-xa-thuong-lan-to-chuc-ky-hop-thu-7", "UBND Ủy ban nhân dân xã Thượng Lan  tỉnh Bắc Giang")</f>
        <v>UBND Ủy ban nhân dân xã Thượng Lan  tỉnh Bắc Giang</v>
      </c>
      <c r="C661" t="str">
        <v>https://vietyen.bacgiang.gov.vn/xuat-ban-thong-tin/-/asset_publisher/vYGFBWdWN3jE/content/h-nd-xa-thuong-lan-to-chuc-ky-hop-thu-7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6661</v>
      </c>
      <c r="B662" t="str">
        <v>Công an xã Việt Tiến  tỉnh Bắc Giang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6662</v>
      </c>
      <c r="B663" t="str">
        <f>HYPERLINK("https://viettien.vietyen.bacgiang.gov.vn/", "UBND Ủy ban nhân dân xã Việt Tiến  tỉnh Bắc Giang")</f>
        <v>UBND Ủy ban nhân dân xã Việt Tiến  tỉnh Bắc Giang</v>
      </c>
      <c r="C663" t="str">
        <v>https://viettien.vietyen.bacgiang.gov.vn/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6663</v>
      </c>
      <c r="B664" t="str">
        <v>Công an xã Nghĩa Trung  tỉnh Bắc Giang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6664</v>
      </c>
      <c r="B665" t="str">
        <f>HYPERLINK("https://vietyen.bacgiang.gov.vn/xuat-ban-thong-tin/-/asset_publisher/vYGFBWdWN3jE/content/nghia-trung", "UBND Ủy ban nhân dân xã Nghĩa Trung  tỉnh Bắc Giang")</f>
        <v>UBND Ủy ban nhân dân xã Nghĩa Trung  tỉnh Bắc Giang</v>
      </c>
      <c r="C665" t="str">
        <v>https://vietyen.bacgiang.gov.vn/xuat-ban-thong-tin/-/asset_publisher/vYGFBWdWN3jE/content/nghia-trung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6665</v>
      </c>
      <c r="B666" t="str">
        <f>HYPERLINK("https://www.facebook.com/100090760550509", "Công an xã Minh Đức  tỉnh Bắc Giang")</f>
        <v>Công an xã Minh Đức  tỉnh Bắc Giang</v>
      </c>
      <c r="C666" t="str">
        <v>https://www.facebook.com/100090760550509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6666</v>
      </c>
      <c r="B667" t="str">
        <f>HYPERLINK("https://vietyen.bacgiang.gov.vn/xuat-ban-thong-tin/-/asset_publisher/vYGFBWdWN3jE/content/xa-minh-uc-on-nhan-danh-hieu-nong-thon-moi-nang-cao-nam-2023?inheritRedirect=false", "UBND Ủy ban nhân dân xã Minh Đức  tỉnh Bắc Giang")</f>
        <v>UBND Ủy ban nhân dân xã Minh Đức  tỉnh Bắc Giang</v>
      </c>
      <c r="C667" t="str">
        <v>https://vietyen.bacgiang.gov.vn/xuat-ban-thong-tin/-/asset_publisher/vYGFBWdWN3jE/content/xa-minh-uc-on-nhan-danh-hieu-nong-thon-moi-nang-cao-nam-2023?inheritRedirect=false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6667</v>
      </c>
      <c r="B668" t="str">
        <v>Công an xã Hương Mai  tỉnh Bắc Giang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6668</v>
      </c>
      <c r="B669" t="str">
        <f>HYPERLINK("https://vietyen.bacgiang.gov.vn/xuat-ban-thong-tin/-/asset_publisher/vYGFBWdWN3jE/content/huong-mai", "UBND Ủy ban nhân dân xã Hương Mai  tỉnh Bắc Giang")</f>
        <v>UBND Ủy ban nhân dân xã Hương Mai  tỉnh Bắc Giang</v>
      </c>
      <c r="C669" t="str">
        <v>https://vietyen.bacgiang.gov.vn/xuat-ban-thong-tin/-/asset_publisher/vYGFBWdWN3jE/content/huong-mai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6669</v>
      </c>
      <c r="B670" t="str">
        <v>Công an xã Tự Lạn  tỉnh Bắc Giang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6670</v>
      </c>
      <c r="B671" t="str">
        <f>HYPERLINK("https://vietyen.bacgiang.gov.vn/xuat-ban-thong-tin/-/asset_publisher/vYGFBWdWN3jE/content/tu-lan", "UBND Ủy ban nhân dân xã Tự Lạn  tỉnh Bắc Giang")</f>
        <v>UBND Ủy ban nhân dân xã Tự Lạn  tỉnh Bắc Giang</v>
      </c>
      <c r="C671" t="str">
        <v>https://vietyen.bacgiang.gov.vn/xuat-ban-thong-tin/-/asset_publisher/vYGFBWdWN3jE/content/tu-lan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6671</v>
      </c>
      <c r="B672" t="str">
        <v>Công an xã Bích Sơn  tỉnh Bắc Giang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6672</v>
      </c>
      <c r="B673" t="str">
        <f>HYPERLINK("https://vietyen.bacgiang.gov.vn/xuat-ban-thong-tin/-/asset_publisher/vYGFBWdWN3jE/content/ubnd-xa-bich-son-to-chuc-le-on-bang-di-tich-cap-tinh-inh-on-luong?inheritRedirect=false", "UBND Ủy ban nhân dân xã Bích Sơn  tỉnh Bắc Giang")</f>
        <v>UBND Ủy ban nhân dân xã Bích Sơn  tỉnh Bắc Giang</v>
      </c>
      <c r="C673" t="str">
        <v>https://vietyen.bacgiang.gov.vn/xuat-ban-thong-tin/-/asset_publisher/vYGFBWdWN3jE/content/ubnd-xa-bich-son-to-chuc-le-on-bang-di-tich-cap-tinh-inh-on-luong?inheritRedirect=false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6673</v>
      </c>
      <c r="B674" t="str">
        <v>Công an xã Trung Sơn  tỉnh Bắc Giang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6674</v>
      </c>
      <c r="B675" t="str">
        <f>HYPERLINK("https://vietyen.bacgiang.gov.vn/xuat-ban-thong-tin/-/asset_publisher/vYGFBWdWN3jE/content/trung-son", "UBND Ủy ban nhân dân xã Trung Sơn  tỉnh Bắc Giang")</f>
        <v>UBND Ủy ban nhân dân xã Trung Sơn  tỉnh Bắc Giang</v>
      </c>
      <c r="C675" t="str">
        <v>https://vietyen.bacgiang.gov.vn/xuat-ban-thong-tin/-/asset_publisher/vYGFBWdWN3jE/content/trung-son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6675</v>
      </c>
      <c r="B676" t="str">
        <v>Công an xã Hồng Thái  tỉnh Bắc Giang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6676</v>
      </c>
      <c r="B677" t="str">
        <f>HYPERLINK("https://dongtrieu.quangninh.gov.vn/Trang/ChiTietBVGioiThieu.aspx?bvid=219", "UBND Ủy ban nhân dân xã Hồng Thái  tỉnh Bắc Giang")</f>
        <v>UBND Ủy ban nhân dân xã Hồng Thái  tỉnh Bắc Giang</v>
      </c>
      <c r="C677" t="str">
        <v>https://dongtrieu.quangninh.gov.vn/Trang/ChiTietBVGioiThieu.aspx?bvid=219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6677</v>
      </c>
      <c r="B678" t="str">
        <v>Công an xã Tiên Sơn  tỉnh Bắc Giang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6678</v>
      </c>
      <c r="B679" t="str">
        <f>HYPERLINK("https://vietyen.bacgiang.gov.vn/xuat-ban-thong-tin/-/asset_publisher/vYGFBWdWN3jE/content/tien-son", "UBND Ủy ban nhân dân xã Tiên Sơn  tỉnh Bắc Giang")</f>
        <v>UBND Ủy ban nhân dân xã Tiên Sơn  tỉnh Bắc Giang</v>
      </c>
      <c r="C679" t="str">
        <v>https://vietyen.bacgiang.gov.vn/xuat-ban-thong-tin/-/asset_publisher/vYGFBWdWN3jE/content/tien-son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6679</v>
      </c>
      <c r="B680" t="str">
        <v>Công an xã Tăng Tiến  tỉnh Bắc Giang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6680</v>
      </c>
      <c r="B681" t="str">
        <f>HYPERLINK("https://vietyen.bacgiang.gov.vn/xuat-ban-thong-tin/-/asset_publisher/vYGFBWdWN3jE/content/tang-tien", "UBND Ủy ban nhân dân xã Tăng Tiến  tỉnh Bắc Giang")</f>
        <v>UBND Ủy ban nhân dân xã Tăng Tiến  tỉnh Bắc Giang</v>
      </c>
      <c r="C681" t="str">
        <v>https://vietyen.bacgiang.gov.vn/xuat-ban-thong-tin/-/asset_publisher/vYGFBWdWN3jE/content/tang-tien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6681</v>
      </c>
      <c r="B682" t="str">
        <f>HYPERLINK("https://www.facebook.com/tuoitreconganquangbinh/", "Công an xã Quảng Minh  tỉnh Bắc Giang")</f>
        <v>Công an xã Quảng Minh  tỉnh Bắc Giang</v>
      </c>
      <c r="C682" t="str">
        <v>https://www.facebook.com/tuoitreconganquangbinh/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6682</v>
      </c>
      <c r="B683" t="str">
        <f>HYPERLINK("https://vietyen.bacgiang.gov.vn/xuat-ban-thong-tin/-/asset_publisher/vYGFBWdWN3jE/content/quang-minh", "UBND Ủy ban nhân dân xã Quảng Minh  tỉnh Bắc Giang")</f>
        <v>UBND Ủy ban nhân dân xã Quảng Minh  tỉnh Bắc Giang</v>
      </c>
      <c r="C683" t="str">
        <v>https://vietyen.bacgiang.gov.vn/xuat-ban-thong-tin/-/asset_publisher/vYGFBWdWN3jE/content/quang-minh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6683</v>
      </c>
      <c r="B684" t="str">
        <v>Công an xã Hoàng Ninh  tỉnh Bắc Giang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6684</v>
      </c>
      <c r="B685" t="str">
        <f>HYPERLINK("https://hoangthanh.hiephoa.bacgiang.gov.vn/", "UBND Ủy ban nhân dân xã Hoàng Ninh  tỉnh Bắc Giang")</f>
        <v>UBND Ủy ban nhân dân xã Hoàng Ninh  tỉnh Bắc Giang</v>
      </c>
      <c r="C685" t="str">
        <v>https://hoangthanh.hiephoa.bacgiang.gov.vn/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6685</v>
      </c>
      <c r="B686" t="str">
        <v>Công an xã Ninh Sơn  tỉnh Bắc Giang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6686</v>
      </c>
      <c r="B687" t="str">
        <v>UBND Ủy ban nhân dân xã Ninh Sơn  tỉnh Bắc Giang</v>
      </c>
      <c r="C687" t="str">
        <v>-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6687</v>
      </c>
      <c r="B688" t="str">
        <v>Công an xã Vân Trung  tỉnh Bắc Giang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6688</v>
      </c>
      <c r="B689" t="str">
        <f>HYPERLINK("https://vietyen.bacgiang.gov.vn/xuat-ban-thong-tin/-/asset_publisher/vYGFBWdWN3jE/content/van-trung", "UBND Ủy ban nhân dân xã Vân Trung  tỉnh Bắc Giang")</f>
        <v>UBND Ủy ban nhân dân xã Vân Trung  tỉnh Bắc Giang</v>
      </c>
      <c r="C689" t="str">
        <v>https://vietyen.bacgiang.gov.vn/xuat-ban-thong-tin/-/asset_publisher/vYGFBWdWN3jE/content/van-trung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6689</v>
      </c>
      <c r="B690" t="str">
        <v>Công an xã Vân Hà  tỉnh Bắc Giang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6690</v>
      </c>
      <c r="B691" t="str">
        <v>UBND Ủy ban nhân dân xã Vân Hà  tỉnh Bắc Giang</v>
      </c>
      <c r="C691" t="str">
        <v>-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6691</v>
      </c>
      <c r="B692" t="str">
        <v>Công an xã Quang Châu  tỉnh Bắc Giang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6692</v>
      </c>
      <c r="B693" t="str">
        <v>UBND Ủy ban nhân dân xã Quang Châu  tỉnh Bắc Giang</v>
      </c>
      <c r="C693" t="str">
        <v>-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6693</v>
      </c>
      <c r="B694" t="str">
        <v>Công an thị trấn Thắng  tỉnh Bắc Giang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6694</v>
      </c>
      <c r="B695" t="str">
        <v>UBND Ủy ban nhân dân thị trấn Thắng  tỉnh Bắc Giang</v>
      </c>
      <c r="C695" t="str">
        <v>-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6695</v>
      </c>
      <c r="B696" t="str">
        <v>Công an xã Đồng Tân  tỉnh Bắc Giang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6696</v>
      </c>
      <c r="B697" t="str">
        <f>HYPERLINK("https://dongtan.hiephoa.bacgiang.gov.vn/", "UBND Ủy ban nhân dân xã Đồng Tân  tỉnh Bắc Giang")</f>
        <v>UBND Ủy ban nhân dân xã Đồng Tân  tỉnh Bắc Giang</v>
      </c>
      <c r="C697" t="str">
        <v>https://dongtan.hiephoa.bacgiang.gov.vn/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6697</v>
      </c>
      <c r="B698" t="str">
        <v>Công an xã Thanh Vân  tỉnh Bắc Giang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6698</v>
      </c>
      <c r="B699" t="str">
        <v>UBND Ủy ban nhân dân xã Thanh Vân  tỉnh Bắc Giang</v>
      </c>
      <c r="C699" t="str">
        <v>-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6699</v>
      </c>
      <c r="B700" t="str">
        <v>Công an xã Hoàng Lương  tỉnh Bắc Giang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6700</v>
      </c>
      <c r="B701" t="str">
        <v>UBND Ủy ban nhân dân xã Hoàng Lương  tỉnh Bắc Giang</v>
      </c>
      <c r="C701" t="str">
        <v>-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6701</v>
      </c>
      <c r="B702" t="str">
        <v>Công an xã Hoàng Vân  tỉnh Bắc Giang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6702</v>
      </c>
      <c r="B703" t="str">
        <f>HYPERLINK("https://hoangvan.hiephoa.bacgiang.gov.vn/", "UBND Ủy ban nhân dân xã Hoàng Vân  tỉnh Bắc Giang")</f>
        <v>UBND Ủy ban nhân dân xã Hoàng Vân  tỉnh Bắc Giang</v>
      </c>
      <c r="C703" t="str">
        <v>https://hoangvan.hiephoa.bacgiang.gov.vn/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6703</v>
      </c>
      <c r="B704" t="str">
        <v>Công an xã Hoàng Thanh  tỉnh Bắc Giang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6704</v>
      </c>
      <c r="B705" t="str">
        <f>HYPERLINK("https://hoangthanh.hiephoa.bacgiang.gov.vn/", "UBND Ủy ban nhân dân xã Hoàng Thanh  tỉnh Bắc Giang")</f>
        <v>UBND Ủy ban nhân dân xã Hoàng Thanh  tỉnh Bắc Giang</v>
      </c>
      <c r="C705" t="str">
        <v>https://hoangthanh.hiephoa.bacgiang.gov.vn/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6705</v>
      </c>
      <c r="B706" t="str">
        <v>Công an xã Hoàng An  tỉnh Bắc Giang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6706</v>
      </c>
      <c r="B707" t="str">
        <f>HYPERLINK("https://hoangan.hiephoa.bacgiang.gov.vn/", "UBND Ủy ban nhân dân xã Hoàng An  tỉnh Bắc Giang")</f>
        <v>UBND Ủy ban nhân dân xã Hoàng An  tỉnh Bắc Giang</v>
      </c>
      <c r="C707" t="str">
        <v>https://hoangan.hiephoa.bacgiang.gov.vn/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6707</v>
      </c>
      <c r="B708" t="str">
        <v>Công an xã Ngọc Sơn  tỉnh Bắc Giang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6708</v>
      </c>
      <c r="B709" t="str">
        <f>HYPERLINK("https://ngocson.hiephoa.bacgiang.gov.vn/", "UBND Ủy ban nhân dân xã Ngọc Sơn  tỉnh Bắc Giang")</f>
        <v>UBND Ủy ban nhân dân xã Ngọc Sơn  tỉnh Bắc Giang</v>
      </c>
      <c r="C709" t="str">
        <v>https://ngocson.hiephoa.bacgiang.gov.vn/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6709</v>
      </c>
      <c r="B710" t="str">
        <v>Công an xã Thái Sơn  tỉnh Bắc Giang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6710</v>
      </c>
      <c r="B711" t="str">
        <f>HYPERLINK("https://thaison.hiephoa.bacgiang.gov.vn/", "UBND Ủy ban nhân dân xã Thái Sơn  tỉnh Bắc Giang")</f>
        <v>UBND Ủy ban nhân dân xã Thái Sơn  tỉnh Bắc Giang</v>
      </c>
      <c r="C711" t="str">
        <v>https://thaison.hiephoa.bacgiang.gov.vn/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6711</v>
      </c>
      <c r="B712" t="str">
        <f>HYPERLINK("https://www.facebook.com/Hoasonnews/", "Công an xã Hòa Sơn  tỉnh Bắc Giang")</f>
        <v>Công an xã Hòa Sơn  tỉnh Bắc Giang</v>
      </c>
      <c r="C712" t="str">
        <v>https://www.facebook.com/Hoasonnews/</v>
      </c>
      <c r="D712" t="str">
        <v>-</v>
      </c>
      <c r="E712" t="str">
        <v/>
      </c>
      <c r="F712" t="str">
        <v>-</v>
      </c>
      <c r="G712" t="str">
        <v>Bac Giang, Vietnam</v>
      </c>
    </row>
    <row r="713">
      <c r="A713">
        <v>6712</v>
      </c>
      <c r="B713" t="str">
        <f>HYPERLINK("https://hoason.hiephoa.bacgiang.gov.vn/", "UBND Ủy ban nhân dân xã Hòa Sơn  tỉnh Bắc Giang")</f>
        <v>UBND Ủy ban nhân dân xã Hòa Sơn  tỉnh Bắc Giang</v>
      </c>
      <c r="C713" t="str">
        <v>https://hoason.hiephoa.bacgiang.gov.vn/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6713</v>
      </c>
      <c r="B714" t="str">
        <v>Công an xã Đức Thắng  tỉnh Bắc Giang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6714</v>
      </c>
      <c r="B715" t="str">
        <f>HYPERLINK("https://ttthang.hiephoa.bacgiang.gov.vn/gioi-thieu", "UBND Ủy ban nhân dân xã Đức Thắng  tỉnh Bắc Giang")</f>
        <v>UBND Ủy ban nhân dân xã Đức Thắng  tỉnh Bắc Giang</v>
      </c>
      <c r="C715" t="str">
        <v>https://ttthang.hiephoa.bacgiang.gov.vn/gioi-thieu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6715</v>
      </c>
      <c r="B716" t="str">
        <f>HYPERLINK("https://www.facebook.com/tuoitreconganquangbinh/", "Công an xã Quang Minh  tỉnh Bắc Giang")</f>
        <v>Công an xã Quang Minh  tỉnh Bắc Giang</v>
      </c>
      <c r="C716" t="str">
        <v>https://www.facebook.com/tuoitreconganquangbinh/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6716</v>
      </c>
      <c r="B717" t="str">
        <f>HYPERLINK("https://quangminh.hiephoa.bacgiang.gov.vn/", "UBND Ủy ban nhân dân xã Quang Minh  tỉnh Bắc Giang")</f>
        <v>UBND Ủy ban nhân dân xã Quang Minh  tỉnh Bắc Giang</v>
      </c>
      <c r="C717" t="str">
        <v>https://quangminh.hiephoa.bacgiang.gov.vn/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6717</v>
      </c>
      <c r="B718" t="str">
        <f>HYPERLINK("https://www.facebook.com/cahhiephoa/?locale=vi_VN", "Công an xã Lương Phong  tỉnh Bắc Giang")</f>
        <v>Công an xã Lương Phong  tỉnh Bắc Giang</v>
      </c>
      <c r="C718" t="str">
        <v>https://www.facebook.com/cahhiephoa/?locale=vi_VN</v>
      </c>
      <c r="D718" t="str">
        <v>-</v>
      </c>
      <c r="E718" t="str">
        <v>02043872205</v>
      </c>
      <c r="F718" t="str">
        <f>HYPERLINK("mailto:conganhiephoa.bacgiang@gmail.com", "conganhiephoa.bacgiang@gmail.com")</f>
        <v>conganhiephoa.bacgiang@gmail.com</v>
      </c>
      <c r="G718" t="str">
        <v>Đông Ngàn, thị trấn Thắng, huyện Hiệp Hòa, Bắc Giang, Hiep Hoa, Vietnam</v>
      </c>
    </row>
    <row r="719">
      <c r="A719">
        <v>6718</v>
      </c>
      <c r="B719" t="str">
        <f>HYPERLINK("https://luongphong.hiephoa.bacgiang.gov.vn/", "UBND Ủy ban nhân dân xã Lương Phong  tỉnh Bắc Giang")</f>
        <v>UBND Ủy ban nhân dân xã Lương Phong  tỉnh Bắc Giang</v>
      </c>
      <c r="C719" t="str">
        <v>https://luongphong.hiephoa.bacgiang.gov.vn/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6719</v>
      </c>
      <c r="B720" t="str">
        <v>Công an xã Hùng Sơn  tỉnh Bắc Giang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6720</v>
      </c>
      <c r="B721" t="str">
        <f>HYPERLINK("https://hungson.hiephoa.bacgiang.gov.vn/", "UBND Ủy ban nhân dân xã Hùng Sơn  tỉnh Bắc Giang")</f>
        <v>UBND Ủy ban nhân dân xã Hùng Sơn  tỉnh Bắc Giang</v>
      </c>
      <c r="C721" t="str">
        <v>https://hungson.hiephoa.bacgiang.gov.vn/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6721</v>
      </c>
      <c r="B722" t="str">
        <f>HYPERLINK("https://www.facebook.com/p/C%C3%B4ng-an-x%C3%A3-%C4%90%E1%BA%A1i-Th%C3%A0nh-huy%E1%BB%87n-Hi%E1%BB%87p-Ho%C3%A0-100063645815024/", "Công an xã Đại Thành  tỉnh Bắc Giang")</f>
        <v>Công an xã Đại Thành  tỉnh Bắc Giang</v>
      </c>
      <c r="C722" t="str">
        <v>https://www.facebook.com/p/C%C3%B4ng-an-x%C3%A3-%C4%90%E1%BA%A1i-Th%C3%A0nh-huy%E1%BB%87n-Hi%E1%BB%87p-Ho%C3%A0-100063645815024/</v>
      </c>
      <c r="D722" t="str">
        <v>-</v>
      </c>
      <c r="E722" t="str">
        <v>02043872113</v>
      </c>
      <c r="F722" t="str">
        <v>-</v>
      </c>
      <c r="G722" t="str">
        <v>-</v>
      </c>
    </row>
    <row r="723">
      <c r="A723">
        <v>6722</v>
      </c>
      <c r="B723" t="str">
        <f>HYPERLINK("https://daithanh.hiephoa.bacgiang.gov.vn/", "UBND Ủy ban nhân dân xã Đại Thành  tỉnh Bắc Giang")</f>
        <v>UBND Ủy ban nhân dân xã Đại Thành  tỉnh Bắc Giang</v>
      </c>
      <c r="C723" t="str">
        <v>https://daithanh.hiephoa.bacgiang.gov.vn/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6723</v>
      </c>
      <c r="B724" t="str">
        <v>Công an xã Thường Thắng  tỉnh Bắc Giang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6724</v>
      </c>
      <c r="B725" t="str">
        <f>HYPERLINK("https://thuongthang.hiephoa.bacgiang.gov.vn/", "UBND Ủy ban nhân dân xã Thường Thắng  tỉnh Bắc Giang")</f>
        <v>UBND Ủy ban nhân dân xã Thường Thắng  tỉnh Bắc Giang</v>
      </c>
      <c r="C725" t="str">
        <v>https://thuongthang.hiephoa.bacgiang.gov.vn/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6725</v>
      </c>
      <c r="B726" t="str">
        <f>HYPERLINK("https://www.facebook.com/p/C%C3%B4ng-an-X%C3%A3-H%E1%BB%A3p-Th%E1%BB%8Bnh-100072332965306/", "Công an xã Hợp Thịnh  tỉnh Bắc Giang")</f>
        <v>Công an xã Hợp Thịnh  tỉnh Bắc Giang</v>
      </c>
      <c r="C726" t="str">
        <v>https://www.facebook.com/p/C%C3%B4ng-an-X%C3%A3-H%E1%BB%A3p-Th%E1%BB%8Bnh-100072332965306/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6726</v>
      </c>
      <c r="B727" t="str">
        <f>HYPERLINK("https://hopthinh.hiephoa.bacgiang.gov.vn/", "UBND Ủy ban nhân dân xã Hợp Thịnh  tỉnh Bắc Giang")</f>
        <v>UBND Ủy ban nhân dân xã Hợp Thịnh  tỉnh Bắc Giang</v>
      </c>
      <c r="C727" t="str">
        <v>https://hopthinh.hiephoa.bacgiang.gov.vn/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6727</v>
      </c>
      <c r="B728" t="str">
        <f>HYPERLINK("https://www.facebook.com/p/C%C3%B4ng-an-x%C3%A3-Danh-Th%E1%BA%AFng-100063738746674/", "Công an xã Danh Thắng  tỉnh Bắc Giang")</f>
        <v>Công an xã Danh Thắng  tỉnh Bắc Giang</v>
      </c>
      <c r="C728" t="str">
        <v>https://www.facebook.com/p/C%C3%B4ng-an-x%C3%A3-Danh-Th%E1%BA%AFng-100063738746674/</v>
      </c>
      <c r="D728" t="str">
        <v>-</v>
      </c>
      <c r="E728" t="str">
        <v>02043872406</v>
      </c>
      <c r="F728" t="str">
        <v>-</v>
      </c>
      <c r="G728" t="str">
        <v>-</v>
      </c>
    </row>
    <row r="729">
      <c r="A729">
        <v>6728</v>
      </c>
      <c r="B729" t="str">
        <f>HYPERLINK("https://danhthang.hiephoa.bacgiang.gov.vn/", "UBND Ủy ban nhân dân xã Danh Thắng  tỉnh Bắc Giang")</f>
        <v>UBND Ủy ban nhân dân xã Danh Thắng  tỉnh Bắc Giang</v>
      </c>
      <c r="C729" t="str">
        <v>https://danhthang.hiephoa.bacgiang.gov.vn/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6729</v>
      </c>
      <c r="B730" t="str">
        <v>Công an xã Mai Trung  tỉnh Bắc Giang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6730</v>
      </c>
      <c r="B731" t="str">
        <f>HYPERLINK("https://maitrung.hiephoa.bacgiang.gov.vn/", "UBND Ủy ban nhân dân xã Mai Trung  tỉnh Bắc Giang")</f>
        <v>UBND Ủy ban nhân dân xã Mai Trung  tỉnh Bắc Giang</v>
      </c>
      <c r="C731" t="str">
        <v>https://maitrung.hiephoa.bacgiang.gov.vn/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6731</v>
      </c>
      <c r="B732" t="str">
        <v>Công an xã Đoan Bái  tỉnh Bắc Giang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6732</v>
      </c>
      <c r="B733" t="str">
        <f>HYPERLINK("https://doanbai.hiephoa.bacgiang.gov.vn/", "UBND Ủy ban nhân dân xã Đoan Bái  tỉnh Bắc Giang")</f>
        <v>UBND Ủy ban nhân dân xã Đoan Bái  tỉnh Bắc Giang</v>
      </c>
      <c r="C733" t="str">
        <v>https://doanbai.hiephoa.bacgiang.gov.vn/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6733</v>
      </c>
      <c r="B734" t="str">
        <v>Công an xã Bắc Lý  tỉnh Bắc Giang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6734</v>
      </c>
      <c r="B735" t="str">
        <f>HYPERLINK("https://ttbacly.hiephoa.bacgiang.gov.vn/", "UBND Ủy ban nhân dân xã Bắc Lý  tỉnh Bắc Giang")</f>
        <v>UBND Ủy ban nhân dân xã Bắc Lý  tỉnh Bắc Giang</v>
      </c>
      <c r="C735" t="str">
        <v>https://ttbacly.hiephoa.bacgiang.gov.vn/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6735</v>
      </c>
      <c r="B736" t="str">
        <v>Công an xã Xuân Cẩm  tỉnh Bắc Giang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6736</v>
      </c>
      <c r="B737" t="str">
        <f>HYPERLINK("https://xuancam.hiephoa.bacgiang.gov.vn/", "UBND Ủy ban nhân dân xã Xuân Cẩm  tỉnh Bắc Giang")</f>
        <v>UBND Ủy ban nhân dân xã Xuân Cẩm  tỉnh Bắc Giang</v>
      </c>
      <c r="C737" t="str">
        <v>https://xuancam.hiephoa.bacgiang.gov.vn/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6737</v>
      </c>
      <c r="B738" t="str">
        <v>Công an xã Hương Lâm  tỉnh Bắc Giang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6738</v>
      </c>
      <c r="B739" t="str">
        <f>HYPERLINK("https://huonglam.hiephoa.bacgiang.gov.vn/", "UBND Ủy ban nhân dân xã Hương Lâm  tỉnh Bắc Giang")</f>
        <v>UBND Ủy ban nhân dân xã Hương Lâm  tỉnh Bắc Giang</v>
      </c>
      <c r="C739" t="str">
        <v>https://huonglam.hiephoa.bacgiang.gov.vn/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6739</v>
      </c>
      <c r="B740" t="str">
        <f>HYPERLINK("https://www.facebook.com/p/C%C3%B4ng-an-x%C3%A3-%C4%90%C3%B4ng-L%E1%BB%97-100064124739000/", "Công an xã Đông Lỗ  tỉnh Bắc Giang")</f>
        <v>Công an xã Đông Lỗ  tỉnh Bắc Giang</v>
      </c>
      <c r="C740" t="str">
        <v>https://www.facebook.com/p/C%C3%B4ng-an-x%C3%A3-%C4%90%C3%B4ng-L%E1%BB%97-100064124739000/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6740</v>
      </c>
      <c r="B741" t="str">
        <f>HYPERLINK("https://donglo.hiephoa.bacgiang.gov.vn/", "UBND Ủy ban nhân dân xã Đông Lỗ  tỉnh Bắc Giang")</f>
        <v>UBND Ủy ban nhân dân xã Đông Lỗ  tỉnh Bắc Giang</v>
      </c>
      <c r="C741" t="str">
        <v>https://donglo.hiephoa.bacgiang.gov.vn/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6741</v>
      </c>
      <c r="B742" t="str">
        <v>Công an xã Châu Minh  tỉnh Bắc Giang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6742</v>
      </c>
      <c r="B743" t="str">
        <f>HYPERLINK("https://chauminh.hiephoa.bacgiang.gov.vn/", "UBND Ủy ban nhân dân xã Châu Minh  tỉnh Bắc Giang")</f>
        <v>UBND Ủy ban nhân dân xã Châu Minh  tỉnh Bắc Giang</v>
      </c>
      <c r="C743" t="str">
        <v>https://chauminh.hiephoa.bacgiang.gov.vn/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6743</v>
      </c>
      <c r="B744" t="str">
        <f>HYPERLINK("https://www.facebook.com/CAXMaiDinh/", "Công an xã Mai Đình  tỉnh Bắc Giang")</f>
        <v>Công an xã Mai Đình  tỉnh Bắc Giang</v>
      </c>
      <c r="C744" t="str">
        <v>https://www.facebook.com/CAXMaiDinh/</v>
      </c>
      <c r="D744" t="str">
        <v>-</v>
      </c>
      <c r="E744" t="str">
        <v/>
      </c>
      <c r="F744" t="str">
        <v>-</v>
      </c>
      <c r="G744" t="str">
        <v>Xã Mai Đình, Huyện Hiệp Hoà, Tỉnh Bắc Giang, Bac Giang, Vietnam</v>
      </c>
    </row>
    <row r="745">
      <c r="A745">
        <v>6744</v>
      </c>
      <c r="B745" t="str">
        <f>HYPERLINK("https://maidinh.hiephoa.bacgiang.gov.vn/", "UBND Ủy ban nhân dân xã Mai Đình  tỉnh Bắc Giang")</f>
        <v>UBND Ủy ban nhân dân xã Mai Đình  tỉnh Bắc Giang</v>
      </c>
      <c r="C745" t="str">
        <v>https://maidinh.hiephoa.bacgiang.gov.vn/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6745</v>
      </c>
      <c r="B746" t="str">
        <v>Công an phường Dữu Lâu  tỉnh Phú Thọ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6746</v>
      </c>
      <c r="B747" t="str">
        <f>HYPERLINK("https://duulau.viettri.phutho.gov.vn/", "UBND Ủy ban nhân dân phường Dữu Lâu  tỉnh Phú Thọ")</f>
        <v>UBND Ủy ban nhân dân phường Dữu Lâu  tỉnh Phú Thọ</v>
      </c>
      <c r="C747" t="str">
        <v>https://duulau.viettri.phutho.gov.vn/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6747</v>
      </c>
      <c r="B748" t="str">
        <f>HYPERLINK("https://www.facebook.com/onextdigital/", "Công an phường Vân Cơ  tỉnh Phú Thọ")</f>
        <v>Công an phường Vân Cơ  tỉnh Phú Thọ</v>
      </c>
      <c r="C748" t="str">
        <v>https://www.facebook.com/onextdigital/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6748</v>
      </c>
      <c r="B749" t="str">
        <f>HYPERLINK("http://congbao.phutho.gov.vn/tong-tap.html?classification=2&amp;unitid=2&amp;pageIndex=13", "UBND Ủy ban nhân dân phường Vân Cơ  tỉnh Phú Thọ")</f>
        <v>UBND Ủy ban nhân dân phường Vân Cơ  tỉnh Phú Thọ</v>
      </c>
      <c r="C749" t="str">
        <v>http://congbao.phutho.gov.vn/tong-tap.html?classification=2&amp;unitid=2&amp;pageIndex=13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6749</v>
      </c>
      <c r="B750" t="str">
        <f>HYPERLINK("https://www.facebook.com/ubndnongtrang/", "Công an phường Nông Trang  tỉnh Phú Thọ")</f>
        <v>Công an phường Nông Trang  tỉnh Phú Thọ</v>
      </c>
      <c r="C750" t="str">
        <v>https://www.facebook.com/ubndnongtrang/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6750</v>
      </c>
      <c r="B751" t="str">
        <f>HYPERLINK("http://nongtrang.viettri.phutho.gov.vn/pho-bien-kien-thuc/tu-phap-ho-tich", "UBND Ủy ban nhân dân phường Nông Trang  tỉnh Phú Thọ")</f>
        <v>UBND Ủy ban nhân dân phường Nông Trang  tỉnh Phú Thọ</v>
      </c>
      <c r="C751" t="str">
        <v>http://nongtrang.viettri.phutho.gov.vn/pho-bien-kien-thuc/tu-phap-ho-tich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6751</v>
      </c>
      <c r="B752" t="str">
        <f>HYPERLINK("https://www.facebook.com/p/C%C3%B4ng-an-ph%C6%B0%E1%BB%9Dng-T%C3%A2n-D%C3%A2n-100076569406710/", "Công an phường Tân Dân  tỉnh Phú Thọ")</f>
        <v>Công an phường Tân Dân  tỉnh Phú Thọ</v>
      </c>
      <c r="C752" t="str">
        <v>https://www.facebook.com/p/C%C3%B4ng-an-ph%C6%B0%E1%BB%9Dng-T%C3%A2n-D%C3%A2n-100076569406710/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6752</v>
      </c>
      <c r="B753" t="str">
        <f>HYPERLINK("http://phuthodfa.gov.vn/uy-ban-nhan-dan-tinh/188/index.html", "UBND Ủy ban nhân dân phường Tân Dân  tỉnh Phú Thọ")</f>
        <v>UBND Ủy ban nhân dân phường Tân Dân  tỉnh Phú Thọ</v>
      </c>
      <c r="C753" t="str">
        <v>http://phuthodfa.gov.vn/uy-ban-nhan-dan-tinh/188/index.html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6753</v>
      </c>
      <c r="B754" t="str">
        <f>HYPERLINK("https://www.facebook.com/conganphuonggiacam/", "Công an phường Gia Cẩm  tỉnh Phú Thọ")</f>
        <v>Công an phường Gia Cẩm  tỉnh Phú Thọ</v>
      </c>
      <c r="C754" t="str">
        <v>https://www.facebook.com/conganphuonggiacam/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6754</v>
      </c>
      <c r="B755" t="str">
        <f>HYPERLINK("https://giacam.viettri.phutho.gov.vn/", "UBND Ủy ban nhân dân phường Gia Cẩm  tỉnh Phú Thọ")</f>
        <v>UBND Ủy ban nhân dân phường Gia Cẩm  tỉnh Phú Thọ</v>
      </c>
      <c r="C755" t="str">
        <v>https://giacam.viettri.phutho.gov.vn/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6755</v>
      </c>
      <c r="B756" t="str">
        <f>HYPERLINK("https://www.facebook.com/p/Trung-t%C3%A2m-GDTX-ti%CC%89nh-Phu%CC%81-Tho%CC%A3-Trang-th%C3%B4ng-tin-tuy%C3%AA%CC%89n-sinh-100070089182073/?locale=vi_VN", "Công an phường Tiên Cát  tỉnh Phú Thọ")</f>
        <v>Công an phường Tiên Cát  tỉnh Phú Thọ</v>
      </c>
      <c r="C756" t="str">
        <v>https://www.facebook.com/p/Trung-t%C3%A2m-GDTX-ti%CC%89nh-Phu%CC%81-Tho%CC%A3-Trang-th%C3%B4ng-tin-tuy%C3%AA%CC%89n-sinh-100070089182073/?locale=vi_VN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6756</v>
      </c>
      <c r="B757" t="str">
        <f>HYPERLINK("https://tiencat.viettri.phutho.gov.vn/", "UBND Ủy ban nhân dân phường Tiên Cát  tỉnh Phú Thọ")</f>
        <v>UBND Ủy ban nhân dân phường Tiên Cát  tỉnh Phú Thọ</v>
      </c>
      <c r="C757" t="str">
        <v>https://tiencat.viettri.phutho.gov.vn/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6757</v>
      </c>
      <c r="B758" t="str">
        <f>HYPERLINK("https://www.facebook.com/Ubndthoson/?locale=vi_VN", "Công an phường Thọ Sơn  tỉnh Phú Thọ")</f>
        <v>Công an phường Thọ Sơn  tỉnh Phú Thọ</v>
      </c>
      <c r="C758" t="str">
        <v>https://www.facebook.com/Ubndthoson/?locale=vi_VN</v>
      </c>
      <c r="D758" t="str">
        <v>-</v>
      </c>
      <c r="E758" t="str">
        <v>02103910881</v>
      </c>
      <c r="F758" t="str">
        <v>-</v>
      </c>
      <c r="G758" t="str">
        <v>-</v>
      </c>
    </row>
    <row r="759">
      <c r="A759">
        <v>6758</v>
      </c>
      <c r="B759" t="str">
        <f>HYPERLINK("http://congbao.phutho.gov.vn/cong-bao.html?a=1&amp;gazetteid=84&amp;gazettetype=0&amp;publishyear=2007", "UBND Ủy ban nhân dân phường Thọ Sơn  tỉnh Phú Thọ")</f>
        <v>UBND Ủy ban nhân dân phường Thọ Sơn  tỉnh Phú Thọ</v>
      </c>
      <c r="C759" t="str">
        <v>http://congbao.phutho.gov.vn/cong-bao.html?a=1&amp;gazetteid=84&amp;gazettetype=0&amp;publishyear=2007</v>
      </c>
      <c r="D759" t="str">
        <v>-</v>
      </c>
      <c r="E759" t="str">
        <v>-</v>
      </c>
      <c r="F759" t="str">
        <v>-</v>
      </c>
      <c r="G759" t="str">
        <v>-</v>
      </c>
    </row>
    <row r="760" xml:space="preserve">
      <c r="A760">
        <v>6759</v>
      </c>
      <c r="B760" t="str">
        <f>HYPERLINK("https://www.facebook.com/p/C%C3%B4ng-an-ph%C6%B0%E1%BB%9Dng-Thanh-Mi%E1%BA%BFu-100076971335790/", "Công an phường Thanh Miếu  tỉnh Phú Thọ")</f>
        <v>Công an phường Thanh Miếu  tỉnh Phú Thọ</v>
      </c>
      <c r="C760" t="str">
        <v>https://www.facebook.com/p/C%C3%B4ng-an-ph%C6%B0%E1%BB%9Dng-Thanh-Mi%E1%BA%BFu-100076971335790/</v>
      </c>
      <c r="D760" t="str">
        <v>-</v>
      </c>
      <c r="E760" t="str">
        <v>02103863928</v>
      </c>
      <c r="F760" t="str">
        <v>-</v>
      </c>
      <c r="G760" t="str" xml:space="preserve">
        <v xml:space="preserve">Số nhà 81, đường Trần Nguyên Hãn, tổ 8,
khu 4, phường Thanh Miếu</v>
      </c>
    </row>
    <row r="761">
      <c r="A761">
        <v>6760</v>
      </c>
      <c r="B761" t="str">
        <f>HYPERLINK("https://dichvucong.gov.vn/p/home/dvc-tthc-co-quan-chi-tiet.html?id=423638", "UBND Ủy ban nhân dân phường Thanh Miếu  tỉnh Phú Thọ")</f>
        <v>UBND Ủy ban nhân dân phường Thanh Miếu  tỉnh Phú Thọ</v>
      </c>
      <c r="C761" t="str">
        <v>https://dichvucong.gov.vn/p/home/dvc-tthc-co-quan-chi-tiet.html?id=423638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6761</v>
      </c>
      <c r="B762" t="str">
        <f>HYPERLINK("https://www.facebook.com/p/C%C3%B4ng-an-th%C3%A0nh-ph%E1%BB%91-Vi%E1%BB%87t-Tr%C3%AC-100083326121614/", "Công an phường Bạch Hạc  tỉnh Phú Thọ")</f>
        <v>Công an phường Bạch Hạc  tỉnh Phú Thọ</v>
      </c>
      <c r="C762" t="str">
        <v>https://www.facebook.com/p/C%C3%B4ng-an-th%C3%A0nh-ph%E1%BB%91-Vi%E1%BB%87t-Tr%C3%AC-100083326121614/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6762</v>
      </c>
      <c r="B763" t="str">
        <f>HYPERLINK("http://svhttdl.phutho.gov.vn/tin/cong-nha%CC%A3n-die%CC%89m-du-li%CC%A3ch-van-ho%CC%81a-co%CC%A3ng-do%CC%80ng-ba%CC%A3ch-ha%CC%A3c-phuo%CC%80ng-ba%CC%A3ch-ha%CC%A3c-tha%CC%80nh-pho%CC%81-vie%CC%A3t-tri%CC%80_2673.html", "UBND Ủy ban nhân dân phường Bạch Hạc  tỉnh Phú Thọ")</f>
        <v>UBND Ủy ban nhân dân phường Bạch Hạc  tỉnh Phú Thọ</v>
      </c>
      <c r="C763" t="str">
        <v>http://svhttdl.phutho.gov.vn/tin/cong-nha%CC%A3n-die%CC%89m-du-li%CC%A3ch-van-ho%CC%81a-co%CC%A3ng-do%CC%80ng-ba%CC%A3ch-ha%CC%A3c-phuo%CC%80ng-ba%CC%A3ch-ha%CC%A3c-tha%CC%80nh-pho%CC%81-vie%CC%A3t-tri%CC%80_2673.html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6763</v>
      </c>
      <c r="B764" t="str">
        <v>Công an phường Bến Gót  tỉnh Phú Thọ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6764</v>
      </c>
      <c r="B765" t="str">
        <f>HYPERLINK("https://dichvucong.gov.vn/p/home/dvc-tthc-co-quan-chi-tiet.html?id=423631", "UBND Ủy ban nhân dân phường Bến Gót  tỉnh Phú Thọ")</f>
        <v>UBND Ủy ban nhân dân phường Bến Gót  tỉnh Phú Thọ</v>
      </c>
      <c r="C765" t="str">
        <v>https://dichvucong.gov.vn/p/home/dvc-tthc-co-quan-chi-tiet.html?id=423631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6765</v>
      </c>
      <c r="B766" t="str">
        <f>HYPERLINK("https://www.facebook.com/p/Ph%C3%B2ng-C%E1%BA%A3nh-s%C3%A1t-H%C3%ACnh-S%E1%BB%B1-C%C3%B4ng-an-t%E1%BB%89nh-Ph%C3%BA-Th%E1%BB%8D-100063695286314/?locale=hi_IN", "Công an phường Vân Phú  tỉnh Phú Thọ")</f>
        <v>Công an phường Vân Phú  tỉnh Phú Thọ</v>
      </c>
      <c r="C766" t="str">
        <v>https://www.facebook.com/p/Ph%C3%B2ng-C%E1%BA%A3nh-s%C3%A1t-H%C3%ACnh-S%E1%BB%B1-C%C3%B4ng-an-t%E1%BB%89nh-Ph%C3%BA-Th%E1%BB%8D-100063695286314/?locale=hi_IN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6766</v>
      </c>
      <c r="B767" t="str">
        <f>HYPERLINK("http://congbao.phutho.gov.vn/tong-tap.html?classification=2&amp;unitid=2&amp;pageIndex=13", "UBND Ủy ban nhân dân phường Vân Phú  tỉnh Phú Thọ")</f>
        <v>UBND Ủy ban nhân dân phường Vân Phú  tỉnh Phú Thọ</v>
      </c>
      <c r="C767" t="str">
        <v>http://congbao.phutho.gov.vn/tong-tap.html?classification=2&amp;unitid=2&amp;pageIndex=13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6767</v>
      </c>
      <c r="B768" t="str">
        <f>HYPERLINK("https://www.facebook.com/caxphuonglau/?locale=ms_MY", "Công an xã Phượng Lâu  tỉnh Phú Thọ")</f>
        <v>Công an xã Phượng Lâu  tỉnh Phú Thọ</v>
      </c>
      <c r="C768" t="str">
        <v>https://www.facebook.com/caxphuonglau/?locale=ms_MY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6768</v>
      </c>
      <c r="B769" t="str">
        <f>HYPERLINK("http://congbao.phutho.gov.vn/cong-bao.html?a=1&amp;gazetteid=13&amp;gazettetype=0&amp;publishyear=2009", "UBND Ủy ban nhân dân xã Phượng Lâu  tỉnh Phú Thọ")</f>
        <v>UBND Ủy ban nhân dân xã Phượng Lâu  tỉnh Phú Thọ</v>
      </c>
      <c r="C769" t="str">
        <v>http://congbao.phutho.gov.vn/cong-bao.html?a=1&amp;gazetteid=13&amp;gazettetype=0&amp;publishyear=2009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6769</v>
      </c>
      <c r="B770" t="str">
        <f>HYPERLINK("https://www.facebook.com/jntcvina/?locale=vi_VN", "Công an xã Thụy Vân  tỉnh Phú Thọ")</f>
        <v>Công an xã Thụy Vân  tỉnh Phú Thọ</v>
      </c>
      <c r="C770" t="str">
        <v>https://www.facebook.com/jntcvina/?locale=vi_VN</v>
      </c>
      <c r="D770" t="str">
        <v>-</v>
      </c>
      <c r="E770" t="str">
        <v>02103991678</v>
      </c>
      <c r="F770" t="str">
        <f>HYPERLINK("mailto:hrjntcvina@thejnt.com", "hrjntcvina@thejnt.com")</f>
        <v>hrjntcvina@thejnt.com</v>
      </c>
      <c r="G770" t="str">
        <v>Lô B8 Khu Công Nghiệp Thụy Vân, Xã Thụy Vân, Viet Tri, Vietnam</v>
      </c>
    </row>
    <row r="771">
      <c r="A771">
        <v>6770</v>
      </c>
      <c r="B771" t="str">
        <f>HYPERLINK("http://congbao.phutho.gov.vn/cong-bao.html?a=1&amp;gazetteid=129&amp;gazettetype=0&amp;publishyear=2013", "UBND Ủy ban nhân dân xã Thụy Vân  tỉnh Phú Thọ")</f>
        <v>UBND Ủy ban nhân dân xã Thụy Vân  tỉnh Phú Thọ</v>
      </c>
      <c r="C771" t="str">
        <v>http://congbao.phutho.gov.vn/cong-bao.html?a=1&amp;gazetteid=129&amp;gazettetype=0&amp;publishyear=2013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6771</v>
      </c>
      <c r="B772" t="str">
        <f>HYPERLINK("https://www.facebook.com/nhaoxahoiminhphuong/", "Công an phường Minh Phương  tỉnh Phú Thọ")</f>
        <v>Công an phường Minh Phương  tỉnh Phú Thọ</v>
      </c>
      <c r="C772" t="str">
        <v>https://www.facebook.com/nhaoxahoiminhphuong/</v>
      </c>
      <c r="D772" t="str">
        <v>-</v>
      </c>
      <c r="E772" t="str">
        <v>02102206666</v>
      </c>
      <c r="F772" t="str">
        <f>HYPERLINK("mailto:viettriurenco@gmail.com", "viettriurenco@gmail.com")</f>
        <v>viettriurenco@gmail.com</v>
      </c>
      <c r="G772" t="str">
        <v>Minh Phương, Viet Tri, Vietnam</v>
      </c>
    </row>
    <row r="773">
      <c r="A773">
        <v>6772</v>
      </c>
      <c r="B773" t="str">
        <f>HYPERLINK("http://congbao.phutho.gov.vn/tong-tap.html?classification=1&amp;type=3&amp;publishyear=2011&amp;unitid=2&amp;pageIndex=2", "UBND Ủy ban nhân dân phường Minh Phương  tỉnh Phú Thọ")</f>
        <v>UBND Ủy ban nhân dân phường Minh Phương  tỉnh Phú Thọ</v>
      </c>
      <c r="C773" t="str">
        <v>http://congbao.phutho.gov.vn/tong-tap.html?classification=1&amp;type=3&amp;publishyear=2011&amp;unitid=2&amp;pageIndex=2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6773</v>
      </c>
      <c r="B774" t="str">
        <f>HYPERLINK("https://www.facebook.com/p/C%C3%B4ng-an-th%C3%A0nh-ph%E1%BB%91-Vi%E1%BB%87t-Tr%C3%AC-100083326121614/", "Công an xã Trưng Vương  tỉnh Phú Thọ")</f>
        <v>Công an xã Trưng Vương  tỉnh Phú Thọ</v>
      </c>
      <c r="C774" t="str">
        <v>https://www.facebook.com/p/C%C3%B4ng-an-th%C3%A0nh-ph%E1%BB%91-Vi%E1%BB%87t-Tr%C3%AC-100083326121614/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6774</v>
      </c>
      <c r="B775" t="str">
        <f>HYPERLINK("https://trungvuong.viettri.phutho.gov.vn/", "UBND Ủy ban nhân dân xã Trưng Vương  tỉnh Phú Thọ")</f>
        <v>UBND Ủy ban nhân dân xã Trưng Vương  tỉnh Phú Thọ</v>
      </c>
      <c r="C775" t="str">
        <v>https://trungvuong.viettri.phutho.gov.vn/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6775</v>
      </c>
      <c r="B776" t="str">
        <f>HYPERLINK("https://www.facebook.com/p/C%C3%B4ng-an-th%C3%A0nh-ph%E1%BB%91-Vi%E1%BB%87t-Tr%C3%AC-100083326121614/", "Công an phường Minh Nông  tỉnh Phú Thọ")</f>
        <v>Công an phường Minh Nông  tỉnh Phú Thọ</v>
      </c>
      <c r="C776" t="str">
        <v>https://www.facebook.com/p/C%C3%B4ng-an-th%C3%A0nh-ph%E1%BB%91-Vi%E1%BB%87t-Tr%C3%AC-100083326121614/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6776</v>
      </c>
      <c r="B777" t="str">
        <f>HYPERLINK("http://congbao.phutho.gov.vn/tong-tap.html?classification=1&amp;type=3&amp;publishyear=2011&amp;unitid=2&amp;pageIndex=2", "UBND Ủy ban nhân dân phường Minh Nông  tỉnh Phú Thọ")</f>
        <v>UBND Ủy ban nhân dân phường Minh Nông  tỉnh Phú Thọ</v>
      </c>
      <c r="C777" t="str">
        <v>http://congbao.phutho.gov.vn/tong-tap.html?classification=1&amp;type=3&amp;publishyear=2011&amp;unitid=2&amp;pageIndex=2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6777</v>
      </c>
      <c r="B778" t="str">
        <v>Công an xã Sông Lô  tỉnh Phú Thọ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6778</v>
      </c>
      <c r="B779" t="str">
        <f>HYPERLINK("https://songlo.viettri.phutho.gov.vn/co-cau-to-chuc/uy-ban-nhan-dan/", "UBND Ủy ban nhân dân xã Sông Lô  tỉnh Phú Thọ")</f>
        <v>UBND Ủy ban nhân dân xã Sông Lô  tỉnh Phú Thọ</v>
      </c>
      <c r="C779" t="str">
        <v>https://songlo.viettri.phutho.gov.vn/co-cau-to-chuc/uy-ban-nhan-dan/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6779</v>
      </c>
      <c r="B780" t="str">
        <v>Công an xã Kim Đức  tỉnh Phú Thọ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6780</v>
      </c>
      <c r="B781" t="str">
        <f>HYPERLINK("http://svhttdl.phutho.gov.vn/tin/le-don-nhan-bang-xep-hang-di-tich-lich-su-van-hoa-cap-tinh-mieu-lai-len-xa-kim-duc-thanh-pho-viet-tri-tinh-phu-tho_2651.html", "UBND Ủy ban nhân dân xã Kim Đức  tỉnh Phú Thọ")</f>
        <v>UBND Ủy ban nhân dân xã Kim Đức  tỉnh Phú Thọ</v>
      </c>
      <c r="C781" t="str">
        <v>http://svhttdl.phutho.gov.vn/tin/le-don-nhan-bang-xep-hang-di-tich-lich-su-van-hoa-cap-tinh-mieu-lai-len-xa-kim-duc-thanh-pho-viet-tri-tinh-phu-tho_2651.html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6781</v>
      </c>
      <c r="B782" t="str">
        <v>Công an xã Hùng Lô  tỉnh Phú Thọ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6782</v>
      </c>
      <c r="B783" t="str">
        <f>HYPERLINK("https://vietnamtourism.gov.vn/post/38023", "UBND Ủy ban nhân dân xã Hùng Lô  tỉnh Phú Thọ")</f>
        <v>UBND Ủy ban nhân dân xã Hùng Lô  tỉnh Phú Thọ</v>
      </c>
      <c r="C783" t="str">
        <v>https://vietnamtourism.gov.vn/post/38023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6783</v>
      </c>
      <c r="B784" t="str">
        <f>HYPERLINK("https://www.facebook.com/2622489081340993", "Công an xã Hy Cương  tỉnh Phú Thọ")</f>
        <v>Công an xã Hy Cương  tỉnh Phú Thọ</v>
      </c>
      <c r="C784" t="str">
        <v>https://www.facebook.com/2622489081340993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6784</v>
      </c>
      <c r="B785" t="str">
        <f>HYPERLINK("https://thocuong.trieuson.thanhhoa.gov.vn/", "UBND Ủy ban nhân dân xã Hy Cương  tỉnh Phú Thọ")</f>
        <v>UBND Ủy ban nhân dân xã Hy Cương  tỉnh Phú Thọ</v>
      </c>
      <c r="C785" t="str">
        <v>https://thocuong.trieuson.thanhhoa.gov.vn/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6785</v>
      </c>
      <c r="B786" t="str">
        <f>HYPERLINK("https://www.facebook.com/p/C%C3%B4ng-an-th%C3%A0nh-ph%E1%BB%91-Vi%E1%BB%87t-Tr%C3%AC-100083326121614/", "Công an xã Chu Hóa  tỉnh Phú Thọ")</f>
        <v>Công an xã Chu Hóa  tỉnh Phú Thọ</v>
      </c>
      <c r="C786" t="str">
        <v>https://www.facebook.com/p/C%C3%B4ng-an-th%C3%A0nh-ph%E1%BB%91-Vi%E1%BB%87t-Tr%C3%AC-100083326121614/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6786</v>
      </c>
      <c r="B787" t="str">
        <f>HYPERLINK("http://congbao.phutho.gov.vn/tong-tap.html?classification=2&amp;unitid=3&amp;pageIndex=20", "UBND Ủy ban nhân dân xã Chu Hóa  tỉnh Phú Thọ")</f>
        <v>UBND Ủy ban nhân dân xã Chu Hóa  tỉnh Phú Thọ</v>
      </c>
      <c r="C787" t="str">
        <v>http://congbao.phutho.gov.vn/tong-tap.html?classification=2&amp;unitid=3&amp;pageIndex=20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6787</v>
      </c>
      <c r="B788" t="str">
        <f>HYPERLINK("https://www.facebook.com/p/TR%C6%AF%E1%BB%9CNG-THCS-THANH-%C4%90%C3%8CNH-100037221107824/", "Công an xã Thanh Đình  tỉnh Phú Thọ")</f>
        <v>Công an xã Thanh Đình  tỉnh Phú Thọ</v>
      </c>
      <c r="C788" t="str">
        <v>https://www.facebook.com/p/TR%C6%AF%E1%BB%9CNG-THCS-THANH-%C4%90%C3%8CNH-100037221107824/</v>
      </c>
      <c r="D788" t="str">
        <v>0359130615</v>
      </c>
      <c r="E788" t="str">
        <v>-</v>
      </c>
      <c r="F788" t="str">
        <f>HYPERLINK("mailto:thcsthanhdinh@pgdviettri.edu.vn", "thcsthanhdinh@pgdviettri.edu.vn")</f>
        <v>thcsthanhdinh@pgdviettri.edu.vn</v>
      </c>
      <c r="G788" t="str">
        <v>Thanh Đình, Vietri, Vietnam</v>
      </c>
    </row>
    <row r="789">
      <c r="A789">
        <v>6788</v>
      </c>
      <c r="B789" t="str">
        <f>HYPERLINK("https://thanhdinh.viettri.phutho.gov.vn/", "UBND Ủy ban nhân dân xã Thanh Đình  tỉnh Phú Thọ")</f>
        <v>UBND Ủy ban nhân dân xã Thanh Đình  tỉnh Phú Thọ</v>
      </c>
      <c r="C789" t="str">
        <v>https://thanhdinh.viettri.phutho.gov.vn/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6789</v>
      </c>
      <c r="B790" t="str">
        <v>Công an xã Tân Đức  tỉnh Phú Thọ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6790</v>
      </c>
      <c r="B791" t="str">
        <f>HYPERLINK("https://tanson.phutho.gov.vn/", "UBND Ủy ban nhân dân xã Tân Đức  tỉnh Phú Thọ")</f>
        <v>UBND Ủy ban nhân dân xã Tân Đức  tỉnh Phú Thọ</v>
      </c>
      <c r="C791" t="str">
        <v>https://tanson.phutho.gov.vn/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6791</v>
      </c>
      <c r="B792" t="str">
        <f>HYPERLINK("https://www.facebook.com/p/%C4%90o%C3%A0n-tr%C6%B0%E1%BB%9Dng-thpt-Tr%C6%B0%E1%BB%9Dng-Th%E1%BB%8Bnh-100057749016031/", "Công an phường Trường Thịnh  tỉnh Phú Thọ")</f>
        <v>Công an phường Trường Thịnh  tỉnh Phú Thọ</v>
      </c>
      <c r="C792" t="str">
        <v>https://www.facebook.com/p/%C4%90o%C3%A0n-tr%C6%B0%E1%BB%9Dng-thpt-Tr%C6%B0%E1%BB%9Dng-Th%E1%BB%8Bnh-100057749016031/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6792</v>
      </c>
      <c r="B793" t="str">
        <f>HYPERLINK("http://congbao.phutho.gov.vn/van-ban/chi-tiet.html?docid=847&amp;docgaid=847&amp;isstoredoc=false", "UBND Ủy ban nhân dân phường Trường Thịnh  tỉnh Phú Thọ")</f>
        <v>UBND Ủy ban nhân dân phường Trường Thịnh  tỉnh Phú Thọ</v>
      </c>
      <c r="C793" t="str">
        <v>http://congbao.phutho.gov.vn/van-ban/chi-tiet.html?docid=847&amp;docgaid=847&amp;isstoredoc=false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6793</v>
      </c>
      <c r="B794" t="str">
        <v>Công an phường Hùng Vương  tỉnh Phú Thọ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6794</v>
      </c>
      <c r="B795" t="str">
        <f>HYPERLINK("https://thixa.phutho.gov.vn/hungvuong/pages/vanban.aspx", "UBND Ủy ban nhân dân phường Hùng Vương  tỉnh Phú Thọ")</f>
        <v>UBND Ủy ban nhân dân phường Hùng Vương  tỉnh Phú Thọ</v>
      </c>
      <c r="C795" t="str">
        <v>https://thixa.phutho.gov.vn/hungvuong/pages/vanban.aspx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6795</v>
      </c>
      <c r="B796" t="str">
        <f>HYPERLINK("https://www.facebook.com/p/C%C3%B4ng-an-ph%C6%B0%E1%BB%9Dng-phong-ch%C3%A2u-100067791925021/", "Công an phường Phong Châu  tỉnh Phú Thọ")</f>
        <v>Công an phường Phong Châu  tỉnh Phú Thọ</v>
      </c>
      <c r="C796" t="str">
        <v>https://www.facebook.com/p/C%C3%B4ng-an-ph%C6%B0%E1%BB%9Dng-phong-ch%C3%A2u-100067791925021/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6796</v>
      </c>
      <c r="B797" t="str">
        <f>HYPERLINK("https://thixa.phutho.gov.vn/phongchau/Pages/danhmuc.aspx", "UBND Ủy ban nhân dân phường Phong Châu  tỉnh Phú Thọ")</f>
        <v>UBND Ủy ban nhân dân phường Phong Châu  tỉnh Phú Thọ</v>
      </c>
      <c r="C797" t="str">
        <v>https://thixa.phutho.gov.vn/phongchau/Pages/danhmuc.aspx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6797</v>
      </c>
      <c r="B798" t="str">
        <f>HYPERLINK("https://www.facebook.com/p/C%C3%B4ng-an-ph%C6%B0%E1%BB%9Dng-%C3%82u-C%C6%A1-th%E1%BB%8B-x%C3%A3-Ph%C3%BA-Th%E1%BB%8D-100066602756746/", "Công an phường Âu Cơ  tỉnh Phú Thọ")</f>
        <v>Công an phường Âu Cơ  tỉnh Phú Thọ</v>
      </c>
      <c r="C798" t="str">
        <v>https://www.facebook.com/p/C%C3%B4ng-an-ph%C6%B0%E1%BB%9Dng-%C3%82u-C%C6%A1-th%E1%BB%8B-x%C3%A3-Ph%C3%BA-Th%E1%BB%8D-100066602756746/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6798</v>
      </c>
      <c r="B799" t="str">
        <f>HYPERLINK("https://thixa.phutho.gov.vn/auco/Pages/index.aspx", "UBND Ủy ban nhân dân phường Âu Cơ  tỉnh Phú Thọ")</f>
        <v>UBND Ủy ban nhân dân phường Âu Cơ  tỉnh Phú Thọ</v>
      </c>
      <c r="C799" t="str">
        <v>https://thixa.phutho.gov.vn/auco/Pages/index.aspx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6799</v>
      </c>
      <c r="B800" t="str">
        <f>HYPERLINK("https://www.facebook.com/p/C%C3%B4ng-an-th%C3%A0nh-ph%E1%BB%91-Vi%E1%BB%87t-Tr%C3%AC-100083326121614/", "Công an xã Hà Lộc  tỉnh Phú Thọ")</f>
        <v>Công an xã Hà Lộc  tỉnh Phú Thọ</v>
      </c>
      <c r="C800" t="str">
        <v>https://www.facebook.com/p/C%C3%B4ng-an-th%C3%A0nh-ph%E1%BB%91-Vi%E1%BB%87t-Tr%C3%AC-100083326121614/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6800</v>
      </c>
      <c r="B801" t="str">
        <f>HYPERLINK("https://thixa.phutho.gov.vn/haloc/pages/vanban.aspx", "UBND Ủy ban nhân dân xã Hà Lộc  tỉnh Phú Thọ")</f>
        <v>UBND Ủy ban nhân dân xã Hà Lộc  tỉnh Phú Thọ</v>
      </c>
      <c r="C801" t="str">
        <v>https://thixa.phutho.gov.vn/haloc/pages/vanban.aspx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6801</v>
      </c>
      <c r="B802" t="str">
        <f>HYPERLINK("https://www.facebook.com/p/C%C3%B4ng-an-x%C3%A3-Ph%C3%BA-H%E1%BB%99-100063573026812/", "Công an xã Phú Hộ  tỉnh Phú Thọ")</f>
        <v>Công an xã Phú Hộ  tỉnh Phú Thọ</v>
      </c>
      <c r="C802" t="str">
        <v>https://www.facebook.com/p/C%C3%B4ng-an-x%C3%A3-Ph%C3%BA-H%E1%BB%99-100063573026812/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6802</v>
      </c>
      <c r="B803" t="str">
        <f>HYPERLINK("http://thixaphutho.gov.vn/phuho", "UBND Ủy ban nhân dân xã Phú Hộ  tỉnh Phú Thọ")</f>
        <v>UBND Ủy ban nhân dân xã Phú Hộ  tỉnh Phú Thọ</v>
      </c>
      <c r="C803" t="str">
        <v>http://thixaphutho.gov.vn/phuho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6803</v>
      </c>
      <c r="B804" t="str">
        <f>HYPERLINK("https://www.facebook.com/p/C%C3%B4ng-an-x%C3%A3-V%C4%83n-Lung-100080040833299/", "Công an xã Văn Lung  tỉnh Phú Thọ")</f>
        <v>Công an xã Văn Lung  tỉnh Phú Thọ</v>
      </c>
      <c r="C804" t="str">
        <v>https://www.facebook.com/p/C%C3%B4ng-an-x%C3%A3-V%C4%83n-Lung-100080040833299/</v>
      </c>
      <c r="D804" t="str">
        <v>-</v>
      </c>
      <c r="E804" t="str">
        <v/>
      </c>
      <c r="F804" t="str">
        <f>HYPERLINK("mailto:Conganxavanlung2020@gmail.com", "Conganxavanlung2020@gmail.com")</f>
        <v>Conganxavanlung2020@gmail.com</v>
      </c>
      <c r="G804" t="str">
        <v>xã Văn Lung, thị xã Phú Thọ</v>
      </c>
    </row>
    <row r="805">
      <c r="A805">
        <v>6804</v>
      </c>
      <c r="B805" t="str">
        <f>HYPERLINK("https://thixa.phutho.gov.vn/vanlung/Pages/index.aspx", "UBND Ủy ban nhân dân xã Văn Lung  tỉnh Phú Thọ")</f>
        <v>UBND Ủy ban nhân dân xã Văn Lung  tỉnh Phú Thọ</v>
      </c>
      <c r="C805" t="str">
        <v>https://thixa.phutho.gov.vn/vanlung/Pages/index.aspx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6805</v>
      </c>
      <c r="B806" t="str">
        <f>HYPERLINK("https://www.facebook.com/Khudothithanhminh/", "Công an xã Thanh Minh  tỉnh Phú Thọ")</f>
        <v>Công an xã Thanh Minh  tỉnh Phú Thọ</v>
      </c>
      <c r="C806" t="str">
        <v>https://www.facebook.com/Khudothithanhminh/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6806</v>
      </c>
      <c r="B807" t="str">
        <f>HYPERLINK("https://thixa.phutho.gov.vn/thanhminh/pages/danhmuc.aspx", "UBND Ủy ban nhân dân xã Thanh Minh  tỉnh Phú Thọ")</f>
        <v>UBND Ủy ban nhân dân xã Thanh Minh  tỉnh Phú Thọ</v>
      </c>
      <c r="C807" t="str">
        <v>https://thixa.phutho.gov.vn/thanhminh/pages/danhmuc.aspx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6807</v>
      </c>
      <c r="B808" t="str">
        <f>HYPERLINK("https://www.facebook.com/p/Tr%C6%B0%E1%BB%9Dng-THCS-H%C3%A0-Th%E1%BA%A1ch-100066842766655/", "Công an xã Hà Thạch  tỉnh Phú Thọ")</f>
        <v>Công an xã Hà Thạch  tỉnh Phú Thọ</v>
      </c>
      <c r="C808" t="str">
        <v>https://www.facebook.com/p/Tr%C6%B0%E1%BB%9Dng-THCS-H%C3%A0-Th%E1%BA%A1ch-100066842766655/</v>
      </c>
      <c r="D808" t="str">
        <v>0325023966</v>
      </c>
      <c r="E808" t="str">
        <v>-</v>
      </c>
      <c r="F808" t="str">
        <f>HYPERLINK("mailto:C2hathachtxpt.phutho@moet.edu.vn", "C2hathachtxpt.phutho@moet.edu.vn")</f>
        <v>C2hathachtxpt.phutho@moet.edu.vn</v>
      </c>
      <c r="G808" t="str">
        <v>Đường Tỉnh 325B, Thị Xã Phú Thọ, Việt Nam, Phu Tho, Vietnam</v>
      </c>
    </row>
    <row r="809">
      <c r="A809">
        <v>6808</v>
      </c>
      <c r="B809" t="str">
        <f>HYPERLINK("https://thixa.phutho.gov.vn/hathach/Pages/index.aspx", "UBND Ủy ban nhân dân xã Hà Thạch  tỉnh Phú Thọ")</f>
        <v>UBND Ủy ban nhân dân xã Hà Thạch  tỉnh Phú Thọ</v>
      </c>
      <c r="C809" t="str">
        <v>https://thixa.phutho.gov.vn/hathach/Pages/index.aspx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6809</v>
      </c>
      <c r="B810" t="str">
        <f>HYPERLINK("https://www.facebook.com/p/C%C3%B4ng-an-ph%C6%B0%E1%BB%9Dng-Thanh-Vinh-100080218661770/", "Công an phường Thanh Vinh  tỉnh Phú Thọ")</f>
        <v>Công an phường Thanh Vinh  tỉnh Phú Thọ</v>
      </c>
      <c r="C810" t="str">
        <v>https://www.facebook.com/p/C%C3%B4ng-an-ph%C6%B0%E1%BB%9Dng-Thanh-Vinh-100080218661770/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6810</v>
      </c>
      <c r="B811" t="str">
        <f>HYPERLINK("https://thixa.phutho.gov.vn/thanhvinh/Pages/index.aspx", "UBND Ủy ban nhân dân phường Thanh Vinh  tỉnh Phú Thọ")</f>
        <v>UBND Ủy ban nhân dân phường Thanh Vinh  tỉnh Phú Thọ</v>
      </c>
      <c r="C811" t="str">
        <v>https://thixa.phutho.gov.vn/thanhvinh/Pages/index.aspx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6811</v>
      </c>
      <c r="B812" t="str">
        <f>HYPERLINK("https://www.facebook.com/congandoanhung/", "Công an thị trấn Đoan Hùng  tỉnh Phú Thọ")</f>
        <v>Công an thị trấn Đoan Hùng  tỉnh Phú Thọ</v>
      </c>
      <c r="C812" t="str">
        <v>https://www.facebook.com/congandoanhung/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6812</v>
      </c>
      <c r="B813" t="str">
        <f>HYPERLINK("https://doanhung.phutho.gov.vn/", "UBND Ủy ban nhân dân thị trấn Đoan Hùng  tỉnh Phú Thọ")</f>
        <v>UBND Ủy ban nhân dân thị trấn Đoan Hùng  tỉnh Phú Thọ</v>
      </c>
      <c r="C813" t="str">
        <v>https://doanhung.phutho.gov.vn/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6813</v>
      </c>
      <c r="B814" t="str">
        <v>Công an xã Đông Khê  tỉnh Phú Thọ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6814</v>
      </c>
      <c r="B815" t="str">
        <f>HYPERLINK("https://m.hdndtuyenquang.gov.vn/dai-bieu-voi-cu-tri/tra-loi-y-kien/dia-phuong/xem-chi-tiet-2283.html", "UBND Ủy ban nhân dân xã Đông Khê  tỉnh Phú Thọ")</f>
        <v>UBND Ủy ban nhân dân xã Đông Khê  tỉnh Phú Thọ</v>
      </c>
      <c r="C815" t="str">
        <v>https://m.hdndtuyenquang.gov.vn/dai-bieu-voi-cu-tri/tra-loi-y-kien/dia-phuong/xem-chi-tiet-2283.html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6815</v>
      </c>
      <c r="B816" t="str">
        <v>Công an xã Đông Khê   tỉnh Phú Thọ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6816</v>
      </c>
      <c r="B817" t="str">
        <f>HYPERLINK("https://m.hdndtuyenquang.gov.vn/dai-bieu-voi-cu-tri/tra-loi-y-kien/dia-phuong/xem-chi-tiet-2283.html", "UBND Ủy ban nhân dân xã Đông Khê   tỉnh Phú Thọ")</f>
        <v>UBND Ủy ban nhân dân xã Đông Khê   tỉnh Phú Thọ</v>
      </c>
      <c r="C817" t="str">
        <v>https://m.hdndtuyenquang.gov.vn/dai-bieu-voi-cu-tri/tra-loi-y-kien/dia-phuong/xem-chi-tiet-2283.html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6817</v>
      </c>
      <c r="B818" t="str">
        <f>HYPERLINK("https://www.facebook.com/202530207959687", "Công an xã Hùng Quan  tỉnh Phú Thọ")</f>
        <v>Công an xã Hùng Quan  tỉnh Phú Thọ</v>
      </c>
      <c r="C818" t="str">
        <v>https://www.facebook.com/202530207959687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6818</v>
      </c>
      <c r="B819" t="str">
        <f>HYPERLINK("https://vietnamtourism.gov.vn/post/38023", "UBND Ủy ban nhân dân xã Hùng Quan  tỉnh Phú Thọ")</f>
        <v>UBND Ủy ban nhân dân xã Hùng Quan  tỉnh Phú Thọ</v>
      </c>
      <c r="C819" t="str">
        <v>https://vietnamtourism.gov.vn/post/38023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6819</v>
      </c>
      <c r="B820" t="str">
        <f>HYPERLINK("https://www.facebook.com/p/C%C3%B4ng-an-x%C3%A3-B%E1%BA%B1ng-Lu%C3%A2n-100069546495320/", "Công an xã Bằng Luân  tỉnh Phú Thọ")</f>
        <v>Công an xã Bằng Luân  tỉnh Phú Thọ</v>
      </c>
      <c r="C820" t="str">
        <v>https://www.facebook.com/p/C%C3%B4ng-an-x%C3%A3-B%E1%BA%B1ng-Lu%C3%A2n-100069546495320/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6820</v>
      </c>
      <c r="B821" t="str">
        <f>HYPERLINK("https://doanhung.phutho.gov.vn/Chuyen-muc-tin/Chi-tiet-tin/tabid/92/title/1684/ctitle/148/language/vi-VN/Default.aspx", "UBND Ủy ban nhân dân xã Bằng Luân  tỉnh Phú Thọ")</f>
        <v>UBND Ủy ban nhân dân xã Bằng Luân  tỉnh Phú Thọ</v>
      </c>
      <c r="C821" t="str">
        <v>https://doanhung.phutho.gov.vn/Chuyen-muc-tin/Chi-tiet-tin/tabid/92/title/1684/ctitle/148/language/vi-VN/Default.aspx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6821</v>
      </c>
      <c r="B822" t="str">
        <v>Công an xã Vân Du  tỉnh Phú Thọ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6822</v>
      </c>
      <c r="B823" t="str">
        <f>HYPERLINK("https://doanhung.phutho.gov.vn/", "UBND Ủy ban nhân dân xã Vân Du  tỉnh Phú Thọ")</f>
        <v>UBND Ủy ban nhân dân xã Vân Du  tỉnh Phú Thọ</v>
      </c>
      <c r="C823" t="str">
        <v>https://doanhung.phutho.gov.vn/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6823</v>
      </c>
      <c r="B824" t="str">
        <f>HYPERLINK("https://www.facebook.com/p/C%C3%B4ng-an-th%C3%A0nh-ph%E1%BB%91-Vi%E1%BB%87t-Tr%C3%AC-100083326121614/", "Công an xã Phương Trung  tỉnh Phú Thọ")</f>
        <v>Công an xã Phương Trung  tỉnh Phú Thọ</v>
      </c>
      <c r="C824" t="str">
        <v>https://www.facebook.com/p/C%C3%B4ng-an-th%C3%A0nh-ph%E1%BB%91-Vi%E1%BB%87t-Tr%C3%AC-100083326121614/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6824</v>
      </c>
      <c r="B825" t="str">
        <f>HYPERLINK("https://camkhe.phutho.gov.vn/Chuyen-muc-tin/Chi-tiet-tin/t/xa-phuong-vi-tap-trung-nguon-luc-de-dat-chuan-nong-thon-moi-/title/19423/ctitle/123", "UBND Ủy ban nhân dân xã Phương Trung  tỉnh Phú Thọ")</f>
        <v>UBND Ủy ban nhân dân xã Phương Trung  tỉnh Phú Thọ</v>
      </c>
      <c r="C825" t="str">
        <v>https://camkhe.phutho.gov.vn/Chuyen-muc-tin/Chi-tiet-tin/t/xa-phuong-vi-tap-trung-nguon-luc-de-dat-chuan-nong-thon-moi-/title/19423/ctitle/123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6825</v>
      </c>
      <c r="B826" t="str">
        <v>Công an xã Quế Lâm  tỉnh Phú Thọ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6826</v>
      </c>
      <c r="B827" t="str">
        <f>HYPERLINK("https://doanhung.phutho.gov.vn/Chuyen-muc-tin/Chi-tiet-tin/tabid/92/title/1706/ctitle/3/Default.aspx", "UBND Ủy ban nhân dân xã Quế Lâm  tỉnh Phú Thọ")</f>
        <v>UBND Ủy ban nhân dân xã Quế Lâm  tỉnh Phú Thọ</v>
      </c>
      <c r="C827" t="str">
        <v>https://doanhung.phutho.gov.vn/Chuyen-muc-tin/Chi-tiet-tin/tabid/92/title/1706/ctitle/3/Default.aspx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6827</v>
      </c>
      <c r="B828" t="str">
        <f>HYPERLINK("https://www.facebook.com/1741129299402593", "Công an xã Minh Lương  tỉnh Phú Thọ")</f>
        <v>Công an xã Minh Lương  tỉnh Phú Thọ</v>
      </c>
      <c r="C828" t="str">
        <v>https://www.facebook.com/1741129299402593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6828</v>
      </c>
      <c r="B829" t="str">
        <f>HYPERLINK("https://doanhung.phutho.gov.vn/Chuyen-muc-tin/Chi-tiet-tin/tabid/92/title/1697/ctitle/185/language/vi-VN/Default.aspx", "UBND Ủy ban nhân dân xã Minh Lương  tỉnh Phú Thọ")</f>
        <v>UBND Ủy ban nhân dân xã Minh Lương  tỉnh Phú Thọ</v>
      </c>
      <c r="C829" t="str">
        <v>https://doanhung.phutho.gov.vn/Chuyen-muc-tin/Chi-tiet-tin/tabid/92/title/1697/ctitle/185/language/vi-VN/Default.aspx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6829</v>
      </c>
      <c r="B830" t="str">
        <f>HYPERLINK("https://www.facebook.com/caxbangdoan/", "Công an xã Bằng Doãn  tỉnh Phú Thọ")</f>
        <v>Công an xã Bằng Doãn  tỉnh Phú Thọ</v>
      </c>
      <c r="C830" t="str">
        <v>https://www.facebook.com/caxbangdoan/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6830</v>
      </c>
      <c r="B831" t="str">
        <f>HYPERLINK("https://bangdoan.doanhung.phutho.gov.vn/uy-ban-nhan-dan-xa-bang-doan-phoi-hop-voi-cong-ty-co-phan-duong-sat-vinh-phu-to-chuc-trao-qua-tet-cho-ho-ngheo-co-hoan-canh-dac-biet-kho-khan-cua-xa/", "UBND Ủy ban nhân dân xã Bằng Doãn  tỉnh Phú Thọ")</f>
        <v>UBND Ủy ban nhân dân xã Bằng Doãn  tỉnh Phú Thọ</v>
      </c>
      <c r="C831" t="str">
        <v>https://bangdoan.doanhung.phutho.gov.vn/uy-ban-nhan-dan-xa-bang-doan-phoi-hop-voi-cong-ty-co-phan-duong-sat-vinh-phu-to-chuc-trao-qua-tet-cho-ho-ngheo-co-hoan-canh-dac-biet-kho-khan-cua-xa/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6831</v>
      </c>
      <c r="B832" t="str">
        <v>Công an xã Chí Đám  tỉnh Phú Thọ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6832</v>
      </c>
      <c r="B833" t="str">
        <f>HYPERLINK("https://doanhung.phutho.gov.vn/", "UBND Ủy ban nhân dân xã Chí Đám  tỉnh Phú Thọ")</f>
        <v>UBND Ủy ban nhân dân xã Chí Đám  tỉnh Phú Thọ</v>
      </c>
      <c r="C833" t="str">
        <v>https://doanhung.phutho.gov.vn/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6833</v>
      </c>
      <c r="B834" t="str">
        <f>HYPERLINK("https://www.facebook.com/CongantinhPhuTho19/", "Công an xã Phong Phú  tỉnh Phú Thọ")</f>
        <v>Công an xã Phong Phú  tỉnh Phú Thọ</v>
      </c>
      <c r="C834" t="str">
        <v>https://www.facebook.com/CongantinhPhuTho19/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6834</v>
      </c>
      <c r="B835" t="str">
        <f>HYPERLINK("https://phuninh.phutho.gov.vn/", "UBND Ủy ban nhân dân xã Phong Phú  tỉnh Phú Thọ")</f>
        <v>UBND Ủy ban nhân dân xã Phong Phú  tỉnh Phú Thọ</v>
      </c>
      <c r="C835" t="str">
        <v>https://phuninh.phutho.gov.vn/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6835</v>
      </c>
      <c r="B836" t="str">
        <f>HYPERLINK("https://www.facebook.com/conganxaphuclai/", "Công an xã Phúc Lai  tỉnh Phú Thọ")</f>
        <v>Công an xã Phúc Lai  tỉnh Phú Thọ</v>
      </c>
      <c r="C836" t="str">
        <v>https://www.facebook.com/conganxaphuclai/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6836</v>
      </c>
      <c r="B837" t="str">
        <f>HYPERLINK("https://doanhung.phutho.gov.vn/Chuyen-muc-tin/Chi-tiet-tin/tabid/92/title/1704/ctitle/3/Default.aspx", "UBND Ủy ban nhân dân xã Phúc Lai  tỉnh Phú Thọ")</f>
        <v>UBND Ủy ban nhân dân xã Phúc Lai  tỉnh Phú Thọ</v>
      </c>
      <c r="C837" t="str">
        <v>https://doanhung.phutho.gov.vn/Chuyen-muc-tin/Chi-tiet-tin/tabid/92/title/1704/ctitle/3/Default.aspx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6837</v>
      </c>
      <c r="B838" t="str">
        <v>Công an xã Ngọc Quan  tỉnh Phú Thọ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6838</v>
      </c>
      <c r="B839" t="str">
        <f>HYPERLINK("https://doanhung.phutho.gov.vn/Chuyen-muc-tin/Chi-tiet-tin/tabid/92/title/15599/ctitle/3/language/vi-VN/Default.aspx", "UBND Ủy ban nhân dân xã Ngọc Quan  tỉnh Phú Thọ")</f>
        <v>UBND Ủy ban nhân dân xã Ngọc Quan  tỉnh Phú Thọ</v>
      </c>
      <c r="C839" t="str">
        <v>https://doanhung.phutho.gov.vn/Chuyen-muc-tin/Chi-tiet-tin/tabid/92/title/15599/ctitle/3/language/vi-VN/Default.aspx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6839</v>
      </c>
      <c r="B840" t="str">
        <v>Công an xã Hữu Đô  tỉnh Phú Thọ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6840</v>
      </c>
      <c r="B841" t="str">
        <f>HYPERLINK("https://doanhung.phutho.gov.vn/", "UBND Ủy ban nhân dân xã Hữu Đô  tỉnh Phú Thọ")</f>
        <v>UBND Ủy ban nhân dân xã Hữu Đô  tỉnh Phú Thọ</v>
      </c>
      <c r="C841" t="str">
        <v>https://doanhung.phutho.gov.vn/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6841</v>
      </c>
      <c r="B842" t="str">
        <v>Công an xã Đại Nghĩa  tỉnh Phú Thọ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6842</v>
      </c>
      <c r="B843" t="str">
        <f>HYPERLINK("http://congbao.phutho.gov.vn/van-ban/chi-tiet.html?docid=568&amp;docgaid=568&amp;isstoredoc=false", "UBND Ủy ban nhân dân xã Đại Nghĩa  tỉnh Phú Thọ")</f>
        <v>UBND Ủy ban nhân dân xã Đại Nghĩa  tỉnh Phú Thọ</v>
      </c>
      <c r="C843" t="str">
        <v>http://congbao.phutho.gov.vn/van-ban/chi-tiet.html?docid=568&amp;docgaid=568&amp;isstoredoc=false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6843</v>
      </c>
      <c r="B844" t="str">
        <v>Công an xã Sóc Đăng  tỉnh Phú Thọ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6844</v>
      </c>
      <c r="B845" t="str">
        <f>HYPERLINK("https://doanhung.phutho.gov.vn/Chuyen-muc-tin/Chi-tiet-tin/tabid/92/title/1707/ctitle/232/language/vi-VN/Default.aspx", "UBND Ủy ban nhân dân xã Sóc Đăng  tỉnh Phú Thọ")</f>
        <v>UBND Ủy ban nhân dân xã Sóc Đăng  tỉnh Phú Thọ</v>
      </c>
      <c r="C845" t="str">
        <v>https://doanhung.phutho.gov.vn/Chuyen-muc-tin/Chi-tiet-tin/tabid/92/title/1707/ctitle/232/language/vi-VN/Default.aspx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6845</v>
      </c>
      <c r="B846" t="str">
        <f>HYPERLINK("https://www.facebook.com/CongantinhPhuTho19/", "Công an xã Phú Thứ  tỉnh Phú Thọ")</f>
        <v>Công an xã Phú Thứ  tỉnh Phú Thọ</v>
      </c>
      <c r="C846" t="str">
        <v>https://www.facebook.com/CongantinhPhuTho19/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6846</v>
      </c>
      <c r="B847" t="str">
        <f>HYPERLINK("https://phutho.phutan.angiang.gov.vn/", "UBND Ủy ban nhân dân xã Phú Thứ  tỉnh Phú Thọ")</f>
        <v>UBND Ủy ban nhân dân xã Phú Thứ  tỉnh Phú Thọ</v>
      </c>
      <c r="C847" t="str">
        <v>https://phutho.phutan.angiang.gov.vn/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6847</v>
      </c>
      <c r="B848" t="str">
        <v>Công an xã Tây Cốc  tỉnh Phú Thọ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6848</v>
      </c>
      <c r="B849" t="str">
        <f>HYPERLINK("https://doanhung.phutho.gov.vn/Chuyen-muc-tin/Chi-tiet-tin/tabid/92/title/1708/ctitle/34/Default.aspx", "UBND Ủy ban nhân dân xã Tây Cốc  tỉnh Phú Thọ")</f>
        <v>UBND Ủy ban nhân dân xã Tây Cốc  tỉnh Phú Thọ</v>
      </c>
      <c r="C849" t="str">
        <v>https://doanhung.phutho.gov.vn/Chuyen-muc-tin/Chi-tiet-tin/tabid/92/title/1708/ctitle/34/Default.aspx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6849</v>
      </c>
      <c r="B850" t="str">
        <f>HYPERLINK("https://www.facebook.com/p/C%C3%B4ng-An-X%C3%A3-Y%C3%AAn-Ki%E1%BB%87n-100064769140352/", "Công an xã Yên Kiện  tỉnh Phú Thọ")</f>
        <v>Công an xã Yên Kiện  tỉnh Phú Thọ</v>
      </c>
      <c r="C850" t="str">
        <v>https://www.facebook.com/p/C%C3%B4ng-An-X%C3%A3-Y%C3%AAn-Ki%E1%BB%87n-100064769140352/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6850</v>
      </c>
      <c r="B851" t="str">
        <f>HYPERLINK("https://doanhung.phutho.gov.vn/Chuyen-muc-tin/Chi-tiet-tin/tabid/92/title/15294/ctitle/3/language/vi-VN/Default.aspx", "UBND Ủy ban nhân dân xã Yên Kiện  tỉnh Phú Thọ")</f>
        <v>UBND Ủy ban nhân dân xã Yên Kiện  tỉnh Phú Thọ</v>
      </c>
      <c r="C851" t="str">
        <v>https://doanhung.phutho.gov.vn/Chuyen-muc-tin/Chi-tiet-tin/tabid/92/title/15294/ctitle/3/language/vi-VN/Default.aspx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6851</v>
      </c>
      <c r="B852" t="str">
        <f>HYPERLINK("https://www.facebook.com/202530207959687", "Công an xã Hùng Long  tỉnh Phú Thọ")</f>
        <v>Công an xã Hùng Long  tỉnh Phú Thọ</v>
      </c>
      <c r="C852" t="str">
        <v>https://www.facebook.com/202530207959687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6852</v>
      </c>
      <c r="B853" t="str">
        <f>HYPERLINK("https://doanhung.phutho.gov.vn/Chuyen-muc-tin/Chi-tiet-tin/tabid/92/title/1693/ctitle/173/language/vi-VN/Default.aspx", "UBND Ủy ban nhân dân xã Hùng Long  tỉnh Phú Thọ")</f>
        <v>UBND Ủy ban nhân dân xã Hùng Long  tỉnh Phú Thọ</v>
      </c>
      <c r="C853" t="str">
        <v>https://doanhung.phutho.gov.vn/Chuyen-muc-tin/Chi-tiet-tin/tabid/92/title/1693/ctitle/173/language/vi-VN/Default.aspx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6853</v>
      </c>
      <c r="B854" t="str">
        <f>HYPERLINK("https://www.facebook.com/3625929227496387", "Công an xã Vụ Quang  tỉnh Phú Thọ")</f>
        <v>Công an xã Vụ Quang  tỉnh Phú Thọ</v>
      </c>
      <c r="C854" t="str">
        <v>https://www.facebook.com/3625929227496387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6854</v>
      </c>
      <c r="B855" t="str">
        <f>HYPERLINK("https://doanhung.phutho.gov.vn/Chuyen-muc-tin/Chi-tiet-tin/tabid/92/title/1712/ctitle/252/language/vi-VN/Default.aspx", "UBND Ủy ban nhân dân xã Vụ Quang  tỉnh Phú Thọ")</f>
        <v>UBND Ủy ban nhân dân xã Vụ Quang  tỉnh Phú Thọ</v>
      </c>
      <c r="C855" t="str">
        <v>https://doanhung.phutho.gov.vn/Chuyen-muc-tin/Chi-tiet-tin/tabid/92/title/1712/ctitle/252/language/vi-VN/Default.aspx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6855</v>
      </c>
      <c r="B856" t="str">
        <v>Công an xã Vân Đồn  tỉnh Phú Thọ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6856</v>
      </c>
      <c r="B857" t="str">
        <f>HYPERLINK("https://doanhung.phutho.gov.vn/", "UBND Ủy ban nhân dân xã Vân Đồn  tỉnh Phú Thọ")</f>
        <v>UBND Ủy ban nhân dân xã Vân Đồn  tỉnh Phú Thọ</v>
      </c>
      <c r="C857" t="str">
        <v>https://doanhung.phutho.gov.vn/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6857</v>
      </c>
      <c r="B858" t="str">
        <f>HYPERLINK("https://www.facebook.com/p/C%C3%B4ng-an-x%C3%A3-Ti%C3%AAu-S%C6%A1n-%C4%90oan-H%C3%B9ng-Ph%C3%BA-Th%E1%BB%8D-100083094554676/", "Công an xã Tiêu Sơn  tỉnh Phú Thọ")</f>
        <v>Công an xã Tiêu Sơn  tỉnh Phú Thọ</v>
      </c>
      <c r="C858" t="str">
        <v>https://www.facebook.com/p/C%C3%B4ng-an-x%C3%A3-Ti%C3%AAu-S%C6%A1n-%C4%90oan-H%C3%B9ng-Ph%C3%BA-Th%E1%BB%8D-100083094554676/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6858</v>
      </c>
      <c r="B859" t="str">
        <f>HYPERLINK("https://doanhung.phutho.gov.vn/Chuyen-muc-tin/Chi-tiet-tin/tabid/92/title/1709/ctitle/240/language/vi-VN/Default.aspx", "UBND Ủy ban nhân dân xã Tiêu Sơn  tỉnh Phú Thọ")</f>
        <v>UBND Ủy ban nhân dân xã Tiêu Sơn  tỉnh Phú Thọ</v>
      </c>
      <c r="C859" t="str">
        <v>https://doanhung.phutho.gov.vn/Chuyen-muc-tin/Chi-tiet-tin/tabid/92/title/1709/ctitle/240/language/vi-VN/Default.aspx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6859</v>
      </c>
      <c r="B860" t="str">
        <f>HYPERLINK("https://www.facebook.com/TuoitreConganVinhPhuc/?locale=fa_IR", "Công an xã Minh Tiến  tỉnh Phú Thọ")</f>
        <v>Công an xã Minh Tiến  tỉnh Phú Thọ</v>
      </c>
      <c r="C860" t="str">
        <v>https://www.facebook.com/TuoitreConganVinhPhuc/?locale=fa_IR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6860</v>
      </c>
      <c r="B861" t="str">
        <f>HYPERLINK("https://doanhung.phutho.gov.vn/Chuyen-muc-tin/Chi-tiet-tin/tabid/92/title/1699/ctitle/193/language/vi-VN/Default.aspx", "UBND Ủy ban nhân dân xã Minh Tiến  tỉnh Phú Thọ")</f>
        <v>UBND Ủy ban nhân dân xã Minh Tiến  tỉnh Phú Thọ</v>
      </c>
      <c r="C861" t="str">
        <v>https://doanhung.phutho.gov.vn/Chuyen-muc-tin/Chi-tiet-tin/tabid/92/title/1699/ctitle/193/language/vi-VN/Default.aspx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6861</v>
      </c>
      <c r="B862" t="str">
        <f>HYPERLINK("https://www.facebook.com/p/C%C3%B4ng-an-x%C3%A3-Minh-Ph%C3%BA-100067823322136/", "Công an xã Minh Phú  tỉnh Phú Thọ")</f>
        <v>Công an xã Minh Phú  tỉnh Phú Thọ</v>
      </c>
      <c r="C862" t="str">
        <v>https://www.facebook.com/p/C%C3%B4ng-an-x%C3%A3-Minh-Ph%C3%BA-100067823322136/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6862</v>
      </c>
      <c r="B863" t="str">
        <f>HYPERLINK("https://doanhung.phutho.gov.vn/Chuyen-muc-tin/tabid/91/ctitle/188/language/vi-VN/Default.aspx", "UBND Ủy ban nhân dân xã Minh Phú  tỉnh Phú Thọ")</f>
        <v>UBND Ủy ban nhân dân xã Minh Phú  tỉnh Phú Thọ</v>
      </c>
      <c r="C863" t="str">
        <v>https://doanhung.phutho.gov.vn/Chuyen-muc-tin/tabid/91/ctitle/188/language/vi-VN/Default.aspx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6863</v>
      </c>
      <c r="B864" t="str">
        <f>HYPERLINK("https://www.facebook.com/caxchanmong/", "Công an xã Chân Mộng  tỉnh Phú Thọ")</f>
        <v>Công an xã Chân Mộng  tỉnh Phú Thọ</v>
      </c>
      <c r="C864" t="str">
        <v>https://www.facebook.com/caxchanmong/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6864</v>
      </c>
      <c r="B865" t="str">
        <f>HYPERLINK("https://doanhung.phutho.gov.vn/Chuyen-muc-tin/tabid/91/ctitle/155/language/vi-VN/Default.aspx", "UBND Ủy ban nhân dân xã Chân Mộng  tỉnh Phú Thọ")</f>
        <v>UBND Ủy ban nhân dân xã Chân Mộng  tỉnh Phú Thọ</v>
      </c>
      <c r="C865" t="str">
        <v>https://doanhung.phutho.gov.vn/Chuyen-muc-tin/tabid/91/ctitle/155/language/vi-VN/Default.aspx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6865</v>
      </c>
      <c r="B866" t="str">
        <v>Công an xã Ca Đình  tỉnh Phú Thọ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6866</v>
      </c>
      <c r="B867" t="str">
        <f>HYPERLINK("https://thanhthuy.phutho.gov.vn/", "UBND Ủy ban nhân dân xã Ca Đình  tỉnh Phú Thọ")</f>
        <v>UBND Ủy ban nhân dân xã Ca Đình  tỉnh Phú Thọ</v>
      </c>
      <c r="C867" t="str">
        <v>https://thanhthuy.phutho.gov.vn/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6867</v>
      </c>
      <c r="B868" t="str">
        <f>HYPERLINK("https://www.facebook.com/p/C%C3%B4ng-an-huy%E1%BB%87n-H%E1%BA%A1-H%C3%B2a-100066401801479/", "Công an thị trấn Hạ Hoà  tỉnh Phú Thọ")</f>
        <v>Công an thị trấn Hạ Hoà  tỉnh Phú Thọ</v>
      </c>
      <c r="C868" t="str">
        <v>https://www.facebook.com/p/C%C3%B4ng-an-huy%E1%BB%87n-H%E1%BA%A1-H%C3%B2a-100066401801479/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6868</v>
      </c>
      <c r="B869" t="str">
        <f>HYPERLINK("http://congbao.phutho.gov.vn/tong-tap.html?classification=2&amp;unitid=15", "UBND Ủy ban nhân dân thị trấn Hạ Hoà  tỉnh Phú Thọ")</f>
        <v>UBND Ủy ban nhân dân thị trấn Hạ Hoà  tỉnh Phú Thọ</v>
      </c>
      <c r="C869" t="str">
        <v>http://congbao.phutho.gov.vn/tong-tap.html?classification=2&amp;unitid=15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6869</v>
      </c>
      <c r="B870" t="str">
        <f>HYPERLINK("https://www.facebook.com/CongantinhPhuTho19/", "Công an xã Đại Phạm  tỉnh Phú Thọ")</f>
        <v>Công an xã Đại Phạm  tỉnh Phú Thọ</v>
      </c>
      <c r="C870" t="str">
        <v>https://www.facebook.com/CongantinhPhuTho19/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6870</v>
      </c>
      <c r="B871" t="str">
        <f>HYPERLINK("https://www.yenbai.gov.vn/noidung/tintuc/Pages/chi-tiet-tin-tuc.aspx?ItemID=107&amp;l=Ditichcaptinh", "UBND Ủy ban nhân dân xã Đại Phạm  tỉnh Phú Thọ")</f>
        <v>UBND Ủy ban nhân dân xã Đại Phạm  tỉnh Phú Thọ</v>
      </c>
      <c r="C871" t="str">
        <v>https://www.yenbai.gov.vn/noidung/tintuc/Pages/chi-tiet-tin-tuc.aspx?ItemID=107&amp;l=Ditichcaptinh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6871</v>
      </c>
      <c r="B872" t="str">
        <v>Công an xã Hậu Bổng  tỉnh Phú Thọ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6872</v>
      </c>
      <c r="B873" t="str">
        <f>HYPERLINK("http://congbao.phutho.gov.vn/van-ban/chi-tiet.html?docid=508&amp;docgaid=508&amp;isstoredoc=false", "UBND Ủy ban nhân dân xã Hậu Bổng  tỉnh Phú Thọ")</f>
        <v>UBND Ủy ban nhân dân xã Hậu Bổng  tỉnh Phú Thọ</v>
      </c>
      <c r="C873" t="str">
        <v>http://congbao.phutho.gov.vn/van-ban/chi-tiet.html?docid=508&amp;docgaid=508&amp;isstoredoc=false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6873</v>
      </c>
      <c r="B874" t="str">
        <v>Công an xã Đan Hà  tỉnh Phú Thọ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6874</v>
      </c>
      <c r="B875" t="str">
        <f>HYPERLINK("https://phutho.phutan.angiang.gov.vn/", "UBND Ủy ban nhân dân xã Đan Hà  tỉnh Phú Thọ")</f>
        <v>UBND Ủy ban nhân dân xã Đan Hà  tỉnh Phú Thọ</v>
      </c>
      <c r="C875" t="str">
        <v>https://phutho.phutan.angiang.gov.vn/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6875</v>
      </c>
      <c r="B876" t="str">
        <f>HYPERLINK("https://www.facebook.com/CongantinhPhuTho19/", "Công an xã Hà Lương  tỉnh Phú Thọ")</f>
        <v>Công an xã Hà Lương  tỉnh Phú Thọ</v>
      </c>
      <c r="C876" t="str">
        <v>https://www.facebook.com/CongantinhPhuTho19/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6876</v>
      </c>
      <c r="B877" t="str">
        <f>HYPERLINK("https://thixa.phutho.gov.vn/haloc/Lists/DocsItem/Attachments/65/signed-signed-73-kh%20trien%20khai%20ko%20dung%20tien%20mat%20bhxh.pdf", "UBND Ủy ban nhân dân xã Hà Lương  tỉnh Phú Thọ")</f>
        <v>UBND Ủy ban nhân dân xã Hà Lương  tỉnh Phú Thọ</v>
      </c>
      <c r="C877" t="str">
        <v>https://thixa.phutho.gov.vn/haloc/Lists/DocsItem/Attachments/65/signed-signed-73-kh%20trien%20khai%20ko%20dung%20tien%20mat%20bhxh.pdf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6877</v>
      </c>
      <c r="B878" t="str">
        <v>Công an xã Lệnh Khanh  tỉnh Phú Thọ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6878</v>
      </c>
      <c r="B879" t="str">
        <f>HYPERLINK("https://phutho.baohiemxahoi.gov.vn/UserControls/Publishing/News/BinhLuan/pFormPrint.aspx?UrlListProcess=/content/tintuc/Lists/News&amp;ItemID=4644&amp;IsTA=False", "UBND Ủy ban nhân dân xã Lệnh Khanh  tỉnh Phú Thọ")</f>
        <v>UBND Ủy ban nhân dân xã Lệnh Khanh  tỉnh Phú Thọ</v>
      </c>
      <c r="C879" t="str">
        <v>https://phutho.baohiemxahoi.gov.vn/UserControls/Publishing/News/BinhLuan/pFormPrint.aspx?UrlListProcess=/content/tintuc/Lists/News&amp;ItemID=4644&amp;IsTA=False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6879</v>
      </c>
      <c r="B880" t="str">
        <v>Công an xã Lệnh Khanh  tỉnh Phú Thọ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6880</v>
      </c>
      <c r="B881" t="str">
        <f>HYPERLINK("https://phutho.baohiemxahoi.gov.vn/UserControls/Publishing/News/BinhLuan/pFormPrint.aspx?UrlListProcess=/content/tintuc/Lists/News&amp;ItemID=4644&amp;IsTA=False", "UBND Ủy ban nhân dân xã Lệnh Khanh  tỉnh Phú Thọ")</f>
        <v>UBND Ủy ban nhân dân xã Lệnh Khanh  tỉnh Phú Thọ</v>
      </c>
      <c r="C881" t="str">
        <v>https://phutho.baohiemxahoi.gov.vn/UserControls/Publishing/News/BinhLuan/pFormPrint.aspx?UrlListProcess=/content/tintuc/Lists/News&amp;ItemID=4644&amp;IsTA=False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6881</v>
      </c>
      <c r="B882" t="str">
        <f>HYPERLINK("https://www.facebook.com/100057582965817", "Công an xã Liên Phương  tỉnh Phú Thọ")</f>
        <v>Công an xã Liên Phương  tỉnh Phú Thọ</v>
      </c>
      <c r="C882" t="str">
        <v>https://www.facebook.com/100057582965817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6882</v>
      </c>
      <c r="B883" t="str">
        <f>HYPERLINK("https://danphuong.hanoi.gov.vn/", "UBND Ủy ban nhân dân xã Liên Phương  tỉnh Phú Thọ")</f>
        <v>UBND Ủy ban nhân dân xã Liên Phương  tỉnh Phú Thọ</v>
      </c>
      <c r="C883" t="str">
        <v>https://danphuong.hanoi.gov.vn/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6883</v>
      </c>
      <c r="B884" t="str">
        <f>HYPERLINK("https://www.facebook.com/p/C%C3%B4ng-an-x%C3%A3-%C4%90an-Th%C6%B0%E1%BB%A3ng-100079928604217/", "Công an xã Đan Thượng  tỉnh Phú Thọ")</f>
        <v>Công an xã Đan Thượng  tỉnh Phú Thọ</v>
      </c>
      <c r="C884" t="str">
        <v>https://www.facebook.com/p/C%C3%B4ng-an-x%C3%A3-%C4%90an-Th%C6%B0%E1%BB%A3ng-100079928604217/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6884</v>
      </c>
      <c r="B885" t="str">
        <f>HYPERLINK("http://congbao.phutho.gov.vn/tong-tap.html?classification=1&amp;type=3&amp;publishyear=2008&amp;unitid=2&amp;pageIndex=2", "UBND Ủy ban nhân dân xã Đan Thượng  tỉnh Phú Thọ")</f>
        <v>UBND Ủy ban nhân dân xã Đan Thượng  tỉnh Phú Thọ</v>
      </c>
      <c r="C885" t="str">
        <v>http://congbao.phutho.gov.vn/tong-tap.html?classification=1&amp;type=3&amp;publishyear=2008&amp;unitid=2&amp;pageIndex=2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6885</v>
      </c>
      <c r="B886" t="str">
        <f>HYPERLINK("https://www.facebook.com/p/C%C3%B4ng-an-x%C3%A3-Hi%E1%BB%81n-L%C6%B0%C6%A1ng-100067664864839/", "Công an xã Hiền Lương  tỉnh Phú Thọ")</f>
        <v>Công an xã Hiền Lương  tỉnh Phú Thọ</v>
      </c>
      <c r="C886" t="str">
        <v>https://www.facebook.com/p/C%C3%B4ng-an-x%C3%A3-Hi%E1%BB%81n-L%C6%B0%C6%A1ng-100067664864839/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6886</v>
      </c>
      <c r="B887" t="str">
        <f>HYPERLINK("http://congbao.phutho.gov.vn/tong-tap.html?classification=1&amp;type=3&amp;publishyear=2009&amp;unitid=2&amp;pageIndex=6", "UBND Ủy ban nhân dân xã Hiền Lương  tỉnh Phú Thọ")</f>
        <v>UBND Ủy ban nhân dân xã Hiền Lương  tỉnh Phú Thọ</v>
      </c>
      <c r="C887" t="str">
        <v>http://congbao.phutho.gov.vn/tong-tap.html?classification=1&amp;type=3&amp;publishyear=2009&amp;unitid=2&amp;pageIndex=6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6887</v>
      </c>
      <c r="B888" t="str">
        <v>Công an xã Động Lâm  tỉnh Phú Thọ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6888</v>
      </c>
      <c r="B889" t="str">
        <f>HYPERLINK("https://phutho.phutan.angiang.gov.vn/", "UBND Ủy ban nhân dân xã Động Lâm  tỉnh Phú Thọ")</f>
        <v>UBND Ủy ban nhân dân xã Động Lâm  tỉnh Phú Thọ</v>
      </c>
      <c r="C889" t="str">
        <v>https://phutho.phutan.angiang.gov.vn/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6889</v>
      </c>
      <c r="B890" t="str">
        <v>Công an xã Lâm Lợi  tỉnh Phú Thọ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6890</v>
      </c>
      <c r="B891" t="str">
        <f>HYPERLINK("https://nghean.gov.vn/Default.aspx?sname=ubnd&amp;sid=4&amp;pageid=66414?ckid=263", "UBND Ủy ban nhân dân xã Lâm Lợi  tỉnh Phú Thọ")</f>
        <v>UBND Ủy ban nhân dân xã Lâm Lợi  tỉnh Phú Thọ</v>
      </c>
      <c r="C891" t="str">
        <v>https://nghean.gov.vn/Default.aspx?sname=ubnd&amp;sid=4&amp;pageid=66414?ckid=263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6891</v>
      </c>
      <c r="B892" t="str">
        <f>HYPERLINK("https://www.facebook.com/p/C%C3%B4ng-an-x%C3%A3-Ph%C6%B0%C6%A1ng-Vi%C3%AAn-H-H%E1%BA%A1-Ho%C3%A0-Ph%C3%BA-Th%E1%BB%8D-100063268776450/", "Công an xã Phương Viên  tỉnh Phú Thọ")</f>
        <v>Công an xã Phương Viên  tỉnh Phú Thọ</v>
      </c>
      <c r="C892" t="str">
        <v>https://www.facebook.com/p/C%C3%B4ng-an-x%C3%A3-Ph%C6%B0%C6%A1ng-Vi%C3%AAn-H-H%E1%BA%A1-Ho%C3%A0-Ph%C3%BA-Th%E1%BB%8D-100063268776450/</v>
      </c>
      <c r="D892" t="str">
        <v>0968466289</v>
      </c>
      <c r="E892" t="str">
        <v>-</v>
      </c>
      <c r="F892" t="str">
        <f>HYPERLINK("mailto:Khongquocvan1976@icloud.com", "Khongquocvan1976@icloud.com")</f>
        <v>Khongquocvan1976@icloud.com</v>
      </c>
      <c r="G892" t="str">
        <v>-</v>
      </c>
    </row>
    <row r="893">
      <c r="A893">
        <v>6892</v>
      </c>
      <c r="B893" t="str">
        <f>HYPERLINK("https://lmhtx.phutho.gov.vn/Chuyen-muc-tin/Chi-tiet-tin/t/quy-tin-dung-nhan-dan-xa-gia-dien-to-chuc-dai-hoi-thuong-nien-nam-2023/title/37475/ctitle/543335", "UBND Ủy ban nhân dân xã Phương Viên  tỉnh Phú Thọ")</f>
        <v>UBND Ủy ban nhân dân xã Phương Viên  tỉnh Phú Thọ</v>
      </c>
      <c r="C893" t="str">
        <v>https://lmhtx.phutho.gov.vn/Chuyen-muc-tin/Chi-tiet-tin/t/quy-tin-dung-nhan-dan-xa-gia-dien-to-chuc-dai-hoi-thuong-nien-nam-2023/title/37475/ctitle/543335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6893</v>
      </c>
      <c r="B894" t="str">
        <v>Công an xã Gia Điền  tỉnh Phú Thọ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6894</v>
      </c>
      <c r="B895" t="str">
        <f>HYPERLINK("https://phuninh.phutho.gov.vn/", "UBND Ủy ban nhân dân xã Gia Điền  tỉnh Phú Thọ")</f>
        <v>UBND Ủy ban nhân dân xã Gia Điền  tỉnh Phú Thọ</v>
      </c>
      <c r="C895" t="str">
        <v>https://phuninh.phutho.gov.vn/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6895</v>
      </c>
      <c r="B896" t="str">
        <f>HYPERLINK("https://www.facebook.com/people/C%C3%B4ng-an-x%C3%A3-%E1%BA%A4m-H%E1%BA%A1/100064024396072/", "Công an xã Ấm Hạ  tỉnh Phú Thọ")</f>
        <v>Công an xã Ấm Hạ  tỉnh Phú Thọ</v>
      </c>
      <c r="C896" t="str">
        <v>https://www.facebook.com/people/C%C3%B4ng-an-x%C3%A3-%E1%BA%A4m-H%E1%BA%A1/100064024396072/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6896</v>
      </c>
      <c r="B897" t="str">
        <f>HYPERLINK("http://congbao.phutho.gov.vn/van-ban/chi-tiet.html?docid=329&amp;docgaid=329&amp;isstoredoc=false", "UBND Ủy ban nhân dân xã Ấm Hạ  tỉnh Phú Thọ")</f>
        <v>UBND Ủy ban nhân dân xã Ấm Hạ  tỉnh Phú Thọ</v>
      </c>
      <c r="C897" t="str">
        <v>http://congbao.phutho.gov.vn/van-ban/chi-tiet.html?docid=329&amp;docgaid=329&amp;isstoredoc=false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6897</v>
      </c>
      <c r="B898" t="str">
        <v>Công an xã Quân Khê  tỉnh Phú Thọ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6898</v>
      </c>
      <c r="B899" t="str">
        <f>HYPERLINK("https://camkhe.phutho.gov.vn/Chuyen-muc-tin/t/uy-ban-nhan-dan/ctitle/133", "UBND Ủy ban nhân dân xã Quân Khê  tỉnh Phú Thọ")</f>
        <v>UBND Ủy ban nhân dân xã Quân Khê  tỉnh Phú Thọ</v>
      </c>
      <c r="C899" t="str">
        <v>https://camkhe.phutho.gov.vn/Chuyen-muc-tin/t/uy-ban-nhan-dan/ctitle/133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6899</v>
      </c>
      <c r="B900" t="str">
        <v>Công an xã Y Sơn  tỉnh Phú Thọ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6900</v>
      </c>
      <c r="B901" t="str">
        <f>HYPERLINK("https://tanson.phutho.gov.vn/", "UBND Ủy ban nhân dân xã Y Sơn  tỉnh Phú Thọ")</f>
        <v>UBND Ủy ban nhân dân xã Y Sơn  tỉnh Phú Thọ</v>
      </c>
      <c r="C901" t="str">
        <v>https://tanson.phutho.gov.vn/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6901</v>
      </c>
      <c r="B902" t="str">
        <f>HYPERLINK("https://www.facebook.com/p/C%C3%B4ng-an-x%C3%A3-H%C6%B0%C6%A1ng-X%E1%BA%A1-huy%E1%BB%87n-H%E1%BA%A1-Ho%C3%A0-100064671017047/", "Công an xã Hương Xạ  tỉnh Phú Thọ")</f>
        <v>Công an xã Hương Xạ  tỉnh Phú Thọ</v>
      </c>
      <c r="C902" t="str">
        <v>https://www.facebook.com/p/C%C3%B4ng-an-x%C3%A3-H%C6%B0%C6%A1ng-X%E1%BA%A1-huy%E1%BB%87n-H%E1%BA%A1-Ho%C3%A0-100064671017047/</v>
      </c>
      <c r="D902" t="str">
        <v>-</v>
      </c>
      <c r="E902" t="str">
        <v/>
      </c>
      <c r="F902" t="str">
        <f>HYPERLINK("mailto:conganxahuongxahh@gmail.com", "conganxahuongxahh@gmail.com")</f>
        <v>conganxahuongxahh@gmail.com</v>
      </c>
      <c r="G902" t="str">
        <v>Phu Tho, Vietnam</v>
      </c>
    </row>
    <row r="903">
      <c r="A903">
        <v>6902</v>
      </c>
      <c r="B903" t="str">
        <f>HYPERLINK("http://congbao.phutho.gov.vn/van-ban/chi-tiet.html?docid=2334&amp;docgaid=2190&amp;isstoredoc=false", "UBND Ủy ban nhân dân xã Hương Xạ  tỉnh Phú Thọ")</f>
        <v>UBND Ủy ban nhân dân xã Hương Xạ  tỉnh Phú Thọ</v>
      </c>
      <c r="C903" t="str">
        <v>http://congbao.phutho.gov.vn/van-ban/chi-tiet.html?docid=2334&amp;docgaid=2190&amp;isstoredoc=false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6903</v>
      </c>
      <c r="B904" t="str">
        <v>Công an xã Cáo Điền  tỉnh Phú Thọ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6904</v>
      </c>
      <c r="B905" t="str">
        <f>HYPERLINK("http://congbao.phutho.gov.vn/tmp/Documents/Volumn2021/05/25/doc_8163.pdf", "UBND Ủy ban nhân dân xã Cáo Điền  tỉnh Phú Thọ")</f>
        <v>UBND Ủy ban nhân dân xã Cáo Điền  tỉnh Phú Thọ</v>
      </c>
      <c r="C905" t="str">
        <v>http://congbao.phutho.gov.vn/tmp/Documents/Volumn2021/05/25/doc_8163.pdf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6905</v>
      </c>
      <c r="B906" t="str">
        <f>HYPERLINK("https://www.facebook.com/truongthptxuanang/", "Công an xã Xuân Áng  tỉnh Phú Thọ")</f>
        <v>Công an xã Xuân Áng  tỉnh Phú Thọ</v>
      </c>
      <c r="C906" t="str">
        <v>https://www.facebook.com/truongthptxuanang/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6906</v>
      </c>
      <c r="B907" t="str">
        <f>HYPERLINK("http://svhttdl.phutho.gov.vn/tin/le-don-bang-xep-hang-di-tich-lich-su-van-hoa-cap-tinh-dia-diem-lich-su-%E2%80%9Cnghia-trung-xuan-ang%E2%80%9D-xa-xuan-ang-huyen-ha-hoa_2654.html", "UBND Ủy ban nhân dân xã Xuân Áng  tỉnh Phú Thọ")</f>
        <v>UBND Ủy ban nhân dân xã Xuân Áng  tỉnh Phú Thọ</v>
      </c>
      <c r="C907" t="str">
        <v>http://svhttdl.phutho.gov.vn/tin/le-don-bang-xep-hang-di-tich-lich-su-van-hoa-cap-tinh-dia-diem-lich-su-%E2%80%9Cnghia-trung-xuan-ang%E2%80%9D-xa-xuan-ang-huyen-ha-hoa_2654.html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6907</v>
      </c>
      <c r="B908" t="str">
        <f>HYPERLINK("https://www.facebook.com/conganxayenky/", "Công an xã Yên Kỳ  tỉnh Phú Thọ")</f>
        <v>Công an xã Yên Kỳ  tỉnh Phú Thọ</v>
      </c>
      <c r="C908" t="str">
        <v>https://www.facebook.com/conganxayenky/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6908</v>
      </c>
      <c r="B909" t="str">
        <f>HYPERLINK("https://thainguyen.gov.vn/thuong-hieu-tra/-/asset_publisher/L0n17VJXU23O/content/phat-trien-san-xuat-gan-voi-xay-dung-thuong-hieu-huong-i-hieu-qua-o-yen-ky?inheritRedirect=true", "UBND Ủy ban nhân dân xã Yên Kỳ  tỉnh Phú Thọ")</f>
        <v>UBND Ủy ban nhân dân xã Yên Kỳ  tỉnh Phú Thọ</v>
      </c>
      <c r="C909" t="str">
        <v>https://thainguyen.gov.vn/thuong-hieu-tra/-/asset_publisher/L0n17VJXU23O/content/phat-trien-san-xuat-gan-voi-xay-dung-thuong-hieu-huong-i-hieu-qua-o-yen-ky?inheritRedirect=true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6909</v>
      </c>
      <c r="B910" t="str">
        <v>Công an xã Cáo Điền tỉnh Phú Thọ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6910</v>
      </c>
      <c r="B911" t="str">
        <f>HYPERLINK("http://congbao.phutho.gov.vn/tmp/Documents/Volumn2021/05/25/doc_8163.pdf", "UBND Ủy ban nhân dân xã Cáo Điền tỉnh Phú Thọ")</f>
        <v>UBND Ủy ban nhân dân xã Cáo Điền tỉnh Phú Thọ</v>
      </c>
      <c r="C911" t="str">
        <v>http://congbao.phutho.gov.vn/tmp/Documents/Volumn2021/05/25/doc_8163.pdf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6911</v>
      </c>
      <c r="B912" t="str">
        <f>HYPERLINK("https://www.facebook.com/caxminhhac/", "Công an xã Minh Hạc  tỉnh Phú Thọ")</f>
        <v>Công an xã Minh Hạc  tỉnh Phú Thọ</v>
      </c>
      <c r="C912" t="str">
        <v>https://www.facebook.com/caxminhhac/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6912</v>
      </c>
      <c r="B913" t="str">
        <f>HYPERLINK("http://congbao.phutho.gov.vn/tong-tap.html?classification=1&amp;type=3&amp;publishyear=2021&amp;unitid=2&amp;pageIndex=9", "UBND Ủy ban nhân dân xã Minh Hạc  tỉnh Phú Thọ")</f>
        <v>UBND Ủy ban nhân dân xã Minh Hạc  tỉnh Phú Thọ</v>
      </c>
      <c r="C913" t="str">
        <v>http://congbao.phutho.gov.vn/tong-tap.html?classification=1&amp;type=3&amp;publishyear=2021&amp;unitid=2&amp;pageIndex=9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6913</v>
      </c>
      <c r="B914" t="str">
        <f>HYPERLINK("https://www.facebook.com/calangsonhhpt/", "Công an xã Lang Sơn  tỉnh Phú Thọ")</f>
        <v>Công an xã Lang Sơn  tỉnh Phú Thọ</v>
      </c>
      <c r="C914" t="str">
        <v>https://www.facebook.com/calangsonhhpt/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6914</v>
      </c>
      <c r="B915" t="str">
        <f>HYPERLINK("https://langson.gov.vn/", "UBND Ủy ban nhân dân xã Lang Sơn  tỉnh Phú Thọ")</f>
        <v>UBND Ủy ban nhân dân xã Lang Sơn  tỉnh Phú Thọ</v>
      </c>
      <c r="C915" t="str">
        <v>https://langson.gov.vn/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6915</v>
      </c>
      <c r="B916" t="str">
        <f>HYPERLINK("https://www.facebook.com/groups/455729708825914/", "Công an xã Bằng Giã  tỉnh Phú Thọ")</f>
        <v>Công an xã Bằng Giã  tỉnh Phú Thọ</v>
      </c>
      <c r="C916" t="str">
        <v>https://www.facebook.com/groups/455729708825914/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6916</v>
      </c>
      <c r="B917" t="str">
        <f>HYPERLINK("http://svhttdl.phutho.gov.vn/tin/le-khoi-cong-tu-bo-ton-tao-di-tich-dinh-phu-vinh-xa-bang-gia-huyen-ha-hoa_993.html", "UBND Ủy ban nhân dân xã Bằng Giã  tỉnh Phú Thọ")</f>
        <v>UBND Ủy ban nhân dân xã Bằng Giã  tỉnh Phú Thọ</v>
      </c>
      <c r="C917" t="str">
        <v>http://svhttdl.phutho.gov.vn/tin/le-khoi-cong-tu-bo-ton-tao-di-tich-dinh-phu-vinh-xa-bang-gia-huyen-ha-hoa_993.html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6917</v>
      </c>
      <c r="B918" t="str">
        <v>Công an xã Yên Luật  tỉnh Phú Thọ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6918</v>
      </c>
      <c r="B919" t="str">
        <f>HYPERLINK("http://congbao.phutho.gov.vn/cong-bao.html?a=1&amp;gazetteid=190587&amp;gazettetype=0&amp;publishyear=2023", "UBND Ủy ban nhân dân xã Yên Luật  tỉnh Phú Thọ")</f>
        <v>UBND Ủy ban nhân dân xã Yên Luật  tỉnh Phú Thọ</v>
      </c>
      <c r="C919" t="str">
        <v>http://congbao.phutho.gov.vn/cong-bao.html?a=1&amp;gazetteid=190587&amp;gazettetype=0&amp;publishyear=2023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6919</v>
      </c>
      <c r="B920" t="str">
        <f>HYPERLINK("https://www.facebook.com/ConganxaVoTranh/", "Công an xã Vô Tranh  tỉnh Phú Thọ")</f>
        <v>Công an xã Vô Tranh  tỉnh Phú Thọ</v>
      </c>
      <c r="C920" t="str">
        <v>https://www.facebook.com/ConganxaVoTranh/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6920</v>
      </c>
      <c r="B921" t="str">
        <f>HYPERLINK("https://votranh.phuluong.thainguyen.gov.vn/uy-ban-nhan-dan", "UBND Ủy ban nhân dân xã Vô Tranh  tỉnh Phú Thọ")</f>
        <v>UBND Ủy ban nhân dân xã Vô Tranh  tỉnh Phú Thọ</v>
      </c>
      <c r="C921" t="str">
        <v>https://votranh.phuluong.thainguyen.gov.vn/uy-ban-nhan-dan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6921</v>
      </c>
      <c r="B922" t="str">
        <f>HYPERLINK("https://www.facebook.com/tuoitreconganhuyenvanquan/", "Công an xã Văn Lang  tỉnh Phú Thọ")</f>
        <v>Công an xã Văn Lang  tỉnh Phú Thọ</v>
      </c>
      <c r="C922" t="str">
        <v>https://www.facebook.com/tuoitreconganhuyenvanquan/</v>
      </c>
      <c r="D922" t="str">
        <v>-</v>
      </c>
      <c r="E922" t="str">
        <v>02053830081</v>
      </c>
      <c r="F922" t="str">
        <v>-</v>
      </c>
      <c r="G922" t="str">
        <v>phố Đức Tâm, thị trấn Văn Quan, huyện Văn Quan, tỉnh Lạng Sơn, Van Quan, Vietnam</v>
      </c>
    </row>
    <row r="923">
      <c r="A923">
        <v>6922</v>
      </c>
      <c r="B923" t="str">
        <f>HYPERLINK("https://camkhe.phutho.gov.vn/Chuyen-muc-tin/t/uy-ban-nhan-dan/ctitle/133", "UBND Ủy ban nhân dân xã Văn Lang  tỉnh Phú Thọ")</f>
        <v>UBND Ủy ban nhân dân xã Văn Lang  tỉnh Phú Thọ</v>
      </c>
      <c r="C923" t="str">
        <v>https://camkhe.phutho.gov.vn/Chuyen-muc-tin/t/uy-ban-nhan-dan/ctitle/133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6923</v>
      </c>
      <c r="B924" t="str">
        <f>HYPERLINK("https://www.facebook.com/CongantinhPhuTho19/", "Công an xã Chính Công  tỉnh Phú Thọ")</f>
        <v>Công an xã Chính Công  tỉnh Phú Thọ</v>
      </c>
      <c r="C924" t="str">
        <v>https://www.facebook.com/CongantinhPhuTho19/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6924</v>
      </c>
      <c r="B925" t="str">
        <f>HYPERLINK("https://phutho.phutan.angiang.gov.vn/", "UBND Ủy ban nhân dân xã Chính Công  tỉnh Phú Thọ")</f>
        <v>UBND Ủy ban nhân dân xã Chính Công  tỉnh Phú Thọ</v>
      </c>
      <c r="C925" t="str">
        <v>https://phutho.phutan.angiang.gov.vn/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6925</v>
      </c>
      <c r="B926" t="str">
        <f>HYPERLINK("https://www.facebook.com/2622489081340993", "Công an xã Minh Côi  tỉnh Phú Thọ")</f>
        <v>Công an xã Minh Côi  tỉnh Phú Thọ</v>
      </c>
      <c r="C926" t="str">
        <v>https://www.facebook.com/2622489081340993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6926</v>
      </c>
      <c r="B927" t="str">
        <f>HYPERLINK("https://vinhyen.vinhphuc.gov.vn/ct/cms/tintuc/Lists/ThoiSuTongHop/View_Detail.aspx?ItemID=5499", "UBND Ủy ban nhân dân xã Minh Côi  tỉnh Phú Thọ")</f>
        <v>UBND Ủy ban nhân dân xã Minh Côi  tỉnh Phú Thọ</v>
      </c>
      <c r="C927" t="str">
        <v>https://vinhyen.vinhphuc.gov.vn/ct/cms/tintuc/Lists/ThoiSuTongHop/View_Detail.aspx?ItemID=5499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6927</v>
      </c>
      <c r="B928" t="str">
        <f>HYPERLINK("https://www.facebook.com/policevinhchan/", "Công an xã Vĩnh Chân  tỉnh Phú Thọ")</f>
        <v>Công an xã Vĩnh Chân  tỉnh Phú Thọ</v>
      </c>
      <c r="C928" t="str">
        <v>https://www.facebook.com/policevinhchan/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6928</v>
      </c>
      <c r="B929" t="str">
        <f>HYPERLINK("http://congbao.phutho.gov.vn/cong-bao.html?a=1&amp;gazetteid=210603&amp;gazettetype=0&amp;publishyear=2024", "UBND Ủy ban nhân dân xã Vĩnh Chân  tỉnh Phú Thọ")</f>
        <v>UBND Ủy ban nhân dân xã Vĩnh Chân  tỉnh Phú Thọ</v>
      </c>
      <c r="C929" t="str">
        <v>http://congbao.phutho.gov.vn/cong-bao.html?a=1&amp;gazetteid=210603&amp;gazettetype=0&amp;publishyear=2024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6929</v>
      </c>
      <c r="B930" t="str">
        <v>Công an xã Mai Tùng  tỉnh Phú Thọ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6930</v>
      </c>
      <c r="B931" t="str">
        <f>HYPERLINK("https://phutho.baohiemxahoi.gov.vn/UserControls/Publishing/News/BinhLuan/pFormPrint.aspx?UrlListProcess=/content/tintuc/Lists/News&amp;ItemID=4644&amp;IsTA=False", "UBND Ủy ban nhân dân xã Mai Tùng  tỉnh Phú Thọ")</f>
        <v>UBND Ủy ban nhân dân xã Mai Tùng  tỉnh Phú Thọ</v>
      </c>
      <c r="C931" t="str">
        <v>https://phutho.baohiemxahoi.gov.vn/UserControls/Publishing/News/BinhLuan/pFormPrint.aspx?UrlListProcess=/content/tintuc/Lists/News&amp;ItemID=4644&amp;IsTA=False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6931</v>
      </c>
      <c r="B932" t="str">
        <v>Công an xã Vụ Cầu  tỉnh Phú Thọ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6932</v>
      </c>
      <c r="B933" t="str">
        <f>HYPERLINK("https://yenlap.phutho.gov.vn/", "UBND Ủy ban nhân dân xã Vụ Cầu  tỉnh Phú Thọ")</f>
        <v>UBND Ủy ban nhân dân xã Vụ Cầu  tỉnh Phú Thọ</v>
      </c>
      <c r="C933" t="str">
        <v>https://yenlap.phutho.gov.vn/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6933</v>
      </c>
      <c r="B934" t="str">
        <f>HYPERLINK("https://www.facebook.com/CSHSThanhBa/?locale=vi_VN", "Công an thị trấn Thanh Ba  tỉnh Phú Thọ")</f>
        <v>Công an thị trấn Thanh Ba  tỉnh Phú Thọ</v>
      </c>
      <c r="C934" t="str">
        <v>https://www.facebook.com/CSHSThanhBa/?locale=vi_VN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6934</v>
      </c>
      <c r="B935" t="str">
        <f>HYPERLINK("https://thanhba.phutho.gov.vn/", "UBND Ủy ban nhân dân thị trấn Thanh Ba  tỉnh Phú Thọ")</f>
        <v>UBND Ủy ban nhân dân thị trấn Thanh Ba  tỉnh Phú Thọ</v>
      </c>
      <c r="C935" t="str">
        <v>https://thanhba.phutho.gov.vn/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6935</v>
      </c>
      <c r="B936" t="str">
        <v>Công an xã Thanh Vân  tỉnh Phú Thọ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6936</v>
      </c>
      <c r="B937" t="str">
        <f>HYPERLINK("http://congbao.phutho.gov.vn/tong-tap.html?classification=1&amp;type=2&amp;publishyear=2008&amp;month=7", "UBND Ủy ban nhân dân xã Thanh Vân  tỉnh Phú Thọ")</f>
        <v>UBND Ủy ban nhân dân xã Thanh Vân  tỉnh Phú Thọ</v>
      </c>
      <c r="C937" t="str">
        <v>http://congbao.phutho.gov.vn/tong-tap.html?classification=1&amp;type=2&amp;publishyear=2008&amp;month=7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6937</v>
      </c>
      <c r="B938" t="str">
        <v>Công an xã Vân Lĩnh  tỉnh Phú Thọ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6938</v>
      </c>
      <c r="B939" t="str">
        <f>HYPERLINK("https://thanhba.phutho.gov.vn/vanlinh/Pages/he-thong-chinh-tri.aspx?cateId=14", "UBND Ủy ban nhân dân xã Vân Lĩnh  tỉnh Phú Thọ")</f>
        <v>UBND Ủy ban nhân dân xã Vân Lĩnh  tỉnh Phú Thọ</v>
      </c>
      <c r="C939" t="str">
        <v>https://thanhba.phutho.gov.vn/vanlinh/Pages/he-thong-chinh-tri.aspx?cateId=14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6939</v>
      </c>
      <c r="B940" t="str">
        <f>HYPERLINK("https://www.facebook.com/Conganxadonglinh.com.vn/", "Công an xã Đông Lĩnh  tỉnh Phú Thọ")</f>
        <v>Công an xã Đông Lĩnh  tỉnh Phú Thọ</v>
      </c>
      <c r="C940" t="str">
        <v>https://www.facebook.com/Conganxadonglinh.com.vn/</v>
      </c>
      <c r="D940" t="str">
        <v>-</v>
      </c>
      <c r="E940" t="str">
        <v/>
      </c>
      <c r="F940" t="str">
        <f>HYPERLINK("mailto:Caxdonglinh19@gmail.com", "Caxdonglinh19@gmail.com")</f>
        <v>Caxdonglinh19@gmail.com</v>
      </c>
      <c r="G940" t="str">
        <v>-</v>
      </c>
    </row>
    <row r="941">
      <c r="A941">
        <v>6940</v>
      </c>
      <c r="B941" t="str">
        <f>HYPERLINK("http://congbao.phutho.gov.vn/tong-tap.html?type=3&amp;publishyear=0&amp;unitid=2", "UBND Ủy ban nhân dân xã Đông Lĩnh  tỉnh Phú Thọ")</f>
        <v>UBND Ủy ban nhân dân xã Đông Lĩnh  tỉnh Phú Thọ</v>
      </c>
      <c r="C941" t="str">
        <v>http://congbao.phutho.gov.vn/tong-tap.html?type=3&amp;publishyear=0&amp;unitid=2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6941</v>
      </c>
      <c r="B942" t="str">
        <f>HYPERLINK("https://www.facebook.com/CongantinhPhuTho19/", "Công an xã Đại An  tỉnh Phú Thọ")</f>
        <v>Công an xã Đại An  tỉnh Phú Thọ</v>
      </c>
      <c r="C942" t="str">
        <v>https://www.facebook.com/CongantinhPhuTho19/</v>
      </c>
      <c r="D942" t="str">
        <v>-</v>
      </c>
      <c r="E942" t="str">
        <v>02103525100</v>
      </c>
      <c r="F942" t="str">
        <f>HYPERLINK("mailto:anninhphutho.anpt@gmail.com", "anninhphutho.anpt@gmail.com")</f>
        <v>anninhphutho.anpt@gmail.com</v>
      </c>
      <c r="G942" t="str">
        <v>Số 51 đường Trần Phú, phường Tân Dân, thành phố Việt Trì, Viet Tri, Vietnam</v>
      </c>
    </row>
    <row r="943">
      <c r="A943">
        <v>6942</v>
      </c>
      <c r="B943" t="str">
        <f>HYPERLINK("https://phutho.phutan.angiang.gov.vn/", "UBND Ủy ban nhân dân xã Đại An  tỉnh Phú Thọ")</f>
        <v>UBND Ủy ban nhân dân xã Đại An  tỉnh Phú Thọ</v>
      </c>
      <c r="C943" t="str">
        <v>https://phutho.phutan.angiang.gov.vn/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6943</v>
      </c>
      <c r="B944" t="str">
        <f>HYPERLINK("https://www.facebook.com/CSHSThanhBa/?locale=vi_VN", "Công an xã Hanh Cù  tỉnh Phú Thọ")</f>
        <v>Công an xã Hanh Cù  tỉnh Phú Thọ</v>
      </c>
      <c r="C944" t="str">
        <v>https://www.facebook.com/CSHSThanhBa/?locale=vi_VN</v>
      </c>
      <c r="D944" t="str">
        <v>-</v>
      </c>
      <c r="E944" t="str">
        <v>02103885255</v>
      </c>
      <c r="F944" t="str">
        <f>HYPERLINK("mailto:nguyenxuanduy13041997@gmail.com", "nguyenxuanduy13041997@gmail.com")</f>
        <v>nguyenxuanduy13041997@gmail.com</v>
      </c>
      <c r="G944" t="str">
        <v>-</v>
      </c>
    </row>
    <row r="945">
      <c r="A945">
        <v>6944</v>
      </c>
      <c r="B945" t="str">
        <f>HYPERLINK("https://thanhba.phutho.gov.vn/hanhcu/Pages/index.aspx", "UBND Ủy ban nhân dân xã Hanh Cù  tỉnh Phú Thọ")</f>
        <v>UBND Ủy ban nhân dân xã Hanh Cù  tỉnh Phú Thọ</v>
      </c>
      <c r="C945" t="str">
        <v>https://thanhba.phutho.gov.vn/hanhcu/Pages/index.aspx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6945</v>
      </c>
      <c r="B946" t="str">
        <f>HYPERLINK("https://www.facebook.com/p/Tu%E1%BB%95i-tr%E1%BA%BB-C%C3%B4ng-an-Th%C3%A1i-B%C3%ACnh-100068113789461/", "Công an xã Thái Ninh  tỉnh Phú Thọ")</f>
        <v>Công an xã Thái Ninh  tỉnh Phú Thọ</v>
      </c>
      <c r="C946" t="str">
        <v>https://www.facebook.com/p/Tu%E1%BB%95i-tr%E1%BA%BB-C%C3%B4ng-an-Th%C3%A1i-B%C3%ACnh-100068113789461/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6946</v>
      </c>
      <c r="B947" t="str">
        <f>HYPERLINK("http://congbao.phutho.gov.vn/van-ban/chi-tiet.html?docid=513&amp;docgaid=513&amp;isstoredoc=false", "UBND Ủy ban nhân dân xã Thái Ninh  tỉnh Phú Thọ")</f>
        <v>UBND Ủy ban nhân dân xã Thái Ninh  tỉnh Phú Thọ</v>
      </c>
      <c r="C947" t="str">
        <v>http://congbao.phutho.gov.vn/van-ban/chi-tiet.html?docid=513&amp;docgaid=513&amp;isstoredoc=false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6947</v>
      </c>
      <c r="B948" t="str">
        <v>Công an xã Đồng Xuân  tỉnh Phú Thọ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6948</v>
      </c>
      <c r="B949" t="str">
        <f>HYPERLINK("https://thanhba.phutho.gov.vn/dongxuan/Pages/index.aspx", "UBND Ủy ban nhân dân xã Đồng Xuân  tỉnh Phú Thọ")</f>
        <v>UBND Ủy ban nhân dân xã Đồng Xuân  tỉnh Phú Thọ</v>
      </c>
      <c r="C949" t="str">
        <v>https://thanhba.phutho.gov.vn/dongxuan/Pages/index.aspx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6949</v>
      </c>
      <c r="B950" t="str">
        <v>Công an xã Năng Yên  tỉnh Phú Thọ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6950</v>
      </c>
      <c r="B951" t="str">
        <f>HYPERLINK("https://vpubnd.yenbai.gov.vn/Pages/Gioi-Thieu-Chung.aspx", "UBND Ủy ban nhân dân xã Năng Yên  tỉnh Phú Thọ")</f>
        <v>UBND Ủy ban nhân dân xã Năng Yên  tỉnh Phú Thọ</v>
      </c>
      <c r="C951" t="str">
        <v>https://vpubnd.yenbai.gov.vn/Pages/Gioi-Thieu-Chung.aspx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6951</v>
      </c>
      <c r="B952" t="str">
        <f>HYPERLINK("https://www.facebook.com/xungkick/", "Công an xã Yển Khê  tỉnh Phú Thọ")</f>
        <v>Công an xã Yển Khê  tỉnh Phú Thọ</v>
      </c>
      <c r="C952" t="str">
        <v>https://www.facebook.com/xungkick/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6952</v>
      </c>
      <c r="B953" t="str">
        <f>HYPERLINK("http://congbao.phutho.gov.vn/tong-tap.html?classification=2&amp;unitid=3&amp;pageIndex=23", "UBND Ủy ban nhân dân xã Yển Khê  tỉnh Phú Thọ")</f>
        <v>UBND Ủy ban nhân dân xã Yển Khê  tỉnh Phú Thọ</v>
      </c>
      <c r="C953" t="str">
        <v>http://congbao.phutho.gov.vn/tong-tap.html?classification=2&amp;unitid=3&amp;pageIndex=23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6953</v>
      </c>
      <c r="B954" t="str">
        <f>HYPERLINK("https://www.facebook.com/p/C%C3%B4ng-an-x%C3%A3-Ninh-D%C3%A2n-huy%E1%BB%87n-Thanh-Ba-t%E1%BB%89nh-Ph%C3%BA-Th%E1%BB%8D-100063670117619/", "Công an xã Ninh Dân  tỉnh Phú Thọ")</f>
        <v>Công an xã Ninh Dân  tỉnh Phú Thọ</v>
      </c>
      <c r="C954" t="str">
        <v>https://www.facebook.com/p/C%C3%B4ng-an-x%C3%A3-Ninh-D%C3%A2n-huy%E1%BB%87n-Thanh-Ba-t%E1%BB%89nh-Ph%C3%BA-Th%E1%BB%8D-100063670117619/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6954</v>
      </c>
      <c r="B955" t="str">
        <f>HYPERLINK("https://thanhba.phutho.gov.vn/ninhdan/Pages/index.aspx", "UBND Ủy ban nhân dân xã Ninh Dân  tỉnh Phú Thọ")</f>
        <v>UBND Ủy ban nhân dân xã Ninh Dân  tỉnh Phú Thọ</v>
      </c>
      <c r="C955" t="str">
        <v>https://thanhba.phutho.gov.vn/ninhdan/Pages/index.aspx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6955</v>
      </c>
      <c r="B956" t="str">
        <f>HYPERLINK("https://www.facebook.com/TuoitreConganVinhPhuc/?locale=fa_IR", "Công an xã Quảng Nạp  tỉnh Phú Thọ")</f>
        <v>Công an xã Quảng Nạp  tỉnh Phú Thọ</v>
      </c>
      <c r="C956" t="str">
        <v>https://www.facebook.com/TuoitreConganVinhPhuc/?locale=fa_IR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6956</v>
      </c>
      <c r="B957" t="str">
        <f>HYPERLINK("https://thanhba.phutho.gov.vn/pages/chitiet.aspx?newsId=4029", "UBND Ủy ban nhân dân xã Quảng Nạp  tỉnh Phú Thọ")</f>
        <v>UBND Ủy ban nhân dân xã Quảng Nạp  tỉnh Phú Thọ</v>
      </c>
      <c r="C957" t="str">
        <v>https://thanhba.phutho.gov.vn/pages/chitiet.aspx?newsId=4029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6957</v>
      </c>
      <c r="B958" t="str">
        <f>HYPERLINK("https://www.facebook.com/p/Tu%E1%BB%95i-tr%E1%BA%BB-C%C3%B4ng-an-Th%C3%A0nh-ph%E1%BB%91-V%C4%A9nh-Y%C3%AAn-100066497717181/", "Công an xã Vũ Yển  tỉnh Phú Thọ")</f>
        <v>Công an xã Vũ Yển  tỉnh Phú Thọ</v>
      </c>
      <c r="C958" t="str">
        <v>https://www.facebook.com/p/Tu%E1%BB%95i-tr%E1%BA%BB-C%C3%B4ng-an-Th%C3%A0nh-ph%E1%BB%91-V%C4%A9nh-Y%C3%AAn-100066497717181/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6958</v>
      </c>
      <c r="B959" t="str">
        <f>HYPERLINK("http://congbao.phutho.gov.vn/tong-tap.html?classification=1&amp;type=2&amp;publishyear=2008&amp;month=7", "UBND Ủy ban nhân dân xã Vũ Yển  tỉnh Phú Thọ")</f>
        <v>UBND Ủy ban nhân dân xã Vũ Yển  tỉnh Phú Thọ</v>
      </c>
      <c r="C959" t="str">
        <v>http://congbao.phutho.gov.vn/tong-tap.html?classification=1&amp;type=2&amp;publishyear=2008&amp;month=7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6959</v>
      </c>
      <c r="B960" t="str">
        <v>Công an xã Yên Nội  tỉnh Phú Thọ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6960</v>
      </c>
      <c r="B961" t="str">
        <f>HYPERLINK("https://yenlap.phutho.gov.vn/", "UBND Ủy ban nhân dân xã Yên Nội  tỉnh Phú Thọ")</f>
        <v>UBND Ủy ban nhân dân xã Yên Nội  tỉnh Phú Thọ</v>
      </c>
      <c r="C961" t="str">
        <v>https://yenlap.phutho.gov.vn/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6961</v>
      </c>
      <c r="B962" t="str">
        <v>Công an xã Phương Lĩnh  tỉnh Phú Thọ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6962</v>
      </c>
      <c r="B963" t="str">
        <f>HYPERLINK("http://congbao.phutho.gov.vn/tong-tap.html?classification=1&amp;type=2&amp;publishyear=2008&amp;month=7", "UBND Ủy ban nhân dân xã Phương Lĩnh  tỉnh Phú Thọ")</f>
        <v>UBND Ủy ban nhân dân xã Phương Lĩnh  tỉnh Phú Thọ</v>
      </c>
      <c r="C963" t="str">
        <v>http://congbao.phutho.gov.vn/tong-tap.html?classification=1&amp;type=2&amp;publishyear=2008&amp;month=7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6963</v>
      </c>
      <c r="B964" t="str">
        <f>HYPERLINK("https://www.facebook.com/caxvolao/", "Công an xã Võ Lao  tỉnh Phú Thọ")</f>
        <v>Công an xã Võ Lao  tỉnh Phú Thọ</v>
      </c>
      <c r="C964" t="str">
        <v>https://www.facebook.com/caxvolao/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6964</v>
      </c>
      <c r="B965" t="str">
        <f>HYPERLINK("https://thanhba.phutho.gov.vn/volao", "UBND Ủy ban nhân dân xã Võ Lao  tỉnh Phú Thọ")</f>
        <v>UBND Ủy ban nhân dân xã Võ Lao  tỉnh Phú Thọ</v>
      </c>
      <c r="C965" t="str">
        <v>https://thanhba.phutho.gov.vn/volao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6965</v>
      </c>
      <c r="B966" t="str">
        <f>HYPERLINK("https://www.facebook.com/p/X%C3%A3-Kh%E1%BA%A3i-Xu%C3%A2n-Thanh-Ba-Ph%C3%BA-Th%E1%BB%8D-100083123807492/", "Công an xã Khải Xuân  tỉnh Phú Thọ")</f>
        <v>Công an xã Khải Xuân  tỉnh Phú Thọ</v>
      </c>
      <c r="C966" t="str">
        <v>https://www.facebook.com/p/X%C3%A3-Kh%E1%BA%A3i-Xu%C3%A2n-Thanh-Ba-Ph%C3%BA-Th%E1%BB%8D-100083123807492/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6966</v>
      </c>
      <c r="B967" t="str">
        <f>HYPERLINK("https://thanhba.phutho.gov.vn/khaixuan/Pages/index.aspx", "UBND Ủy ban nhân dân xã Khải Xuân  tỉnh Phú Thọ")</f>
        <v>UBND Ủy ban nhân dân xã Khải Xuân  tỉnh Phú Thọ</v>
      </c>
      <c r="C967" t="str">
        <v>https://thanhba.phutho.gov.vn/khaixuan/Pages/index.aspx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6967</v>
      </c>
      <c r="B968" t="str">
        <f>HYPERLINK("https://www.facebook.com/p/C%C3%B4ng-an-x%C3%A3-M%E1%BA%A1n-L%E1%BA%A1n-100068243816389/", "Công an xã Mạn Lạn  tỉnh Phú Thọ")</f>
        <v>Công an xã Mạn Lạn  tỉnh Phú Thọ</v>
      </c>
      <c r="C968" t="str">
        <v>https://www.facebook.com/p/C%C3%B4ng-an-x%C3%A3-M%E1%BA%A1n-L%E1%BA%A1n-100068243816389/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6968</v>
      </c>
      <c r="B969" t="str">
        <f>HYPERLINK("https://thanhba.phutho.gov.vn/manlan/Pages/index.aspx", "UBND Ủy ban nhân dân xã Mạn Lạn  tỉnh Phú Thọ")</f>
        <v>UBND Ủy ban nhân dân xã Mạn Lạn  tỉnh Phú Thọ</v>
      </c>
      <c r="C969" t="str">
        <v>https://thanhba.phutho.gov.vn/manlan/Pages/index.aspx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6969</v>
      </c>
      <c r="B970" t="str">
        <f>HYPERLINK("https://www.facebook.com/CongantinhPhuTho19/", "Công an xã Thanh Xá  tỉnh Phú Thọ")</f>
        <v>Công an xã Thanh Xá  tỉnh Phú Thọ</v>
      </c>
      <c r="C970" t="str">
        <v>https://www.facebook.com/CongantinhPhuTho19/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6970</v>
      </c>
      <c r="B971" t="str">
        <f>HYPERLINK("http://svhttdl.phutho.gov.vn/tin/khanh-thanh-cong-trinh-tu-bo-du-tich-dinh-phao-thanh-xa-thanh-ha-huyen-thanh-ba_2602.html", "UBND Ủy ban nhân dân xã Thanh Xá  tỉnh Phú Thọ")</f>
        <v>UBND Ủy ban nhân dân xã Thanh Xá  tỉnh Phú Thọ</v>
      </c>
      <c r="C971" t="str">
        <v>http://svhttdl.phutho.gov.vn/tin/khanh-thanh-cong-trinh-tu-bo-du-tich-dinh-phao-thanh-xa-thanh-ha-huyen-thanh-ba_2602.html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6971</v>
      </c>
      <c r="B972" t="str">
        <v>Công an xã Chí Tiên  tỉnh Phú Thọ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6972</v>
      </c>
      <c r="B973" t="str">
        <f>HYPERLINK("https://thanhba.phutho.gov.vn/chitien/Pages/index.aspx", "UBND Ủy ban nhân dân xã Chí Tiên  tỉnh Phú Thọ")</f>
        <v>UBND Ủy ban nhân dân xã Chí Tiên  tỉnh Phú Thọ</v>
      </c>
      <c r="C973" t="str">
        <v>https://thanhba.phutho.gov.vn/chitien/Pages/index.aspx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6973</v>
      </c>
      <c r="B974" t="str">
        <f>HYPERLINK("https://www.facebook.com/ConganxaDongThanh2021/", "Công an xã Đông Thành  tỉnh Phú Thọ")</f>
        <v>Công an xã Đông Thành  tỉnh Phú Thọ</v>
      </c>
      <c r="C974" t="str">
        <v>https://www.facebook.com/ConganxaDongThanh2021/</v>
      </c>
      <c r="D974" t="str">
        <v>0949546366</v>
      </c>
      <c r="E974" t="str">
        <v>-</v>
      </c>
      <c r="F974" t="str">
        <f>HYPERLINK("mailto:conganxadongthanh2021@gmail.com", "conganxadongthanh2021@gmail.com")</f>
        <v>conganxadongthanh2021@gmail.com</v>
      </c>
      <c r="G974" t="str">
        <v>-</v>
      </c>
    </row>
    <row r="975">
      <c r="A975">
        <v>6974</v>
      </c>
      <c r="B975" t="str">
        <f>HYPERLINK("https://thanhba.phutho.gov.vn/dongthanh/Pages/index.aspx", "UBND Ủy ban nhân dân xã Đông Thành  tỉnh Phú Thọ")</f>
        <v>UBND Ủy ban nhân dân xã Đông Thành  tỉnh Phú Thọ</v>
      </c>
      <c r="C975" t="str">
        <v>https://thanhba.phutho.gov.vn/dongthanh/Pages/index.aspx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6975</v>
      </c>
      <c r="B976" t="str">
        <v>Công an xã Hoàng Cương  tỉnh Phú Thọ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6976</v>
      </c>
      <c r="B977" t="str">
        <f>HYPERLINK("https://thanhba.phutho.gov.vn/hoangcuong/Pages/index.aspx", "UBND Ủy ban nhân dân xã Hoàng Cương  tỉnh Phú Thọ")</f>
        <v>UBND Ủy ban nhân dân xã Hoàng Cương  tỉnh Phú Thọ</v>
      </c>
      <c r="C977" t="str">
        <v>https://thanhba.phutho.gov.vn/hoangcuong/Pages/index.aspx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6977</v>
      </c>
      <c r="B978" t="str">
        <f>HYPERLINK("https://www.facebook.com/ConganSonCuong/", "Công an xã Sơn Cương  tỉnh Phú Thọ")</f>
        <v>Công an xã Sơn Cương  tỉnh Phú Thọ</v>
      </c>
      <c r="C978" t="str">
        <v>https://www.facebook.com/ConganSonCuong/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6978</v>
      </c>
      <c r="B979" t="str">
        <f>HYPERLINK("https://thanhba.phutho.gov.vn/soncuong/pages/danhmuc.aspx?cateid=10", "UBND Ủy ban nhân dân xã Sơn Cương  tỉnh Phú Thọ")</f>
        <v>UBND Ủy ban nhân dân xã Sơn Cương  tỉnh Phú Thọ</v>
      </c>
      <c r="C979" t="str">
        <v>https://thanhba.phutho.gov.vn/soncuong/pages/danhmuc.aspx?cateid=10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6979</v>
      </c>
      <c r="B980" t="str">
        <f>HYPERLINK("https://www.facebook.com/p/C%C3%B4ng-an-x%C3%A3-Thanh-H%C3%A0-Thanh-Ba-100061362463251/", "Công an xã Thanh Hà  tỉnh Phú Thọ")</f>
        <v>Công an xã Thanh Hà  tỉnh Phú Thọ</v>
      </c>
      <c r="C980" t="str">
        <v>https://www.facebook.com/p/C%C3%B4ng-an-x%C3%A3-Thanh-H%C3%A0-Thanh-Ba-100061362463251/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6980</v>
      </c>
      <c r="B981" t="str">
        <f>HYPERLINK("http://svhttdl.phutho.gov.vn/tin/khanh-thanh-cong-trinh-tu-bo-du-tich-dinh-phao-thanh-xa-thanh-ha-huyen-thanh-ba_2602.html", "UBND Ủy ban nhân dân xã Thanh Hà  tỉnh Phú Thọ")</f>
        <v>UBND Ủy ban nhân dân xã Thanh Hà  tỉnh Phú Thọ</v>
      </c>
      <c r="C981" t="str">
        <v>http://svhttdl.phutho.gov.vn/tin/khanh-thanh-cong-trinh-tu-bo-du-tich-dinh-phao-thanh-xa-thanh-ha-huyen-thanh-ba_2602.html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6981</v>
      </c>
      <c r="B982" t="str">
        <f>HYPERLINK("https://www.facebook.com/p/C%C3%B4ng-an-x%C3%A3-%C4%90%E1%BB%97-S%C6%A1n-huy%E1%BB%87n-Thanh-Ba-t%E1%BB%89nh-Ph%C3%BA-Th%E1%BB%8D-100079476075005/", "Công an xã Đỗ Sơn  tỉnh Phú Thọ")</f>
        <v>Công an xã Đỗ Sơn  tỉnh Phú Thọ</v>
      </c>
      <c r="C982" t="str">
        <v>https://www.facebook.com/p/C%C3%B4ng-an-x%C3%A3-%C4%90%E1%BB%97-S%C6%A1n-huy%E1%BB%87n-Thanh-Ba-t%E1%BB%89nh-Ph%C3%BA-Th%E1%BB%8D-100079476075005/</v>
      </c>
      <c r="D982" t="str">
        <v>0979292191</v>
      </c>
      <c r="E982" t="str">
        <v>-</v>
      </c>
      <c r="F982" t="str">
        <f>HYPERLINK("mailto:caxdoson@gmail.com", "caxdoson@gmail.com")</f>
        <v>caxdoson@gmail.com</v>
      </c>
      <c r="G982" t="str">
        <v>-</v>
      </c>
    </row>
    <row r="983">
      <c r="A983">
        <v>6982</v>
      </c>
      <c r="B983" t="str">
        <f>HYPERLINK("https://thanhba.phutho.gov.vn/doxuyen/Pages/index.aspx", "UBND Ủy ban nhân dân xã Đỗ Sơn  tỉnh Phú Thọ")</f>
        <v>UBND Ủy ban nhân dân xã Đỗ Sơn  tỉnh Phú Thọ</v>
      </c>
      <c r="C983" t="str">
        <v>https://thanhba.phutho.gov.vn/doxuyen/Pages/index.aspx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6983</v>
      </c>
      <c r="B984" t="str">
        <f>HYPERLINK("https://www.facebook.com/p/C%C3%B4ng-an-x%C3%A3-%C4%90%E1%BB%97-Xuy%C3%AAn-huy%E1%BB%87n-Thanh-Ba-100070149403169/", "Công an xã Đỗ Xuyên  tỉnh Phú Thọ")</f>
        <v>Công an xã Đỗ Xuyên  tỉnh Phú Thọ</v>
      </c>
      <c r="C984" t="str">
        <v>https://www.facebook.com/p/C%C3%B4ng-an-x%C3%A3-%C4%90%E1%BB%97-Xuy%C3%AAn-huy%E1%BB%87n-Thanh-Ba-100070149403169/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6984</v>
      </c>
      <c r="B985" t="str">
        <f>HYPERLINK("https://thanhba.phutho.gov.vn/doxuyen/Pages/index.aspx", "UBND Ủy ban nhân dân xã Đỗ Xuyên  tỉnh Phú Thọ")</f>
        <v>UBND Ủy ban nhân dân xã Đỗ Xuyên  tỉnh Phú Thọ</v>
      </c>
      <c r="C985" t="str">
        <v>https://thanhba.phutho.gov.vn/doxuyen/Pages/index.aspx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6985</v>
      </c>
      <c r="B986" t="str">
        <f>HYPERLINK("https://www.facebook.com/100063740456304?ref=py_c", "Công an xã Lương Lỗ  tỉnh Phú Thọ")</f>
        <v>Công an xã Lương Lỗ  tỉnh Phú Thọ</v>
      </c>
      <c r="C986" t="str">
        <v>https://www.facebook.com/100063740456304?ref=py_c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6986</v>
      </c>
      <c r="B987" t="str">
        <f>HYPERLINK("https://thanhba.phutho.gov.vn/", "UBND Ủy ban nhân dân xã Lương Lỗ  tỉnh Phú Thọ")</f>
        <v>UBND Ủy ban nhân dân xã Lương Lỗ  tỉnh Phú Thọ</v>
      </c>
      <c r="C987" t="str">
        <v>https://thanhba.phutho.gov.vn/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6987</v>
      </c>
      <c r="B988" t="str">
        <f>HYPERLINK("https://www.facebook.com/p/C%C3%B4ng-an-th%E1%BB%8B-tr%E1%BA%A5n-Phong-Ch%C3%A2u-100071715528701/", "Công an thị trấn Phong Châu  tỉnh Phú Thọ")</f>
        <v>Công an thị trấn Phong Châu  tỉnh Phú Thọ</v>
      </c>
      <c r="C988" t="str">
        <v>https://www.facebook.com/p/C%C3%B4ng-an-th%E1%BB%8B-tr%E1%BA%A5n-Phong-Ch%C3%A2u-100071715528701/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6988</v>
      </c>
      <c r="B989" t="str">
        <f>HYPERLINK("https://phongchau.phuninh.phutho.gov.vn/", "UBND Ủy ban nhân dân thị trấn Phong Châu  tỉnh Phú Thọ")</f>
        <v>UBND Ủy ban nhân dân thị trấn Phong Châu  tỉnh Phú Thọ</v>
      </c>
      <c r="C989" t="str">
        <v>https://phongchau.phuninh.phutho.gov.vn/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6989</v>
      </c>
      <c r="B990" t="str">
        <v>Công an xã Phú Mỹ  tỉnh Phú Thọ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6990</v>
      </c>
      <c r="B991" t="str">
        <f>HYPERLINK("https://phutho.phutan.angiang.gov.vn/", "UBND Ủy ban nhân dân xã Phú Mỹ  tỉnh Phú Thọ")</f>
        <v>UBND Ủy ban nhân dân xã Phú Mỹ  tỉnh Phú Thọ</v>
      </c>
      <c r="C991" t="str">
        <v>https://phutho.phutan.angiang.gov.vn/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6991</v>
      </c>
      <c r="B992" t="str">
        <v>Công an xã Lệ Mỹ  tỉnh Phú Thọ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6992</v>
      </c>
      <c r="B993" t="str">
        <f>HYPERLINK("https://phuninh.phutho.gov.vn/", "UBND Ủy ban nhân dân xã Lệ Mỹ  tỉnh Phú Thọ")</f>
        <v>UBND Ủy ban nhân dân xã Lệ Mỹ  tỉnh Phú Thọ</v>
      </c>
      <c r="C993" t="str">
        <v>https://phuninh.phutho.gov.vn/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6993</v>
      </c>
      <c r="B994" t="str">
        <f>HYPERLINK("https://www.facebook.com/p/C%C3%B4ng-an-x%C3%A3-Li%C3%AAn-Hoa-Ph%C3%B9-Ninh-Ph%C3%BA-Th%E1%BB%8D-100082110200923/", "Công an xã Liên Hoa  tỉnh Phú Thọ")</f>
        <v>Công an xã Liên Hoa  tỉnh Phú Thọ</v>
      </c>
      <c r="C994" t="str">
        <v>https://www.facebook.com/p/C%C3%B4ng-an-x%C3%A3-Li%C3%AAn-Hoa-Ph%C3%B9-Ninh-Ph%C3%BA-Th%E1%BB%8D-100082110200923/</v>
      </c>
      <c r="D994" t="str">
        <v>0365575588</v>
      </c>
      <c r="E994" t="str">
        <v>-</v>
      </c>
      <c r="F994" t="str">
        <f>HYPERLINK("mailto:Lekhanh9291@gmail.com", "Lekhanh9291@gmail.com")</f>
        <v>Lekhanh9291@gmail.com</v>
      </c>
      <c r="G994" t="str">
        <v>Xã Liên Hoa, huyện Phù Ninh, tỉnh Phú Thọ, Phu Tho, Vietnam</v>
      </c>
    </row>
    <row r="995">
      <c r="A995">
        <v>6994</v>
      </c>
      <c r="B995" t="str">
        <f>HYPERLINK("https://lienhoa.phuninh.phutho.gov.vn/gioi-thieu/co-cau-to-chuc/", "UBND Ủy ban nhân dân xã Liên Hoa  tỉnh Phú Thọ")</f>
        <v>UBND Ủy ban nhân dân xã Liên Hoa  tỉnh Phú Thọ</v>
      </c>
      <c r="C995" t="str">
        <v>https://lienhoa.phuninh.phutho.gov.vn/gioi-thieu/co-cau-to-chuc/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6995</v>
      </c>
      <c r="B996" t="str">
        <f>HYPERLINK("https://www.facebook.com/caxtramthan/", "Công an xã Trạm Thản  tỉnh Phú Thọ")</f>
        <v>Công an xã Trạm Thản  tỉnh Phú Thọ</v>
      </c>
      <c r="C996" t="str">
        <v>https://www.facebook.com/caxtramthan/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6996</v>
      </c>
      <c r="B997" t="str">
        <f>HYPERLINK("https://phuninh.phutho.gov.vn/", "UBND Ủy ban nhân dân xã Trạm Thản  tỉnh Phú Thọ")</f>
        <v>UBND Ủy ban nhân dân xã Trạm Thản  tỉnh Phú Thọ</v>
      </c>
      <c r="C997" t="str">
        <v>https://phuninh.phutho.gov.vn/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6997</v>
      </c>
      <c r="B998" t="str">
        <v>Công an xã Trị quận  tỉnh Phú Thọ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6998</v>
      </c>
      <c r="B999" t="str">
        <f>HYPERLINK("https://phuninh.phutho.gov.vn/", "UBND Ủy ban nhân dân xã Trị quận  tỉnh Phú Thọ")</f>
        <v>UBND Ủy ban nhân dân xã Trị quận  tỉnh Phú Thọ</v>
      </c>
      <c r="C999" t="str">
        <v>https://phuninh.phutho.gov.vn/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6999</v>
      </c>
      <c r="B1000" t="str">
        <v>Công an xã Trung Giáp  tỉnh Phú Thọ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7000</v>
      </c>
      <c r="B1001" t="str">
        <f>HYPERLINK("https://trunggiap.phuninh.phutho.gov.vn/", "UBND Ủy ban nhân dân xã Trung Giáp  tỉnh Phú Thọ")</f>
        <v>UBND Ủy ban nhân dân xã Trung Giáp  tỉnh Phú Thọ</v>
      </c>
      <c r="C1001" t="str">
        <v>https://trunggiap.phuninh.phutho.gov.vn/</v>
      </c>
      <c r="D1001" t="str">
        <v>-</v>
      </c>
      <c r="E1001" t="str">
        <v>-</v>
      </c>
      <c r="F1001" t="str">
        <v>-</v>
      </c>
      <c r="G1001" t="str">
        <v>-</v>
      </c>
    </row>
    <row r="1002">
      <c r="A1002">
        <v>7001</v>
      </c>
      <c r="B1002" t="str">
        <f>HYPERLINK("https://www.facebook.com/p/C%C3%B4ng-an-x%C3%A3-Ti%C3%AAn-Ph%C3%BA-Ph%C3%B9-Ninh-Ph%C3%BA-Th%E1%BB%8D-61553266122605/", "Công an xã Tiên Phú  tỉnh Phú Thọ")</f>
        <v>Công an xã Tiên Phú  tỉnh Phú Thọ</v>
      </c>
      <c r="C1002" t="str">
        <v>https://www.facebook.com/p/C%C3%B4ng-an-x%C3%A3-Ti%C3%AAn-Ph%C3%BA-Ph%C3%B9-Ninh-Ph%C3%BA-Th%E1%BB%8D-61553266122605/</v>
      </c>
      <c r="D1002" t="str">
        <v>-</v>
      </c>
      <c r="E1002" t="str">
        <v>02103865998</v>
      </c>
      <c r="F1002" t="str">
        <f>HYPERLINK("mailto:vungoclinhc3k44@gmail.com", "vungoclinhc3k44@gmail.com")</f>
        <v>vungoclinhc3k44@gmail.com</v>
      </c>
      <c r="G1002" t="str">
        <v>Khu 4, xã Tiên Phú, Phù Ninh, Vietnam</v>
      </c>
    </row>
    <row r="1003">
      <c r="A1003">
        <v>7002</v>
      </c>
      <c r="B1003" t="str">
        <f>HYPERLINK("https://tienphu.phuninh.phutho.gov.vn/", "UBND Ủy ban nhân dân xã Tiên Phú  tỉnh Phú Thọ")</f>
        <v>UBND Ủy ban nhân dân xã Tiên Phú  tỉnh Phú Thọ</v>
      </c>
      <c r="C1003" t="str">
        <v>https://tienphu.phuninh.phutho.gov.vn/</v>
      </c>
      <c r="D1003" t="str">
        <v>-</v>
      </c>
      <c r="E1003" t="str">
        <v>-</v>
      </c>
      <c r="F1003" t="str">
        <v>-</v>
      </c>
      <c r="G1003" t="str">
        <v>-</v>
      </c>
    </row>
    <row r="1004">
      <c r="A1004">
        <v>7003</v>
      </c>
      <c r="B1004" t="str">
        <v>Công an xã Hạ Giáp  tỉnh Phú Thọ</v>
      </c>
      <c r="C1004" t="str">
        <v>-</v>
      </c>
      <c r="D1004" t="str">
        <v>-</v>
      </c>
      <c r="E1004" t="str">
        <v/>
      </c>
      <c r="F1004" t="str">
        <v>-</v>
      </c>
      <c r="G1004" t="str">
        <v>-</v>
      </c>
    </row>
    <row r="1005">
      <c r="A1005">
        <v>7004</v>
      </c>
      <c r="B1005" t="str">
        <f>HYPERLINK("https://phuninh.phutho.gov.vn/", "UBND Ủy ban nhân dân xã Hạ Giáp  tỉnh Phú Thọ")</f>
        <v>UBND Ủy ban nhân dân xã Hạ Giáp  tỉnh Phú Thọ</v>
      </c>
      <c r="C1005" t="str">
        <v>https://phuninh.phutho.gov.vn/</v>
      </c>
      <c r="D1005" t="str">
        <v>-</v>
      </c>
      <c r="E1005" t="str">
        <v>-</v>
      </c>
      <c r="F1005" t="str">
        <v>-</v>
      </c>
      <c r="G1005" t="str">
        <v>-</v>
      </c>
    </row>
    <row r="1006">
      <c r="A1006">
        <v>7005</v>
      </c>
      <c r="B1006" t="str">
        <f>HYPERLINK("https://www.facebook.com/p/C%C3%B4ng-an-x%C3%A3-B%E1%BA%A3o-Thanh-Ph%C3%B9-Ninh-Ph%C3%BA-Th%E1%BB%8D-100075947355602/", "Công an xã Bảo Thanh  tỉnh Phú Thọ")</f>
        <v>Công an xã Bảo Thanh  tỉnh Phú Thọ</v>
      </c>
      <c r="C1006" t="str">
        <v>https://www.facebook.com/p/C%C3%B4ng-an-x%C3%A3-B%E1%BA%A3o-Thanh-Ph%C3%B9-Ninh-Ph%C3%BA-Th%E1%BB%8D-100075947355602/</v>
      </c>
      <c r="D1006" t="str">
        <v>-</v>
      </c>
      <c r="E1006" t="str">
        <v/>
      </c>
      <c r="F1006" t="str">
        <v>-</v>
      </c>
      <c r="G1006" t="str">
        <v>-</v>
      </c>
    </row>
    <row r="1007">
      <c r="A1007">
        <v>7006</v>
      </c>
      <c r="B1007" t="str">
        <f>HYPERLINK("https://phuninh.phutho.gov.vn/", "UBND Ủy ban nhân dân xã Bảo Thanh  tỉnh Phú Thọ")</f>
        <v>UBND Ủy ban nhân dân xã Bảo Thanh  tỉnh Phú Thọ</v>
      </c>
      <c r="C1007" t="str">
        <v>https://phuninh.phutho.gov.vn/</v>
      </c>
      <c r="D1007" t="str">
        <v>-</v>
      </c>
      <c r="E1007" t="str">
        <v>-</v>
      </c>
      <c r="F1007" t="str">
        <v>-</v>
      </c>
      <c r="G1007" t="str">
        <v>-</v>
      </c>
    </row>
    <row r="1008">
      <c r="A1008">
        <v>7007</v>
      </c>
      <c r="B1008" t="str">
        <f>HYPERLINK("https://www.facebook.com/p/C%C3%B4ng-an-x%C3%A3-Ph%C3%BA-L%E1%BB%99c-100064950303314/", "Công an xã Phú Lộc  tỉnh Phú Thọ")</f>
        <v>Công an xã Phú Lộc  tỉnh Phú Thọ</v>
      </c>
      <c r="C1008" t="str">
        <v>https://www.facebook.com/p/C%C3%B4ng-an-x%C3%A3-Ph%C3%BA-L%E1%BB%99c-100064950303314/</v>
      </c>
      <c r="D1008" t="str">
        <v>-</v>
      </c>
      <c r="E1008" t="str">
        <v>02396271188</v>
      </c>
      <c r="F1008" t="str">
        <f>HYPERLINK("mailto:Conganphulocht@gmail.com", "Conganphulocht@gmail.com")</f>
        <v>Conganphulocht@gmail.com</v>
      </c>
      <c r="G1008" t="str">
        <v>thôn Tân Tiến, xã Phú Lộc, huyện Can Lộc, tỉnh Hà Tĩnh, Ha Tinh, Vietnam</v>
      </c>
    </row>
    <row r="1009">
      <c r="A1009">
        <v>7008</v>
      </c>
      <c r="B1009" t="str">
        <f>HYPERLINK("https://phuloc.phuninh.phutho.gov.vn/", "UBND Ủy ban nhân dân xã Phú Lộc  tỉnh Phú Thọ")</f>
        <v>UBND Ủy ban nhân dân xã Phú Lộc  tỉnh Phú Thọ</v>
      </c>
      <c r="C1009" t="str">
        <v>https://phuloc.phuninh.phutho.gov.vn/</v>
      </c>
      <c r="D1009" t="str">
        <v>-</v>
      </c>
      <c r="E1009" t="str">
        <v>-</v>
      </c>
      <c r="F1009" t="str">
        <v>-</v>
      </c>
      <c r="G1009" t="str">
        <v>-</v>
      </c>
    </row>
    <row r="1010">
      <c r="A1010">
        <v>7009</v>
      </c>
      <c r="B1010" t="str">
        <f>HYPERLINK("https://www.facebook.com/p/C%C3%B4ng-an-x%C3%A3-Gia-Thanh-100072124998815/", "Công an xã Gia Thanh  tỉnh Phú Thọ")</f>
        <v>Công an xã Gia Thanh  tỉnh Phú Thọ</v>
      </c>
      <c r="C1010" t="str">
        <v>https://www.facebook.com/p/C%C3%B4ng-an-x%C3%A3-Gia-Thanh-100072124998815/</v>
      </c>
      <c r="D1010" t="str">
        <v>-</v>
      </c>
      <c r="E1010" t="str">
        <v>02103833263</v>
      </c>
      <c r="F1010" t="str">
        <v>-</v>
      </c>
      <c r="G1010" t="str">
        <v>Xã Gia Thanh, huyện Phù Ninh, tỉnh Phú Thọ</v>
      </c>
    </row>
    <row r="1011">
      <c r="A1011">
        <v>7010</v>
      </c>
      <c r="B1011" t="str">
        <f>HYPERLINK("https://giathanh.giavien.ninhbinh.gov.vn/", "UBND Ủy ban nhân dân xã Gia Thanh  tỉnh Phú Thọ")</f>
        <v>UBND Ủy ban nhân dân xã Gia Thanh  tỉnh Phú Thọ</v>
      </c>
      <c r="C1011" t="str">
        <v>https://giathanh.giavien.ninhbinh.gov.vn/</v>
      </c>
      <c r="D1011" t="str">
        <v>-</v>
      </c>
      <c r="E1011" t="str">
        <v>-</v>
      </c>
      <c r="F1011" t="str">
        <v>-</v>
      </c>
      <c r="G1011" t="str">
        <v>-</v>
      </c>
    </row>
    <row r="1012">
      <c r="A1012">
        <v>7011</v>
      </c>
      <c r="B1012" t="str">
        <f>HYPERLINK("https://www.facebook.com/100072043291516", "Công an xã Tiên Du  tỉnh Phú Thọ")</f>
        <v>Công an xã Tiên Du  tỉnh Phú Thọ</v>
      </c>
      <c r="C1012" t="str">
        <v>https://www.facebook.com/100072043291516</v>
      </c>
      <c r="D1012" t="str">
        <v>-</v>
      </c>
      <c r="E1012" t="str">
        <v/>
      </c>
      <c r="F1012" t="str">
        <v>-</v>
      </c>
      <c r="G1012" t="str">
        <v>-</v>
      </c>
    </row>
    <row r="1013">
      <c r="A1013">
        <v>7012</v>
      </c>
      <c r="B1013" t="str">
        <f>HYPERLINK("https://tiendu.phuninh.phutho.gov.vn/", "UBND Ủy ban nhân dân xã Tiên Du  tỉnh Phú Thọ")</f>
        <v>UBND Ủy ban nhân dân xã Tiên Du  tỉnh Phú Thọ</v>
      </c>
      <c r="C1013" t="str">
        <v>https://tiendu.phuninh.phutho.gov.vn/</v>
      </c>
      <c r="D1013" t="str">
        <v>-</v>
      </c>
      <c r="E1013" t="str">
        <v>-</v>
      </c>
      <c r="F1013" t="str">
        <v>-</v>
      </c>
      <c r="G1013" t="str">
        <v>-</v>
      </c>
    </row>
    <row r="1014">
      <c r="A1014">
        <v>7013</v>
      </c>
      <c r="B1014" t="str">
        <f>HYPERLINK("https://www.facebook.com/PhuNham113/?locale=vi_VN", "Công an xã Phú Nham  tỉnh Phú Thọ")</f>
        <v>Công an xã Phú Nham  tỉnh Phú Thọ</v>
      </c>
      <c r="C1014" t="str">
        <v>https://www.facebook.com/PhuNham113/?locale=vi_VN</v>
      </c>
      <c r="D1014" t="str">
        <v>-</v>
      </c>
      <c r="E1014" t="str">
        <v/>
      </c>
      <c r="F1014" t="str">
        <f>HYPERLINK("mailto:caxphunham@gmail.com", "caxphunham@gmail.com")</f>
        <v>caxphunham@gmail.com</v>
      </c>
      <c r="G1014" t="str">
        <v>Khu 2B, xã Phú Nham, huyện Phù Ninh, tỉnh Phú Thọ, Phù Ninh, Vietnam</v>
      </c>
    </row>
    <row r="1015">
      <c r="A1015">
        <v>7014</v>
      </c>
      <c r="B1015" t="str">
        <f>HYPERLINK("https://phunham.phuninh.phutho.gov.vn/", "UBND Ủy ban nhân dân xã Phú Nham  tỉnh Phú Thọ")</f>
        <v>UBND Ủy ban nhân dân xã Phú Nham  tỉnh Phú Thọ</v>
      </c>
      <c r="C1015" t="str">
        <v>https://phunham.phuninh.phutho.gov.vn/</v>
      </c>
      <c r="D1015" t="str">
        <v>-</v>
      </c>
      <c r="E1015" t="str">
        <v>-</v>
      </c>
      <c r="F1015" t="str">
        <v>-</v>
      </c>
      <c r="G1015" t="str">
        <v>-</v>
      </c>
    </row>
    <row r="1016">
      <c r="A1016">
        <v>7015</v>
      </c>
      <c r="B1016" t="str">
        <v>Công an xã Bình Bộ  tỉnh Phú Thọ</v>
      </c>
      <c r="C1016" t="str">
        <v>-</v>
      </c>
      <c r="D1016" t="str">
        <v>-</v>
      </c>
      <c r="E1016" t="str">
        <v/>
      </c>
      <c r="F1016" t="str">
        <v>-</v>
      </c>
      <c r="G1016" t="str">
        <v>-</v>
      </c>
    </row>
    <row r="1017">
      <c r="A1017">
        <v>7016</v>
      </c>
      <c r="B1017" t="str">
        <f>HYPERLINK("http://binhphu.gocongtay.tiengiang.gov.vn/to-chuc-ve-bo-may-ubnd", "UBND Ủy ban nhân dân xã Bình Bộ  tỉnh Phú Thọ")</f>
        <v>UBND Ủy ban nhân dân xã Bình Bộ  tỉnh Phú Thọ</v>
      </c>
      <c r="C1017" t="str">
        <v>http://binhphu.gocongtay.tiengiang.gov.vn/to-chuc-ve-bo-may-ubnd</v>
      </c>
      <c r="D1017" t="str">
        <v>-</v>
      </c>
      <c r="E1017" t="str">
        <v>-</v>
      </c>
      <c r="F1017" t="str">
        <v>-</v>
      </c>
      <c r="G1017" t="str">
        <v>-</v>
      </c>
    </row>
    <row r="1018">
      <c r="A1018">
        <v>7017</v>
      </c>
      <c r="B1018" t="str">
        <v>Công an xã An Đạo  tỉnh Phú Thọ</v>
      </c>
      <c r="C1018" t="str">
        <v>-</v>
      </c>
      <c r="D1018" t="str">
        <v>-</v>
      </c>
      <c r="E1018" t="str">
        <v/>
      </c>
      <c r="F1018" t="str">
        <v>-</v>
      </c>
      <c r="G1018" t="str">
        <v>-</v>
      </c>
    </row>
    <row r="1019">
      <c r="A1019">
        <v>7018</v>
      </c>
      <c r="B1019" t="str">
        <f>HYPERLINK("https://phuninh.phutho.gov.vn/", "UBND Ủy ban nhân dân xã An Đạo  tỉnh Phú Thọ")</f>
        <v>UBND Ủy ban nhân dân xã An Đạo  tỉnh Phú Thọ</v>
      </c>
      <c r="C1019" t="str">
        <v>https://phuninh.phutho.gov.vn/</v>
      </c>
      <c r="D1019" t="str">
        <v>-</v>
      </c>
      <c r="E1019" t="str">
        <v>-</v>
      </c>
      <c r="F1019" t="str">
        <v>-</v>
      </c>
      <c r="G1019" t="str">
        <v>-</v>
      </c>
    </row>
    <row r="1020">
      <c r="A1020">
        <v>7019</v>
      </c>
      <c r="B1020" t="str">
        <f>HYPERLINK("https://www.facebook.com/p/Tr%C6%B0%E1%BB%9Dng-THPT-T%E1%BB%AD-%C4%90%C3%A0-Tu-Da-High-School-100049841455681/", "Công an xã Tử Đà  tỉnh Phú Thọ")</f>
        <v>Công an xã Tử Đà  tỉnh Phú Thọ</v>
      </c>
      <c r="C1020" t="str">
        <v>https://www.facebook.com/p/Tr%C6%B0%E1%BB%9Dng-THPT-T%E1%BB%AD-%C4%90%C3%A0-Tu-Da-High-School-100049841455681/</v>
      </c>
      <c r="D1020" t="str">
        <v>-</v>
      </c>
      <c r="E1020" t="str">
        <v>02103770999</v>
      </c>
      <c r="F1020" t="str">
        <v>-</v>
      </c>
      <c r="G1020" t="str">
        <v>Bình Phú</v>
      </c>
    </row>
    <row r="1021">
      <c r="A1021">
        <v>7020</v>
      </c>
      <c r="B1021" t="str">
        <f>HYPERLINK("https://thanhthuy.phutho.gov.vn/", "UBND Ủy ban nhân dân xã Tử Đà  tỉnh Phú Thọ")</f>
        <v>UBND Ủy ban nhân dân xã Tử Đà  tỉnh Phú Thọ</v>
      </c>
      <c r="C1021" t="str">
        <v>https://thanhthuy.phutho.gov.vn/</v>
      </c>
      <c r="D1021" t="str">
        <v>-</v>
      </c>
      <c r="E1021" t="str">
        <v>-</v>
      </c>
      <c r="F1021" t="str">
        <v>-</v>
      </c>
      <c r="G1021" t="str">
        <v>-</v>
      </c>
    </row>
    <row r="1022">
      <c r="A1022">
        <v>7021</v>
      </c>
      <c r="B1022" t="str">
        <f>HYPERLINK("https://www.facebook.com/cahphuninh.pt/", "Công an xã Phù Ninh  tỉnh Phú Thọ")</f>
        <v>Công an xã Phù Ninh  tỉnh Phú Thọ</v>
      </c>
      <c r="C1022" t="str">
        <v>https://www.facebook.com/cahphuninh.pt/</v>
      </c>
      <c r="D1022" t="str">
        <v>-</v>
      </c>
      <c r="E1022" t="str">
        <v>02103829376</v>
      </c>
      <c r="F1022" t="str">
        <f>HYPERLINK("mailto:cahphuninh@gmail.com", "cahphuninh@gmail.com")</f>
        <v>cahphuninh@gmail.com</v>
      </c>
      <c r="G1022" t="str">
        <v>-</v>
      </c>
    </row>
    <row r="1023">
      <c r="A1023">
        <v>7022</v>
      </c>
      <c r="B1023" t="str">
        <f>HYPERLINK("https://phuninh.phutho.gov.vn/", "UBND Ủy ban nhân dân xã Phù Ninh  tỉnh Phú Thọ")</f>
        <v>UBND Ủy ban nhân dân xã Phù Ninh  tỉnh Phú Thọ</v>
      </c>
      <c r="C1023" t="str">
        <v>https://phuninh.phutho.gov.vn/</v>
      </c>
      <c r="D1023" t="str">
        <v>-</v>
      </c>
      <c r="E1023" t="str">
        <v>-</v>
      </c>
      <c r="F1023" t="str">
        <v>-</v>
      </c>
      <c r="G1023" t="str">
        <v>-</v>
      </c>
    </row>
    <row r="1024">
      <c r="A1024">
        <v>7023</v>
      </c>
      <c r="B1024" t="str">
        <f>HYPERLINK("https://www.facebook.com/TuoitreConganVinhPhuc/?locale=fa_IR", "Công an xã Vĩnh Phú  tỉnh Phú Thọ")</f>
        <v>Công an xã Vĩnh Phú  tỉnh Phú Thọ</v>
      </c>
      <c r="C1024" t="str">
        <v>https://www.facebook.com/TuoitreConganVinhPhuc/?locale=fa_IR</v>
      </c>
      <c r="D1024" t="str">
        <v>-</v>
      </c>
      <c r="E1024" t="str">
        <v/>
      </c>
      <c r="F1024" t="str">
        <v>-</v>
      </c>
      <c r="G1024" t="str">
        <v>-</v>
      </c>
    </row>
    <row r="1025">
      <c r="A1025">
        <v>7024</v>
      </c>
      <c r="B1025" t="str">
        <f>HYPERLINK("https://vinhphu.thoaison.angiang.gov.vn/danh-ba-0", "UBND Ủy ban nhân dân xã Vĩnh Phú  tỉnh Phú Thọ")</f>
        <v>UBND Ủy ban nhân dân xã Vĩnh Phú  tỉnh Phú Thọ</v>
      </c>
      <c r="C1025" t="str">
        <v>https://vinhphu.thoaison.angiang.gov.vn/danh-ba-0</v>
      </c>
      <c r="D1025" t="str">
        <v>-</v>
      </c>
      <c r="E1025" t="str">
        <v>-</v>
      </c>
      <c r="F1025" t="str">
        <v>-</v>
      </c>
      <c r="G1025" t="str">
        <v>-</v>
      </c>
    </row>
    <row r="1026">
      <c r="A1026">
        <v>7025</v>
      </c>
      <c r="B1026" t="str">
        <f>HYPERLINK("https://www.facebook.com/p/C%C3%B4ng-an-huy%E1%BB%87n-Y%C3%AAn-L%E1%BA%ADp-100076404181551/", "Công an thị trấn Yên Lập  tỉnh Phú Thọ")</f>
        <v>Công an thị trấn Yên Lập  tỉnh Phú Thọ</v>
      </c>
      <c r="C1026" t="str">
        <v>https://www.facebook.com/p/C%C3%B4ng-an-huy%E1%BB%87n-Y%C3%AAn-L%E1%BA%ADp-100076404181551/</v>
      </c>
      <c r="D1026" t="str">
        <v>-</v>
      </c>
      <c r="E1026" t="str">
        <v>02103870113</v>
      </c>
      <c r="F1026" t="str">
        <v>-</v>
      </c>
      <c r="G1026" t="str">
        <v>-</v>
      </c>
    </row>
    <row r="1027">
      <c r="A1027">
        <v>7026</v>
      </c>
      <c r="B1027" t="str">
        <f>HYPERLINK("https://yenlap.phutho.gov.vn/", "UBND Ủy ban nhân dân thị trấn Yên Lập  tỉnh Phú Thọ")</f>
        <v>UBND Ủy ban nhân dân thị trấn Yên Lập  tỉnh Phú Thọ</v>
      </c>
      <c r="C1027" t="str">
        <v>https://yenlap.phutho.gov.vn/</v>
      </c>
      <c r="D1027" t="str">
        <v>-</v>
      </c>
      <c r="E1027" t="str">
        <v>-</v>
      </c>
      <c r="F1027" t="str">
        <v>-</v>
      </c>
      <c r="G1027" t="str">
        <v>-</v>
      </c>
    </row>
    <row r="1028">
      <c r="A1028">
        <v>7027</v>
      </c>
      <c r="B1028" t="str">
        <f>HYPERLINK("https://www.facebook.com/p/C%C3%B4ng-an-x%C3%A3-M%E1%BB%B9-Lung-100064895163486/", "Công an xã Mỹ Lung  tỉnh Phú Thọ")</f>
        <v>Công an xã Mỹ Lung  tỉnh Phú Thọ</v>
      </c>
      <c r="C1028" t="str">
        <v>https://www.facebook.com/p/C%C3%B4ng-an-x%C3%A3-M%E1%BB%B9-Lung-100064895163486/</v>
      </c>
      <c r="D1028" t="str">
        <v>-</v>
      </c>
      <c r="E1028" t="str">
        <v>867916778</v>
      </c>
      <c r="F1028" t="str">
        <v>-</v>
      </c>
      <c r="G1028" t="str">
        <v>Khu 5 - xã Mỹ Lung - huyện Yên Lập, Phu Tho, Vietnam</v>
      </c>
    </row>
    <row r="1029">
      <c r="A1029">
        <v>7028</v>
      </c>
      <c r="B1029" t="str">
        <f>HYPERLINK("https://tnmt.phutho.gov.vn/tham-van-dtm-linh-vuc-moi-truong/du-an-du-an-khai-thac-che-bien-da-xay-dung-tai-mo-da-nha-xe-thuoc-xa-my-lung-va-xa-my-luong-huye-213021", "UBND Ủy ban nhân dân xã Mỹ Lung  tỉnh Phú Thọ")</f>
        <v>UBND Ủy ban nhân dân xã Mỹ Lung  tỉnh Phú Thọ</v>
      </c>
      <c r="C1029" t="str">
        <v>https://tnmt.phutho.gov.vn/tham-van-dtm-linh-vuc-moi-truong/du-an-du-an-khai-thac-che-bien-da-xay-dung-tai-mo-da-nha-xe-thuoc-xa-my-lung-va-xa-my-luong-huye-213021</v>
      </c>
      <c r="D1029" t="str">
        <v>-</v>
      </c>
      <c r="E1029" t="str">
        <v>-</v>
      </c>
      <c r="F1029" t="str">
        <v>-</v>
      </c>
      <c r="G1029" t="str">
        <v>-</v>
      </c>
    </row>
    <row r="1030">
      <c r="A1030">
        <v>7029</v>
      </c>
      <c r="B1030" t="str">
        <f>HYPERLINK("https://www.facebook.com/p/C%C3%B4ng-an-x%C3%A3-M%E1%BB%B9-L%C6%B0%C6%A1ng-Y%C3%AAn-L%E1%BA%ADp-Ph%C3%BA-Th%E1%BB%8D-100079647794911/", "Công an xã Mỹ Lương  tỉnh Phú Thọ")</f>
        <v>Công an xã Mỹ Lương  tỉnh Phú Thọ</v>
      </c>
      <c r="C1030" t="str">
        <v>https://www.facebook.com/p/C%C3%B4ng-an-x%C3%A3-M%E1%BB%B9-L%C6%B0%C6%A1ng-Y%C3%AAn-L%E1%BA%ADp-Ph%C3%BA-Th%E1%BB%8D-100079647794911/</v>
      </c>
      <c r="D1030" t="str">
        <v>-</v>
      </c>
      <c r="E1030" t="str">
        <v/>
      </c>
      <c r="F1030" t="str">
        <v>-</v>
      </c>
      <c r="G1030" t="str">
        <v>-</v>
      </c>
    </row>
    <row r="1031">
      <c r="A1031">
        <v>7030</v>
      </c>
      <c r="B1031" t="str">
        <f>HYPERLINK("https://tnmt.phutho.gov.vn/tham-van-dtm-linh-vuc-moi-truong/du-an-du-an-khai-thac-che-bien-da-xay-dung-tai-mo-da-nha-xe-thuoc-xa-my-lung-va-xa-my-luong-huye-213021", "UBND Ủy ban nhân dân xã Mỹ Lương  tỉnh Phú Thọ")</f>
        <v>UBND Ủy ban nhân dân xã Mỹ Lương  tỉnh Phú Thọ</v>
      </c>
      <c r="C1031" t="str">
        <v>https://tnmt.phutho.gov.vn/tham-van-dtm-linh-vuc-moi-truong/du-an-du-an-khai-thac-che-bien-da-xay-dung-tai-mo-da-nha-xe-thuoc-xa-my-lung-va-xa-my-luong-huye-213021</v>
      </c>
      <c r="D1031" t="str">
        <v>-</v>
      </c>
      <c r="E1031" t="str">
        <v>-</v>
      </c>
      <c r="F1031" t="str">
        <v>-</v>
      </c>
      <c r="G1031" t="str">
        <v>-</v>
      </c>
    </row>
    <row r="1032">
      <c r="A1032">
        <v>7031</v>
      </c>
      <c r="B1032" t="str">
        <f>HYPERLINK("https://www.facebook.com/p/C%C3%B4ng-an-x%C3%A3-L%C6%B0%C6%A1ng-S%C6%A1n-Y%C3%AAn-L%E1%BA%ADp-Ph%C3%BA-Th%E1%BB%8D-100067063285253/", "Công an xã Lương Sơn  tỉnh Phú Thọ")</f>
        <v>Công an xã Lương Sơn  tỉnh Phú Thọ</v>
      </c>
      <c r="C1032" t="str">
        <v>https://www.facebook.com/p/C%C3%B4ng-an-x%C3%A3-L%C6%B0%C6%A1ng-S%C6%A1n-Y%C3%AAn-L%E1%BA%ADp-Ph%C3%BA-Th%E1%BB%8D-100067063285253/</v>
      </c>
      <c r="D1032" t="str">
        <v>0963540123</v>
      </c>
      <c r="E1032" t="str">
        <v>-</v>
      </c>
      <c r="F1032" t="str">
        <v>-</v>
      </c>
      <c r="G1032" t="str">
        <v>Lương Sơn, Yên Lập, Phú Thọ</v>
      </c>
    </row>
    <row r="1033">
      <c r="A1033">
        <v>7032</v>
      </c>
      <c r="B1033" t="str">
        <f>HYPERLINK("https://yenlap.phutho.gov.vn/khu-xuan-huong-xa-luong-son-to-chuc-ngay-hoi-dai-doan-ket-toan-dan-toc-nam-2023/", "UBND Ủy ban nhân dân xã Lương Sơn  tỉnh Phú Thọ")</f>
        <v>UBND Ủy ban nhân dân xã Lương Sơn  tỉnh Phú Thọ</v>
      </c>
      <c r="C1033" t="str">
        <v>https://yenlap.phutho.gov.vn/khu-xuan-huong-xa-luong-son-to-chuc-ngay-hoi-dai-doan-ket-toan-dan-toc-nam-2023/</v>
      </c>
      <c r="D1033" t="str">
        <v>-</v>
      </c>
      <c r="E1033" t="str">
        <v>-</v>
      </c>
      <c r="F1033" t="str">
        <v>-</v>
      </c>
      <c r="G1033" t="str">
        <v>-</v>
      </c>
    </row>
    <row r="1034">
      <c r="A1034">
        <v>7033</v>
      </c>
      <c r="B1034" t="str">
        <v>Công an xã Xuân An  tỉnh Phú Thọ</v>
      </c>
      <c r="C1034" t="str">
        <v>-</v>
      </c>
      <c r="D1034" t="str">
        <v>-</v>
      </c>
      <c r="E1034" t="str">
        <v/>
      </c>
      <c r="F1034" t="str">
        <v>-</v>
      </c>
      <c r="G1034" t="str">
        <v>-</v>
      </c>
    </row>
    <row r="1035">
      <c r="A1035">
        <v>7034</v>
      </c>
      <c r="B1035" t="str">
        <f>HYPERLINK("https://xuanphu.thoxuan.thanhhoa.gov.vn/", "UBND Ủy ban nhân dân xã Xuân An  tỉnh Phú Thọ")</f>
        <v>UBND Ủy ban nhân dân xã Xuân An  tỉnh Phú Thọ</v>
      </c>
      <c r="C1035" t="str">
        <v>https://xuanphu.thoxuan.thanhhoa.gov.vn/</v>
      </c>
      <c r="D1035" t="str">
        <v>-</v>
      </c>
      <c r="E1035" t="str">
        <v>-</v>
      </c>
      <c r="F1035" t="str">
        <v>-</v>
      </c>
      <c r="G1035" t="str">
        <v>-</v>
      </c>
    </row>
    <row r="1036">
      <c r="A1036">
        <v>7035</v>
      </c>
      <c r="B1036" t="str">
        <v>Công an xã Xuân Viên  tỉnh Phú Thọ</v>
      </c>
      <c r="C1036" t="str">
        <v>-</v>
      </c>
      <c r="D1036" t="str">
        <v>-</v>
      </c>
      <c r="E1036" t="str">
        <v/>
      </c>
      <c r="F1036" t="str">
        <v>-</v>
      </c>
      <c r="G1036" t="str">
        <v>-</v>
      </c>
    </row>
    <row r="1037">
      <c r="A1037">
        <v>7036</v>
      </c>
      <c r="B1037" t="str">
        <f>HYPERLINK("https://thoxuan.thanhhoa.gov.vn/", "UBND Ủy ban nhân dân xã Xuân Viên  tỉnh Phú Thọ")</f>
        <v>UBND Ủy ban nhân dân xã Xuân Viên  tỉnh Phú Thọ</v>
      </c>
      <c r="C1037" t="str">
        <v>https://thoxuan.thanhhoa.gov.vn/</v>
      </c>
      <c r="D1037" t="str">
        <v>-</v>
      </c>
      <c r="E1037" t="str">
        <v>-</v>
      </c>
      <c r="F1037" t="str">
        <v>-</v>
      </c>
      <c r="G1037" t="str">
        <v>-</v>
      </c>
    </row>
    <row r="1038">
      <c r="A1038">
        <v>7037</v>
      </c>
      <c r="B1038" t="str">
        <f>HYPERLINK("https://www.facebook.com/p/C%C3%B4ng-an-x%C3%A3-Xu%C3%A2n-Thu%E1%BB%B7-100066347632750/?locale=nl_NL", "Công an xã Xuân Thủy  tỉnh Phú Thọ")</f>
        <v>Công an xã Xuân Thủy  tỉnh Phú Thọ</v>
      </c>
      <c r="C1038" t="str">
        <v>https://www.facebook.com/p/C%C3%B4ng-an-x%C3%A3-Xu%C3%A2n-Thu%E1%BB%B7-100066347632750/?locale=nl_NL</v>
      </c>
      <c r="D1038" t="str">
        <v>0975469808</v>
      </c>
      <c r="E1038" t="str">
        <v>-</v>
      </c>
      <c r="F1038" t="str">
        <f>HYPERLINK("mailto:10051990.ad@gmail.com", "10051990.ad@gmail.com")</f>
        <v>10051990.ad@gmail.com</v>
      </c>
      <c r="G1038" t="str">
        <v>-</v>
      </c>
    </row>
    <row r="1039">
      <c r="A1039">
        <v>7038</v>
      </c>
      <c r="B1039" t="str">
        <f>HYPERLINK("https://thanhthuy.phutho.gov.vn/", "UBND Ủy ban nhân dân xã Xuân Thủy  tỉnh Phú Thọ")</f>
        <v>UBND Ủy ban nhân dân xã Xuân Thủy  tỉnh Phú Thọ</v>
      </c>
      <c r="C1039" t="str">
        <v>https://thanhthuy.phutho.gov.vn/</v>
      </c>
      <c r="D1039" t="str">
        <v>-</v>
      </c>
      <c r="E1039" t="str">
        <v>-</v>
      </c>
      <c r="F1039" t="str">
        <v>-</v>
      </c>
      <c r="G1039" t="str">
        <v>-</v>
      </c>
    </row>
    <row r="1040">
      <c r="A1040">
        <v>7039</v>
      </c>
      <c r="B1040" t="str">
        <f>HYPERLINK("https://www.facebook.com/p/C%C3%B4ng-an-x%C3%A3-Trung-S%C6%A1n-100068020364679/", "Công an xã Trung Sơn  tỉnh Phú Thọ")</f>
        <v>Công an xã Trung Sơn  tỉnh Phú Thọ</v>
      </c>
      <c r="C1040" t="str">
        <v>https://www.facebook.com/p/C%C3%B4ng-an-x%C3%A3-Trung-S%C6%A1n-100068020364679/</v>
      </c>
      <c r="D1040" t="str">
        <v>-</v>
      </c>
      <c r="E1040" t="str">
        <v/>
      </c>
      <c r="F1040" t="str">
        <v>-</v>
      </c>
      <c r="G1040" t="str">
        <v>-</v>
      </c>
    </row>
    <row r="1041">
      <c r="A1041">
        <v>7040</v>
      </c>
      <c r="B1041" t="str">
        <f>HYPERLINK("https://yenlap.phutho.gov.vn/tang-qua-tet-cho-ho-ngheo-ho-co-hoan-canh-kho-khan-tai-xa-trung-son/", "UBND Ủy ban nhân dân xã Trung Sơn  tỉnh Phú Thọ")</f>
        <v>UBND Ủy ban nhân dân xã Trung Sơn  tỉnh Phú Thọ</v>
      </c>
      <c r="C1041" t="str">
        <v>https://yenlap.phutho.gov.vn/tang-qua-tet-cho-ho-ngheo-ho-co-hoan-canh-kho-khan-tai-xa-trung-son/</v>
      </c>
      <c r="D1041" t="str">
        <v>-</v>
      </c>
      <c r="E1041" t="str">
        <v>-</v>
      </c>
      <c r="F1041" t="str">
        <v>-</v>
      </c>
      <c r="G1041" t="str">
        <v>-</v>
      </c>
    </row>
    <row r="1042">
      <c r="A1042">
        <v>7041</v>
      </c>
      <c r="B1042" t="str">
        <f>HYPERLINK("https://www.facebook.com/conganhunglong/", "Công an xã Hưng Long  tỉnh Phú Thọ")</f>
        <v>Công an xã Hưng Long  tỉnh Phú Thọ</v>
      </c>
      <c r="C1042" t="str">
        <v>https://www.facebook.com/conganhunglong/</v>
      </c>
      <c r="D1042" t="str">
        <v>-</v>
      </c>
      <c r="E1042" t="str">
        <v/>
      </c>
      <c r="F1042" t="str">
        <v>-</v>
      </c>
      <c r="G1042" t="str">
        <v>-</v>
      </c>
    </row>
    <row r="1043">
      <c r="A1043">
        <v>7042</v>
      </c>
      <c r="B1043" t="str">
        <f>HYPERLINK("https://yenlap.phutho.gov.vn/", "UBND Ủy ban nhân dân xã Hưng Long  tỉnh Phú Thọ")</f>
        <v>UBND Ủy ban nhân dân xã Hưng Long  tỉnh Phú Thọ</v>
      </c>
      <c r="C1043" t="str">
        <v>https://yenlap.phutho.gov.vn/</v>
      </c>
      <c r="D1043" t="str">
        <v>-</v>
      </c>
      <c r="E1043" t="str">
        <v>-</v>
      </c>
      <c r="F1043" t="str">
        <v>-</v>
      </c>
      <c r="G1043" t="str">
        <v>-</v>
      </c>
    </row>
    <row r="1044">
      <c r="A1044">
        <v>7043</v>
      </c>
      <c r="B1044" t="str">
        <v>Công an xã Nga Hoàng  tỉnh Phú Thọ</v>
      </c>
      <c r="C1044" t="str">
        <v>-</v>
      </c>
      <c r="D1044" t="str">
        <v>-</v>
      </c>
      <c r="E1044" t="str">
        <v/>
      </c>
      <c r="F1044" t="str">
        <v>-</v>
      </c>
      <c r="G1044" t="str">
        <v>-</v>
      </c>
    </row>
    <row r="1045">
      <c r="A1045">
        <v>7044</v>
      </c>
      <c r="B1045" t="str">
        <f>HYPERLINK("https://yenlap.phutho.gov.vn/khu-trung-loi-xa-nga-hoang-to-chuc-ngay-hoi-dai-doan-ket-toan-dan-toc/", "UBND Ủy ban nhân dân xã Nga Hoàng  tỉnh Phú Thọ")</f>
        <v>UBND Ủy ban nhân dân xã Nga Hoàng  tỉnh Phú Thọ</v>
      </c>
      <c r="C1045" t="str">
        <v>https://yenlap.phutho.gov.vn/khu-trung-loi-xa-nga-hoang-to-chuc-ngay-hoi-dai-doan-ket-toan-dan-toc/</v>
      </c>
      <c r="D1045" t="str">
        <v>-</v>
      </c>
      <c r="E1045" t="str">
        <v>-</v>
      </c>
      <c r="F1045" t="str">
        <v>-</v>
      </c>
      <c r="G1045" t="str">
        <v>-</v>
      </c>
    </row>
    <row r="1046">
      <c r="A1046">
        <v>7045</v>
      </c>
      <c r="B1046" t="str">
        <f>HYPERLINK("https://www.facebook.com/conganxadonglac/", "Công an xã Đồng Lạc  tỉnh Phú Thọ")</f>
        <v>Công an xã Đồng Lạc  tỉnh Phú Thọ</v>
      </c>
      <c r="C1046" t="str">
        <v>https://www.facebook.com/conganxadonglac/</v>
      </c>
      <c r="D1046" t="str">
        <v>-</v>
      </c>
      <c r="E1046" t="str">
        <v/>
      </c>
      <c r="F1046" t="str">
        <v>-</v>
      </c>
      <c r="G1046" t="str">
        <v>-</v>
      </c>
    </row>
    <row r="1047">
      <c r="A1047">
        <v>7046</v>
      </c>
      <c r="B1047" t="str">
        <f>HYPERLINK("https://yenlap.phutho.gov.vn/khu-minh-cat-xa-dong-lac-to-chuc-ngay-hoi-dai-doan-ket-toan-dan-toc/", "UBND Ủy ban nhân dân xã Đồng Lạc  tỉnh Phú Thọ")</f>
        <v>UBND Ủy ban nhân dân xã Đồng Lạc  tỉnh Phú Thọ</v>
      </c>
      <c r="C1047" t="str">
        <v>https://yenlap.phutho.gov.vn/khu-minh-cat-xa-dong-lac-to-chuc-ngay-hoi-dai-doan-ket-toan-dan-toc/</v>
      </c>
      <c r="D1047" t="str">
        <v>-</v>
      </c>
      <c r="E1047" t="str">
        <v>-</v>
      </c>
      <c r="F1047" t="str">
        <v>-</v>
      </c>
      <c r="G1047" t="str">
        <v>-</v>
      </c>
    </row>
    <row r="1048">
      <c r="A1048">
        <v>7047</v>
      </c>
      <c r="B1048" t="str">
        <f>HYPERLINK("https://www.facebook.com/p/C%C3%B4ng-an-x%C3%A3-Th%C6%B0%E1%BB%A3ng-Long-100080038914428/", "Công an xã Thượng Long  tỉnh Phú Thọ")</f>
        <v>Công an xã Thượng Long  tỉnh Phú Thọ</v>
      </c>
      <c r="C1048" t="str">
        <v>https://www.facebook.com/p/C%C3%B4ng-an-x%C3%A3-Th%C6%B0%E1%BB%A3ng-Long-100080038914428/</v>
      </c>
      <c r="D1048" t="str">
        <v>-</v>
      </c>
      <c r="E1048" t="str">
        <v/>
      </c>
      <c r="F1048" t="str">
        <v>-</v>
      </c>
      <c r="G1048" t="str">
        <v>-</v>
      </c>
    </row>
    <row r="1049">
      <c r="A1049">
        <v>7048</v>
      </c>
      <c r="B1049" t="str">
        <f>HYPERLINK("https://yenlap.phutho.gov.vn/xa-thuong-long-to-chuc-le-dang-huong-dang-hoa-tuong-nho-cac-anh-hung-liet-sy-nhan-dip-ky-niem-77-nam-ngay-thuong-binh-liet-sy/", "UBND Ủy ban nhân dân xã Thượng Long  tỉnh Phú Thọ")</f>
        <v>UBND Ủy ban nhân dân xã Thượng Long  tỉnh Phú Thọ</v>
      </c>
      <c r="C1049" t="str">
        <v>https://yenlap.phutho.gov.vn/xa-thuong-long-to-chuc-le-dang-huong-dang-hoa-tuong-nho-cac-anh-hung-liet-sy-nhan-dip-ky-niem-77-nam-ngay-thuong-binh-liet-sy/</v>
      </c>
      <c r="D1049" t="str">
        <v>-</v>
      </c>
      <c r="E1049" t="str">
        <v>-</v>
      </c>
      <c r="F1049" t="str">
        <v>-</v>
      </c>
      <c r="G1049" t="str">
        <v>-</v>
      </c>
    </row>
    <row r="1050">
      <c r="A1050">
        <v>7049</v>
      </c>
      <c r="B1050" t="str">
        <f>HYPERLINK("https://www.facebook.com/caxdongthinhyenlapphutho/", "Công an xã Đồng Thịnh  tỉnh Phú Thọ")</f>
        <v>Công an xã Đồng Thịnh  tỉnh Phú Thọ</v>
      </c>
      <c r="C1050" t="str">
        <v>https://www.facebook.com/caxdongthinhyenlapphutho/</v>
      </c>
      <c r="D1050" t="str">
        <v>0389898282</v>
      </c>
      <c r="E1050" t="str">
        <v>-</v>
      </c>
      <c r="F1050" t="str">
        <v>-</v>
      </c>
      <c r="G1050" t="str">
        <v>Ủy ban nhân dân xã Đồng Thịnh, Yên Lập, Phú Thọ</v>
      </c>
    </row>
    <row r="1051">
      <c r="A1051">
        <v>7050</v>
      </c>
      <c r="B1051" t="str">
        <f>HYPERLINK("https://songlo.vinhphuc.gov.vn/noidung/Lists/Hethongchinhtri/View_Detail.aspx?ItemID=61", "UBND Ủy ban nhân dân xã Đồng Thịnh  tỉnh Phú Thọ")</f>
        <v>UBND Ủy ban nhân dân xã Đồng Thịnh  tỉnh Phú Thọ</v>
      </c>
      <c r="C1051" t="str">
        <v>https://songlo.vinhphuc.gov.vn/noidung/Lists/Hethongchinhtri/View_Detail.aspx?ItemID=61</v>
      </c>
      <c r="D1051" t="str">
        <v>-</v>
      </c>
      <c r="E1051" t="str">
        <v>-</v>
      </c>
      <c r="F1051" t="str">
        <v>-</v>
      </c>
      <c r="G1051" t="str">
        <v>-</v>
      </c>
    </row>
    <row r="1052">
      <c r="A1052">
        <v>7051</v>
      </c>
      <c r="B1052" t="str">
        <f>HYPERLINK("https://www.facebook.com/p/C%C3%B4ng-an-x%C3%A3-Ph%C3%BAc-Kh%C3%A1nh-100069710019958/", "Công an xã Phúc Khánh  tỉnh Phú Thọ")</f>
        <v>Công an xã Phúc Khánh  tỉnh Phú Thọ</v>
      </c>
      <c r="C1052" t="str">
        <v>https://www.facebook.com/p/C%C3%B4ng-an-x%C3%A3-Ph%C3%BAc-Kh%C3%A1nh-100069710019958/</v>
      </c>
      <c r="D1052" t="str">
        <v>-</v>
      </c>
      <c r="E1052" t="str">
        <v/>
      </c>
      <c r="F1052" t="str">
        <v>-</v>
      </c>
      <c r="G1052" t="str">
        <v>-</v>
      </c>
    </row>
    <row r="1053">
      <c r="A1053">
        <v>7052</v>
      </c>
      <c r="B1053" t="str">
        <f>HYPERLINK("https://yenlap.phutho.gov.vn/khu-dinh-xa-phuc-khanh-to-chuc-ngay-hoi-dai-doan-ket-toan-dan-toc/", "UBND Ủy ban nhân dân xã Phúc Khánh  tỉnh Phú Thọ")</f>
        <v>UBND Ủy ban nhân dân xã Phúc Khánh  tỉnh Phú Thọ</v>
      </c>
      <c r="C1053" t="str">
        <v>https://yenlap.phutho.gov.vn/khu-dinh-xa-phuc-khanh-to-chuc-ngay-hoi-dai-doan-ket-toan-dan-toc/</v>
      </c>
      <c r="D1053" t="str">
        <v>-</v>
      </c>
      <c r="E1053" t="str">
        <v>-</v>
      </c>
      <c r="F1053" t="str">
        <v>-</v>
      </c>
      <c r="G1053" t="str">
        <v>-</v>
      </c>
    </row>
    <row r="1054">
      <c r="A1054">
        <v>7053</v>
      </c>
      <c r="B1054" t="str">
        <f>HYPERLINK("https://www.facebook.com/p/C%C3%B4ng-an-x%C3%A3-Minh-H%C3%B2a-100067023182200/", "Công an xã Minh Hòa  tỉnh Phú Thọ")</f>
        <v>Công an xã Minh Hòa  tỉnh Phú Thọ</v>
      </c>
      <c r="C1054" t="str">
        <v>https://www.facebook.com/p/C%C3%B4ng-an-x%C3%A3-Minh-H%C3%B2a-100067023182200/</v>
      </c>
      <c r="D1054" t="str">
        <v>0982870071</v>
      </c>
      <c r="E1054" t="str">
        <v>-</v>
      </c>
      <c r="F1054" t="str">
        <f>HYPERLINK("mailto:Conganminhhoa@gmail.com", "Conganminhhoa@gmail.com")</f>
        <v>Conganminhhoa@gmail.com</v>
      </c>
      <c r="G1054" t="str">
        <v>-</v>
      </c>
    </row>
    <row r="1055">
      <c r="A1055">
        <v>7054</v>
      </c>
      <c r="B1055" t="str">
        <f>HYPERLINK("https://yenlap.phutho.gov.vn/", "UBND Ủy ban nhân dân xã Minh Hòa  tỉnh Phú Thọ")</f>
        <v>UBND Ủy ban nhân dân xã Minh Hòa  tỉnh Phú Thọ</v>
      </c>
      <c r="C1055" t="str">
        <v>https://yenlap.phutho.gov.vn/</v>
      </c>
      <c r="D1055" t="str">
        <v>-</v>
      </c>
      <c r="E1055" t="str">
        <v>-</v>
      </c>
      <c r="F1055" t="str">
        <v>-</v>
      </c>
      <c r="G1055" t="str">
        <v>-</v>
      </c>
    </row>
    <row r="1056">
      <c r="A1056">
        <v>7055</v>
      </c>
      <c r="B1056" t="str">
        <v>Công an xã Ngọc Lập  tỉnh Phú Thọ</v>
      </c>
      <c r="C1056" t="str">
        <v>-</v>
      </c>
      <c r="D1056" t="str">
        <v>-</v>
      </c>
      <c r="E1056" t="str">
        <v/>
      </c>
      <c r="F1056" t="str">
        <v>-</v>
      </c>
      <c r="G1056" t="str">
        <v>-</v>
      </c>
    </row>
    <row r="1057">
      <c r="A1057">
        <v>7056</v>
      </c>
      <c r="B1057" t="str">
        <f>HYPERLINK("https://yenlap.phutho.gov.vn/ngoc-lap-ra-mat-luc-luong-tham-gia-bao-ve-an-ninh-trat-tu-o-co-so/", "UBND Ủy ban nhân dân xã Ngọc Lập  tỉnh Phú Thọ")</f>
        <v>UBND Ủy ban nhân dân xã Ngọc Lập  tỉnh Phú Thọ</v>
      </c>
      <c r="C1057" t="str">
        <v>https://yenlap.phutho.gov.vn/ngoc-lap-ra-mat-luc-luong-tham-gia-bao-ve-an-ninh-trat-tu-o-co-so/</v>
      </c>
      <c r="D1057" t="str">
        <v>-</v>
      </c>
      <c r="E1057" t="str">
        <v>-</v>
      </c>
      <c r="F1057" t="str">
        <v>-</v>
      </c>
      <c r="G1057" t="str">
        <v>-</v>
      </c>
    </row>
    <row r="1058">
      <c r="A1058">
        <v>7057</v>
      </c>
      <c r="B1058" t="str">
        <f>HYPERLINK("https://www.facebook.com/p/C%C3%B4ng-an-x%C3%A3-Ng%E1%BB%8Dc-%C4%90%E1%BB%93ng-Y%C3%AAn-L%E1%BA%ADp-100086389350445/", "Công an xã Ngọc Đồng  tỉnh Phú Thọ")</f>
        <v>Công an xã Ngọc Đồng  tỉnh Phú Thọ</v>
      </c>
      <c r="C1058" t="str">
        <v>https://www.facebook.com/p/C%C3%B4ng-an-x%C3%A3-Ng%E1%BB%8Dc-%C4%90%E1%BB%93ng-Y%C3%AAn-L%E1%BA%ADp-100086389350445/</v>
      </c>
      <c r="D1058" t="str">
        <v>-</v>
      </c>
      <c r="E1058" t="str">
        <v/>
      </c>
      <c r="F1058" t="str">
        <v>-</v>
      </c>
      <c r="G1058" t="str">
        <v>-</v>
      </c>
    </row>
    <row r="1059">
      <c r="A1059">
        <v>7058</v>
      </c>
      <c r="B1059" t="str">
        <f>HYPERLINK("https://yenlap.phutho.gov.vn/dang-bo-xa-ngoc-dong-70-nam-xay-dung-va-phat-trien/", "UBND Ủy ban nhân dân xã Ngọc Đồng  tỉnh Phú Thọ")</f>
        <v>UBND Ủy ban nhân dân xã Ngọc Đồng  tỉnh Phú Thọ</v>
      </c>
      <c r="C1059" t="str">
        <v>https://yenlap.phutho.gov.vn/dang-bo-xa-ngoc-dong-70-nam-xay-dung-va-phat-trien/</v>
      </c>
      <c r="D1059" t="str">
        <v>-</v>
      </c>
      <c r="E1059" t="str">
        <v>-</v>
      </c>
      <c r="F1059" t="str">
        <v>-</v>
      </c>
      <c r="G1059" t="str">
        <v>-</v>
      </c>
    </row>
    <row r="1060">
      <c r="A1060">
        <v>7059</v>
      </c>
      <c r="B1060" t="str">
        <f>HYPERLINK("https://www.facebook.com/thptsongthao.camkhe.phutho/", "Công an thị trấn Sông Thao  tỉnh Phú Thọ")</f>
        <v>Công an thị trấn Sông Thao  tỉnh Phú Thọ</v>
      </c>
      <c r="C1060" t="str">
        <v>https://www.facebook.com/thptsongthao.camkhe.phutho/</v>
      </c>
      <c r="D1060" t="str">
        <v>0988276046</v>
      </c>
      <c r="E1060" t="str">
        <v>-</v>
      </c>
      <c r="F1060" t="str">
        <f>HYPERLINK("mailto:thptsongthao.camkhe.phutho@gmail.com", "thptsongthao.camkhe.phutho@gmail.com")</f>
        <v>thptsongthao.camkhe.phutho@gmail.com</v>
      </c>
      <c r="G1060" t="str">
        <v>Khu Đồng Hàng- Thị trấn Cẩm Khê- Huyện Cẩm Khê, Phu Tho, Vietnam</v>
      </c>
    </row>
    <row r="1061">
      <c r="A1061">
        <v>7060</v>
      </c>
      <c r="B1061" t="str">
        <f>HYPERLINK("https://camkhe.phutho.gov.vn/Chuyen-muc-tin/Chi-tiet-tin/t/cum-cong-nghiep-thi-tran-song-thao/title/14921/ctitle/128", "UBND Ủy ban nhân dân thị trấn Sông Thao  tỉnh Phú Thọ")</f>
        <v>UBND Ủy ban nhân dân thị trấn Sông Thao  tỉnh Phú Thọ</v>
      </c>
      <c r="C1061" t="str">
        <v>https://camkhe.phutho.gov.vn/Chuyen-muc-tin/Chi-tiet-tin/t/cum-cong-nghiep-thi-tran-song-thao/title/14921/ctitle/128</v>
      </c>
      <c r="D1061" t="str">
        <v>-</v>
      </c>
      <c r="E1061" t="str">
        <v>-</v>
      </c>
      <c r="F1061" t="str">
        <v>-</v>
      </c>
      <c r="G1061" t="str">
        <v>-</v>
      </c>
    </row>
    <row r="1062">
      <c r="A1062">
        <v>7061</v>
      </c>
      <c r="B1062" t="str">
        <f>HYPERLINK("https://www.facebook.com/CongantinhPhuTho19/?locale=en_GB", "Công an xã Tiên Lương  tỉnh Phú Thọ")</f>
        <v>Công an xã Tiên Lương  tỉnh Phú Thọ</v>
      </c>
      <c r="C1062" t="str">
        <v>https://www.facebook.com/CongantinhPhuTho19/?locale=en_GB</v>
      </c>
      <c r="D1062" t="str">
        <v>-</v>
      </c>
      <c r="E1062" t="str">
        <v/>
      </c>
      <c r="F1062" t="str">
        <v>-</v>
      </c>
      <c r="G1062" t="str">
        <v>-</v>
      </c>
    </row>
    <row r="1063">
      <c r="A1063">
        <v>7062</v>
      </c>
      <c r="B1063" t="str">
        <f>HYPERLINK("https://camkhe.phutho.gov.vn/Chuyen-muc-tin/Chi-tiet-tin/t/dai-hoi-dai-bieu-mat-tran-to-quoc-xa-tien-luong-nhiem-ky-2024-2029/title/18402/ctitle/3", "UBND Ủy ban nhân dân xã Tiên Lương  tỉnh Phú Thọ")</f>
        <v>UBND Ủy ban nhân dân xã Tiên Lương  tỉnh Phú Thọ</v>
      </c>
      <c r="C1063" t="str">
        <v>https://camkhe.phutho.gov.vn/Chuyen-muc-tin/Chi-tiet-tin/t/dai-hoi-dai-bieu-mat-tran-to-quoc-xa-tien-luong-nhiem-ky-2024-2029/title/18402/ctitle/3</v>
      </c>
      <c r="D1063" t="str">
        <v>-</v>
      </c>
      <c r="E1063" t="str">
        <v>-</v>
      </c>
      <c r="F1063" t="str">
        <v>-</v>
      </c>
      <c r="G1063" t="str">
        <v>-</v>
      </c>
    </row>
    <row r="1064">
      <c r="A1064">
        <v>7063</v>
      </c>
      <c r="B1064" t="str">
        <f>HYPERLINK("https://www.facebook.com/p/C%C3%B4ng-an-x%C3%A3-Tuy-L%E1%BB%99c-C%E1%BA%A9m-Kh%C3%AA-100079972037061/", "Công an xã Tuy Lộc  tỉnh Phú Thọ")</f>
        <v>Công an xã Tuy Lộc  tỉnh Phú Thọ</v>
      </c>
      <c r="C1064" t="str">
        <v>https://www.facebook.com/p/C%C3%B4ng-an-x%C3%A3-Tuy-L%E1%BB%99c-C%E1%BA%A9m-Kh%C3%AA-100079972037061/</v>
      </c>
      <c r="D1064" t="str">
        <v>0982834066</v>
      </c>
      <c r="E1064" t="str">
        <v>-</v>
      </c>
      <c r="F1064" t="str">
        <f>HYPERLINK("mailto:conganxatuyloccamkhe@gmail.com", "conganxatuyloccamkhe@gmail.com")</f>
        <v>conganxatuyloccamkhe@gmail.com</v>
      </c>
      <c r="G1064" t="str">
        <v>-</v>
      </c>
    </row>
    <row r="1065">
      <c r="A1065">
        <v>7064</v>
      </c>
      <c r="B1065" t="str">
        <f>HYPERLINK("https://camkhe.phutho.gov.vn/Chuyen-muc-tin/t/uy-ban-nhan-dan/ctitle/133", "UBND Ủy ban nhân dân xã Tuy Lộc  tỉnh Phú Thọ")</f>
        <v>UBND Ủy ban nhân dân xã Tuy Lộc  tỉnh Phú Thọ</v>
      </c>
      <c r="C1065" t="str">
        <v>https://camkhe.phutho.gov.vn/Chuyen-muc-tin/t/uy-ban-nhan-dan/ctitle/133</v>
      </c>
      <c r="D1065" t="str">
        <v>-</v>
      </c>
      <c r="E1065" t="str">
        <v>-</v>
      </c>
      <c r="F1065" t="str">
        <v>-</v>
      </c>
      <c r="G1065" t="str">
        <v>-</v>
      </c>
    </row>
    <row r="1066">
      <c r="A1066">
        <v>7065</v>
      </c>
      <c r="B1066" t="str">
        <f>HYPERLINK("https://www.facebook.com/ngoxa.ca/", "Công an xã Ngô Xá  tỉnh Phú Thọ")</f>
        <v>Công an xã Ngô Xá  tỉnh Phú Thọ</v>
      </c>
      <c r="C1066" t="str">
        <v>https://www.facebook.com/ngoxa.ca/</v>
      </c>
      <c r="D1066" t="str">
        <v>-</v>
      </c>
      <c r="E1066" t="str">
        <v/>
      </c>
      <c r="F1066" t="str">
        <v>-</v>
      </c>
      <c r="G1066" t="str">
        <v>-</v>
      </c>
    </row>
    <row r="1067">
      <c r="A1067">
        <v>7066</v>
      </c>
      <c r="B1067" t="str">
        <f>HYPERLINK("https://camkhe.phutho.gov.vn/Chuyen-muc-tin/t/uy-ban-nhan-dan/ctitle/133", "UBND Ủy ban nhân dân xã Ngô Xá  tỉnh Phú Thọ")</f>
        <v>UBND Ủy ban nhân dân xã Ngô Xá  tỉnh Phú Thọ</v>
      </c>
      <c r="C1067" t="str">
        <v>https://camkhe.phutho.gov.vn/Chuyen-muc-tin/t/uy-ban-nhan-dan/ctitle/133</v>
      </c>
      <c r="D1067" t="str">
        <v>-</v>
      </c>
      <c r="E1067" t="str">
        <v>-</v>
      </c>
      <c r="F1067" t="str">
        <v>-</v>
      </c>
      <c r="G1067" t="str">
        <v>-</v>
      </c>
    </row>
    <row r="1068">
      <c r="A1068">
        <v>7067</v>
      </c>
      <c r="B1068" t="str">
        <v>Công an xã Phương Xá  tỉnh Phú Thọ</v>
      </c>
      <c r="C1068" t="str">
        <v>-</v>
      </c>
      <c r="D1068" t="str">
        <v>-</v>
      </c>
      <c r="E1068" t="str">
        <v/>
      </c>
      <c r="F1068" t="str">
        <v>-</v>
      </c>
      <c r="G1068" t="str">
        <v>-</v>
      </c>
    </row>
    <row r="1069">
      <c r="A1069">
        <v>7068</v>
      </c>
      <c r="B1069" t="str">
        <f>HYPERLINK("https://camkhe.phutho.gov.vn/Chuyen-muc-tin/t/uy-ban-nhan-dan/ctitle/133", "UBND Ủy ban nhân dân xã Phương Xá  tỉnh Phú Thọ")</f>
        <v>UBND Ủy ban nhân dân xã Phương Xá  tỉnh Phú Thọ</v>
      </c>
      <c r="C1069" t="str">
        <v>https://camkhe.phutho.gov.vn/Chuyen-muc-tin/t/uy-ban-nhan-dan/ctitle/133</v>
      </c>
      <c r="D1069" t="str">
        <v>-</v>
      </c>
      <c r="E1069" t="str">
        <v>-</v>
      </c>
      <c r="F1069" t="str">
        <v>-</v>
      </c>
      <c r="G1069" t="str">
        <v>-</v>
      </c>
    </row>
    <row r="1070">
      <c r="A1070">
        <v>7069</v>
      </c>
      <c r="B1070" t="str">
        <f>HYPERLINK("https://www.facebook.com/p/C%C3%B4ng-an-x%C3%A3-Ph%C6%B0%E1%BB%A3ng-V%C4%A9-C%E1%BA%A9m-Kh%C3%AA-100064531490689/", "Công an xã Phượng Vĩ  tỉnh Phú Thọ")</f>
        <v>Công an xã Phượng Vĩ  tỉnh Phú Thọ</v>
      </c>
      <c r="C1070" t="str">
        <v>https://www.facebook.com/p/C%C3%B4ng-an-x%C3%A3-Ph%C6%B0%E1%BB%A3ng-V%C4%A9-C%E1%BA%A9m-Kh%C3%AA-100064531490689/</v>
      </c>
      <c r="D1070" t="str">
        <v>-</v>
      </c>
      <c r="E1070" t="str">
        <v/>
      </c>
      <c r="F1070" t="str">
        <v>-</v>
      </c>
      <c r="G1070" t="str">
        <v>Cam Khe, Vietnam</v>
      </c>
    </row>
    <row r="1071">
      <c r="A1071">
        <v>7070</v>
      </c>
      <c r="B1071" t="str">
        <f>HYPERLINK("https://camkhe.phutho.gov.vn/Chuyen-muc-tin/Chi-tiet-tin/t/xa-phuong-vi-tap-trung-nguon-luc-de-dat-chuan-nong-thon-moi-/title/19423/ctitle/123", "UBND Ủy ban nhân dân xã Phượng Vĩ  tỉnh Phú Thọ")</f>
        <v>UBND Ủy ban nhân dân xã Phượng Vĩ  tỉnh Phú Thọ</v>
      </c>
      <c r="C1071" t="str">
        <v>https://camkhe.phutho.gov.vn/Chuyen-muc-tin/Chi-tiet-tin/t/xa-phuong-vi-tap-trung-nguon-luc-de-dat-chuan-nong-thon-moi-/title/19423/ctitle/123</v>
      </c>
      <c r="D1071" t="str">
        <v>-</v>
      </c>
      <c r="E1071" t="str">
        <v>-</v>
      </c>
      <c r="F1071" t="str">
        <v>-</v>
      </c>
      <c r="G1071" t="str">
        <v>-</v>
      </c>
    </row>
    <row r="1072">
      <c r="A1072">
        <v>7071</v>
      </c>
      <c r="B1072" t="str">
        <v>Công an xã Đồng Cam  tỉnh Phú Thọ</v>
      </c>
      <c r="C1072" t="str">
        <v>-</v>
      </c>
      <c r="D1072" t="str">
        <v>-</v>
      </c>
      <c r="E1072" t="str">
        <v/>
      </c>
      <c r="F1072" t="str">
        <v>-</v>
      </c>
      <c r="G1072" t="str">
        <v>-</v>
      </c>
    </row>
    <row r="1073">
      <c r="A1073">
        <v>7072</v>
      </c>
      <c r="B1073" t="str">
        <f>HYPERLINK("https://camkhe.phutho.gov.vn/Chuyen-muc-tin/t/uy-ban-nhan-dan/ctitle/133", "UBND Ủy ban nhân dân xã Đồng Cam  tỉnh Phú Thọ")</f>
        <v>UBND Ủy ban nhân dân xã Đồng Cam  tỉnh Phú Thọ</v>
      </c>
      <c r="C1073" t="str">
        <v>https://camkhe.phutho.gov.vn/Chuyen-muc-tin/t/uy-ban-nhan-dan/ctitle/133</v>
      </c>
      <c r="D1073" t="str">
        <v>-</v>
      </c>
      <c r="E1073" t="str">
        <v>-</v>
      </c>
      <c r="F1073" t="str">
        <v>-</v>
      </c>
      <c r="G1073" t="str">
        <v>-</v>
      </c>
    </row>
    <row r="1074">
      <c r="A1074">
        <v>7073</v>
      </c>
      <c r="B1074" t="str">
        <f>HYPERLINK("https://www.facebook.com/p/C%C3%B4ng-an-x%C3%A3-Th%E1%BB%A5y-Li%E1%BB%85u-C%E1%BA%A9m-Kh%C3%AA-100080204922181/", "Công an xã Thụy Liễu  tỉnh Phú Thọ")</f>
        <v>Công an xã Thụy Liễu  tỉnh Phú Thọ</v>
      </c>
      <c r="C1074" t="str">
        <v>https://www.facebook.com/p/C%C3%B4ng-an-x%C3%A3-Th%E1%BB%A5y-Li%E1%BB%85u-C%E1%BA%A9m-Kh%C3%AA-100080204922181/</v>
      </c>
      <c r="D1074" t="str">
        <v>-</v>
      </c>
      <c r="E1074" t="str">
        <v/>
      </c>
      <c r="F1074" t="str">
        <v>-</v>
      </c>
      <c r="G1074" t="str">
        <v>-</v>
      </c>
    </row>
    <row r="1075">
      <c r="A1075">
        <v>7074</v>
      </c>
      <c r="B1075" t="str">
        <f>HYPERLINK("https://camkhe.phutho.gov.vn/Chuyen-muc-tin/t/uy-ban-nhan-dan/ctitle/133", "UBND Ủy ban nhân dân xã Thụy Liễu  tỉnh Phú Thọ")</f>
        <v>UBND Ủy ban nhân dân xã Thụy Liễu  tỉnh Phú Thọ</v>
      </c>
      <c r="C1075" t="str">
        <v>https://camkhe.phutho.gov.vn/Chuyen-muc-tin/t/uy-ban-nhan-dan/ctitle/133</v>
      </c>
      <c r="D1075" t="str">
        <v>-</v>
      </c>
      <c r="E1075" t="str">
        <v>-</v>
      </c>
      <c r="F1075" t="str">
        <v>-</v>
      </c>
      <c r="G1075" t="str">
        <v>-</v>
      </c>
    </row>
    <row r="1076">
      <c r="A1076">
        <v>7075</v>
      </c>
      <c r="B1076" t="str">
        <f>HYPERLINK("https://www.facebook.com/p/C%C3%B4ng-an-x%C3%A3-Ph%C3%B9ng-Nguy%C3%AAn-100070679190273/", "Công an xã Phùng Xá  tỉnh Phú Thọ")</f>
        <v>Công an xã Phùng Xá  tỉnh Phú Thọ</v>
      </c>
      <c r="C1076" t="str">
        <v>https://www.facebook.com/p/C%C3%B4ng-an-x%C3%A3-Ph%C3%B9ng-Nguy%C3%AAn-100070679190273/</v>
      </c>
      <c r="D1076" t="str">
        <v>-</v>
      </c>
      <c r="E1076" t="str">
        <v/>
      </c>
      <c r="F1076" t="str">
        <f>HYPERLINK("mailto:caphungnguyen88@gmail.com", "caphungnguyen88@gmail.com")</f>
        <v>caphungnguyen88@gmail.com</v>
      </c>
      <c r="G1076" t="str">
        <v>Phu Tho, Vietnam</v>
      </c>
    </row>
    <row r="1077">
      <c r="A1077">
        <v>7076</v>
      </c>
      <c r="B1077" t="str">
        <f>HYPERLINK("https://camkhe.phutho.gov.vn/Chuyen-muc-tin/Chi-tiet-tin/title/18766/ctitle/123?t=L%E1%BB%85%20h%E1%BB%99i%20%C4%90%C3%ACnh%20C%E1%BA%A3%20-%20Ph%C3%B9ng%20X%C3%A1%20x%C3%A3%20Minh%20T%C3%A2n.", "UBND Ủy ban nhân dân xã Phùng Xá  tỉnh Phú Thọ")</f>
        <v>UBND Ủy ban nhân dân xã Phùng Xá  tỉnh Phú Thọ</v>
      </c>
      <c r="C1077" t="str">
        <v>https://camkhe.phutho.gov.vn/Chuyen-muc-tin/Chi-tiet-tin/title/18766/ctitle/123?t=L%E1%BB%85%20h%E1%BB%99i%20%C4%90%C3%ACnh%20C%E1%BA%A3%20-%20Ph%C3%B9ng%20X%C3%A1%20x%C3%A3%20Minh%20T%C3%A2n.</v>
      </c>
      <c r="D1077" t="str">
        <v>-</v>
      </c>
      <c r="E1077" t="str">
        <v>-</v>
      </c>
      <c r="F1077" t="str">
        <v>-</v>
      </c>
      <c r="G1077" t="str">
        <v>-</v>
      </c>
    </row>
    <row r="1078">
      <c r="A1078">
        <v>7077</v>
      </c>
      <c r="B1078" t="str">
        <v>Công an xã Sơn Nga  tỉnh Phú Thọ</v>
      </c>
      <c r="C1078" t="str">
        <v>-</v>
      </c>
      <c r="D1078" t="str">
        <v>-</v>
      </c>
      <c r="E1078" t="str">
        <v/>
      </c>
      <c r="F1078" t="str">
        <v>-</v>
      </c>
      <c r="G1078" t="str">
        <v>-</v>
      </c>
    </row>
    <row r="1079">
      <c r="A1079">
        <v>7078</v>
      </c>
      <c r="B1079" t="str">
        <f>HYPERLINK("https://sonvi.lamthao.phutho.gov.vn/", "UBND Ủy ban nhân dân xã Sơn Nga  tỉnh Phú Thọ")</f>
        <v>UBND Ủy ban nhân dân xã Sơn Nga  tỉnh Phú Thọ</v>
      </c>
      <c r="C1079" t="str">
        <v>https://sonvi.lamthao.phutho.gov.vn/</v>
      </c>
      <c r="D1079" t="str">
        <v>-</v>
      </c>
      <c r="E1079" t="str">
        <v>-</v>
      </c>
      <c r="F1079" t="str">
        <v>-</v>
      </c>
      <c r="G1079" t="str">
        <v>-</v>
      </c>
    </row>
    <row r="1080">
      <c r="A1080">
        <v>7079</v>
      </c>
      <c r="B1080" t="str">
        <f>HYPERLINK("https://www.facebook.com/groups/1511925465731014/", "Công an xã Sai Nga  tỉnh Phú Thọ")</f>
        <v>Công an xã Sai Nga  tỉnh Phú Thọ</v>
      </c>
      <c r="C1080" t="str">
        <v>https://www.facebook.com/groups/1511925465731014/</v>
      </c>
      <c r="D1080" t="str">
        <v>-</v>
      </c>
      <c r="E1080" t="str">
        <v/>
      </c>
      <c r="F1080" t="str">
        <v>-</v>
      </c>
      <c r="G1080" t="str">
        <v>-</v>
      </c>
    </row>
    <row r="1081">
      <c r="A1081">
        <v>7080</v>
      </c>
      <c r="B1081" t="str">
        <f>HYPERLINK("http://congbao.phutho.gov.vn/cong-bao.html?a=1&amp;gazetteid=163&amp;gazettetype=0&amp;publishyear=2014", "UBND Ủy ban nhân dân xã Sai Nga  tỉnh Phú Thọ")</f>
        <v>UBND Ủy ban nhân dân xã Sai Nga  tỉnh Phú Thọ</v>
      </c>
      <c r="C1081" t="str">
        <v>http://congbao.phutho.gov.vn/cong-bao.html?a=1&amp;gazetteid=163&amp;gazettetype=0&amp;publishyear=2014</v>
      </c>
      <c r="D1081" t="str">
        <v>-</v>
      </c>
      <c r="E1081" t="str">
        <v>-</v>
      </c>
      <c r="F1081" t="str">
        <v>-</v>
      </c>
      <c r="G1081" t="str">
        <v>-</v>
      </c>
    </row>
    <row r="1082">
      <c r="A1082">
        <v>7081</v>
      </c>
      <c r="B1082" t="str">
        <f>HYPERLINK("https://www.facebook.com/tungkhequetoi/", "Công an xã Tùng Khê  tỉnh Phú Thọ")</f>
        <v>Công an xã Tùng Khê  tỉnh Phú Thọ</v>
      </c>
      <c r="C1082" t="str">
        <v>https://www.facebook.com/tungkhequetoi/</v>
      </c>
      <c r="D1082" t="str">
        <v>-</v>
      </c>
      <c r="E1082" t="str">
        <v/>
      </c>
      <c r="F1082" t="str">
        <v>-</v>
      </c>
      <c r="G1082" t="str">
        <v>xã Tùng Khê, Cam Khe, Vietnam</v>
      </c>
    </row>
    <row r="1083">
      <c r="A1083">
        <v>7082</v>
      </c>
      <c r="B1083" t="str">
        <f>HYPERLINK("https://tungkhe.camkhe.phutho.gov.vn/Chuyen-muc-tin/t/lich-su-hinh-thanh-va-phat-trien/ctitle/892", "UBND Ủy ban nhân dân xã Tùng Khê  tỉnh Phú Thọ")</f>
        <v>UBND Ủy ban nhân dân xã Tùng Khê  tỉnh Phú Thọ</v>
      </c>
      <c r="C1083" t="str">
        <v>https://tungkhe.camkhe.phutho.gov.vn/Chuyen-muc-tin/t/lich-su-hinh-thanh-va-phat-trien/ctitle/892</v>
      </c>
      <c r="D1083" t="str">
        <v>-</v>
      </c>
      <c r="E1083" t="str">
        <v>-</v>
      </c>
      <c r="F1083" t="str">
        <v>-</v>
      </c>
      <c r="G1083" t="str">
        <v>-</v>
      </c>
    </row>
    <row r="1084">
      <c r="A1084">
        <v>7083</v>
      </c>
      <c r="B1084" t="str">
        <f>HYPERLINK("https://www.facebook.com/conganxatamsoncamkhe/", "Công an xã Tam Sơn  tỉnh Phú Thọ")</f>
        <v>Công an xã Tam Sơn  tỉnh Phú Thọ</v>
      </c>
      <c r="C1084" t="str">
        <v>https://www.facebook.com/conganxatamsoncamkhe/</v>
      </c>
      <c r="D1084" t="str">
        <v>-</v>
      </c>
      <c r="E1084" t="str">
        <v/>
      </c>
      <c r="F1084" t="str">
        <v>-</v>
      </c>
      <c r="G1084" t="str">
        <v>-</v>
      </c>
    </row>
    <row r="1085">
      <c r="A1085">
        <v>7084</v>
      </c>
      <c r="B1085" t="str">
        <f>HYPERLINK("https://tamson.camkhe.phutho.gov.vn/Chuyen-muc-tin/t/uy-ban-nhan-dan/ctitle/284", "UBND Ủy ban nhân dân xã Tam Sơn  tỉnh Phú Thọ")</f>
        <v>UBND Ủy ban nhân dân xã Tam Sơn  tỉnh Phú Thọ</v>
      </c>
      <c r="C1085" t="str">
        <v>https://tamson.camkhe.phutho.gov.vn/Chuyen-muc-tin/t/uy-ban-nhan-dan/ctitle/284</v>
      </c>
      <c r="D1085" t="str">
        <v>-</v>
      </c>
      <c r="E1085" t="str">
        <v>-</v>
      </c>
      <c r="F1085" t="str">
        <v>-</v>
      </c>
      <c r="G1085" t="str">
        <v>-</v>
      </c>
    </row>
    <row r="1086">
      <c r="A1086">
        <v>7085</v>
      </c>
      <c r="B1086" t="str">
        <v>Công an xã Văn Bán  tỉnh Phú Thọ</v>
      </c>
      <c r="C1086" t="str">
        <v>-</v>
      </c>
      <c r="D1086" t="str">
        <v>-</v>
      </c>
      <c r="E1086" t="str">
        <v/>
      </c>
      <c r="F1086" t="str">
        <v>-</v>
      </c>
      <c r="G1086" t="str">
        <v>-</v>
      </c>
    </row>
    <row r="1087">
      <c r="A1087">
        <v>7086</v>
      </c>
      <c r="B1087" t="str">
        <f>HYPERLINK("https://camkhe.phutho.gov.vn/Chuyen-muc-tin/t/uy-ban-nhan-dan/ctitle/133", "UBND Ủy ban nhân dân xã Văn Bán  tỉnh Phú Thọ")</f>
        <v>UBND Ủy ban nhân dân xã Văn Bán  tỉnh Phú Thọ</v>
      </c>
      <c r="C1087" t="str">
        <v>https://camkhe.phutho.gov.vn/Chuyen-muc-tin/t/uy-ban-nhan-dan/ctitle/133</v>
      </c>
      <c r="D1087" t="str">
        <v>-</v>
      </c>
      <c r="E1087" t="str">
        <v>-</v>
      </c>
      <c r="F1087" t="str">
        <v>-</v>
      </c>
      <c r="G1087" t="str">
        <v>-</v>
      </c>
    </row>
    <row r="1088">
      <c r="A1088">
        <v>7087</v>
      </c>
      <c r="B1088" t="str">
        <v>Công an xã Cấp Dẫn  tỉnh Phú Thọ</v>
      </c>
      <c r="C1088" t="str">
        <v>-</v>
      </c>
      <c r="D1088" t="str">
        <v>-</v>
      </c>
      <c r="E1088" t="str">
        <v/>
      </c>
      <c r="F1088" t="str">
        <v>-</v>
      </c>
      <c r="G1088" t="str">
        <v>-</v>
      </c>
    </row>
    <row r="1089">
      <c r="A1089">
        <v>7088</v>
      </c>
      <c r="B1089" t="str">
        <f>HYPERLINK("https://camkhe.phutho.gov.vn/Chuyen-muc-tin/t/uy-ban-nhan-dan/ctitle/133", "UBND Ủy ban nhân dân xã Cấp Dẫn  tỉnh Phú Thọ")</f>
        <v>UBND Ủy ban nhân dân xã Cấp Dẫn  tỉnh Phú Thọ</v>
      </c>
      <c r="C1089" t="str">
        <v>https://camkhe.phutho.gov.vn/Chuyen-muc-tin/t/uy-ban-nhan-dan/ctitle/133</v>
      </c>
      <c r="D1089" t="str">
        <v>-</v>
      </c>
      <c r="E1089" t="str">
        <v>-</v>
      </c>
      <c r="F1089" t="str">
        <v>-</v>
      </c>
      <c r="G1089" t="str">
        <v>-</v>
      </c>
    </row>
    <row r="1090">
      <c r="A1090">
        <v>7089</v>
      </c>
      <c r="B1090" t="str">
        <v>Công an xã Thanh Nga  tỉnh Phú Thọ</v>
      </c>
      <c r="C1090" t="str">
        <v>-</v>
      </c>
      <c r="D1090" t="str">
        <v>-</v>
      </c>
      <c r="E1090" t="str">
        <v/>
      </c>
      <c r="F1090" t="str">
        <v>-</v>
      </c>
      <c r="G1090" t="str">
        <v>-</v>
      </c>
    </row>
    <row r="1091">
      <c r="A1091">
        <v>7090</v>
      </c>
      <c r="B1091" t="str">
        <f>HYPERLINK("http://congbao.phutho.gov.vn/cong-bao.html?a=1&amp;gazetteid=67&amp;gazettetype=0&amp;publishyear=2010", "UBND Ủy ban nhân dân xã Thanh Nga  tỉnh Phú Thọ")</f>
        <v>UBND Ủy ban nhân dân xã Thanh Nga  tỉnh Phú Thọ</v>
      </c>
      <c r="C1091" t="str">
        <v>http://congbao.phutho.gov.vn/cong-bao.html?a=1&amp;gazetteid=67&amp;gazettetype=0&amp;publishyear=2010</v>
      </c>
      <c r="D1091" t="str">
        <v>-</v>
      </c>
      <c r="E1091" t="str">
        <v>-</v>
      </c>
      <c r="F1091" t="str">
        <v>-</v>
      </c>
      <c r="G1091" t="str">
        <v>-</v>
      </c>
    </row>
    <row r="1092">
      <c r="A1092">
        <v>7091</v>
      </c>
      <c r="B1092" t="str">
        <f>HYPERLINK("https://www.facebook.com/2529844950650358", "Công an xã Xương Thịnh  tỉnh Phú Thọ")</f>
        <v>Công an xã Xương Thịnh  tỉnh Phú Thọ</v>
      </c>
      <c r="C1092" t="str">
        <v>https://www.facebook.com/2529844950650358</v>
      </c>
      <c r="D1092" t="str">
        <v>-</v>
      </c>
      <c r="E1092" t="str">
        <v/>
      </c>
      <c r="F1092" t="str">
        <v>-</v>
      </c>
      <c r="G1092" t="str">
        <v>-</v>
      </c>
    </row>
    <row r="1093">
      <c r="A1093">
        <v>7092</v>
      </c>
      <c r="B1093" t="str">
        <f>HYPERLINK("https://camkhe.phutho.gov.vn/Chuyen-muc-tin/t/uy-ban-nhan-dan/ctitle/133", "UBND Ủy ban nhân dân xã Xương Thịnh  tỉnh Phú Thọ")</f>
        <v>UBND Ủy ban nhân dân xã Xương Thịnh  tỉnh Phú Thọ</v>
      </c>
      <c r="C1093" t="str">
        <v>https://camkhe.phutho.gov.vn/Chuyen-muc-tin/t/uy-ban-nhan-dan/ctitle/133</v>
      </c>
      <c r="D1093" t="str">
        <v>-</v>
      </c>
      <c r="E1093" t="str">
        <v>-</v>
      </c>
      <c r="F1093" t="str">
        <v>-</v>
      </c>
      <c r="G1093" t="str">
        <v>-</v>
      </c>
    </row>
    <row r="1094">
      <c r="A1094">
        <v>7093</v>
      </c>
      <c r="B1094" t="str">
        <f>HYPERLINK("https://www.facebook.com/conganhuyencamkhe16920/", "Công an xã Phú Khê  tỉnh Phú Thọ")</f>
        <v>Công an xã Phú Khê  tỉnh Phú Thọ</v>
      </c>
      <c r="C1094" t="str">
        <v>https://www.facebook.com/conganhuyencamkhe16920/</v>
      </c>
      <c r="D1094" t="str">
        <v>-</v>
      </c>
      <c r="E1094" t="str">
        <v>02103889158</v>
      </c>
      <c r="F1094" t="str">
        <v>-</v>
      </c>
      <c r="G1094" t="str">
        <v>Số 303, đường Hoa Khê, khu Thành Công, thị trấn Cẩm Khê, huyện Cẩm Khê, tỉnh Phú Thọ</v>
      </c>
    </row>
    <row r="1095">
      <c r="A1095">
        <v>7094</v>
      </c>
      <c r="B1095" t="str">
        <f>HYPERLINK("https://camkhe.phutho.gov.vn/Chuyen-muc-tin/t/uy-ban-nhan-dan/ctitle/133", "UBND Ủy ban nhân dân xã Phú Khê  tỉnh Phú Thọ")</f>
        <v>UBND Ủy ban nhân dân xã Phú Khê  tỉnh Phú Thọ</v>
      </c>
      <c r="C1095" t="str">
        <v>https://camkhe.phutho.gov.vn/Chuyen-muc-tin/t/uy-ban-nhan-dan/ctitle/133</v>
      </c>
      <c r="D1095" t="str">
        <v>-</v>
      </c>
      <c r="E1095" t="str">
        <v>-</v>
      </c>
      <c r="F1095" t="str">
        <v>-</v>
      </c>
      <c r="G1095" t="str">
        <v>-</v>
      </c>
    </row>
    <row r="1096">
      <c r="A1096">
        <v>7095</v>
      </c>
      <c r="B1096" t="str">
        <f>HYPERLINK("https://www.facebook.com/p/C%C3%B4ng-an-x%C3%A3-S%C6%A1n-T%C3%ACnh-C%E1%BA%A9m-Kh%C3%AA-100072394080966/", "Công an xã Sơn Tình  tỉnh Phú Thọ")</f>
        <v>Công an xã Sơn Tình  tỉnh Phú Thọ</v>
      </c>
      <c r="C1096" t="str">
        <v>https://www.facebook.com/p/C%C3%B4ng-an-x%C3%A3-S%C6%A1n-T%C3%ACnh-C%E1%BA%A9m-Kh%C3%AA-100072394080966/</v>
      </c>
      <c r="D1096" t="str">
        <v>-</v>
      </c>
      <c r="E1096" t="str">
        <v/>
      </c>
      <c r="F1096" t="str">
        <v>-</v>
      </c>
      <c r="G1096" t="str">
        <v>-</v>
      </c>
    </row>
    <row r="1097">
      <c r="A1097">
        <v>7096</v>
      </c>
      <c r="B1097" t="str">
        <f>HYPERLINK("https://sontinh.camkhe.phutho.gov.vn/Chuyen-muc-tin/Chi-tiet-tin/t/uy-ban-nhan-dan-xa-son-tinh/title/14695/ctitle/426", "UBND Ủy ban nhân dân xã Sơn Tình  tỉnh Phú Thọ")</f>
        <v>UBND Ủy ban nhân dân xã Sơn Tình  tỉnh Phú Thọ</v>
      </c>
      <c r="C1097" t="str">
        <v>https://sontinh.camkhe.phutho.gov.vn/Chuyen-muc-tin/Chi-tiet-tin/t/uy-ban-nhan-dan-xa-son-tinh/title/14695/ctitle/426</v>
      </c>
      <c r="D1097" t="str">
        <v>-</v>
      </c>
      <c r="E1097" t="str">
        <v>-</v>
      </c>
      <c r="F1097" t="str">
        <v>-</v>
      </c>
      <c r="G1097" t="str">
        <v>-</v>
      </c>
    </row>
    <row r="1098">
      <c r="A1098">
        <v>7097</v>
      </c>
      <c r="B1098" t="str">
        <f>HYPERLINK("https://www.facebook.com/p/THCS-Y%C3%AAn-T%E1%BA%ADp-C%E1%BA%A9m-Kh%C3%AA-Ph%C3%BA-Th%E1%BB%8D-100075878892306/", "Công an xã Yên Tập  tỉnh Phú Thọ")</f>
        <v>Công an xã Yên Tập  tỉnh Phú Thọ</v>
      </c>
      <c r="C1098" t="str">
        <v>https://www.facebook.com/p/THCS-Y%C3%AAn-T%E1%BA%ADp-C%E1%BA%A9m-Kh%C3%AA-Ph%C3%BA-Th%E1%BB%8D-100075878892306/</v>
      </c>
      <c r="D1098" t="str">
        <v>0988125561</v>
      </c>
      <c r="E1098" t="str">
        <v>-</v>
      </c>
      <c r="F1098" t="str">
        <v>-</v>
      </c>
      <c r="G1098" t="str">
        <v>-</v>
      </c>
    </row>
    <row r="1099">
      <c r="A1099">
        <v>7098</v>
      </c>
      <c r="B1099" t="str">
        <f>HYPERLINK("http://congbao.phutho.gov.vn/cong-bao.html?a=1&amp;gazetteid=190587&amp;gazettetype=0&amp;publishyear=2023", "UBND Ủy ban nhân dân xã Yên Tập  tỉnh Phú Thọ")</f>
        <v>UBND Ủy ban nhân dân xã Yên Tập  tỉnh Phú Thọ</v>
      </c>
      <c r="C1099" t="str">
        <v>http://congbao.phutho.gov.vn/cong-bao.html?a=1&amp;gazetteid=190587&amp;gazettetype=0&amp;publishyear=2023</v>
      </c>
      <c r="D1099" t="str">
        <v>-</v>
      </c>
      <c r="E1099" t="str">
        <v>-</v>
      </c>
      <c r="F1099" t="str">
        <v>-</v>
      </c>
      <c r="G1099" t="str">
        <v>-</v>
      </c>
    </row>
    <row r="1100">
      <c r="A1100">
        <v>7099</v>
      </c>
      <c r="B1100" t="str">
        <f>HYPERLINK("https://www.facebook.com/Quytindunghuonglung/", "Công an xã Hương Lung  tỉnh Phú Thọ")</f>
        <v>Công an xã Hương Lung  tỉnh Phú Thọ</v>
      </c>
      <c r="C1100" t="str">
        <v>https://www.facebook.com/Quytindunghuonglung/</v>
      </c>
      <c r="D1100" t="str">
        <v>-</v>
      </c>
      <c r="E1100" t="str">
        <v/>
      </c>
      <c r="F1100" t="str">
        <v>-</v>
      </c>
      <c r="G1100" t="str">
        <v>-</v>
      </c>
    </row>
    <row r="1101">
      <c r="A1101">
        <v>7100</v>
      </c>
      <c r="B1101" t="str">
        <f>HYPERLINK("https://huonglung.camkhe.phutho.gov.vn/Chuyen-muc-tin/t/uy-ban-nhan-dan/ctitle/330", "UBND Ủy ban nhân dân xã Hương Lung  tỉnh Phú Thọ")</f>
        <v>UBND Ủy ban nhân dân xã Hương Lung  tỉnh Phú Thọ</v>
      </c>
      <c r="C1101" t="str">
        <v>https://huonglung.camkhe.phutho.gov.vn/Chuyen-muc-tin/t/uy-ban-nhan-dan/ctitle/330</v>
      </c>
      <c r="D1101" t="str">
        <v>-</v>
      </c>
      <c r="E1101" t="str">
        <v>-</v>
      </c>
      <c r="F1101" t="str">
        <v>-</v>
      </c>
      <c r="G1101" t="str">
        <v>-</v>
      </c>
    </row>
    <row r="1102">
      <c r="A1102">
        <v>7101</v>
      </c>
      <c r="B1102" t="str">
        <f>HYPERLINK("https://www.facebook.com/p/C%C3%B4ng-an-x%C3%A3-T%E1%BA%A1-X%C3%A1-C%E1%BA%A9m-Kh%C3%AA-100069830776746/", "Công an xã Tạ Xá  tỉnh Phú Thọ")</f>
        <v>Công an xã Tạ Xá  tỉnh Phú Thọ</v>
      </c>
      <c r="C1102" t="str">
        <v>https://www.facebook.com/p/C%C3%B4ng-an-x%C3%A3-T%E1%BA%A1-X%C3%A1-C%E1%BA%A9m-Kh%C3%AA-100069830776746/</v>
      </c>
      <c r="D1102" t="str">
        <v>-</v>
      </c>
      <c r="E1102" t="str">
        <v/>
      </c>
      <c r="F1102" t="str">
        <v>-</v>
      </c>
      <c r="G1102" t="str">
        <v>-</v>
      </c>
    </row>
    <row r="1103">
      <c r="A1103">
        <v>7102</v>
      </c>
      <c r="B1103" t="str">
        <f>HYPERLINK("https://camkhe.phutho.gov.vn/Chuyen-muc-tin/Chi-tiet-tin/t/xa-ta-xa-giao-lenh-goi-cong-dan-nhap-ngu-nam-2024-/title/18175/ctitle/123", "UBND Ủy ban nhân dân xã Tạ Xá  tỉnh Phú Thọ")</f>
        <v>UBND Ủy ban nhân dân xã Tạ Xá  tỉnh Phú Thọ</v>
      </c>
      <c r="C1103" t="str">
        <v>https://camkhe.phutho.gov.vn/Chuyen-muc-tin/Chi-tiet-tin/t/xa-ta-xa-giao-lenh-goi-cong-dan-nhap-ngu-nam-2024-/title/18175/ctitle/123</v>
      </c>
      <c r="D1103" t="str">
        <v>-</v>
      </c>
      <c r="E1103" t="str">
        <v>-</v>
      </c>
      <c r="F1103" t="str">
        <v>-</v>
      </c>
      <c r="G1103" t="str">
        <v>-</v>
      </c>
    </row>
    <row r="1104">
      <c r="A1104">
        <v>7103</v>
      </c>
      <c r="B1104" t="str">
        <f>HYPERLINK("https://www.facebook.com/p/C%C3%B4ng-an-x%C3%A3-Ph%C3%BA-L%E1%BA%A1c-C%E1%BA%A9m-Kh%C3%AA-100076441831588/", "Công an xã Phú Lạc  tỉnh Phú Thọ")</f>
        <v>Công an xã Phú Lạc  tỉnh Phú Thọ</v>
      </c>
      <c r="C1104" t="str">
        <v>https://www.facebook.com/p/C%C3%B4ng-an-x%C3%A3-Ph%C3%BA-L%E1%BA%A1c-C%E1%BA%A9m-Kh%C3%AA-100076441831588/</v>
      </c>
      <c r="D1104" t="str">
        <v>-</v>
      </c>
      <c r="E1104" t="str">
        <v/>
      </c>
      <c r="F1104" t="str">
        <v>-</v>
      </c>
      <c r="G1104" t="str">
        <v>-</v>
      </c>
    </row>
    <row r="1105">
      <c r="A1105">
        <v>7104</v>
      </c>
      <c r="B1105" t="str">
        <f>HYPERLINK("https://camkhe.phutho.gov.vn/Chuyen-muc-tin/t/uy-ban-nhan-dan/ctitle/133", "UBND Ủy ban nhân dân xã Phú Lạc  tỉnh Phú Thọ")</f>
        <v>UBND Ủy ban nhân dân xã Phú Lạc  tỉnh Phú Thọ</v>
      </c>
      <c r="C1105" t="str">
        <v>https://camkhe.phutho.gov.vn/Chuyen-muc-tin/t/uy-ban-nhan-dan/ctitle/133</v>
      </c>
      <c r="D1105" t="str">
        <v>-</v>
      </c>
      <c r="E1105" t="str">
        <v>-</v>
      </c>
      <c r="F1105" t="str">
        <v>-</v>
      </c>
      <c r="G1105" t="str">
        <v>-</v>
      </c>
    </row>
    <row r="1106">
      <c r="A1106">
        <v>7105</v>
      </c>
      <c r="B1106" t="str">
        <v>Công an xã Tình Cương  tỉnh Phú Thọ</v>
      </c>
      <c r="C1106" t="str">
        <v>-</v>
      </c>
      <c r="D1106" t="str">
        <v>-</v>
      </c>
      <c r="E1106" t="str">
        <v/>
      </c>
      <c r="F1106" t="str">
        <v>-</v>
      </c>
      <c r="G1106" t="str">
        <v>-</v>
      </c>
    </row>
    <row r="1107">
      <c r="A1107">
        <v>7106</v>
      </c>
      <c r="B1107" t="str">
        <f>HYPERLINK("https://thocuong.trieuson.thanhhoa.gov.vn/", "UBND Ủy ban nhân dân xã Tình Cương  tỉnh Phú Thọ")</f>
        <v>UBND Ủy ban nhân dân xã Tình Cương  tỉnh Phú Thọ</v>
      </c>
      <c r="C1107" t="str">
        <v>https://thocuong.trieuson.thanhhoa.gov.vn/</v>
      </c>
      <c r="D1107" t="str">
        <v>-</v>
      </c>
      <c r="E1107" t="str">
        <v>-</v>
      </c>
      <c r="F1107" t="str">
        <v>-</v>
      </c>
      <c r="G1107" t="str">
        <v>-</v>
      </c>
    </row>
    <row r="1108">
      <c r="A1108">
        <v>7107</v>
      </c>
      <c r="B1108" t="str">
        <f>HYPERLINK("https://www.facebook.com/p/C%C3%B4ng-an-x%C3%A3-Ch%C6%B0%C6%A1ng-X%C3%A1-C%E1%BA%A9m-Kh%C3%AA-100080335749051/", "Công an xã Chương Xá  tỉnh Phú Thọ")</f>
        <v>Công an xã Chương Xá  tỉnh Phú Thọ</v>
      </c>
      <c r="C1108" t="str">
        <v>https://www.facebook.com/p/C%C3%B4ng-an-x%C3%A3-Ch%C6%B0%C6%A1ng-X%C3%A1-C%E1%BA%A9m-Kh%C3%AA-100080335749051/</v>
      </c>
      <c r="D1108" t="str">
        <v>-</v>
      </c>
      <c r="E1108" t="str">
        <v/>
      </c>
      <c r="F1108" t="str">
        <v>-</v>
      </c>
      <c r="G1108" t="str">
        <v>-</v>
      </c>
    </row>
    <row r="1109">
      <c r="A1109">
        <v>7108</v>
      </c>
      <c r="B1109" t="str">
        <f>HYPERLINK("https://camkhe.phutho.gov.vn/Chuyen-muc-tin/t/uy-ban-nhan-dan/ctitle/133", "UBND Ủy ban nhân dân xã Chương Xá  tỉnh Phú Thọ")</f>
        <v>UBND Ủy ban nhân dân xã Chương Xá  tỉnh Phú Thọ</v>
      </c>
      <c r="C1109" t="str">
        <v>https://camkhe.phutho.gov.vn/Chuyen-muc-tin/t/uy-ban-nhan-dan/ctitle/133</v>
      </c>
      <c r="D1109" t="str">
        <v>-</v>
      </c>
      <c r="E1109" t="str">
        <v>-</v>
      </c>
      <c r="F1109" t="str">
        <v>-</v>
      </c>
      <c r="G1109" t="str">
        <v>-</v>
      </c>
    </row>
    <row r="1110">
      <c r="A1110">
        <v>7109</v>
      </c>
      <c r="B1110" t="str">
        <v>Công an xã Hiền Đa  tỉnh Phú Thọ</v>
      </c>
      <c r="C1110" t="str">
        <v>-</v>
      </c>
      <c r="D1110" t="str">
        <v>-</v>
      </c>
      <c r="E1110" t="str">
        <v/>
      </c>
      <c r="F1110" t="str">
        <v>-</v>
      </c>
      <c r="G1110" t="str">
        <v>-</v>
      </c>
    </row>
    <row r="1111">
      <c r="A1111">
        <v>7110</v>
      </c>
      <c r="B1111" t="str">
        <f>HYPERLINK("https://camkhe.phutho.gov.vn/Chuyen-muc-tin/Chi-tiet-tin/title/22005/ctitle/155?t=TR%C6%AF%E1%BB%9CNG%20THPT%20HI%E1%BB%80N%20%C4%90A:%2040%20N%C4%82M%20X%C3%82Y%20D%E1%BB%B0NG%20V%C3%80%20PH%C3%81T%20TRI%E1%BB%82N", "UBND Ủy ban nhân dân xã Hiền Đa  tỉnh Phú Thọ")</f>
        <v>UBND Ủy ban nhân dân xã Hiền Đa  tỉnh Phú Thọ</v>
      </c>
      <c r="C1111" t="str">
        <v>https://camkhe.phutho.gov.vn/Chuyen-muc-tin/Chi-tiet-tin/title/22005/ctitle/155?t=TR%C6%AF%E1%BB%9CNG%20THPT%20HI%E1%BB%80N%20%C4%90A:%2040%20N%C4%82M%20X%C3%82Y%20D%E1%BB%B0NG%20V%C3%80%20PH%C3%81T%20TRI%E1%BB%82N</v>
      </c>
      <c r="D1111" t="str">
        <v>-</v>
      </c>
      <c r="E1111" t="str">
        <v>-</v>
      </c>
      <c r="F1111" t="str">
        <v>-</v>
      </c>
      <c r="G1111" t="str">
        <v>-</v>
      </c>
    </row>
    <row r="1112">
      <c r="A1112">
        <v>7111</v>
      </c>
      <c r="B1112" t="str">
        <f>HYPERLINK("https://www.facebook.com/p/C%C3%B4ng-an-x%C3%A3-V%C4%83n-Kh%C3%BAc-C%E1%BA%A9m-Kh%C3%AA-100079548312114/", "Công an xã Văn Khúc  tỉnh Phú Thọ")</f>
        <v>Công an xã Văn Khúc  tỉnh Phú Thọ</v>
      </c>
      <c r="C1112" t="str">
        <v>https://www.facebook.com/p/C%C3%B4ng-an-x%C3%A3-V%C4%83n-Kh%C3%BAc-C%E1%BA%A9m-Kh%C3%AA-100079548312114/</v>
      </c>
      <c r="D1112" t="str">
        <v>-</v>
      </c>
      <c r="E1112" t="str">
        <v/>
      </c>
      <c r="F1112" t="str">
        <v>-</v>
      </c>
      <c r="G1112" t="str">
        <v>-</v>
      </c>
    </row>
    <row r="1113">
      <c r="A1113">
        <v>7112</v>
      </c>
      <c r="B1113" t="str">
        <f>HYPERLINK("https://camkhe.phutho.gov.vn/Chuyen-muc-tin/t/uy-ban-nhan-dan/ctitle/133", "UBND Ủy ban nhân dân xã Văn Khúc  tỉnh Phú Thọ")</f>
        <v>UBND Ủy ban nhân dân xã Văn Khúc  tỉnh Phú Thọ</v>
      </c>
      <c r="C1113" t="str">
        <v>https://camkhe.phutho.gov.vn/Chuyen-muc-tin/t/uy-ban-nhan-dan/ctitle/133</v>
      </c>
      <c r="D1113" t="str">
        <v>-</v>
      </c>
      <c r="E1113" t="str">
        <v>-</v>
      </c>
      <c r="F1113" t="str">
        <v>-</v>
      </c>
      <c r="G1113" t="str">
        <v>-</v>
      </c>
    </row>
    <row r="1114">
      <c r="A1114">
        <v>7113</v>
      </c>
      <c r="B1114" t="str">
        <v>Công an xã Yên Dưỡng  tỉnh Phú Thọ</v>
      </c>
      <c r="C1114" t="str">
        <v>-</v>
      </c>
      <c r="D1114" t="str">
        <v>-</v>
      </c>
      <c r="E1114" t="str">
        <v/>
      </c>
      <c r="F1114" t="str">
        <v>-</v>
      </c>
      <c r="G1114" t="str">
        <v>-</v>
      </c>
    </row>
    <row r="1115">
      <c r="A1115">
        <v>7114</v>
      </c>
      <c r="B1115" t="str">
        <f>HYPERLINK("https://camkhe.phutho.gov.vn/Chuyen-muc-tin/t/uy-ban-nhan-dan/ctitle/133", "UBND Ủy ban nhân dân xã Yên Dưỡng  tỉnh Phú Thọ")</f>
        <v>UBND Ủy ban nhân dân xã Yên Dưỡng  tỉnh Phú Thọ</v>
      </c>
      <c r="C1115" t="str">
        <v>https://camkhe.phutho.gov.vn/Chuyen-muc-tin/t/uy-ban-nhan-dan/ctitle/133</v>
      </c>
      <c r="D1115" t="str">
        <v>-</v>
      </c>
      <c r="E1115" t="str">
        <v>-</v>
      </c>
      <c r="F1115" t="str">
        <v>-</v>
      </c>
      <c r="G1115" t="str">
        <v>-</v>
      </c>
    </row>
    <row r="1116">
      <c r="A1116">
        <v>7115</v>
      </c>
      <c r="B1116" t="str">
        <f>HYPERLINK("https://www.facebook.com/p/C%C3%B4ng-an-th%C3%A0nh-ph%E1%BB%91-Vi%E1%BB%87t-Tr%C3%AC-100083326121614/", "Công an xã Cát Trù  tỉnh Phú Thọ")</f>
        <v>Công an xã Cát Trù  tỉnh Phú Thọ</v>
      </c>
      <c r="C1116" t="str">
        <v>https://www.facebook.com/p/C%C3%B4ng-an-th%C3%A0nh-ph%E1%BB%91-Vi%E1%BB%87t-Tr%C3%AC-100083326121614/</v>
      </c>
      <c r="D1116" t="str">
        <v>-</v>
      </c>
      <c r="E1116" t="str">
        <v/>
      </c>
      <c r="F1116" t="str">
        <v>-</v>
      </c>
      <c r="G1116" t="str">
        <v>-</v>
      </c>
    </row>
    <row r="1117">
      <c r="A1117">
        <v>7116</v>
      </c>
      <c r="B1117" t="str">
        <f>HYPERLINK("https://camkhe.phutho.gov.vn/Chuyen-muc-tin/Chi-tiet-tin/t/chua-tro/title/16687/ctitle/154", "UBND Ủy ban nhân dân xã Cát Trù  tỉnh Phú Thọ")</f>
        <v>UBND Ủy ban nhân dân xã Cát Trù  tỉnh Phú Thọ</v>
      </c>
      <c r="C1117" t="str">
        <v>https://camkhe.phutho.gov.vn/Chuyen-muc-tin/Chi-tiet-tin/t/chua-tro/title/16687/ctitle/154</v>
      </c>
      <c r="D1117" t="str">
        <v>-</v>
      </c>
      <c r="E1117" t="str">
        <v>-</v>
      </c>
      <c r="F1117" t="str">
        <v>-</v>
      </c>
      <c r="G1117" t="str">
        <v>-</v>
      </c>
    </row>
    <row r="1118">
      <c r="A1118">
        <v>7117</v>
      </c>
      <c r="B1118" t="str">
        <f>HYPERLINK("https://www.facebook.com/CongantinhPhuTho19/", "Công an xã Điêu Lương  tỉnh Phú Thọ")</f>
        <v>Công an xã Điêu Lương  tỉnh Phú Thọ</v>
      </c>
      <c r="C1118" t="str">
        <v>https://www.facebook.com/CongantinhPhuTho19/</v>
      </c>
      <c r="D1118" t="str">
        <v>-</v>
      </c>
      <c r="E1118" t="str">
        <v/>
      </c>
      <c r="F1118" t="str">
        <v>-</v>
      </c>
      <c r="G1118" t="str">
        <v>-</v>
      </c>
    </row>
    <row r="1119">
      <c r="A1119">
        <v>7118</v>
      </c>
      <c r="B1119" t="str">
        <v>UBND Ủy ban nhân dân xã Điêu Lương  tỉnh Phú Thọ</v>
      </c>
      <c r="C1119" t="str">
        <v>-</v>
      </c>
      <c r="D1119" t="str">
        <v>-</v>
      </c>
      <c r="E1119" t="str">
        <v>-</v>
      </c>
      <c r="F1119" t="str">
        <v>-</v>
      </c>
      <c r="G1119" t="str">
        <v>-</v>
      </c>
    </row>
    <row r="1120">
      <c r="A1120">
        <v>7119</v>
      </c>
      <c r="B1120" t="str">
        <f>HYPERLINK("https://www.facebook.com/p/C%C3%B4ng-an-x%C3%A3-%C4%90%E1%BB%93ng-L%C6%B0%C6%A1ng-C%E1%BA%A9m-Kh%C3%AA-100071340708715/", "Công an xã Đồng Lương  tỉnh Phú Thọ")</f>
        <v>Công an xã Đồng Lương  tỉnh Phú Thọ</v>
      </c>
      <c r="C1120" t="str">
        <v>https://www.facebook.com/p/C%C3%B4ng-an-x%C3%A3-%C4%90%E1%BB%93ng-L%C6%B0%C6%A1ng-C%E1%BA%A9m-Kh%C3%AA-100071340708715/</v>
      </c>
      <c r="D1120" t="str">
        <v>0987711229</v>
      </c>
      <c r="E1120" t="str">
        <v>-</v>
      </c>
      <c r="F1120" t="str">
        <f>HYPERLINK("mailto:dongluongck999@gmail.com", "dongluongck999@gmail.com")</f>
        <v>dongluongck999@gmail.com</v>
      </c>
      <c r="G1120" t="str">
        <v>Khu Thống Nhất, xã Đồng Lương, huyện Cẩm khê, Phu Tho, Vietnam</v>
      </c>
    </row>
    <row r="1121">
      <c r="A1121">
        <v>7120</v>
      </c>
      <c r="B1121" t="str">
        <f>HYPERLINK("https://dongluong.camkhe.phutho.gov.vn/Chuyen-muc-tin/Chi-tiet-tin/t/ubnd-xa-dong-luong/title/16298/ctitle/497", "UBND Ủy ban nhân dân xã Đồng Lương  tỉnh Phú Thọ")</f>
        <v>UBND Ủy ban nhân dân xã Đồng Lương  tỉnh Phú Thọ</v>
      </c>
      <c r="C1121" t="str">
        <v>https://dongluong.camkhe.phutho.gov.vn/Chuyen-muc-tin/Chi-tiet-tin/t/ubnd-xa-dong-luong/title/16298/ctitle/497</v>
      </c>
      <c r="D1121" t="str">
        <v>-</v>
      </c>
      <c r="E1121" t="str">
        <v>-</v>
      </c>
      <c r="F1121" t="str">
        <v>-</v>
      </c>
      <c r="G1121" t="str">
        <v>-</v>
      </c>
    </row>
    <row r="1122">
      <c r="A1122">
        <v>7121</v>
      </c>
      <c r="B1122" t="str">
        <f>HYPERLINK("https://www.facebook.com/HungHoaTamNongPhuTho/?locale=vi_VN", "Công an thị trấn Hưng Hoá  tỉnh Phú Thọ")</f>
        <v>Công an thị trấn Hưng Hoá  tỉnh Phú Thọ</v>
      </c>
      <c r="C1122" t="str">
        <v>https://www.facebook.com/HungHoaTamNongPhuTho/?locale=vi_VN</v>
      </c>
      <c r="D1122" t="str">
        <v>-</v>
      </c>
      <c r="E1122" t="str">
        <v/>
      </c>
      <c r="F1122" t="str">
        <f>HYPERLINK("mailto:kuchua3@gmail.com", "kuchua3@gmail.com")</f>
        <v>kuchua3@gmail.com</v>
      </c>
      <c r="G1122" t="str">
        <v>-</v>
      </c>
    </row>
    <row r="1123">
      <c r="A1123">
        <v>7122</v>
      </c>
      <c r="B1123" t="str">
        <f>HYPERLINK("https://tamnong.phutho.gov.vn/Chuyen-muc-tin/Chi-tiet-tin/t/thi-tran-hung-hoa/title/251/ctitle/194", "UBND Ủy ban nhân dân thị trấn Hưng Hoá  tỉnh Phú Thọ")</f>
        <v>UBND Ủy ban nhân dân thị trấn Hưng Hoá  tỉnh Phú Thọ</v>
      </c>
      <c r="C1123" t="str">
        <v>https://tamnong.phutho.gov.vn/Chuyen-muc-tin/Chi-tiet-tin/t/thi-tran-hung-hoa/title/251/ctitle/194</v>
      </c>
      <c r="D1123" t="str">
        <v>-</v>
      </c>
      <c r="E1123" t="str">
        <v>-</v>
      </c>
      <c r="F1123" t="str">
        <v>-</v>
      </c>
      <c r="G1123" t="str">
        <v>-</v>
      </c>
    </row>
    <row r="1124">
      <c r="A1124">
        <v>7123</v>
      </c>
      <c r="B1124" t="str">
        <f>HYPERLINK("https://www.facebook.com/CongantinhPhuTho19/", "Công an xã Vực Trường  tỉnh Phú Thọ")</f>
        <v>Công an xã Vực Trường  tỉnh Phú Thọ</v>
      </c>
      <c r="C1124" t="str">
        <v>https://www.facebook.com/CongantinhPhuTho19/</v>
      </c>
      <c r="D1124" t="str">
        <v>-</v>
      </c>
      <c r="E1124" t="str">
        <v/>
      </c>
      <c r="F1124" t="str">
        <v>-</v>
      </c>
      <c r="G1124" t="str">
        <v>-</v>
      </c>
    </row>
    <row r="1125">
      <c r="A1125">
        <v>7124</v>
      </c>
      <c r="B1125" t="str">
        <f>HYPERLINK("https://thanhthuy.phutho.gov.vn/", "UBND Ủy ban nhân dân xã Vực Trường  tỉnh Phú Thọ")</f>
        <v>UBND Ủy ban nhân dân xã Vực Trường  tỉnh Phú Thọ</v>
      </c>
      <c r="C1125" t="str">
        <v>https://thanhthuy.phutho.gov.vn/</v>
      </c>
      <c r="D1125" t="str">
        <v>-</v>
      </c>
      <c r="E1125" t="str">
        <v>-</v>
      </c>
      <c r="F1125" t="str">
        <v>-</v>
      </c>
      <c r="G1125" t="str">
        <v>-</v>
      </c>
    </row>
    <row r="1126">
      <c r="A1126">
        <v>7125</v>
      </c>
      <c r="B1126" t="str">
        <f>HYPERLINK("https://www.facebook.com/p/C%C3%B4ng-an-x%C3%A3-Hi%E1%BB%81n-Quan-huy%E1%BB%87n-Tam-N%C3%B4ng-T%E1%BB%89nh-Ph%C3%BA-Th%E1%BB%8D-100072248658440/", "Công an xã Hiền Quan  tỉnh Phú Thọ")</f>
        <v>Công an xã Hiền Quan  tỉnh Phú Thọ</v>
      </c>
      <c r="C1126" t="str">
        <v>https://www.facebook.com/p/C%C3%B4ng-an-x%C3%A3-Hi%E1%BB%81n-Quan-huy%E1%BB%87n-Tam-N%C3%B4ng-T%E1%BB%89nh-Ph%C3%BA-Th%E1%BB%8D-100072248658440/</v>
      </c>
      <c r="D1126" t="str">
        <v>-</v>
      </c>
      <c r="E1126" t="str">
        <v/>
      </c>
      <c r="F1126" t="str">
        <v>-</v>
      </c>
      <c r="G1126" t="str">
        <v>-</v>
      </c>
    </row>
    <row r="1127">
      <c r="A1127">
        <v>7126</v>
      </c>
      <c r="B1127" t="str">
        <f>HYPERLINK("https://tamnong.phutho.gov.vn/Chuyen-muc-tin/Chi-tiet-tin/t/xa-hien-quan/title/248/ctitle/210", "UBND Ủy ban nhân dân xã Hiền Quan  tỉnh Phú Thọ")</f>
        <v>UBND Ủy ban nhân dân xã Hiền Quan  tỉnh Phú Thọ</v>
      </c>
      <c r="C1127" t="str">
        <v>https://tamnong.phutho.gov.vn/Chuyen-muc-tin/Chi-tiet-tin/t/xa-hien-quan/title/248/ctitle/210</v>
      </c>
      <c r="D1127" t="str">
        <v>-</v>
      </c>
      <c r="E1127" t="str">
        <v>-</v>
      </c>
      <c r="F1127" t="str">
        <v>-</v>
      </c>
      <c r="G1127" t="str">
        <v>-</v>
      </c>
    </row>
    <row r="1128">
      <c r="A1128">
        <v>7127</v>
      </c>
      <c r="B1128" t="str">
        <v>Công an xã Hương Nha  tỉnh Phú Thọ</v>
      </c>
      <c r="C1128" t="str">
        <v>-</v>
      </c>
      <c r="D1128" t="str">
        <v>-</v>
      </c>
      <c r="E1128" t="str">
        <v/>
      </c>
      <c r="F1128" t="str">
        <v>-</v>
      </c>
      <c r="G1128" t="str">
        <v>-</v>
      </c>
    </row>
    <row r="1129">
      <c r="A1129">
        <v>7128</v>
      </c>
      <c r="B1129" t="str">
        <f>HYPERLINK("https://thanhson.phutho.gov.vn/", "UBND Ủy ban nhân dân xã Hương Nha  tỉnh Phú Thọ")</f>
        <v>UBND Ủy ban nhân dân xã Hương Nha  tỉnh Phú Thọ</v>
      </c>
      <c r="C1129" t="str">
        <v>https://thanhson.phutho.gov.vn/</v>
      </c>
      <c r="D1129" t="str">
        <v>-</v>
      </c>
      <c r="E1129" t="str">
        <v>-</v>
      </c>
      <c r="F1129" t="str">
        <v>-</v>
      </c>
      <c r="G1129" t="str">
        <v>-</v>
      </c>
    </row>
    <row r="1130">
      <c r="A1130">
        <v>7129</v>
      </c>
      <c r="B1130" t="str">
        <f>HYPERLINK("https://www.facebook.com/p/C%C3%B4ng-an-x%C3%A3-Thanh-Uy%C3%AAn-100072281954778/", "Công an xã Thanh Uyên  tỉnh Phú Thọ")</f>
        <v>Công an xã Thanh Uyên  tỉnh Phú Thọ</v>
      </c>
      <c r="C1130" t="str">
        <v>https://www.facebook.com/p/C%C3%B4ng-an-x%C3%A3-Thanh-Uy%C3%AAn-100072281954778/</v>
      </c>
      <c r="D1130" t="str">
        <v>-</v>
      </c>
      <c r="E1130" t="str">
        <v/>
      </c>
      <c r="F1130" t="str">
        <v>-</v>
      </c>
      <c r="G1130" t="str">
        <v>-</v>
      </c>
    </row>
    <row r="1131">
      <c r="A1131">
        <v>7130</v>
      </c>
      <c r="B1131" t="str">
        <f>HYPERLINK("https://tamnong.phutho.gov.vn/Chuyen-muc-tin/Chi-tiet-tin/t/xa-thanh-uyen/title/247/ctitle/208", "UBND Ủy ban nhân dân xã Thanh Uyên  tỉnh Phú Thọ")</f>
        <v>UBND Ủy ban nhân dân xã Thanh Uyên  tỉnh Phú Thọ</v>
      </c>
      <c r="C1131" t="str">
        <v>https://tamnong.phutho.gov.vn/Chuyen-muc-tin/Chi-tiet-tin/t/xa-thanh-uyen/title/247/ctitle/208</v>
      </c>
      <c r="D1131" t="str">
        <v>-</v>
      </c>
      <c r="E1131" t="str">
        <v>-</v>
      </c>
      <c r="F1131" t="str">
        <v>-</v>
      </c>
      <c r="G1131" t="str">
        <v>-</v>
      </c>
    </row>
    <row r="1132">
      <c r="A1132">
        <v>7131</v>
      </c>
      <c r="B1132" t="str">
        <f>HYPERLINK("https://www.facebook.com/doancongantinhphuyen/", "Công an xã Xuân Quang  tỉnh Phú Thọ")</f>
        <v>Công an xã Xuân Quang  tỉnh Phú Thọ</v>
      </c>
      <c r="C1132" t="str">
        <v>https://www.facebook.com/doancongantinhphuyen/</v>
      </c>
      <c r="D1132" t="str">
        <v>-</v>
      </c>
      <c r="E1132" t="str">
        <v/>
      </c>
      <c r="F1132" t="str">
        <f>HYPERLINK("mailto:dtncatphuyen@gmail.com", "dtncatphuyen@gmail.com")</f>
        <v>dtncatphuyen@gmail.com</v>
      </c>
      <c r="G1132" t="str">
        <v>-</v>
      </c>
    </row>
    <row r="1133">
      <c r="A1133">
        <v>7132</v>
      </c>
      <c r="B1133" t="str">
        <f>HYPERLINK("https://tamnong.phutho.gov.vn/Chuyen-muc-tin/Chi-tiet-tin/t/xa-xuan-quang/title/234/ctitle/216", "UBND Ủy ban nhân dân xã Xuân Quang  tỉnh Phú Thọ")</f>
        <v>UBND Ủy ban nhân dân xã Xuân Quang  tỉnh Phú Thọ</v>
      </c>
      <c r="C1133" t="str">
        <v>https://tamnong.phutho.gov.vn/Chuyen-muc-tin/Chi-tiet-tin/t/xa-xuan-quang/title/234/ctitle/216</v>
      </c>
      <c r="D1133" t="str">
        <v>-</v>
      </c>
      <c r="E1133" t="str">
        <v>-</v>
      </c>
      <c r="F1133" t="str">
        <v>-</v>
      </c>
      <c r="G1133" t="str">
        <v>-</v>
      </c>
    </row>
    <row r="1134">
      <c r="A1134">
        <v>7133</v>
      </c>
      <c r="B1134" t="str">
        <v>Công an xã Tứ Mỹ  tỉnh Phú Thọ</v>
      </c>
      <c r="C1134" t="str">
        <v>-</v>
      </c>
      <c r="D1134" t="str">
        <v>-</v>
      </c>
      <c r="E1134" t="str">
        <v/>
      </c>
      <c r="F1134" t="str">
        <v>-</v>
      </c>
      <c r="G1134" t="str">
        <v>-</v>
      </c>
    </row>
    <row r="1135">
      <c r="A1135">
        <v>7134</v>
      </c>
      <c r="B1135" t="str">
        <f>HYPERLINK("http://congbao.phutho.gov.vn/tong-tap.html?classification=2&amp;unitid=2&amp;pageIndex=11", "UBND Ủy ban nhân dân xã Tứ Mỹ  tỉnh Phú Thọ")</f>
        <v>UBND Ủy ban nhân dân xã Tứ Mỹ  tỉnh Phú Thọ</v>
      </c>
      <c r="C1135" t="str">
        <v>http://congbao.phutho.gov.vn/tong-tap.html?classification=2&amp;unitid=2&amp;pageIndex=11</v>
      </c>
      <c r="D1135" t="str">
        <v>-</v>
      </c>
      <c r="E1135" t="str">
        <v>-</v>
      </c>
      <c r="F1135" t="str">
        <v>-</v>
      </c>
      <c r="G1135" t="str">
        <v>-</v>
      </c>
    </row>
    <row r="1136">
      <c r="A1136">
        <v>7135</v>
      </c>
      <c r="B1136" t="str">
        <f>HYPERLINK("https://www.facebook.com/groups/196257444333792/", "Công an xã Văn Lương  tỉnh Phú Thọ")</f>
        <v>Công an xã Văn Lương  tỉnh Phú Thọ</v>
      </c>
      <c r="C1136" t="str">
        <v>https://www.facebook.com/groups/196257444333792/</v>
      </c>
      <c r="D1136" t="str">
        <v>-</v>
      </c>
      <c r="E1136" t="str">
        <v/>
      </c>
      <c r="F1136" t="str">
        <v>-</v>
      </c>
      <c r="G1136" t="str">
        <v>-</v>
      </c>
    </row>
    <row r="1137">
      <c r="A1137">
        <v>7136</v>
      </c>
      <c r="B1137" t="str">
        <f>HYPERLINK("https://tanson.phutho.gov.vn/Chuyen-muc-tin/Chi-tiet-tin/t/xa-van-luong/title/290/ctitle/78", "UBND Ủy ban nhân dân xã Văn Lương  tỉnh Phú Thọ")</f>
        <v>UBND Ủy ban nhân dân xã Văn Lương  tỉnh Phú Thọ</v>
      </c>
      <c r="C1137" t="str">
        <v>https://tanson.phutho.gov.vn/Chuyen-muc-tin/Chi-tiet-tin/t/xa-van-luong/title/290/ctitle/78</v>
      </c>
      <c r="D1137" t="str">
        <v>-</v>
      </c>
      <c r="E1137" t="str">
        <v>-</v>
      </c>
      <c r="F1137" t="str">
        <v>-</v>
      </c>
      <c r="G1137" t="str">
        <v>-</v>
      </c>
    </row>
    <row r="1138">
      <c r="A1138">
        <v>7137</v>
      </c>
      <c r="B1138" t="str">
        <f>HYPERLINK("https://www.facebook.com/p/C%C3%B4ng-an-th%C3%A0nh-ph%E1%BB%91-Vi%E1%BB%87t-Tr%C3%AC-100083326121614/", "Công an xã Hùng Đô  tỉnh Phú Thọ")</f>
        <v>Công an xã Hùng Đô  tỉnh Phú Thọ</v>
      </c>
      <c r="C1138" t="str">
        <v>https://www.facebook.com/p/C%C3%B4ng-an-th%C3%A0nh-ph%E1%BB%91-Vi%E1%BB%87t-Tr%C3%AC-100083326121614/</v>
      </c>
      <c r="D1138" t="str">
        <v>-</v>
      </c>
      <c r="E1138" t="str">
        <v/>
      </c>
      <c r="F1138" t="str">
        <v>-</v>
      </c>
      <c r="G1138" t="str">
        <v>-</v>
      </c>
    </row>
    <row r="1139">
      <c r="A1139">
        <v>7138</v>
      </c>
      <c r="B1139" t="str">
        <f>HYPERLINK("https://doanhung.phutho.gov.vn/", "UBND Ủy ban nhân dân xã Hùng Đô  tỉnh Phú Thọ")</f>
        <v>UBND Ủy ban nhân dân xã Hùng Đô  tỉnh Phú Thọ</v>
      </c>
      <c r="C1139" t="str">
        <v>https://doanhung.phutho.gov.vn/</v>
      </c>
      <c r="D1139" t="str">
        <v>-</v>
      </c>
      <c r="E1139" t="str">
        <v>-</v>
      </c>
      <c r="F1139" t="str">
        <v>-</v>
      </c>
      <c r="G1139" t="str">
        <v>-</v>
      </c>
    </row>
    <row r="1140">
      <c r="A1140">
        <v>7139</v>
      </c>
      <c r="B1140" t="str">
        <f>HYPERLINK("https://www.facebook.com/433220207407849", "Công an xã Phương Thịnh  tỉnh Phú Thọ")</f>
        <v>Công an xã Phương Thịnh  tỉnh Phú Thọ</v>
      </c>
      <c r="C1140" t="str">
        <v>https://www.facebook.com/433220207407849</v>
      </c>
      <c r="D1140" t="str">
        <v>-</v>
      </c>
      <c r="E1140" t="str">
        <v/>
      </c>
      <c r="F1140" t="str">
        <v>-</v>
      </c>
      <c r="G1140" t="str">
        <v>-</v>
      </c>
    </row>
    <row r="1141">
      <c r="A1141">
        <v>7140</v>
      </c>
      <c r="B1141" t="str">
        <f>HYPERLINK("http://congbao.phutho.gov.vn/van-ban/chi-tiet.html?docid=3744&amp;docgaid=5185456&amp;isstoredoc=false", "UBND Ủy ban nhân dân xã Phương Thịnh  tỉnh Phú Thọ")</f>
        <v>UBND Ủy ban nhân dân xã Phương Thịnh  tỉnh Phú Thọ</v>
      </c>
      <c r="C1141" t="str">
        <v>http://congbao.phutho.gov.vn/van-ban/chi-tiet.html?docid=3744&amp;docgaid=5185456&amp;isstoredoc=false</v>
      </c>
      <c r="D1141" t="str">
        <v>-</v>
      </c>
      <c r="E1141" t="str">
        <v>-</v>
      </c>
      <c r="F1141" t="str">
        <v>-</v>
      </c>
      <c r="G1141" t="str">
        <v>-</v>
      </c>
    </row>
    <row r="1142">
      <c r="A1142">
        <v>7141</v>
      </c>
      <c r="B1142" t="str">
        <v>Công an xã Tam Cường  tỉnh Phú Thọ</v>
      </c>
      <c r="C1142" t="str">
        <v>-</v>
      </c>
      <c r="D1142" t="str">
        <v>-</v>
      </c>
      <c r="E1142" t="str">
        <v/>
      </c>
      <c r="F1142" t="str">
        <v>-</v>
      </c>
      <c r="G1142" t="str">
        <v>-</v>
      </c>
    </row>
    <row r="1143">
      <c r="A1143">
        <v>7142</v>
      </c>
      <c r="B1143" t="str">
        <f>HYPERLINK("https://tamnong.phutho.gov.vn/Chuyen-muc-tin/Chi-tiet-tin/t/xa-tam-cuong/title/246/ctitle/206", "UBND Ủy ban nhân dân xã Tam Cường  tỉnh Phú Thọ")</f>
        <v>UBND Ủy ban nhân dân xã Tam Cường  tỉnh Phú Thọ</v>
      </c>
      <c r="C1143" t="str">
        <v>https://tamnong.phutho.gov.vn/Chuyen-muc-tin/Chi-tiet-tin/t/xa-tam-cuong/title/246/ctitle/206</v>
      </c>
      <c r="D1143" t="str">
        <v>-</v>
      </c>
      <c r="E1143" t="str">
        <v>-</v>
      </c>
      <c r="F1143" t="str">
        <v>-</v>
      </c>
      <c r="G1143" t="str">
        <v>-</v>
      </c>
    </row>
    <row r="1144">
      <c r="A1144">
        <v>7143</v>
      </c>
      <c r="B1144" t="str">
        <v>Công an xã Cổ Tiết  tỉnh Phú Thọ</v>
      </c>
      <c r="C1144" t="str">
        <v>-</v>
      </c>
      <c r="D1144" t="str">
        <v>-</v>
      </c>
      <c r="E1144" t="str">
        <v/>
      </c>
      <c r="F1144" t="str">
        <v>-</v>
      </c>
      <c r="G1144" t="str">
        <v>-</v>
      </c>
    </row>
    <row r="1145">
      <c r="A1145">
        <v>7144</v>
      </c>
      <c r="B1145" t="str">
        <f>HYPERLINK("https://tamnong.phutho.gov.vn/Chuyen-muc-tin/Chi-tiet-tin/title/1046/ctitle/203", "UBND Ủy ban nhân dân xã Cổ Tiết  tỉnh Phú Thọ")</f>
        <v>UBND Ủy ban nhân dân xã Cổ Tiết  tỉnh Phú Thọ</v>
      </c>
      <c r="C1145" t="str">
        <v>https://tamnong.phutho.gov.vn/Chuyen-muc-tin/Chi-tiet-tin/title/1046/ctitle/203</v>
      </c>
      <c r="D1145" t="str">
        <v>-</v>
      </c>
      <c r="E1145" t="str">
        <v>-</v>
      </c>
      <c r="F1145" t="str">
        <v>-</v>
      </c>
      <c r="G1145" t="str">
        <v>-</v>
      </c>
    </row>
    <row r="1146">
      <c r="A1146">
        <v>7145</v>
      </c>
      <c r="B1146" t="str">
        <f>HYPERLINK("https://www.facebook.com/ConganhuyenTamNong/", "Công an xã Quang Húc  tỉnh Phú Thọ")</f>
        <v>Công an xã Quang Húc  tỉnh Phú Thọ</v>
      </c>
      <c r="C1146" t="str">
        <v>https://www.facebook.com/ConganhuyenTamNong/</v>
      </c>
      <c r="D1146" t="str">
        <v>-</v>
      </c>
      <c r="E1146" t="str">
        <v/>
      </c>
      <c r="F1146" t="str">
        <v>-</v>
      </c>
      <c r="G1146" t="str">
        <v>-</v>
      </c>
    </row>
    <row r="1147">
      <c r="A1147">
        <v>7146</v>
      </c>
      <c r="B1147" t="str">
        <f>HYPERLINK("https://tamnong.phutho.gov.vn/Chuyen-muc-tin/Chi-tiet-tin/t/chu-tich-ubnd-huyen-tam-nong-doi-thoai-voi-cac-ho-dan-tai-xa-quang-huc/title/38137/ctitle/21", "UBND Ủy ban nhân dân xã Quang Húc  tỉnh Phú Thọ")</f>
        <v>UBND Ủy ban nhân dân xã Quang Húc  tỉnh Phú Thọ</v>
      </c>
      <c r="C1147" t="str">
        <v>https://tamnong.phutho.gov.vn/Chuyen-muc-tin/Chi-tiet-tin/t/chu-tich-ubnd-huyen-tam-nong-doi-thoai-voi-cac-ho-dan-tai-xa-quang-huc/title/38137/ctitle/21</v>
      </c>
      <c r="D1147" t="str">
        <v>-</v>
      </c>
      <c r="E1147" t="str">
        <v>-</v>
      </c>
      <c r="F1147" t="str">
        <v>-</v>
      </c>
      <c r="G1147" t="str">
        <v>-</v>
      </c>
    </row>
    <row r="1148">
      <c r="A1148">
        <v>7147</v>
      </c>
      <c r="B1148" t="str">
        <f>HYPERLINK("https://www.facebook.com/p/C%C3%B4ng-an-x%C3%A3-H%C6%B0%C6%A1ng-N%E1%BB%99n-100072061436717/", "Công an xã Hương Nộn  tỉnh Phú Thọ")</f>
        <v>Công an xã Hương Nộn  tỉnh Phú Thọ</v>
      </c>
      <c r="C1148" t="str">
        <v>https://www.facebook.com/p/C%C3%B4ng-an-x%C3%A3-H%C6%B0%C6%A1ng-N%E1%BB%99n-100072061436717/</v>
      </c>
      <c r="D1148" t="str">
        <v>-</v>
      </c>
      <c r="E1148" t="str">
        <v/>
      </c>
      <c r="F1148" t="str">
        <v>-</v>
      </c>
      <c r="G1148" t="str">
        <v>-</v>
      </c>
    </row>
    <row r="1149">
      <c r="A1149">
        <v>7148</v>
      </c>
      <c r="B1149" t="str">
        <f>HYPERLINK("https://tamnong.phutho.gov.vn/Chuyen-muc-tin/Chi-tiet-tin/t/xa-huong-non/title/243/ctitle/200", "UBND Ủy ban nhân dân xã Hương Nộn  tỉnh Phú Thọ")</f>
        <v>UBND Ủy ban nhân dân xã Hương Nộn  tỉnh Phú Thọ</v>
      </c>
      <c r="C1149" t="str">
        <v>https://tamnong.phutho.gov.vn/Chuyen-muc-tin/Chi-tiet-tin/t/xa-huong-non/title/243/ctitle/200</v>
      </c>
      <c r="D1149" t="str">
        <v>-</v>
      </c>
      <c r="E1149" t="str">
        <v>-</v>
      </c>
      <c r="F1149" t="str">
        <v>-</v>
      </c>
      <c r="G1149" t="str">
        <v>-</v>
      </c>
    </row>
    <row r="1150">
      <c r="A1150">
        <v>7149</v>
      </c>
      <c r="B1150" t="str">
        <v>Công an xã Tề Lễ  tỉnh Phú Thọ</v>
      </c>
      <c r="C1150" t="str">
        <v>-</v>
      </c>
      <c r="D1150" t="str">
        <v>-</v>
      </c>
      <c r="E1150" t="str">
        <v/>
      </c>
      <c r="F1150" t="str">
        <v>-</v>
      </c>
      <c r="G1150" t="str">
        <v>-</v>
      </c>
    </row>
    <row r="1151">
      <c r="A1151">
        <v>7150</v>
      </c>
      <c r="B1151" t="str">
        <f>HYPERLINK("https://tamnong.phutho.gov.vn/Chuyen-muc-tin/Chi-tiet-tin/t/xa-te-le/title/236/ctitle/226", "UBND Ủy ban nhân dân xã Tề Lễ  tỉnh Phú Thọ")</f>
        <v>UBND Ủy ban nhân dân xã Tề Lễ  tỉnh Phú Thọ</v>
      </c>
      <c r="C1151" t="str">
        <v>https://tamnong.phutho.gov.vn/Chuyen-muc-tin/Chi-tiet-tin/t/xa-te-le/title/236/ctitle/226</v>
      </c>
      <c r="D1151" t="str">
        <v>-</v>
      </c>
      <c r="E1151" t="str">
        <v>-</v>
      </c>
      <c r="F1151" t="str">
        <v>-</v>
      </c>
      <c r="G1151" t="str">
        <v>-</v>
      </c>
    </row>
    <row r="1152">
      <c r="A1152">
        <v>7151</v>
      </c>
      <c r="B1152" t="str">
        <v>Công an xã Thọ Văn  tỉnh Phú Thọ</v>
      </c>
      <c r="C1152" t="str">
        <v>-</v>
      </c>
      <c r="D1152" t="str">
        <v>-</v>
      </c>
      <c r="E1152" t="str">
        <v/>
      </c>
      <c r="F1152" t="str">
        <v>-</v>
      </c>
      <c r="G1152" t="str">
        <v>-</v>
      </c>
    </row>
    <row r="1153">
      <c r="A1153">
        <v>7152</v>
      </c>
      <c r="B1153" t="str">
        <f>HYPERLINK("https://tamnong.phutho.gov.vn/Chuyen-muc-tin/Chi-tiet-tin/t/xa-tho-van/title/242/ctitle/198", "UBND Ủy ban nhân dân xã Thọ Văn  tỉnh Phú Thọ")</f>
        <v>UBND Ủy ban nhân dân xã Thọ Văn  tỉnh Phú Thọ</v>
      </c>
      <c r="C1153" t="str">
        <v>https://tamnong.phutho.gov.vn/Chuyen-muc-tin/Chi-tiet-tin/t/xa-tho-van/title/242/ctitle/198</v>
      </c>
      <c r="D1153" t="str">
        <v>-</v>
      </c>
      <c r="E1153" t="str">
        <v>-</v>
      </c>
      <c r="F1153" t="str">
        <v>-</v>
      </c>
      <c r="G1153" t="str">
        <v>-</v>
      </c>
    </row>
    <row r="1154">
      <c r="A1154">
        <v>7153</v>
      </c>
      <c r="B1154" t="str">
        <f>HYPERLINK("https://www.facebook.com/p/X%C3%A3-D%E1%BB%8B-N%E1%BA%ADu-Tam-N%C3%B4ng-Ph%C3%BA-Th%E1%BB%8D-100064871462902/", "Công an xã Dị Nậu  tỉnh Phú Thọ")</f>
        <v>Công an xã Dị Nậu  tỉnh Phú Thọ</v>
      </c>
      <c r="C1154" t="str">
        <v>https://www.facebook.com/p/X%C3%A3-D%E1%BB%8B-N%E1%BA%ADu-Tam-N%C3%B4ng-Ph%C3%BA-Th%E1%BB%8D-100064871462902/</v>
      </c>
      <c r="D1154" t="str">
        <v>-</v>
      </c>
      <c r="E1154" t="str">
        <v/>
      </c>
      <c r="F1154" t="str">
        <v>-</v>
      </c>
      <c r="G1154" t="str">
        <v>-</v>
      </c>
    </row>
    <row r="1155">
      <c r="A1155">
        <v>7154</v>
      </c>
      <c r="B1155" t="str">
        <f>HYPERLINK("https://tamnong.phutho.gov.vn/Chuyen-muc-tin/Chi-tiet-tin/t/xa-di-nau/title/240/ctitle/196", "UBND Ủy ban nhân dân xã Dị Nậu  tỉnh Phú Thọ")</f>
        <v>UBND Ủy ban nhân dân xã Dị Nậu  tỉnh Phú Thọ</v>
      </c>
      <c r="C1155" t="str">
        <v>https://tamnong.phutho.gov.vn/Chuyen-muc-tin/Chi-tiet-tin/t/xa-di-nau/title/240/ctitle/196</v>
      </c>
      <c r="D1155" t="str">
        <v>-</v>
      </c>
      <c r="E1155" t="str">
        <v>-</v>
      </c>
      <c r="F1155" t="str">
        <v>-</v>
      </c>
      <c r="G1155" t="str">
        <v>-</v>
      </c>
    </row>
    <row r="1156">
      <c r="A1156">
        <v>7155</v>
      </c>
      <c r="B1156" t="str">
        <v>Công an xã Hồng Đà  tỉnh Phú Thọ</v>
      </c>
      <c r="C1156" t="str">
        <v>-</v>
      </c>
      <c r="D1156" t="str">
        <v>-</v>
      </c>
      <c r="E1156" t="str">
        <v/>
      </c>
      <c r="F1156" t="str">
        <v>-</v>
      </c>
      <c r="G1156" t="str">
        <v>-</v>
      </c>
    </row>
    <row r="1157">
      <c r="A1157">
        <v>7156</v>
      </c>
      <c r="B1157" t="str">
        <f>HYPERLINK("https://thanhthuy.phutho.gov.vn/", "UBND Ủy ban nhân dân xã Hồng Đà  tỉnh Phú Thọ")</f>
        <v>UBND Ủy ban nhân dân xã Hồng Đà  tỉnh Phú Thọ</v>
      </c>
      <c r="C1157" t="str">
        <v>https://thanhthuy.phutho.gov.vn/</v>
      </c>
      <c r="D1157" t="str">
        <v>-</v>
      </c>
      <c r="E1157" t="str">
        <v>-</v>
      </c>
      <c r="F1157" t="str">
        <v>-</v>
      </c>
      <c r="G1157" t="str">
        <v>-</v>
      </c>
    </row>
    <row r="1158">
      <c r="A1158">
        <v>7157</v>
      </c>
      <c r="B1158" t="str">
        <f>HYPERLINK("https://www.facebook.com/CongantinhPhuTho19/", "Công an xã Dậu Dương  tỉnh Phú Thọ")</f>
        <v>Công an xã Dậu Dương  tỉnh Phú Thọ</v>
      </c>
      <c r="C1158" t="str">
        <v>https://www.facebook.com/CongantinhPhuTho19/</v>
      </c>
      <c r="D1158" t="str">
        <v>-</v>
      </c>
      <c r="E1158" t="str">
        <v/>
      </c>
      <c r="F1158" t="str">
        <v>-</v>
      </c>
      <c r="G1158" t="str">
        <v>-</v>
      </c>
    </row>
    <row r="1159">
      <c r="A1159">
        <v>7158</v>
      </c>
      <c r="B1159" t="str">
        <f>HYPERLINK("http://congbao.phutho.gov.vn/cong-bao.html?a=1&amp;gazetteid=132&amp;gazettetype=0&amp;publishyear=2013", "UBND Ủy ban nhân dân xã Dậu Dương  tỉnh Phú Thọ")</f>
        <v>UBND Ủy ban nhân dân xã Dậu Dương  tỉnh Phú Thọ</v>
      </c>
      <c r="C1159" t="str">
        <v>http://congbao.phutho.gov.vn/cong-bao.html?a=1&amp;gazetteid=132&amp;gazettetype=0&amp;publishyear=2013</v>
      </c>
      <c r="D1159" t="str">
        <v>-</v>
      </c>
      <c r="E1159" t="str">
        <v>-</v>
      </c>
      <c r="F1159" t="str">
        <v>-</v>
      </c>
      <c r="G1159" t="str">
        <v>-</v>
      </c>
    </row>
    <row r="1160">
      <c r="A1160">
        <v>7159</v>
      </c>
      <c r="B1160" t="str">
        <f>HYPERLINK("https://www.facebook.com/phuthotv.vn/videos/kh%E1%BA%AFc-ph%E1%BB%A5c-t%C3%ACnh-tr%E1%BA%A1ng-%C4%91%C6%B0%E1%BB%9Dng-t%E1%BB%89nh-316-xu%E1%BB%91ng-c%E1%BA%A5p-t%E1%BA%A1i-huy%E1%BB%87n-thanh-th%E1%BB%A7y/2547328728776350/", "Công an xã Thượng Nông  tỉnh Phú Thọ")</f>
        <v>Công an xã Thượng Nông  tỉnh Phú Thọ</v>
      </c>
      <c r="C1160" t="str">
        <v>https://www.facebook.com/phuthotv.vn/videos/kh%E1%BA%AFc-ph%E1%BB%A5c-t%C3%ACnh-tr%E1%BA%A1ng-%C4%91%C6%B0%E1%BB%9Dng-t%E1%BB%89nh-316-xu%E1%BB%91ng-c%E1%BA%A5p-t%E1%BA%A1i-huy%E1%BB%87n-thanh-th%E1%BB%A7y/2547328728776350/</v>
      </c>
      <c r="D1160" t="str">
        <v>-</v>
      </c>
      <c r="E1160" t="str">
        <v/>
      </c>
      <c r="F1160" t="str">
        <v>-</v>
      </c>
      <c r="G1160" t="str">
        <v>-</v>
      </c>
    </row>
    <row r="1161">
      <c r="A1161">
        <v>7160</v>
      </c>
      <c r="B1161" t="str">
        <f>HYPERLINK("https://tamnong.phutho.gov.vn/Chuyen-muc-tin/Chi-tiet-tin/t/khu-2-xa-thuong-nong-huyen-tam-nong-don-bang-cong-nhan-dat-chuan-khu-dan-cu-nong-thon-moi-kieu-mau/title/11118/ctitle/155", "UBND Ủy ban nhân dân xã Thượng Nông  tỉnh Phú Thọ")</f>
        <v>UBND Ủy ban nhân dân xã Thượng Nông  tỉnh Phú Thọ</v>
      </c>
      <c r="C1161" t="str">
        <v>https://tamnong.phutho.gov.vn/Chuyen-muc-tin/Chi-tiet-tin/t/khu-2-xa-thuong-nong-huyen-tam-nong-don-bang-cong-nhan-dat-chuan-khu-dan-cu-nong-thon-moi-kieu-mau/title/11118/ctitle/155</v>
      </c>
      <c r="D1161" t="str">
        <v>-</v>
      </c>
      <c r="E1161" t="str">
        <v>-</v>
      </c>
      <c r="F1161" t="str">
        <v>-</v>
      </c>
      <c r="G1161" t="str">
        <v>-</v>
      </c>
    </row>
    <row r="1162">
      <c r="A1162">
        <v>7161</v>
      </c>
      <c r="B1162" t="str">
        <f>HYPERLINK("https://www.facebook.com/p/C%C3%B4ng-an-th%E1%BB%8B-tr%E1%BA%A5n-L%C3%A2m-Thao-100081296978934/", "Công an thị trấn Lâm Thao  tỉnh Phú Thọ")</f>
        <v>Công an thị trấn Lâm Thao  tỉnh Phú Thọ</v>
      </c>
      <c r="C1162" t="str">
        <v>https://www.facebook.com/p/C%C3%B4ng-an-th%E1%BB%8B-tr%E1%BA%A5n-L%C3%A2m-Thao-100081296978934/</v>
      </c>
      <c r="D1162" t="str">
        <v>-</v>
      </c>
      <c r="E1162" t="str">
        <v/>
      </c>
      <c r="F1162" t="str">
        <v>-</v>
      </c>
      <c r="G1162" t="str">
        <v>-</v>
      </c>
    </row>
    <row r="1163">
      <c r="A1163">
        <v>7162</v>
      </c>
      <c r="B1163" t="str">
        <f>HYPERLINK("https://lamthao.phutho.gov.vn/", "UBND Ủy ban nhân dân thị trấn Lâm Thao  tỉnh Phú Thọ")</f>
        <v>UBND Ủy ban nhân dân thị trấn Lâm Thao  tỉnh Phú Thọ</v>
      </c>
      <c r="C1163" t="str">
        <v>https://lamthao.phutho.gov.vn/</v>
      </c>
      <c r="D1163" t="str">
        <v>-</v>
      </c>
      <c r="E1163" t="str">
        <v>-</v>
      </c>
      <c r="F1163" t="str">
        <v>-</v>
      </c>
      <c r="G1163" t="str">
        <v>-</v>
      </c>
    </row>
    <row r="1164">
      <c r="A1164">
        <v>7163</v>
      </c>
      <c r="B1164" t="str">
        <f>HYPERLINK("https://www.facebook.com/p/C%C3%B4ng-an-x%C3%A3-Ti%C3%AAn-Ki%C3%AAn-100077045024710/", "Công an xã Tiên Kiên  tỉnh Phú Thọ")</f>
        <v>Công an xã Tiên Kiên  tỉnh Phú Thọ</v>
      </c>
      <c r="C1164" t="str">
        <v>https://www.facebook.com/p/C%C3%B4ng-an-x%C3%A3-Ti%C3%AAn-Ki%C3%AAn-100077045024710/</v>
      </c>
      <c r="D1164" t="str">
        <v>-</v>
      </c>
      <c r="E1164" t="str">
        <v/>
      </c>
      <c r="F1164" t="str">
        <v>-</v>
      </c>
      <c r="G1164" t="str">
        <v>-</v>
      </c>
    </row>
    <row r="1165">
      <c r="A1165">
        <v>7164</v>
      </c>
      <c r="B1165" t="str">
        <f>HYPERLINK("https://tienkien.lamthao.phutho.gov.vn/", "UBND Ủy ban nhân dân xã Tiên Kiên  tỉnh Phú Thọ")</f>
        <v>UBND Ủy ban nhân dân xã Tiên Kiên  tỉnh Phú Thọ</v>
      </c>
      <c r="C1165" t="str">
        <v>https://tienkien.lamthao.phutho.gov.vn/</v>
      </c>
      <c r="D1165" t="str">
        <v>-</v>
      </c>
      <c r="E1165" t="str">
        <v>-</v>
      </c>
      <c r="F1165" t="str">
        <v>-</v>
      </c>
      <c r="G1165" t="str">
        <v>-</v>
      </c>
    </row>
    <row r="1166">
      <c r="A1166">
        <v>7165</v>
      </c>
      <c r="B1166" t="str">
        <f>HYPERLINK("https://www.facebook.com/1741129299402593", "Công an thị trấn Hùng Sơn  tỉnh Phú Thọ")</f>
        <v>Công an thị trấn Hùng Sơn  tỉnh Phú Thọ</v>
      </c>
      <c r="C1166" t="str">
        <v>https://www.facebook.com/1741129299402593</v>
      </c>
      <c r="D1166" t="str">
        <v>-</v>
      </c>
      <c r="E1166" t="str">
        <v/>
      </c>
      <c r="F1166" t="str">
        <v>-</v>
      </c>
      <c r="G1166" t="str">
        <v>-</v>
      </c>
    </row>
    <row r="1167">
      <c r="A1167">
        <v>7166</v>
      </c>
      <c r="B1167" t="str">
        <f>HYPERLINK("https://hungson.lamthao.phutho.gov.vn/", "UBND Ủy ban nhân dân thị trấn Hùng Sơn  tỉnh Phú Thọ")</f>
        <v>UBND Ủy ban nhân dân thị trấn Hùng Sơn  tỉnh Phú Thọ</v>
      </c>
      <c r="C1167" t="str">
        <v>https://hungson.lamthao.phutho.gov.vn/</v>
      </c>
      <c r="D1167" t="str">
        <v>-</v>
      </c>
      <c r="E1167" t="str">
        <v>-</v>
      </c>
      <c r="F1167" t="str">
        <v>-</v>
      </c>
      <c r="G1167" t="str">
        <v>-</v>
      </c>
    </row>
    <row r="1168">
      <c r="A1168">
        <v>7167</v>
      </c>
      <c r="B1168" t="str">
        <f>HYPERLINK("https://www.facebook.com/1741129299402593", "Công an xã Xuân Lũng  tỉnh Phú Thọ")</f>
        <v>Công an xã Xuân Lũng  tỉnh Phú Thọ</v>
      </c>
      <c r="C1168" t="str">
        <v>https://www.facebook.com/1741129299402593</v>
      </c>
      <c r="D1168" t="str">
        <v>-</v>
      </c>
      <c r="E1168" t="str">
        <v/>
      </c>
      <c r="F1168" t="str">
        <v>-</v>
      </c>
      <c r="G1168" t="str">
        <v>-</v>
      </c>
    </row>
    <row r="1169">
      <c r="A1169">
        <v>7168</v>
      </c>
      <c r="B1169" t="str">
        <f>HYPERLINK("https://xuanlung.lamthao.phutho.gov.vn/", "UBND Ủy ban nhân dân xã Xuân Lũng  tỉnh Phú Thọ")</f>
        <v>UBND Ủy ban nhân dân xã Xuân Lũng  tỉnh Phú Thọ</v>
      </c>
      <c r="C1169" t="str">
        <v>https://xuanlung.lamthao.phutho.gov.vn/</v>
      </c>
      <c r="D1169" t="str">
        <v>-</v>
      </c>
      <c r="E1169" t="str">
        <v>-</v>
      </c>
      <c r="F1169" t="str">
        <v>-</v>
      </c>
      <c r="G1169" t="str">
        <v>-</v>
      </c>
    </row>
    <row r="1170">
      <c r="A1170">
        <v>7169</v>
      </c>
      <c r="B1170" t="str">
        <f>HYPERLINK("https://www.facebook.com/p/C%C3%B4ng-an-x%C3%A3-Xu%C3%A2n-Huy-100067791016460/", "Công an xã Xuân Huy  tỉnh Phú Thọ")</f>
        <v>Công an xã Xuân Huy  tỉnh Phú Thọ</v>
      </c>
      <c r="C1170" t="str">
        <v>https://www.facebook.com/p/C%C3%B4ng-an-x%C3%A3-Xu%C3%A2n-Huy-100067791016460/</v>
      </c>
      <c r="D1170" t="str">
        <v>-</v>
      </c>
      <c r="E1170" t="str">
        <v/>
      </c>
      <c r="F1170" t="str">
        <v>-</v>
      </c>
      <c r="G1170" t="str">
        <v>-</v>
      </c>
    </row>
    <row r="1171">
      <c r="A1171">
        <v>7170</v>
      </c>
      <c r="B1171" t="str">
        <f>HYPERLINK("https://xuanhuy.lamthao.phutho.gov.vn/", "UBND Ủy ban nhân dân xã Xuân Huy  tỉnh Phú Thọ")</f>
        <v>UBND Ủy ban nhân dân xã Xuân Huy  tỉnh Phú Thọ</v>
      </c>
      <c r="C1171" t="str">
        <v>https://xuanhuy.lamthao.phutho.gov.vn/</v>
      </c>
      <c r="D1171" t="str">
        <v>-</v>
      </c>
      <c r="E1171" t="str">
        <v>-</v>
      </c>
      <c r="F1171" t="str">
        <v>-</v>
      </c>
      <c r="G1171" t="str">
        <v>-</v>
      </c>
    </row>
    <row r="1172">
      <c r="A1172">
        <v>7171</v>
      </c>
      <c r="B1172" t="str">
        <v>Công an xã Thạch Sơn  tỉnh Phú Thọ</v>
      </c>
      <c r="C1172" t="str">
        <v>-</v>
      </c>
      <c r="D1172" t="str">
        <v>-</v>
      </c>
      <c r="E1172" t="str">
        <v/>
      </c>
      <c r="F1172" t="str">
        <v>-</v>
      </c>
      <c r="G1172" t="str">
        <v>-</v>
      </c>
    </row>
    <row r="1173">
      <c r="A1173">
        <v>7172</v>
      </c>
      <c r="B1173" t="str">
        <f>HYPERLINK("https://thachson.lamthao.phutho.gov.vn/", "UBND Ủy ban nhân dân xã Thạch Sơn  tỉnh Phú Thọ")</f>
        <v>UBND Ủy ban nhân dân xã Thạch Sơn  tỉnh Phú Thọ</v>
      </c>
      <c r="C1173" t="str">
        <v>https://thachson.lamthao.phutho.gov.vn/</v>
      </c>
      <c r="D1173" t="str">
        <v>-</v>
      </c>
      <c r="E1173" t="str">
        <v>-</v>
      </c>
      <c r="F1173" t="str">
        <v>-</v>
      </c>
      <c r="G1173" t="str">
        <v>-</v>
      </c>
    </row>
    <row r="1174">
      <c r="A1174">
        <v>7173</v>
      </c>
      <c r="B1174" t="str">
        <f>HYPERLINK("https://www.facebook.com/p/C%C3%B4ng-an-x%C3%A3-S%C6%A1n-Vi-100091151049830/", "Công an xã Sơn Vi  tỉnh Phú Thọ")</f>
        <v>Công an xã Sơn Vi  tỉnh Phú Thọ</v>
      </c>
      <c r="C1174" t="str">
        <v>https://www.facebook.com/p/C%C3%B4ng-an-x%C3%A3-S%C6%A1n-Vi-100091151049830/</v>
      </c>
      <c r="D1174" t="str">
        <v>-</v>
      </c>
      <c r="E1174" t="str">
        <v/>
      </c>
      <c r="F1174" t="str">
        <v>-</v>
      </c>
      <c r="G1174" t="str">
        <v>-</v>
      </c>
    </row>
    <row r="1175">
      <c r="A1175">
        <v>7174</v>
      </c>
      <c r="B1175" t="str">
        <f>HYPERLINK("https://sonvi.lamthao.phutho.gov.vn/", "UBND Ủy ban nhân dân xã Sơn Vi  tỉnh Phú Thọ")</f>
        <v>UBND Ủy ban nhân dân xã Sơn Vi  tỉnh Phú Thọ</v>
      </c>
      <c r="C1175" t="str">
        <v>https://sonvi.lamthao.phutho.gov.vn/</v>
      </c>
      <c r="D1175" t="str">
        <v>-</v>
      </c>
      <c r="E1175" t="str">
        <v>-</v>
      </c>
      <c r="F1175" t="str">
        <v>-</v>
      </c>
      <c r="G1175" t="str">
        <v>-</v>
      </c>
    </row>
    <row r="1176">
      <c r="A1176">
        <v>7175</v>
      </c>
      <c r="B1176" t="str">
        <v>Công an xã Hợp Hải  tỉnh Phú Thọ</v>
      </c>
      <c r="C1176" t="str">
        <v>-</v>
      </c>
      <c r="D1176" t="str">
        <v>-</v>
      </c>
      <c r="E1176" t="str">
        <v/>
      </c>
      <c r="F1176" t="str">
        <v>-</v>
      </c>
      <c r="G1176" t="str">
        <v>-</v>
      </c>
    </row>
    <row r="1177">
      <c r="A1177">
        <v>7176</v>
      </c>
      <c r="B1177" t="str">
        <f>HYPERLINK("https://doanhung.phutho.gov.vn/", "UBND Ủy ban nhân dân xã Hợp Hải  tỉnh Phú Thọ")</f>
        <v>UBND Ủy ban nhân dân xã Hợp Hải  tỉnh Phú Thọ</v>
      </c>
      <c r="C1177" t="str">
        <v>https://doanhung.phutho.gov.vn/</v>
      </c>
      <c r="D1177" t="str">
        <v>-</v>
      </c>
      <c r="E1177" t="str">
        <v>-</v>
      </c>
      <c r="F1177" t="str">
        <v>-</v>
      </c>
      <c r="G1177" t="str">
        <v>-</v>
      </c>
    </row>
    <row r="1178">
      <c r="A1178">
        <v>7177</v>
      </c>
      <c r="B1178" t="str">
        <v>Công an xã Sơn Dương  tỉnh Phú Thọ</v>
      </c>
      <c r="C1178" t="str">
        <v>-</v>
      </c>
      <c r="D1178" t="str">
        <v>-</v>
      </c>
      <c r="E1178" t="str">
        <v/>
      </c>
      <c r="F1178" t="str">
        <v>-</v>
      </c>
      <c r="G1178" t="str">
        <v>-</v>
      </c>
    </row>
    <row r="1179">
      <c r="A1179">
        <v>7178</v>
      </c>
      <c r="B1179" t="str">
        <f>HYPERLINK("http://www.tuyenquang.gov.vn/vi/post/cong-bo-quyet-dinh-cua-uy-ban-thuong-vu-quoc-hoi-thanh-lap-xa-hong-son?type=NEWS&amp;id=123580", "UBND Ủy ban nhân dân xã Sơn Dương  tỉnh Phú Thọ")</f>
        <v>UBND Ủy ban nhân dân xã Sơn Dương  tỉnh Phú Thọ</v>
      </c>
      <c r="C1179" t="str">
        <v>http://www.tuyenquang.gov.vn/vi/post/cong-bo-quyet-dinh-cua-uy-ban-thuong-vu-quoc-hoi-thanh-lap-xa-hong-son?type=NEWS&amp;id=123580</v>
      </c>
      <c r="D1179" t="str">
        <v>-</v>
      </c>
      <c r="E1179" t="str">
        <v>-</v>
      </c>
      <c r="F1179" t="str">
        <v>-</v>
      </c>
      <c r="G1179" t="str">
        <v>-</v>
      </c>
    </row>
    <row r="1180">
      <c r="A1180">
        <v>7179</v>
      </c>
      <c r="B1180" t="str">
        <f>HYPERLINK("https://www.facebook.com/p/C%C3%B4ng-an-x%C3%A3-Cao-X%C3%A1-100068215761399/", "Công an xã Cao Xá  tỉnh Phú Thọ")</f>
        <v>Công an xã Cao Xá  tỉnh Phú Thọ</v>
      </c>
      <c r="C1180" t="str">
        <v>https://www.facebook.com/p/C%C3%B4ng-an-x%C3%A3-Cao-X%C3%A1-100068215761399/</v>
      </c>
      <c r="D1180" t="str">
        <v>-</v>
      </c>
      <c r="E1180" t="str">
        <v/>
      </c>
      <c r="F1180" t="str">
        <v>-</v>
      </c>
      <c r="G1180" t="str">
        <v>-</v>
      </c>
    </row>
    <row r="1181">
      <c r="A1181">
        <v>7180</v>
      </c>
      <c r="B1181" t="str">
        <f>HYPERLINK("https://caoxa.lamthao.phutho.gov.vn/", "UBND Ủy ban nhân dân xã Cao Xá  tỉnh Phú Thọ")</f>
        <v>UBND Ủy ban nhân dân xã Cao Xá  tỉnh Phú Thọ</v>
      </c>
      <c r="C1181" t="str">
        <v>https://caoxa.lamthao.phutho.gov.vn/</v>
      </c>
      <c r="D1181" t="str">
        <v>-</v>
      </c>
      <c r="E1181" t="str">
        <v>-</v>
      </c>
      <c r="F1181" t="str">
        <v>-</v>
      </c>
      <c r="G1181" t="str">
        <v>-</v>
      </c>
    </row>
    <row r="1182">
      <c r="A1182">
        <v>7181</v>
      </c>
      <c r="B1182" t="str">
        <v>Công an xã Kinh Kệ  tỉnh Phú Thọ</v>
      </c>
      <c r="C1182" t="str">
        <v>-</v>
      </c>
      <c r="D1182" t="str">
        <v>-</v>
      </c>
      <c r="E1182" t="str">
        <v/>
      </c>
      <c r="F1182" t="str">
        <v>-</v>
      </c>
      <c r="G1182" t="str">
        <v>-</v>
      </c>
    </row>
    <row r="1183">
      <c r="A1183">
        <v>7182</v>
      </c>
      <c r="B1183" t="str">
        <f>HYPERLINK("http://congbao.phutho.gov.vn/van-ban/chi-tiet.html?docid=851&amp;docgaid=851&amp;isstoredoc=false", "UBND Ủy ban nhân dân xã Kinh Kệ  tỉnh Phú Thọ")</f>
        <v>UBND Ủy ban nhân dân xã Kinh Kệ  tỉnh Phú Thọ</v>
      </c>
      <c r="C1183" t="str">
        <v>http://congbao.phutho.gov.vn/van-ban/chi-tiet.html?docid=851&amp;docgaid=851&amp;isstoredoc=false</v>
      </c>
      <c r="D1183" t="str">
        <v>-</v>
      </c>
      <c r="E1183" t="str">
        <v>-</v>
      </c>
      <c r="F1183" t="str">
        <v>-</v>
      </c>
      <c r="G1183" t="str">
        <v>-</v>
      </c>
    </row>
    <row r="1184">
      <c r="A1184">
        <v>7183</v>
      </c>
      <c r="B1184" t="str">
        <v>Công an xã Vĩnh Lại  tỉnh Phú Thọ</v>
      </c>
      <c r="C1184" t="str">
        <v>-</v>
      </c>
      <c r="D1184" t="str">
        <v>-</v>
      </c>
      <c r="E1184" t="str">
        <v/>
      </c>
      <c r="F1184" t="str">
        <v>-</v>
      </c>
      <c r="G1184" t="str">
        <v>-</v>
      </c>
    </row>
    <row r="1185">
      <c r="A1185">
        <v>7184</v>
      </c>
      <c r="B1185" t="str">
        <f>HYPERLINK("https://vinhlai.lamthao.phutho.gov.vn/Chuyen-muc-tin/Chi-tiet-tin/t/ubnd-xa-vinh-lai/title/51094/ctitle/543552", "UBND Ủy ban nhân dân xã Vĩnh Lại  tỉnh Phú Thọ")</f>
        <v>UBND Ủy ban nhân dân xã Vĩnh Lại  tỉnh Phú Thọ</v>
      </c>
      <c r="C1185" t="str">
        <v>https://vinhlai.lamthao.phutho.gov.vn/Chuyen-muc-tin/Chi-tiet-tin/t/ubnd-xa-vinh-lai/title/51094/ctitle/543552</v>
      </c>
      <c r="D1185" t="str">
        <v>-</v>
      </c>
      <c r="E1185" t="str">
        <v>-</v>
      </c>
      <c r="F1185" t="str">
        <v>-</v>
      </c>
      <c r="G1185" t="str">
        <v>-</v>
      </c>
    </row>
    <row r="1186">
      <c r="A1186">
        <v>7185</v>
      </c>
      <c r="B1186" t="str">
        <v>Công an xã Tứ xã  tỉnh Phú Thọ</v>
      </c>
      <c r="C1186" t="str">
        <v>-</v>
      </c>
      <c r="D1186" t="str">
        <v>-</v>
      </c>
      <c r="E1186" t="str">
        <v/>
      </c>
      <c r="F1186" t="str">
        <v>-</v>
      </c>
      <c r="G1186" t="str">
        <v>-</v>
      </c>
    </row>
    <row r="1187">
      <c r="A1187">
        <v>7186</v>
      </c>
      <c r="B1187" t="str">
        <f>HYPERLINK("https://tuxa.lamthao.phutho.gov.vn/Chuyen-muc-tin/Chi-tiet-tin/t/can-bo-cong-chuc-ubnd-xa-tu-xa/title/51356/ctitle/543450", "UBND Ủy ban nhân dân xã Tứ xã  tỉnh Phú Thọ")</f>
        <v>UBND Ủy ban nhân dân xã Tứ xã  tỉnh Phú Thọ</v>
      </c>
      <c r="C1187" t="str">
        <v>https://tuxa.lamthao.phutho.gov.vn/Chuyen-muc-tin/Chi-tiet-tin/t/can-bo-cong-chuc-ubnd-xa-tu-xa/title/51356/ctitle/543450</v>
      </c>
      <c r="D1187" t="str">
        <v>-</v>
      </c>
      <c r="E1187" t="str">
        <v>-</v>
      </c>
      <c r="F1187" t="str">
        <v>-</v>
      </c>
      <c r="G1187" t="str">
        <v>-</v>
      </c>
    </row>
    <row r="1188">
      <c r="A1188">
        <v>7187</v>
      </c>
      <c r="B1188" t="str">
        <f>HYPERLINK("https://www.facebook.com/groups/589201565808848/", "Công an xã Bản Nguyên  tỉnh Phú Thọ")</f>
        <v>Công an xã Bản Nguyên  tỉnh Phú Thọ</v>
      </c>
      <c r="C1188" t="str">
        <v>https://www.facebook.com/groups/589201565808848/</v>
      </c>
      <c r="D1188" t="str">
        <v>-</v>
      </c>
      <c r="E1188" t="str">
        <v/>
      </c>
      <c r="F1188" t="str">
        <v>-</v>
      </c>
      <c r="G1188" t="str">
        <v>-</v>
      </c>
    </row>
    <row r="1189">
      <c r="A1189">
        <v>7188</v>
      </c>
      <c r="B1189" t="str">
        <f>HYPERLINK("https://bannguyen.lamthao.phutho.gov.vn/", "UBND Ủy ban nhân dân xã Bản Nguyên  tỉnh Phú Thọ")</f>
        <v>UBND Ủy ban nhân dân xã Bản Nguyên  tỉnh Phú Thọ</v>
      </c>
      <c r="C1189" t="str">
        <v>https://bannguyen.lamthao.phutho.gov.vn/</v>
      </c>
      <c r="D1189" t="str">
        <v>-</v>
      </c>
      <c r="E1189" t="str">
        <v>-</v>
      </c>
      <c r="F1189" t="str">
        <v>-</v>
      </c>
      <c r="G1189" t="str">
        <v>-</v>
      </c>
    </row>
    <row r="1190">
      <c r="A1190">
        <v>7189</v>
      </c>
      <c r="B1190" t="str">
        <f>HYPERLINK("https://www.facebook.com/p/C%C3%B4ng-an-huy%E1%BB%87n-Thanh-S%C6%A1n-100079872025889/", "Công an thị trấn Thanh Sơn  tỉnh Phú Thọ")</f>
        <v>Công an thị trấn Thanh Sơn  tỉnh Phú Thọ</v>
      </c>
      <c r="C1190" t="str">
        <v>https://www.facebook.com/p/C%C3%B4ng-an-huy%E1%BB%87n-Thanh-S%C6%A1n-100079872025889/</v>
      </c>
      <c r="D1190" t="str">
        <v>-</v>
      </c>
      <c r="E1190" t="str">
        <v/>
      </c>
      <c r="F1190" t="str">
        <v>-</v>
      </c>
      <c r="G1190" t="str">
        <v>-</v>
      </c>
    </row>
    <row r="1191">
      <c r="A1191">
        <v>7190</v>
      </c>
      <c r="B1191" t="str">
        <f>HYPERLINK("https://thanhson.phutho.gov.vn/", "UBND Ủy ban nhân dân thị trấn Thanh Sơn  tỉnh Phú Thọ")</f>
        <v>UBND Ủy ban nhân dân thị trấn Thanh Sơn  tỉnh Phú Thọ</v>
      </c>
      <c r="C1191" t="str">
        <v>https://thanhson.phutho.gov.vn/</v>
      </c>
      <c r="D1191" t="str">
        <v>-</v>
      </c>
      <c r="E1191" t="str">
        <v>-</v>
      </c>
      <c r="F1191" t="str">
        <v>-</v>
      </c>
      <c r="G1191" t="str">
        <v>-</v>
      </c>
    </row>
    <row r="1192">
      <c r="A1192">
        <v>7191</v>
      </c>
      <c r="B1192" t="str">
        <f>HYPERLINK("https://www.facebook.com/p/Tr%C6%B0%E1%BB%9Dng-Ti%E1%BB%83u-h%E1%BB%8Dc-S%C6%A1n-H%C3%B9ng-100087194467171/", "Công an xã Sơn Hùng  tỉnh Phú Thọ")</f>
        <v>Công an xã Sơn Hùng  tỉnh Phú Thọ</v>
      </c>
      <c r="C1192" t="str">
        <v>https://www.facebook.com/p/Tr%C6%B0%E1%BB%9Dng-Ti%E1%BB%83u-h%E1%BB%8Dc-S%C6%A1n-H%C3%B9ng-100087194467171/</v>
      </c>
      <c r="D1192" t="str">
        <v>-</v>
      </c>
      <c r="E1192" t="str">
        <v/>
      </c>
      <c r="F1192" t="str">
        <v>-</v>
      </c>
      <c r="G1192" t="str">
        <v>-</v>
      </c>
    </row>
    <row r="1193">
      <c r="A1193">
        <v>7192</v>
      </c>
      <c r="B1193" t="str">
        <f>HYPERLINK("https://sonhung.thanhson.phutho.gov.vn/tin-xa-hoi/thong-bao-tim-cha-me-bo-roi-tre-so-sinh-tai-dia-ban-xa-son-hung-215342", "UBND Ủy ban nhân dân xã Sơn Hùng  tỉnh Phú Thọ")</f>
        <v>UBND Ủy ban nhân dân xã Sơn Hùng  tỉnh Phú Thọ</v>
      </c>
      <c r="C1193" t="str">
        <v>https://sonhung.thanhson.phutho.gov.vn/tin-xa-hoi/thong-bao-tim-cha-me-bo-roi-tre-so-sinh-tai-dia-ban-xa-son-hung-215342</v>
      </c>
      <c r="D1193" t="str">
        <v>-</v>
      </c>
      <c r="E1193" t="str">
        <v>-</v>
      </c>
      <c r="F1193" t="str">
        <v>-</v>
      </c>
      <c r="G1193" t="str">
        <v>-</v>
      </c>
    </row>
    <row r="1194">
      <c r="A1194">
        <v>7193</v>
      </c>
      <c r="B1194" t="str">
        <f>HYPERLINK("https://www.facebook.com/p/Ph%C3%B2ng-C%E1%BA%A3nh-s%C3%A1t-H%C3%ACnh-S%E1%BB%B1-C%C3%B4ng-an-t%E1%BB%89nh-Ph%C3%BA-Th%E1%BB%8D-100063695286314/?locale=hi_IN", "Công an xã Địch Quả  tỉnh Phú Thọ")</f>
        <v>Công an xã Địch Quả  tỉnh Phú Thọ</v>
      </c>
      <c r="C1194" t="str">
        <v>https://www.facebook.com/p/Ph%C3%B2ng-C%E1%BA%A3nh-s%C3%A1t-H%C3%ACnh-S%E1%BB%B1-C%C3%B4ng-an-t%E1%BB%89nh-Ph%C3%BA-Th%E1%BB%8D-100063695286314/?locale=hi_IN</v>
      </c>
      <c r="D1194" t="str">
        <v>-</v>
      </c>
      <c r="E1194" t="str">
        <v/>
      </c>
      <c r="F1194" t="str">
        <v>-</v>
      </c>
      <c r="G1194" t="str">
        <v>-</v>
      </c>
    </row>
    <row r="1195">
      <c r="A1195">
        <v>7194</v>
      </c>
      <c r="B1195" t="str">
        <f>HYPERLINK("http://congbao.phutho.gov.vn/van-ban/chi-tiet.html?docid=1825&amp;docgaid=1722&amp;isstoredoc=false", "UBND Ủy ban nhân dân xã Địch Quả  tỉnh Phú Thọ")</f>
        <v>UBND Ủy ban nhân dân xã Địch Quả  tỉnh Phú Thọ</v>
      </c>
      <c r="C1195" t="str">
        <v>http://congbao.phutho.gov.vn/van-ban/chi-tiet.html?docid=1825&amp;docgaid=1722&amp;isstoredoc=false</v>
      </c>
      <c r="D1195" t="str">
        <v>-</v>
      </c>
      <c r="E1195" t="str">
        <v>-</v>
      </c>
      <c r="F1195" t="str">
        <v>-</v>
      </c>
      <c r="G1195" t="str">
        <v>-</v>
      </c>
    </row>
    <row r="1196">
      <c r="A1196">
        <v>7195</v>
      </c>
      <c r="B1196" t="str">
        <f>HYPERLINK("https://www.facebook.com/p/C%E1%BB%99ng-%C4%90%E1%BB%93ng-X%C3%A3-Gi%C3%A1p-Lai-Huy%E1%BB%87n-Thanh-S%C6%A1n-T%E1%BB%89nh-Ph%C3%BA-Th%E1%BB%8D-100063084888472/", "Công an xã Giáp Lai  tỉnh Phú Thọ")</f>
        <v>Công an xã Giáp Lai  tỉnh Phú Thọ</v>
      </c>
      <c r="C1196" t="str">
        <v>https://www.facebook.com/p/C%E1%BB%99ng-%C4%90%E1%BB%93ng-X%C3%A3-Gi%C3%A1p-Lai-Huy%E1%BB%87n-Thanh-S%C6%A1n-T%E1%BB%89nh-Ph%C3%BA-Th%E1%BB%8D-100063084888472/</v>
      </c>
      <c r="D1196" t="str">
        <v>-</v>
      </c>
      <c r="E1196" t="str">
        <v/>
      </c>
      <c r="F1196" t="str">
        <v>-</v>
      </c>
      <c r="G1196" t="str">
        <v>-</v>
      </c>
    </row>
    <row r="1197">
      <c r="A1197">
        <v>7196</v>
      </c>
      <c r="B1197" t="str">
        <f>HYPERLINK("http://congbao.phutho.gov.vn/cong-bao.html?a=1&amp;gazetteid=88&amp;gazettetype=0&amp;publishyear=2007", "UBND Ủy ban nhân dân xã Giáp Lai  tỉnh Phú Thọ")</f>
        <v>UBND Ủy ban nhân dân xã Giáp Lai  tỉnh Phú Thọ</v>
      </c>
      <c r="C1197" t="str">
        <v>http://congbao.phutho.gov.vn/cong-bao.html?a=1&amp;gazetteid=88&amp;gazettetype=0&amp;publishyear=2007</v>
      </c>
      <c r="D1197" t="str">
        <v>-</v>
      </c>
      <c r="E1197" t="str">
        <v>-</v>
      </c>
      <c r="F1197" t="str">
        <v>-</v>
      </c>
      <c r="G1197" t="str">
        <v>-</v>
      </c>
    </row>
    <row r="1198">
      <c r="A1198">
        <v>7197</v>
      </c>
      <c r="B1198" t="str">
        <v>Công an xã Thục Luyện  tỉnh Phú Thọ</v>
      </c>
      <c r="C1198" t="str">
        <v>-</v>
      </c>
      <c r="D1198" t="str">
        <v>-</v>
      </c>
      <c r="E1198" t="str">
        <v/>
      </c>
      <c r="F1198" t="str">
        <v>-</v>
      </c>
      <c r="G1198" t="str">
        <v>-</v>
      </c>
    </row>
    <row r="1199">
      <c r="A1199">
        <v>7198</v>
      </c>
      <c r="B1199" t="str">
        <f>HYPERLINK("http://congbao.phutho.gov.vn/van-ban/chi-tiet.html?docid=958&amp;docgaid=958&amp;isstoredoc=false", "UBND Ủy ban nhân dân xã Thục Luyện  tỉnh Phú Thọ")</f>
        <v>UBND Ủy ban nhân dân xã Thục Luyện  tỉnh Phú Thọ</v>
      </c>
      <c r="C1199" t="str">
        <v>http://congbao.phutho.gov.vn/van-ban/chi-tiet.html?docid=958&amp;docgaid=958&amp;isstoredoc=false</v>
      </c>
      <c r="D1199" t="str">
        <v>-</v>
      </c>
      <c r="E1199" t="str">
        <v>-</v>
      </c>
      <c r="F1199" t="str">
        <v>-</v>
      </c>
      <c r="G1199" t="str">
        <v>-</v>
      </c>
    </row>
    <row r="1200">
      <c r="A1200">
        <v>7199</v>
      </c>
      <c r="B1200" t="str">
        <f>HYPERLINK("https://www.facebook.com/p/C%C3%B4ng-an-x%C3%A3-V%C3%B5-Mi%E1%BA%BFu-100088561644750/", "Công an xã Võ Miếu  tỉnh Phú Thọ")</f>
        <v>Công an xã Võ Miếu  tỉnh Phú Thọ</v>
      </c>
      <c r="C1200" t="str">
        <v>https://www.facebook.com/p/C%C3%B4ng-an-x%C3%A3-V%C3%B5-Mi%E1%BA%BFu-100088561644750/</v>
      </c>
      <c r="D1200" t="str">
        <v>-</v>
      </c>
      <c r="E1200" t="str">
        <v/>
      </c>
      <c r="F1200" t="str">
        <v>-</v>
      </c>
      <c r="G1200" t="str">
        <v>-</v>
      </c>
    </row>
    <row r="1201">
      <c r="A1201">
        <v>7200</v>
      </c>
      <c r="B1201" t="str">
        <f>HYPERLINK("https://vomieu.thanhson.phutho.gov.vn/uy-ban-nhan-dan", "UBND Ủy ban nhân dân xã Võ Miếu  tỉnh Phú Thọ")</f>
        <v>UBND Ủy ban nhân dân xã Võ Miếu  tỉnh Phú Thọ</v>
      </c>
      <c r="C1201" t="str">
        <v>https://vomieu.thanhson.phutho.gov.vn/uy-ban-nhan-dan</v>
      </c>
      <c r="D1201" t="str">
        <v>-</v>
      </c>
      <c r="E1201" t="str">
        <v>-</v>
      </c>
      <c r="F1201" t="str">
        <v>-</v>
      </c>
      <c r="G1201" t="str">
        <v>-</v>
      </c>
    </row>
    <row r="1202">
      <c r="A1202">
        <v>7201</v>
      </c>
      <c r="B1202" t="str">
        <f>HYPERLINK("https://www.facebook.com/phuthotv.vn/videos/x%C3%A3-th%E1%BA%A1ch-kho%C3%A1n-%C4%91%E1%BA%A1t-chu%E1%BA%A9n-n%C3%B4ng-th%C3%B4n-m%E1%BB%9Bi/559791950312618/", "Công an xã Thạch Khoán  tỉnh Phú Thọ")</f>
        <v>Công an xã Thạch Khoán  tỉnh Phú Thọ</v>
      </c>
      <c r="C1202" t="str">
        <v>https://www.facebook.com/phuthotv.vn/videos/x%C3%A3-th%E1%BA%A1ch-kho%C3%A1n-%C4%91%E1%BA%A1t-chu%E1%BA%A9n-n%C3%B4ng-th%C3%B4n-m%E1%BB%9Bi/559791950312618/</v>
      </c>
      <c r="D1202" t="str">
        <v>-</v>
      </c>
      <c r="E1202" t="str">
        <v/>
      </c>
      <c r="F1202" t="str">
        <v>-</v>
      </c>
      <c r="G1202" t="str">
        <v>-</v>
      </c>
    </row>
    <row r="1203">
      <c r="A1203">
        <v>7202</v>
      </c>
      <c r="B1203" t="str">
        <f>HYPERLINK("https://thanhson.phutho.gov.vn/", "UBND Ủy ban nhân dân xã Thạch Khoán  tỉnh Phú Thọ")</f>
        <v>UBND Ủy ban nhân dân xã Thạch Khoán  tỉnh Phú Thọ</v>
      </c>
      <c r="C1203" t="str">
        <v>https://thanhson.phutho.gov.vn/</v>
      </c>
      <c r="D1203" t="str">
        <v>-</v>
      </c>
      <c r="E1203" t="str">
        <v>-</v>
      </c>
      <c r="F1203" t="str">
        <v>-</v>
      </c>
      <c r="G1203" t="str">
        <v>-</v>
      </c>
    </row>
    <row r="1204">
      <c r="A1204">
        <v>7203</v>
      </c>
      <c r="B1204" t="str">
        <f>HYPERLINK("https://www.facebook.com/trungsy.nguyen.100/", "Công an xã Cự Thắng  tỉnh Phú Thọ")</f>
        <v>Công an xã Cự Thắng  tỉnh Phú Thọ</v>
      </c>
      <c r="C1204" t="str">
        <v>https://www.facebook.com/trungsy.nguyen.100/</v>
      </c>
      <c r="D1204" t="str">
        <v>-</v>
      </c>
      <c r="E1204" t="str">
        <v/>
      </c>
      <c r="F1204" t="str">
        <v>-</v>
      </c>
      <c r="G1204" t="str">
        <v>-</v>
      </c>
    </row>
    <row r="1205">
      <c r="A1205">
        <v>7204</v>
      </c>
      <c r="B1205" t="str">
        <f>HYPERLINK("https://dgts.moj.gov.vn/thong-bao-cong-khai-viec-dau-gia/gom-30-o-dat-tai-khu-7-xa-cu-thang-huyen-thanh-son-tinh-phu-thogom-30-o-dat-tai-khu-7-xa-cu-thang-huyen-thanh-son-tinh-phu-thogom-30-o-dat-tai-khu-7-xa-cu-thang-huyen-thanh-son-tinh-phu-tho-6266.html", "UBND Ủy ban nhân dân xã Cự Thắng  tỉnh Phú Thọ")</f>
        <v>UBND Ủy ban nhân dân xã Cự Thắng  tỉnh Phú Thọ</v>
      </c>
      <c r="C1205" t="str">
        <v>https://dgts.moj.gov.vn/thong-bao-cong-khai-viec-dau-gia/gom-30-o-dat-tai-khu-7-xa-cu-thang-huyen-thanh-son-tinh-phu-thogom-30-o-dat-tai-khu-7-xa-cu-thang-huyen-thanh-son-tinh-phu-thogom-30-o-dat-tai-khu-7-xa-cu-thang-huyen-thanh-son-tinh-phu-tho-6266.html</v>
      </c>
      <c r="D1205" t="str">
        <v>-</v>
      </c>
      <c r="E1205" t="str">
        <v>-</v>
      </c>
      <c r="F1205" t="str">
        <v>-</v>
      </c>
      <c r="G1205" t="str">
        <v>-</v>
      </c>
    </row>
    <row r="1206">
      <c r="A1206">
        <v>7205</v>
      </c>
      <c r="B1206" t="str">
        <f>HYPERLINK("https://www.facebook.com/p/ubnd-x%C3%A3-t%E1%BA%A5t-th%E1%BA%AFng-huy%E1%BB%87n-thanh-s%C6%A1n-t%E1%BB%89nh-ph%C3%BA-th%E1%BB%8D-100027725422911/", "Công an xã Tất Thắng  tỉnh Phú Thọ")</f>
        <v>Công an xã Tất Thắng  tỉnh Phú Thọ</v>
      </c>
      <c r="C1206" t="str">
        <v>https://www.facebook.com/p/ubnd-x%C3%A3-t%E1%BA%A5t-th%E1%BA%AFng-huy%E1%BB%87n-thanh-s%C6%A1n-t%E1%BB%89nh-ph%C3%BA-th%E1%BB%8D-100027725422911/</v>
      </c>
      <c r="D1206" t="str">
        <v>-</v>
      </c>
      <c r="E1206" t="str">
        <v/>
      </c>
      <c r="F1206" t="str">
        <f>HYPERLINK("mailto:duc.dinhphuc@gmail.com", "duc.dinhphuc@gmail.com")</f>
        <v>duc.dinhphuc@gmail.com</v>
      </c>
      <c r="G1206" t="str">
        <v>Quốc lộ 70B, Khu 7, Xã Tất Thắng, thanh sơn, phú thọ</v>
      </c>
    </row>
    <row r="1207">
      <c r="A1207">
        <v>7206</v>
      </c>
      <c r="B1207" t="str">
        <f>HYPERLINK("https://tatthang.thanhson.phutho.gov.vn/uy-ban-nhan-dan", "UBND Ủy ban nhân dân xã Tất Thắng  tỉnh Phú Thọ")</f>
        <v>UBND Ủy ban nhân dân xã Tất Thắng  tỉnh Phú Thọ</v>
      </c>
      <c r="C1207" t="str">
        <v>https://tatthang.thanhson.phutho.gov.vn/uy-ban-nhan-dan</v>
      </c>
      <c r="D1207" t="str">
        <v>-</v>
      </c>
      <c r="E1207" t="str">
        <v>-</v>
      </c>
      <c r="F1207" t="str">
        <v>-</v>
      </c>
      <c r="G1207" t="str">
        <v>-</v>
      </c>
    </row>
    <row r="1208">
      <c r="A1208">
        <v>7207</v>
      </c>
      <c r="B1208" t="str">
        <v>Công an xã Văn Miếu  tỉnh Phú Thọ</v>
      </c>
      <c r="C1208" t="str">
        <v>-</v>
      </c>
      <c r="D1208" t="str">
        <v>-</v>
      </c>
      <c r="E1208" t="str">
        <v/>
      </c>
      <c r="F1208" t="str">
        <v>-</v>
      </c>
      <c r="G1208" t="str">
        <v>-</v>
      </c>
    </row>
    <row r="1209">
      <c r="A1209">
        <v>7208</v>
      </c>
      <c r="B1209" t="str">
        <f>HYPERLINK("http://congbao.phutho.gov.vn/cong-bao.html?a=1&amp;publishyear=2022", "UBND Ủy ban nhân dân xã Văn Miếu  tỉnh Phú Thọ")</f>
        <v>UBND Ủy ban nhân dân xã Văn Miếu  tỉnh Phú Thọ</v>
      </c>
      <c r="C1209" t="str">
        <v>http://congbao.phutho.gov.vn/cong-bao.html?a=1&amp;publishyear=2022</v>
      </c>
      <c r="D1209" t="str">
        <v>-</v>
      </c>
      <c r="E1209" t="str">
        <v>-</v>
      </c>
      <c r="F1209" t="str">
        <v>-</v>
      </c>
      <c r="G1209" t="str">
        <v>-</v>
      </c>
    </row>
    <row r="1210">
      <c r="A1210">
        <v>7209</v>
      </c>
      <c r="B1210" t="str">
        <v>Công an xã Cự Đồng  tỉnh Phú Thọ</v>
      </c>
      <c r="C1210" t="str">
        <v>-</v>
      </c>
      <c r="D1210" t="str">
        <v>-</v>
      </c>
      <c r="E1210" t="str">
        <v/>
      </c>
      <c r="F1210" t="str">
        <v>-</v>
      </c>
      <c r="G1210" t="str">
        <v>-</v>
      </c>
    </row>
    <row r="1211">
      <c r="A1211">
        <v>7210</v>
      </c>
      <c r="B1211" t="str">
        <f>HYPERLINK("https://thanhson.phutho.gov.vn/", "UBND Ủy ban nhân dân xã Cự Đồng  tỉnh Phú Thọ")</f>
        <v>UBND Ủy ban nhân dân xã Cự Đồng  tỉnh Phú Thọ</v>
      </c>
      <c r="C1211" t="str">
        <v>https://thanhson.phutho.gov.vn/</v>
      </c>
      <c r="D1211" t="str">
        <v>-</v>
      </c>
      <c r="E1211" t="str">
        <v>-</v>
      </c>
      <c r="F1211" t="str">
        <v>-</v>
      </c>
      <c r="G1211" t="str">
        <v>-</v>
      </c>
    </row>
    <row r="1212">
      <c r="A1212">
        <v>7211</v>
      </c>
      <c r="B1212" t="str">
        <v>Công an xã Thắng Sơn  tỉnh Phú Thọ</v>
      </c>
      <c r="C1212" t="str">
        <v>-</v>
      </c>
      <c r="D1212" t="str">
        <v>-</v>
      </c>
      <c r="E1212" t="str">
        <v/>
      </c>
      <c r="F1212" t="str">
        <v>-</v>
      </c>
      <c r="G1212" t="str">
        <v>-</v>
      </c>
    </row>
    <row r="1213">
      <c r="A1213">
        <v>7212</v>
      </c>
      <c r="B1213" t="str">
        <f>HYPERLINK("https://thanhson.phutho.gov.vn/", "UBND Ủy ban nhân dân xã Thắng Sơn  tỉnh Phú Thọ")</f>
        <v>UBND Ủy ban nhân dân xã Thắng Sơn  tỉnh Phú Thọ</v>
      </c>
      <c r="C1213" t="str">
        <v>https://thanhson.phutho.gov.vn/</v>
      </c>
      <c r="D1213" t="str">
        <v>-</v>
      </c>
      <c r="E1213" t="str">
        <v>-</v>
      </c>
      <c r="F1213" t="str">
        <v>-</v>
      </c>
      <c r="G1213" t="str">
        <v>-</v>
      </c>
    </row>
    <row r="1214">
      <c r="A1214">
        <v>7213</v>
      </c>
      <c r="B1214" t="str">
        <f>HYPERLINK("https://www.facebook.com/groups/399476294001404/", "Công an xã Tân Minh  tỉnh Phú Thọ")</f>
        <v>Công an xã Tân Minh  tỉnh Phú Thọ</v>
      </c>
      <c r="C1214" t="str">
        <v>https://www.facebook.com/groups/399476294001404/</v>
      </c>
      <c r="D1214" t="str">
        <v>-</v>
      </c>
      <c r="E1214" t="str">
        <v/>
      </c>
      <c r="F1214" t="str">
        <v>-</v>
      </c>
      <c r="G1214" t="str">
        <v>-</v>
      </c>
    </row>
    <row r="1215">
      <c r="A1215">
        <v>7214</v>
      </c>
      <c r="B1215" t="str">
        <f>HYPERLINK("https://tanminh.thanhson.phutho.gov.vn/uy-ban-nhan-dan", "UBND Ủy ban nhân dân xã Tân Minh  tỉnh Phú Thọ")</f>
        <v>UBND Ủy ban nhân dân xã Tân Minh  tỉnh Phú Thọ</v>
      </c>
      <c r="C1215" t="str">
        <v>https://tanminh.thanhson.phutho.gov.vn/uy-ban-nhan-dan</v>
      </c>
      <c r="D1215" t="str">
        <v>-</v>
      </c>
      <c r="E1215" t="str">
        <v>-</v>
      </c>
      <c r="F1215" t="str">
        <v>-</v>
      </c>
      <c r="G1215" t="str">
        <v>-</v>
      </c>
    </row>
    <row r="1216">
      <c r="A1216">
        <v>7215</v>
      </c>
      <c r="B1216" t="str">
        <f>HYPERLINK("https://www.facebook.com/Ubndxahuongcan/?locale=vi_VN", "Công an xã Hương Cần  tỉnh Phú Thọ")</f>
        <v>Công an xã Hương Cần  tỉnh Phú Thọ</v>
      </c>
      <c r="C1216" t="str">
        <v>https://www.facebook.com/Ubndxahuongcan/?locale=vi_VN</v>
      </c>
      <c r="D1216" t="str">
        <v>-</v>
      </c>
      <c r="E1216" t="str">
        <v/>
      </c>
      <c r="F1216" t="str">
        <v>-</v>
      </c>
      <c r="G1216" t="str">
        <v>-</v>
      </c>
    </row>
    <row r="1217">
      <c r="A1217">
        <v>7216</v>
      </c>
      <c r="B1217" t="str">
        <f>HYPERLINK("https://thanhson.phutho.gov.vn/", "UBND Ủy ban nhân dân xã Hương Cần  tỉnh Phú Thọ")</f>
        <v>UBND Ủy ban nhân dân xã Hương Cần  tỉnh Phú Thọ</v>
      </c>
      <c r="C1217" t="str">
        <v>https://thanhson.phutho.gov.vn/</v>
      </c>
      <c r="D1217" t="str">
        <v>-</v>
      </c>
      <c r="E1217" t="str">
        <v>-</v>
      </c>
      <c r="F1217" t="str">
        <v>-</v>
      </c>
      <c r="G1217" t="str">
        <v>-</v>
      </c>
    </row>
    <row r="1218">
      <c r="A1218">
        <v>7217</v>
      </c>
      <c r="B1218" t="str">
        <f>HYPERLINK("https://www.facebook.com/xakhacuu/?locale=vi_VN", "Công an xã Khả Cửu  tỉnh Phú Thọ")</f>
        <v>Công an xã Khả Cửu  tỉnh Phú Thọ</v>
      </c>
      <c r="C1218" t="str">
        <v>https://www.facebook.com/xakhacuu/?locale=vi_VN</v>
      </c>
      <c r="D1218" t="str">
        <v>-</v>
      </c>
      <c r="E1218" t="str">
        <v/>
      </c>
      <c r="F1218" t="str">
        <v>-</v>
      </c>
      <c r="G1218" t="str">
        <v>-</v>
      </c>
    </row>
    <row r="1219">
      <c r="A1219">
        <v>7218</v>
      </c>
      <c r="B1219" t="str">
        <f>HYPERLINK("http://congbao.phutho.gov.vn/tong-tap.html?classification=2&amp;unitid=3&amp;pageIndex=26", "UBND Ủy ban nhân dân xã Khả Cửu  tỉnh Phú Thọ")</f>
        <v>UBND Ủy ban nhân dân xã Khả Cửu  tỉnh Phú Thọ</v>
      </c>
      <c r="C1219" t="str">
        <v>http://congbao.phutho.gov.vn/tong-tap.html?classification=2&amp;unitid=3&amp;pageIndex=26</v>
      </c>
      <c r="D1219" t="str">
        <v>-</v>
      </c>
      <c r="E1219" t="str">
        <v>-</v>
      </c>
      <c r="F1219" t="str">
        <v>-</v>
      </c>
      <c r="G1219" t="str">
        <v>-</v>
      </c>
    </row>
    <row r="1220">
      <c r="A1220">
        <v>7219</v>
      </c>
      <c r="B1220" t="str">
        <v>Công an xã Đông Cửu  tỉnh Phú Thọ</v>
      </c>
      <c r="C1220" t="str">
        <v>-</v>
      </c>
      <c r="D1220" t="str">
        <v>-</v>
      </c>
      <c r="E1220" t="str">
        <v/>
      </c>
      <c r="F1220" t="str">
        <v>-</v>
      </c>
      <c r="G1220" t="str">
        <v>-</v>
      </c>
    </row>
    <row r="1221">
      <c r="A1221">
        <v>7220</v>
      </c>
      <c r="B1221" t="str">
        <f>HYPERLINK("http://congbao.phutho.gov.vn/tong-tap.html?classification=2&amp;unitid=3&amp;pageIndex=42", "UBND Ủy ban nhân dân xã Đông Cửu  tỉnh Phú Thọ")</f>
        <v>UBND Ủy ban nhân dân xã Đông Cửu  tỉnh Phú Thọ</v>
      </c>
      <c r="C1221" t="str">
        <v>http://congbao.phutho.gov.vn/tong-tap.html?classification=2&amp;unitid=3&amp;pageIndex=42</v>
      </c>
      <c r="D1221" t="str">
        <v>-</v>
      </c>
      <c r="E1221" t="str">
        <v>-</v>
      </c>
      <c r="F1221" t="str">
        <v>-</v>
      </c>
      <c r="G1221" t="str">
        <v>-</v>
      </c>
    </row>
    <row r="1222">
      <c r="A1222">
        <v>7221</v>
      </c>
      <c r="B1222" t="str">
        <v>Công an xã Tân Lập  tỉnh Phú Thọ</v>
      </c>
      <c r="C1222" t="str">
        <v>-</v>
      </c>
      <c r="D1222" t="str">
        <v>-</v>
      </c>
      <c r="E1222" t="str">
        <v/>
      </c>
      <c r="F1222" t="str">
        <v>-</v>
      </c>
      <c r="G1222" t="str">
        <v>-</v>
      </c>
    </row>
    <row r="1223">
      <c r="A1223">
        <v>7222</v>
      </c>
      <c r="B1223" t="str">
        <f>HYPERLINK("https://tanlap.tinhbien.angiang.gov.vn/danh-ba-0", "UBND Ủy ban nhân dân xã Tân Lập  tỉnh Phú Thọ")</f>
        <v>UBND Ủy ban nhân dân xã Tân Lập  tỉnh Phú Thọ</v>
      </c>
      <c r="C1223" t="str">
        <v>https://tanlap.tinhbien.angiang.gov.vn/danh-ba-0</v>
      </c>
      <c r="D1223" t="str">
        <v>-</v>
      </c>
      <c r="E1223" t="str">
        <v>-</v>
      </c>
      <c r="F1223" t="str">
        <v>-</v>
      </c>
      <c r="G1223" t="str">
        <v>-</v>
      </c>
    </row>
    <row r="1224">
      <c r="A1224">
        <v>7223</v>
      </c>
      <c r="B1224" t="str">
        <v>Công an xã Yên Lãng  tỉnh Phú Thọ</v>
      </c>
      <c r="C1224" t="str">
        <v>-</v>
      </c>
      <c r="D1224" t="str">
        <v>-</v>
      </c>
      <c r="E1224" t="str">
        <v/>
      </c>
      <c r="F1224" t="str">
        <v>-</v>
      </c>
      <c r="G1224" t="str">
        <v>-</v>
      </c>
    </row>
    <row r="1225">
      <c r="A1225">
        <v>7224</v>
      </c>
      <c r="B1225" t="str">
        <f>HYPERLINK("https://yenlang.thanhson.phutho.gov.vn/", "UBND Ủy ban nhân dân xã Yên Lãng  tỉnh Phú Thọ")</f>
        <v>UBND Ủy ban nhân dân xã Yên Lãng  tỉnh Phú Thọ</v>
      </c>
      <c r="C1225" t="str">
        <v>https://yenlang.thanhson.phutho.gov.vn/</v>
      </c>
      <c r="D1225" t="str">
        <v>-</v>
      </c>
      <c r="E1225" t="str">
        <v>-</v>
      </c>
      <c r="F1225" t="str">
        <v>-</v>
      </c>
      <c r="G1225" t="str">
        <v>-</v>
      </c>
    </row>
    <row r="1226">
      <c r="A1226">
        <v>7225</v>
      </c>
      <c r="B1226" t="str">
        <v>Công an xã Yên Lương  tỉnh Phú Thọ</v>
      </c>
      <c r="C1226" t="str">
        <v>-</v>
      </c>
      <c r="D1226" t="str">
        <v>-</v>
      </c>
      <c r="E1226" t="str">
        <v/>
      </c>
      <c r="F1226" t="str">
        <v>-</v>
      </c>
      <c r="G1226" t="str">
        <v>-</v>
      </c>
    </row>
    <row r="1227">
      <c r="A1227">
        <v>7226</v>
      </c>
      <c r="B1227" t="str">
        <f>HYPERLINK("https://camkhe.phutho.gov.vn/Chuyen-muc-tin/t/uy-ban-nhan-dan/ctitle/133", "UBND Ủy ban nhân dân xã Yên Lương  tỉnh Phú Thọ")</f>
        <v>UBND Ủy ban nhân dân xã Yên Lương  tỉnh Phú Thọ</v>
      </c>
      <c r="C1227" t="str">
        <v>https://camkhe.phutho.gov.vn/Chuyen-muc-tin/t/uy-ban-nhan-dan/ctitle/133</v>
      </c>
      <c r="D1227" t="str">
        <v>-</v>
      </c>
      <c r="E1227" t="str">
        <v>-</v>
      </c>
      <c r="F1227" t="str">
        <v>-</v>
      </c>
      <c r="G1227" t="str">
        <v>-</v>
      </c>
    </row>
    <row r="1228">
      <c r="A1228">
        <v>7227</v>
      </c>
      <c r="B1228" t="str">
        <f>HYPERLINK("https://www.facebook.com/tuoitrecongansonla/?locale=hu_HU", "Công an xã Thượng Cửu  tỉnh Phú Thọ")</f>
        <v>Công an xã Thượng Cửu  tỉnh Phú Thọ</v>
      </c>
      <c r="C1228" t="str">
        <v>https://www.facebook.com/tuoitrecongansonla/?locale=hu_HU</v>
      </c>
      <c r="D1228" t="str">
        <v>-</v>
      </c>
      <c r="E1228" t="str">
        <v/>
      </c>
      <c r="F1228" t="str">
        <f>HYPERLINK("mailto:doanthanhniencasl@gmail.com", "doanthanhniencasl@gmail.com")</f>
        <v>doanthanhniencasl@gmail.com</v>
      </c>
      <c r="G1228" t="str">
        <v>-</v>
      </c>
    </row>
    <row r="1229">
      <c r="A1229">
        <v>7228</v>
      </c>
      <c r="B1229" t="str">
        <f>HYPERLINK("http://congbao.phutho.gov.vn/tong-tap.html?classification=2&amp;unitid=3&amp;pageIndex=26", "UBND Ủy ban nhân dân xã Thượng Cửu  tỉnh Phú Thọ")</f>
        <v>UBND Ủy ban nhân dân xã Thượng Cửu  tỉnh Phú Thọ</v>
      </c>
      <c r="C1229" t="str">
        <v>http://congbao.phutho.gov.vn/tong-tap.html?classification=2&amp;unitid=3&amp;pageIndex=26</v>
      </c>
      <c r="D1229" t="str">
        <v>-</v>
      </c>
      <c r="E1229" t="str">
        <v>-</v>
      </c>
      <c r="F1229" t="str">
        <v>-</v>
      </c>
      <c r="G1229" t="str">
        <v>-</v>
      </c>
    </row>
    <row r="1230">
      <c r="A1230">
        <v>7229</v>
      </c>
      <c r="B1230" t="str">
        <v>Công an xã Lương Nha  tỉnh Phú Thọ</v>
      </c>
      <c r="C1230" t="str">
        <v>-</v>
      </c>
      <c r="D1230" t="str">
        <v>-</v>
      </c>
      <c r="E1230" t="str">
        <v/>
      </c>
      <c r="F1230" t="str">
        <v>-</v>
      </c>
      <c r="G1230" t="str">
        <v>-</v>
      </c>
    </row>
    <row r="1231">
      <c r="A1231">
        <v>7230</v>
      </c>
      <c r="B1231" t="str">
        <f>HYPERLINK("http://sogtvt.hatinh.gov.vn/imagess/seoworld/01-2024/phanluongcauluongnha.pdf", "UBND Ủy ban nhân dân xã Lương Nha  tỉnh Phú Thọ")</f>
        <v>UBND Ủy ban nhân dân xã Lương Nha  tỉnh Phú Thọ</v>
      </c>
      <c r="C1231" t="str">
        <v>http://sogtvt.hatinh.gov.vn/imagess/seoworld/01-2024/phanluongcauluongnha.pdf</v>
      </c>
      <c r="D1231" t="str">
        <v>-</v>
      </c>
      <c r="E1231" t="str">
        <v>-</v>
      </c>
      <c r="F1231" t="str">
        <v>-</v>
      </c>
      <c r="G1231" t="str">
        <v>-</v>
      </c>
    </row>
    <row r="1232">
      <c r="A1232">
        <v>7231</v>
      </c>
      <c r="B1232" t="str">
        <v>Công an xã Yên Sơn  tỉnh Phú Thọ</v>
      </c>
      <c r="C1232" t="str">
        <v>-</v>
      </c>
      <c r="D1232" t="str">
        <v>-</v>
      </c>
      <c r="E1232" t="str">
        <v/>
      </c>
      <c r="F1232" t="str">
        <v>-</v>
      </c>
      <c r="G1232" t="str">
        <v>-</v>
      </c>
    </row>
    <row r="1233">
      <c r="A1233">
        <v>7232</v>
      </c>
      <c r="B1233" t="str">
        <f>HYPERLINK("https://thanhson.phutho.gov.vn/", "UBND Ủy ban nhân dân xã Yên Sơn  tỉnh Phú Thọ")</f>
        <v>UBND Ủy ban nhân dân xã Yên Sơn  tỉnh Phú Thọ</v>
      </c>
      <c r="C1233" t="str">
        <v>https://thanhson.phutho.gov.vn/</v>
      </c>
      <c r="D1233" t="str">
        <v>-</v>
      </c>
      <c r="E1233" t="str">
        <v>-</v>
      </c>
      <c r="F1233" t="str">
        <v>-</v>
      </c>
      <c r="G1233" t="str">
        <v>-</v>
      </c>
    </row>
    <row r="1234">
      <c r="A1234">
        <v>7233</v>
      </c>
      <c r="B1234" t="str">
        <v>Công an xã Tinh Nhuệ  tỉnh Phú Thọ</v>
      </c>
      <c r="C1234" t="str">
        <v>-</v>
      </c>
      <c r="D1234" t="str">
        <v>-</v>
      </c>
      <c r="E1234" t="str">
        <v/>
      </c>
      <c r="F1234" t="str">
        <v>-</v>
      </c>
      <c r="G1234" t="str">
        <v>-</v>
      </c>
    </row>
    <row r="1235">
      <c r="A1235">
        <v>7234</v>
      </c>
      <c r="B1235" t="str">
        <f>HYPERLINK("https://tinhnhue.thanhson.phutho.gov.vn/", "UBND Ủy ban nhân dân xã Tinh Nhuệ  tỉnh Phú Thọ")</f>
        <v>UBND Ủy ban nhân dân xã Tinh Nhuệ  tỉnh Phú Thọ</v>
      </c>
      <c r="C1235" t="str">
        <v>https://tinhnhue.thanhson.phutho.gov.vn/</v>
      </c>
      <c r="D1235" t="str">
        <v>-</v>
      </c>
      <c r="E1235" t="str">
        <v>-</v>
      </c>
      <c r="F1235" t="str">
        <v>-</v>
      </c>
      <c r="G1235" t="str">
        <v>-</v>
      </c>
    </row>
    <row r="1236">
      <c r="A1236">
        <v>7235</v>
      </c>
      <c r="B1236" t="str">
        <f>HYPERLINK("https://www.facebook.com/p/TR%C6%AF%E1%BB%9CNG-TI%E1%BB%82U-H%E1%BB%8CC-%C4%90%C3%80O-X%C3%81-1-THANH-TH%E1%BB%A6Y-PH%C3%9A-TH%E1%BB%8C-100057656670643/", "Công an xã Đào Xá  tỉnh Phú Thọ")</f>
        <v>Công an xã Đào Xá  tỉnh Phú Thọ</v>
      </c>
      <c r="C1236" t="str">
        <v>https://www.facebook.com/p/TR%C6%AF%E1%BB%9CNG-TI%E1%BB%82U-H%E1%BB%8CC-%C4%90%C3%80O-X%C3%81-1-THANH-TH%E1%BB%A6Y-PH%C3%9A-TH%E1%BB%8C-100057656670643/</v>
      </c>
      <c r="D1236" t="str">
        <v>-</v>
      </c>
      <c r="E1236" t="str">
        <v/>
      </c>
      <c r="F1236" t="str">
        <v>-</v>
      </c>
      <c r="G1236" t="str">
        <v>Khu 3 - Đào Xá - Thanh Thủy - Phú Thọ</v>
      </c>
    </row>
    <row r="1237">
      <c r="A1237">
        <v>7236</v>
      </c>
      <c r="B1237" t="str">
        <f>HYPERLINK("https://phubinh.thainguyen.gov.vn/xa-dao-xa", "UBND Ủy ban nhân dân xã Đào Xá  tỉnh Phú Thọ")</f>
        <v>UBND Ủy ban nhân dân xã Đào Xá  tỉnh Phú Thọ</v>
      </c>
      <c r="C1237" t="str">
        <v>https://phubinh.thainguyen.gov.vn/xa-dao-xa</v>
      </c>
      <c r="D1237" t="str">
        <v>-</v>
      </c>
      <c r="E1237" t="str">
        <v>-</v>
      </c>
      <c r="F1237" t="str">
        <v>-</v>
      </c>
      <c r="G1237" t="str">
        <v>-</v>
      </c>
    </row>
    <row r="1238">
      <c r="A1238">
        <v>7237</v>
      </c>
      <c r="B1238" t="str">
        <v>Công an xã Thạch Đồng  tỉnh Phú Thọ</v>
      </c>
      <c r="C1238" t="str">
        <v>-</v>
      </c>
      <c r="D1238" t="str">
        <v>-</v>
      </c>
      <c r="E1238" t="str">
        <v/>
      </c>
      <c r="F1238" t="str">
        <v>-</v>
      </c>
      <c r="G1238" t="str">
        <v>-</v>
      </c>
    </row>
    <row r="1239">
      <c r="A1239">
        <v>7238</v>
      </c>
      <c r="B1239" t="str">
        <f>HYPERLINK("https://thachdong.thachthanh.thanhhoa.gov.vn/", "UBND Ủy ban nhân dân xã Thạch Đồng  tỉnh Phú Thọ")</f>
        <v>UBND Ủy ban nhân dân xã Thạch Đồng  tỉnh Phú Thọ</v>
      </c>
      <c r="C1239" t="str">
        <v>https://thachdong.thachthanh.thanhhoa.gov.vn/</v>
      </c>
      <c r="D1239" t="str">
        <v>-</v>
      </c>
      <c r="E1239" t="str">
        <v>-</v>
      </c>
      <c r="F1239" t="str">
        <v>-</v>
      </c>
      <c r="G1239" t="str">
        <v>-</v>
      </c>
    </row>
    <row r="1240">
      <c r="A1240">
        <v>7239</v>
      </c>
      <c r="B1240" t="str">
        <f>HYPERLINK("https://www.facebook.com/1873105886179165", "Công an xã Xuân Lộc  tỉnh Phú Thọ")</f>
        <v>Công an xã Xuân Lộc  tỉnh Phú Thọ</v>
      </c>
      <c r="C1240" t="str">
        <v>https://www.facebook.com/1873105886179165</v>
      </c>
      <c r="D1240" t="str">
        <v>-</v>
      </c>
      <c r="E1240" t="str">
        <v/>
      </c>
      <c r="F1240" t="str">
        <v>-</v>
      </c>
      <c r="G1240" t="str">
        <v>-</v>
      </c>
    </row>
    <row r="1241">
      <c r="A1241">
        <v>7240</v>
      </c>
      <c r="B1241" t="str">
        <f>HYPERLINK("https://thanhthuy.phutho.gov.vn/", "UBND Ủy ban nhân dân xã Xuân Lộc  tỉnh Phú Thọ")</f>
        <v>UBND Ủy ban nhân dân xã Xuân Lộc  tỉnh Phú Thọ</v>
      </c>
      <c r="C1241" t="str">
        <v>https://thanhthuy.phutho.gov.vn/</v>
      </c>
      <c r="D1241" t="str">
        <v>-</v>
      </c>
      <c r="E1241" t="str">
        <v>-</v>
      </c>
      <c r="F1241" t="str">
        <v>-</v>
      </c>
      <c r="G1241" t="str">
        <v>-</v>
      </c>
    </row>
    <row r="1242">
      <c r="A1242">
        <v>7241</v>
      </c>
      <c r="B1242" t="str">
        <f>HYPERLINK("https://www.facebook.com/p/C%C3%B4ng-an-x%C3%A3-T%C3%A2n-Ph%C6%B0%C6%A1ng-Huy%E1%BB%87n-Thanh-Thu%E1%BB%B7-100071832413990/", "Công an xã Tân Phương  tỉnh Phú Thọ")</f>
        <v>Công an xã Tân Phương  tỉnh Phú Thọ</v>
      </c>
      <c r="C1242" t="str">
        <v>https://www.facebook.com/p/C%C3%B4ng-an-x%C3%A3-T%C3%A2n-Ph%C6%B0%C6%A1ng-Huy%E1%BB%87n-Thanh-Thu%E1%BB%B7-100071832413990/</v>
      </c>
      <c r="D1242" t="str">
        <v>-</v>
      </c>
      <c r="E1242" t="str">
        <v>02103689189</v>
      </c>
      <c r="F1242" t="str">
        <f>HYPERLINK("mailto:congantanphuongcq@gmail.com", "congantanphuongcq@gmail.com")</f>
        <v>congantanphuongcq@gmail.com</v>
      </c>
      <c r="G1242" t="str">
        <v>huyện thanh thuỷ</v>
      </c>
    </row>
    <row r="1243">
      <c r="A1243">
        <v>7242</v>
      </c>
      <c r="B1243" t="str">
        <f>HYPERLINK("https://thanhthuy.phutho.gov.vn/", "UBND Ủy ban nhân dân xã Tân Phương  tỉnh Phú Thọ")</f>
        <v>UBND Ủy ban nhân dân xã Tân Phương  tỉnh Phú Thọ</v>
      </c>
      <c r="C1243" t="str">
        <v>https://thanhthuy.phutho.gov.vn/</v>
      </c>
      <c r="D1243" t="str">
        <v>-</v>
      </c>
      <c r="E1243" t="str">
        <v>-</v>
      </c>
      <c r="F1243" t="str">
        <v>-</v>
      </c>
      <c r="G1243" t="str">
        <v>-</v>
      </c>
    </row>
    <row r="1244">
      <c r="A1244">
        <v>7243</v>
      </c>
      <c r="B1244" t="str">
        <f>HYPERLINK("https://www.facebook.com/p/C%C3%B4ng-an-huy%E1%BB%87n-Thanh-Thu%E1%BB%B7-100063605989453/", "Công an thị trấn Thanh Thủy  tỉnh Phú Thọ")</f>
        <v>Công an thị trấn Thanh Thủy  tỉnh Phú Thọ</v>
      </c>
      <c r="C1244" t="str">
        <v>https://www.facebook.com/p/C%C3%B4ng-an-huy%E1%BB%87n-Thanh-Thu%E1%BB%B7-100063605989453/</v>
      </c>
      <c r="D1244" t="str">
        <v>-</v>
      </c>
      <c r="E1244" t="str">
        <v>02103500023</v>
      </c>
      <c r="F1244" t="str">
        <v>-</v>
      </c>
      <c r="G1244" t="str">
        <v>-</v>
      </c>
    </row>
    <row r="1245">
      <c r="A1245">
        <v>7244</v>
      </c>
      <c r="B1245" t="str">
        <f>HYPERLINK("https://thanhthuy.phutho.gov.vn/", "UBND Ủy ban nhân dân thị trấn Thanh Thủy  tỉnh Phú Thọ")</f>
        <v>UBND Ủy ban nhân dân thị trấn Thanh Thủy  tỉnh Phú Thọ</v>
      </c>
      <c r="C1245" t="str">
        <v>https://thanhthuy.phutho.gov.vn/</v>
      </c>
      <c r="D1245" t="str">
        <v>-</v>
      </c>
      <c r="E1245" t="str">
        <v>-</v>
      </c>
      <c r="F1245" t="str">
        <v>-</v>
      </c>
      <c r="G1245" t="str">
        <v>-</v>
      </c>
    </row>
    <row r="1246">
      <c r="A1246">
        <v>7245</v>
      </c>
      <c r="B1246" t="str">
        <f>HYPERLINK("https://www.facebook.com/p/C%C3%B4ng-an-huy%E1%BB%87n-Thanh-Thu%E1%BB%B7-100063605989453/?locale=vi_VN", "Công an xã Sơn Thủy  tỉnh Phú Thọ")</f>
        <v>Công an xã Sơn Thủy  tỉnh Phú Thọ</v>
      </c>
      <c r="C1246" t="str">
        <v>https://www.facebook.com/p/C%C3%B4ng-an-huy%E1%BB%87n-Thanh-Thu%E1%BB%B7-100063605989453/?locale=vi_VN</v>
      </c>
      <c r="D1246" t="str">
        <v>-</v>
      </c>
      <c r="E1246" t="str">
        <v/>
      </c>
      <c r="F1246" t="str">
        <v>-</v>
      </c>
      <c r="G1246" t="str">
        <v>-</v>
      </c>
    </row>
    <row r="1247">
      <c r="A1247">
        <v>7246</v>
      </c>
      <c r="B1247" t="str">
        <f>HYPERLINK("https://thanhthuy.phutho.gov.vn/", "UBND Ủy ban nhân dân xã Sơn Thủy  tỉnh Phú Thọ")</f>
        <v>UBND Ủy ban nhân dân xã Sơn Thủy  tỉnh Phú Thọ</v>
      </c>
      <c r="C1247" t="str">
        <v>https://thanhthuy.phutho.gov.vn/</v>
      </c>
      <c r="D1247" t="str">
        <v>-</v>
      </c>
      <c r="E1247" t="str">
        <v>-</v>
      </c>
      <c r="F1247" t="str">
        <v>-</v>
      </c>
      <c r="G1247" t="str">
        <v>-</v>
      </c>
    </row>
    <row r="1248">
      <c r="A1248">
        <v>7247</v>
      </c>
      <c r="B1248" t="str">
        <f>HYPERLINK("https://www.facebook.com/p/C%C3%B4ng-an-x%C3%A3-B%E1%BA%A3o-Y%C3%AAn-Huy%E1%BB%87n-Thanh-Thu%E1%BB%B7-100083292519373/", "Công an xã Bảo Yên  tỉnh Phú Thọ")</f>
        <v>Công an xã Bảo Yên  tỉnh Phú Thọ</v>
      </c>
      <c r="C1248" t="str">
        <v>https://www.facebook.com/p/C%C3%B4ng-an-x%C3%A3-B%E1%BA%A3o-Y%C3%AAn-Huy%E1%BB%87n-Thanh-Thu%E1%BB%B7-100083292519373/</v>
      </c>
      <c r="D1248" t="str">
        <v>-</v>
      </c>
      <c r="E1248" t="str">
        <v/>
      </c>
      <c r="F1248" t="str">
        <v>-</v>
      </c>
      <c r="G1248" t="str">
        <v>Xã Bảo Yên, huyện Thanh Thuỷ, Viet Tri, Vietnam</v>
      </c>
    </row>
    <row r="1249">
      <c r="A1249">
        <v>7248</v>
      </c>
      <c r="B1249" t="str">
        <f>HYPERLINK("https://baoyen.thanhthuy.phutho.gov.vn/", "UBND Ủy ban nhân dân xã Bảo Yên  tỉnh Phú Thọ")</f>
        <v>UBND Ủy ban nhân dân xã Bảo Yên  tỉnh Phú Thọ</v>
      </c>
      <c r="C1249" t="str">
        <v>https://baoyen.thanhthuy.phutho.gov.vn/</v>
      </c>
      <c r="D1249" t="str">
        <v>-</v>
      </c>
      <c r="E1249" t="str">
        <v>-</v>
      </c>
      <c r="F1249" t="str">
        <v>-</v>
      </c>
      <c r="G1249" t="str">
        <v>-</v>
      </c>
    </row>
    <row r="1250">
      <c r="A1250">
        <v>7249</v>
      </c>
      <c r="B1250" t="str">
        <v>Công an xã Đoan Hạ  tỉnh Phú Thọ</v>
      </c>
      <c r="C1250" t="str">
        <v>-</v>
      </c>
      <c r="D1250" t="str">
        <v>-</v>
      </c>
      <c r="E1250" t="str">
        <v/>
      </c>
      <c r="F1250" t="str">
        <v>-</v>
      </c>
      <c r="G1250" t="str">
        <v>-</v>
      </c>
    </row>
    <row r="1251">
      <c r="A1251">
        <v>7250</v>
      </c>
      <c r="B1251" t="str">
        <f>HYPERLINK("https://thanhthuy.phutho.gov.vn/", "UBND Ủy ban nhân dân xã Đoan Hạ  tỉnh Phú Thọ")</f>
        <v>UBND Ủy ban nhân dân xã Đoan Hạ  tỉnh Phú Thọ</v>
      </c>
      <c r="C1251" t="str">
        <v>https://thanhthuy.phutho.gov.vn/</v>
      </c>
      <c r="D1251" t="str">
        <v>-</v>
      </c>
      <c r="E1251" t="str">
        <v>-</v>
      </c>
      <c r="F1251" t="str">
        <v>-</v>
      </c>
      <c r="G1251" t="str">
        <v>-</v>
      </c>
    </row>
    <row r="1252">
      <c r="A1252">
        <v>7251</v>
      </c>
      <c r="B1252" t="str">
        <v>Công an xã Đồng Luận  tỉnh Phú Thọ</v>
      </c>
      <c r="C1252" t="str">
        <v>-</v>
      </c>
      <c r="D1252" t="str">
        <v>-</v>
      </c>
      <c r="E1252" t="str">
        <v/>
      </c>
      <c r="F1252" t="str">
        <v>-</v>
      </c>
      <c r="G1252" t="str">
        <v>-</v>
      </c>
    </row>
    <row r="1253">
      <c r="A1253">
        <v>7252</v>
      </c>
      <c r="B1253" t="str">
        <f>HYPERLINK("http://congbao.phutho.gov.vn/tong-tap.html?classification=2&amp;unitid=3&amp;pageIndex=96", "UBND Ủy ban nhân dân xã Đồng Luận  tỉnh Phú Thọ")</f>
        <v>UBND Ủy ban nhân dân xã Đồng Luận  tỉnh Phú Thọ</v>
      </c>
      <c r="C1253" t="str">
        <v>http://congbao.phutho.gov.vn/tong-tap.html?classification=2&amp;unitid=3&amp;pageIndex=96</v>
      </c>
      <c r="D1253" t="str">
        <v>-</v>
      </c>
      <c r="E1253" t="str">
        <v>-</v>
      </c>
      <c r="F1253" t="str">
        <v>-</v>
      </c>
      <c r="G1253" t="str">
        <v>-</v>
      </c>
    </row>
    <row r="1254">
      <c r="A1254">
        <v>7253</v>
      </c>
      <c r="B1254" t="str">
        <f>HYPERLINK("https://www.facebook.com/p/C%C3%B4ng-an-x%C3%A3-Ho%C3%A0ng-X%C3%A1-C%C3%B4ng-an-huy%E1%BB%87n-Thanh-Thu%E1%BB%B7-100082460985003/", "Công an xã Hoàng Xá  tỉnh Phú Thọ")</f>
        <v>Công an xã Hoàng Xá  tỉnh Phú Thọ</v>
      </c>
      <c r="C1254" t="str">
        <v>https://www.facebook.com/p/C%C3%B4ng-an-x%C3%A3-Ho%C3%A0ng-X%C3%A1-C%C3%B4ng-an-huy%E1%BB%87n-Thanh-Thu%E1%BB%B7-100082460985003/</v>
      </c>
      <c r="D1254" t="str">
        <v>-</v>
      </c>
      <c r="E1254" t="str">
        <v/>
      </c>
      <c r="F1254" t="str">
        <v>-</v>
      </c>
      <c r="G1254" t="str">
        <v>huyện Thanh Thuỷ</v>
      </c>
    </row>
    <row r="1255">
      <c r="A1255">
        <v>7254</v>
      </c>
      <c r="B1255" t="str">
        <f>HYPERLINK("https://phutho.baohiemxahoi.gov.vn/tintuc/Pages/dua-nghi-quyet-so-28-vao-cuoc-song.aspx?CateID=0&amp;ItemID=6367", "UBND Ủy ban nhân dân xã Hoàng Xá  tỉnh Phú Thọ")</f>
        <v>UBND Ủy ban nhân dân xã Hoàng Xá  tỉnh Phú Thọ</v>
      </c>
      <c r="C1255" t="str">
        <v>https://phutho.baohiemxahoi.gov.vn/tintuc/Pages/dua-nghi-quyet-so-28-vao-cuoc-song.aspx?CateID=0&amp;ItemID=6367</v>
      </c>
      <c r="D1255" t="str">
        <v>-</v>
      </c>
      <c r="E1255" t="str">
        <v>-</v>
      </c>
      <c r="F1255" t="str">
        <v>-</v>
      </c>
      <c r="G1255" t="str">
        <v>-</v>
      </c>
    </row>
    <row r="1256">
      <c r="A1256">
        <v>7255</v>
      </c>
      <c r="B1256" t="str">
        <f>HYPERLINK("https://www.facebook.com/p/%C4%90o%C3%A0n-tr%C6%B0%E1%BB%9Dng-thpt-Tr%C6%B0%E1%BB%9Dng-Th%E1%BB%8Bnh-100057749016031/", "Công an xã Trung Thịnh  tỉnh Phú Thọ")</f>
        <v>Công an xã Trung Thịnh  tỉnh Phú Thọ</v>
      </c>
      <c r="C1256" t="str">
        <v>https://www.facebook.com/p/%C4%90o%C3%A0n-tr%C6%B0%E1%BB%9Dng-thpt-Tr%C6%B0%E1%BB%9Dng-Th%E1%BB%8Bnh-100057749016031/</v>
      </c>
      <c r="D1256" t="str">
        <v>-</v>
      </c>
      <c r="E1256" t="str">
        <v/>
      </c>
      <c r="F1256" t="str">
        <v>-</v>
      </c>
      <c r="G1256" t="str">
        <v>-</v>
      </c>
    </row>
    <row r="1257">
      <c r="A1257">
        <v>7256</v>
      </c>
      <c r="B1257" t="str">
        <f>HYPERLINK("http://congbao.phutho.gov.vn/tong-tap.html?classification=2&amp;unitid=2&amp;pageIndex=21", "UBND Ủy ban nhân dân xã Trung Thịnh  tỉnh Phú Thọ")</f>
        <v>UBND Ủy ban nhân dân xã Trung Thịnh  tỉnh Phú Thọ</v>
      </c>
      <c r="C1257" t="str">
        <v>http://congbao.phutho.gov.vn/tong-tap.html?classification=2&amp;unitid=2&amp;pageIndex=21</v>
      </c>
      <c r="D1257" t="str">
        <v>-</v>
      </c>
      <c r="E1257" t="str">
        <v>-</v>
      </c>
      <c r="F1257" t="str">
        <v>-</v>
      </c>
      <c r="G1257" t="str">
        <v>-</v>
      </c>
    </row>
    <row r="1258">
      <c r="A1258">
        <v>7257</v>
      </c>
      <c r="B1258" t="str">
        <f>HYPERLINK("https://www.facebook.com/CongantinhPhuTho19/", "Công an xã Trung Nghĩa  tỉnh Phú Thọ")</f>
        <v>Công an xã Trung Nghĩa  tỉnh Phú Thọ</v>
      </c>
      <c r="C1258" t="str">
        <v>https://www.facebook.com/CongantinhPhuTho19/</v>
      </c>
      <c r="D1258" t="str">
        <v>-</v>
      </c>
      <c r="E1258" t="str">
        <v/>
      </c>
      <c r="F1258" t="str">
        <v>-</v>
      </c>
      <c r="G1258" t="str">
        <v>-</v>
      </c>
    </row>
    <row r="1259">
      <c r="A1259">
        <v>7258</v>
      </c>
      <c r="B1259" t="str">
        <f>HYPERLINK("https://thanhthuy.phutho.gov.vn/", "UBND Ủy ban nhân dân xã Trung Nghĩa  tỉnh Phú Thọ")</f>
        <v>UBND Ủy ban nhân dân xã Trung Nghĩa  tỉnh Phú Thọ</v>
      </c>
      <c r="C1259" t="str">
        <v>https://thanhthuy.phutho.gov.vn/</v>
      </c>
      <c r="D1259" t="str">
        <v>-</v>
      </c>
      <c r="E1259" t="str">
        <v>-</v>
      </c>
      <c r="F1259" t="str">
        <v>-</v>
      </c>
      <c r="G1259" t="str">
        <v>-</v>
      </c>
    </row>
    <row r="1260">
      <c r="A1260">
        <v>7259</v>
      </c>
      <c r="B1260" t="str">
        <f>HYPERLINK("https://www.facebook.com/thcsphuongmao.thanhthuy/", "Công an xã Phượng Mao  tỉnh Phú Thọ")</f>
        <v>Công an xã Phượng Mao  tỉnh Phú Thọ</v>
      </c>
      <c r="C1260" t="str">
        <v>https://www.facebook.com/thcsphuongmao.thanhthuy/</v>
      </c>
      <c r="D1260" t="str">
        <v>0973302290</v>
      </c>
      <c r="E1260" t="str">
        <v>-</v>
      </c>
      <c r="F1260" t="str">
        <f>HYPERLINK("mailto:thcsphuongmao.thanhthuy@gmail.com", "thcsphuongmao.thanhthuy@gmail.com")</f>
        <v>thcsphuongmao.thanhthuy@gmail.com</v>
      </c>
      <c r="G1260" t="str">
        <v>Tu Vũ Thanh Thủy Phú Thọ, Phu Tho, Vietnam</v>
      </c>
    </row>
    <row r="1261">
      <c r="A1261">
        <v>7260</v>
      </c>
      <c r="B1261" t="str">
        <f>HYPERLINK("http://congbao.phutho.gov.vn/van-ban/chi-tiet.html?docid=996&amp;docgaid=996&amp;isstoredoc=false", "UBND Ủy ban nhân dân xã Phượng Mao  tỉnh Phú Thọ")</f>
        <v>UBND Ủy ban nhân dân xã Phượng Mao  tỉnh Phú Thọ</v>
      </c>
      <c r="C1261" t="str">
        <v>http://congbao.phutho.gov.vn/van-ban/chi-tiet.html?docid=996&amp;docgaid=996&amp;isstoredoc=false</v>
      </c>
      <c r="D1261" t="str">
        <v>-</v>
      </c>
      <c r="E1261" t="str">
        <v>-</v>
      </c>
      <c r="F1261" t="str">
        <v>-</v>
      </c>
      <c r="G1261" t="str">
        <v>-</v>
      </c>
    </row>
    <row r="1262">
      <c r="A1262">
        <v>7261</v>
      </c>
      <c r="B1262" t="str">
        <f>HYPERLINK("https://www.facebook.com/p/Tu%E1%BB%95i-tr%E1%BA%BB-C%C3%B4ng-an-Th%C3%A0nh-ph%E1%BB%91-V%C4%A9nh-Y%C3%AAn-100066497717181/", "Công an xã Yến Mao  tỉnh Phú Thọ")</f>
        <v>Công an xã Yến Mao  tỉnh Phú Thọ</v>
      </c>
      <c r="C1262" t="str">
        <v>https://www.facebook.com/p/Tu%E1%BB%95i-tr%E1%BA%BB-C%C3%B4ng-an-Th%C3%A0nh-ph%E1%BB%91-V%C4%A9nh-Y%C3%AAn-100066497717181/</v>
      </c>
      <c r="D1262" t="str">
        <v>-</v>
      </c>
      <c r="E1262" t="str">
        <v/>
      </c>
      <c r="F1262" t="str">
        <v>-</v>
      </c>
      <c r="G1262" t="str">
        <v>-</v>
      </c>
    </row>
    <row r="1263">
      <c r="A1263">
        <v>7262</v>
      </c>
      <c r="B1263" t="str">
        <f>HYPERLINK("http://congbao.phutho.gov.vn/cong-bao.html?a=1&amp;gazetteid=67&amp;gazettetype=0&amp;publishyear=2010", "UBND Ủy ban nhân dân xã Yến Mao  tỉnh Phú Thọ")</f>
        <v>UBND Ủy ban nhân dân xã Yến Mao  tỉnh Phú Thọ</v>
      </c>
      <c r="C1263" t="str">
        <v>http://congbao.phutho.gov.vn/cong-bao.html?a=1&amp;gazetteid=67&amp;gazettetype=0&amp;publishyear=2010</v>
      </c>
      <c r="D1263" t="str">
        <v>-</v>
      </c>
      <c r="E1263" t="str">
        <v>-</v>
      </c>
      <c r="F1263" t="str">
        <v>-</v>
      </c>
      <c r="G1263" t="str">
        <v>-</v>
      </c>
    </row>
    <row r="1264">
      <c r="A1264">
        <v>7263</v>
      </c>
      <c r="B1264" t="str">
        <f>HYPERLINK("https://www.facebook.com/p/C%C3%B4ng-an-x%C3%A3-Tu-V%C5%A9-C%C3%B4ng-an-huy%E1%BB%87n-Thanh-Thu%E1%BB%B7-100081964353541/", "Công an xã Tu Vũ  tỉnh Phú Thọ")</f>
        <v>Công an xã Tu Vũ  tỉnh Phú Thọ</v>
      </c>
      <c r="C1264" t="str">
        <v>https://www.facebook.com/p/C%C3%B4ng-an-x%C3%A3-Tu-V%C5%A9-C%C3%B4ng-an-huy%E1%BB%87n-Thanh-Thu%E1%BB%B7-100081964353541/</v>
      </c>
      <c r="D1264" t="str">
        <v>-</v>
      </c>
      <c r="E1264" t="str">
        <v/>
      </c>
      <c r="F1264" t="str">
        <v>-</v>
      </c>
      <c r="G1264" t="str">
        <v>-</v>
      </c>
    </row>
    <row r="1265">
      <c r="A1265">
        <v>7264</v>
      </c>
      <c r="B1265" t="str">
        <f>HYPERLINK("https://thanhthuy.phutho.gov.vn/", "UBND Ủy ban nhân dân xã Tu Vũ  tỉnh Phú Thọ")</f>
        <v>UBND Ủy ban nhân dân xã Tu Vũ  tỉnh Phú Thọ</v>
      </c>
      <c r="C1265" t="str">
        <v>https://thanhthuy.phutho.gov.vn/</v>
      </c>
      <c r="D1265" t="str">
        <v>-</v>
      </c>
      <c r="E1265" t="str">
        <v>-</v>
      </c>
      <c r="F1265" t="str">
        <v>-</v>
      </c>
      <c r="G1265" t="str">
        <v>-</v>
      </c>
    </row>
    <row r="1266">
      <c r="A1266">
        <v>7265</v>
      </c>
      <c r="B1266" t="str">
        <f>HYPERLINK("https://www.facebook.com/p/C%C3%B4ng-an-x%C3%A3-Thu-C%C3%BAc-T%C3%A2n-S%C6%A1n-Ph%C3%BA-Th%E1%BB%8D-100067623113750/", "Công an xã Thu Cúc  tỉnh Phú Thọ")</f>
        <v>Công an xã Thu Cúc  tỉnh Phú Thọ</v>
      </c>
      <c r="C1266" t="str">
        <v>https://www.facebook.com/p/C%C3%B4ng-an-x%C3%A3-Thu-C%C3%BAc-T%C3%A2n-S%C6%A1n-Ph%C3%BA-Th%E1%BB%8D-100067623113750/</v>
      </c>
      <c r="D1266" t="str">
        <v>-</v>
      </c>
      <c r="E1266" t="str">
        <v/>
      </c>
      <c r="F1266" t="str">
        <v>-</v>
      </c>
      <c r="G1266" t="str">
        <v>-</v>
      </c>
    </row>
    <row r="1267">
      <c r="A1267">
        <v>7266</v>
      </c>
      <c r="B1267" t="str">
        <f>HYPERLINK("https://tanson.phutho.gov.vn/Chuyen-muc-tin/Chi-tiet-tin/t/xa-thu-cuc/title/288/ctitle/543341", "UBND Ủy ban nhân dân xã Thu Cúc  tỉnh Phú Thọ")</f>
        <v>UBND Ủy ban nhân dân xã Thu Cúc  tỉnh Phú Thọ</v>
      </c>
      <c r="C1267" t="str">
        <v>https://tanson.phutho.gov.vn/Chuyen-muc-tin/Chi-tiet-tin/t/xa-thu-cuc/title/288/ctitle/543341</v>
      </c>
      <c r="D1267" t="str">
        <v>-</v>
      </c>
      <c r="E1267" t="str">
        <v>-</v>
      </c>
      <c r="F1267" t="str">
        <v>-</v>
      </c>
      <c r="G1267" t="str">
        <v>-</v>
      </c>
    </row>
    <row r="1268">
      <c r="A1268">
        <v>7267</v>
      </c>
      <c r="B1268" t="str">
        <f>HYPERLINK("https://www.facebook.com/p/C%C3%B4ng-an-x%C3%A3-Th%E1%BA%A1ch-Ki%E1%BB%87t-huy%E1%BB%87n-T%C3%A2n-S%C6%A1nt%E1%BB%89nh-Ph%C3%BA-Th%E1%BB%8D-100068784181253/", "Công an xã Thạch Kiệt  tỉnh Phú Thọ")</f>
        <v>Công an xã Thạch Kiệt  tỉnh Phú Thọ</v>
      </c>
      <c r="C1268" t="str">
        <v>https://www.facebook.com/p/C%C3%B4ng-an-x%C3%A3-Th%E1%BA%A1ch-Ki%E1%BB%87t-huy%E1%BB%87n-T%C3%A2n-S%C6%A1nt%E1%BB%89nh-Ph%C3%BA-Th%E1%BB%8D-100068784181253/</v>
      </c>
      <c r="D1268" t="str">
        <v>-</v>
      </c>
      <c r="E1268" t="str">
        <v/>
      </c>
      <c r="F1268" t="str">
        <v>-</v>
      </c>
      <c r="G1268" t="str">
        <v>-</v>
      </c>
    </row>
    <row r="1269">
      <c r="A1269">
        <v>7268</v>
      </c>
      <c r="B1269" t="str">
        <f>HYPERLINK("https://tanson.phutho.gov.vn/Chuyen-muc-tin/Chi-tiet-tin/t/xa-thach-kiet/title/287/ctitle/78", "UBND Ủy ban nhân dân xã Thạch Kiệt  tỉnh Phú Thọ")</f>
        <v>UBND Ủy ban nhân dân xã Thạch Kiệt  tỉnh Phú Thọ</v>
      </c>
      <c r="C1269" t="str">
        <v>https://tanson.phutho.gov.vn/Chuyen-muc-tin/Chi-tiet-tin/t/xa-thach-kiet/title/287/ctitle/78</v>
      </c>
      <c r="D1269" t="str">
        <v>-</v>
      </c>
      <c r="E1269" t="str">
        <v>-</v>
      </c>
      <c r="F1269" t="str">
        <v>-</v>
      </c>
      <c r="G1269" t="str">
        <v>-</v>
      </c>
    </row>
    <row r="1270">
      <c r="A1270">
        <v>7269</v>
      </c>
      <c r="B1270" t="str">
        <f>HYPERLINK("https://www.facebook.com/p/C%C3%B4ng-an-x%C3%A3-Thu-Ng%E1%BA%A1c-huy%E1%BB%87n-T%C3%A2n-S%C6%A1n-t%E1%BB%89nh-Ph%C3%BA-Th%E1%BB%8D-100067684477304/", "Công an xã Thu Ngạc  tỉnh Phú Thọ")</f>
        <v>Công an xã Thu Ngạc  tỉnh Phú Thọ</v>
      </c>
      <c r="C1270" t="str">
        <v>https://www.facebook.com/p/C%C3%B4ng-an-x%C3%A3-Thu-Ng%E1%BA%A1c-huy%E1%BB%87n-T%C3%A2n-S%C6%A1n-t%E1%BB%89nh-Ph%C3%BA-Th%E1%BB%8D-100067684477304/</v>
      </c>
      <c r="D1270" t="str">
        <v>-</v>
      </c>
      <c r="E1270" t="str">
        <v/>
      </c>
      <c r="F1270" t="str">
        <v>-</v>
      </c>
      <c r="G1270" t="str">
        <v>-</v>
      </c>
    </row>
    <row r="1271">
      <c r="A1271">
        <v>7270</v>
      </c>
      <c r="B1271" t="str">
        <f>HYPERLINK("https://tanson.phutho.gov.vn/Chuyen-muc-tin/Chi-tiet-tin/t/xa-thu-ngac/title/289/ctitle/78", "UBND Ủy ban nhân dân xã Thu Ngạc  tỉnh Phú Thọ")</f>
        <v>UBND Ủy ban nhân dân xã Thu Ngạc  tỉnh Phú Thọ</v>
      </c>
      <c r="C1271" t="str">
        <v>https://tanson.phutho.gov.vn/Chuyen-muc-tin/Chi-tiet-tin/t/xa-thu-ngac/title/289/ctitle/78</v>
      </c>
      <c r="D1271" t="str">
        <v>-</v>
      </c>
      <c r="E1271" t="str">
        <v>-</v>
      </c>
      <c r="F1271" t="str">
        <v>-</v>
      </c>
      <c r="G1271" t="str">
        <v>-</v>
      </c>
    </row>
    <row r="1272">
      <c r="A1272">
        <v>7271</v>
      </c>
      <c r="B1272" t="str">
        <f>HYPERLINK("https://www.facebook.com/huyendoantanson/", "Công an xã Kiệt Sơn  tỉnh Phú Thọ")</f>
        <v>Công an xã Kiệt Sơn  tỉnh Phú Thọ</v>
      </c>
      <c r="C1272" t="str">
        <v>https://www.facebook.com/huyendoantanson/</v>
      </c>
      <c r="D1272" t="str">
        <v>-</v>
      </c>
      <c r="E1272" t="str">
        <v>02103615123</v>
      </c>
      <c r="F1272" t="str">
        <f>HYPERLINK("mailto:huyendoantanson@gmail.com", "huyendoantanson@gmail.com")</f>
        <v>huyendoantanson@gmail.com</v>
      </c>
      <c r="G1272" t="str">
        <v>-</v>
      </c>
    </row>
    <row r="1273">
      <c r="A1273">
        <v>7272</v>
      </c>
      <c r="B1273" t="str">
        <f>HYPERLINK("https://tanson.phutho.gov.vn/Chuyen-muc-tin/Chi-tiet-tin/t/xa-kiet-son/title/279/ctitle/78", "UBND Ủy ban nhân dân xã Kiệt Sơn  tỉnh Phú Thọ")</f>
        <v>UBND Ủy ban nhân dân xã Kiệt Sơn  tỉnh Phú Thọ</v>
      </c>
      <c r="C1273" t="str">
        <v>https://tanson.phutho.gov.vn/Chuyen-muc-tin/Chi-tiet-tin/t/xa-kiet-son/title/279/ctitle/78</v>
      </c>
      <c r="D1273" t="str">
        <v>-</v>
      </c>
      <c r="E1273" t="str">
        <v>-</v>
      </c>
      <c r="F1273" t="str">
        <v>-</v>
      </c>
      <c r="G1273" t="str">
        <v>-</v>
      </c>
    </row>
    <row r="1274">
      <c r="A1274">
        <v>7273</v>
      </c>
      <c r="B1274" t="str">
        <v>Công an xã Đồng Sơn  tỉnh Phú Thọ</v>
      </c>
      <c r="C1274" t="str">
        <v>-</v>
      </c>
      <c r="D1274" t="str">
        <v>-</v>
      </c>
      <c r="E1274" t="str">
        <v/>
      </c>
      <c r="F1274" t="str">
        <v>-</v>
      </c>
      <c r="G1274" t="str">
        <v>-</v>
      </c>
    </row>
    <row r="1275">
      <c r="A1275">
        <v>7274</v>
      </c>
      <c r="B1275" t="str">
        <f>HYPERLINK("https://tanson.phutho.gov.vn/Chuyen-muc-tin/Chi-tiet-tin/t/xa-dong-son/title/278/ctitle/78", "UBND Ủy ban nhân dân xã Đồng Sơn  tỉnh Phú Thọ")</f>
        <v>UBND Ủy ban nhân dân xã Đồng Sơn  tỉnh Phú Thọ</v>
      </c>
      <c r="C1275" t="str">
        <v>https://tanson.phutho.gov.vn/Chuyen-muc-tin/Chi-tiet-tin/t/xa-dong-son/title/278/ctitle/78</v>
      </c>
      <c r="D1275" t="str">
        <v>-</v>
      </c>
      <c r="E1275" t="str">
        <v>-</v>
      </c>
      <c r="F1275" t="str">
        <v>-</v>
      </c>
      <c r="G1275" t="str">
        <v>-</v>
      </c>
    </row>
    <row r="1276">
      <c r="A1276">
        <v>7275</v>
      </c>
      <c r="B1276" t="str">
        <f>HYPERLINK("https://www.facebook.com/262593062078286", "Công an xã Lai Đồng  tỉnh Phú Thọ")</f>
        <v>Công an xã Lai Đồng  tỉnh Phú Thọ</v>
      </c>
      <c r="C1276" t="str">
        <v>https://www.facebook.com/262593062078286</v>
      </c>
      <c r="D1276" t="str">
        <v>-</v>
      </c>
      <c r="E1276" t="str">
        <v/>
      </c>
      <c r="F1276" t="str">
        <v>-</v>
      </c>
      <c r="G1276" t="str">
        <v>-</v>
      </c>
    </row>
    <row r="1277">
      <c r="A1277">
        <v>7276</v>
      </c>
      <c r="B1277" t="str">
        <f>HYPERLINK("https://tanson.phutho.gov.vn/Chuyen-muc-tin/Chi-tiet-tin/t/xa-lai-dong/title/281/ctitle/78", "UBND Ủy ban nhân dân xã Lai Đồng  tỉnh Phú Thọ")</f>
        <v>UBND Ủy ban nhân dân xã Lai Đồng  tỉnh Phú Thọ</v>
      </c>
      <c r="C1277" t="str">
        <v>https://tanson.phutho.gov.vn/Chuyen-muc-tin/Chi-tiet-tin/t/xa-lai-dong/title/281/ctitle/78</v>
      </c>
      <c r="D1277" t="str">
        <v>-</v>
      </c>
      <c r="E1277" t="str">
        <v>-</v>
      </c>
      <c r="F1277" t="str">
        <v>-</v>
      </c>
      <c r="G1277" t="str">
        <v>-</v>
      </c>
    </row>
    <row r="1278">
      <c r="A1278">
        <v>7277</v>
      </c>
      <c r="B1278" t="str">
        <f>HYPERLINK("https://www.facebook.com/huyendoantanson/", "Công an xã Tân Phú  tỉnh Phú Thọ")</f>
        <v>Công an xã Tân Phú  tỉnh Phú Thọ</v>
      </c>
      <c r="C1278" t="str">
        <v>https://www.facebook.com/huyendoantanson/</v>
      </c>
      <c r="D1278" t="str">
        <v>-</v>
      </c>
      <c r="E1278" t="str">
        <v>02103615123</v>
      </c>
      <c r="F1278" t="str">
        <f>HYPERLINK("mailto:huyendoantanson@gmail.com", "huyendoantanson@gmail.com")</f>
        <v>huyendoantanson@gmail.com</v>
      </c>
      <c r="G1278" t="str">
        <v>-</v>
      </c>
    </row>
    <row r="1279">
      <c r="A1279">
        <v>7278</v>
      </c>
      <c r="B1279" t="str">
        <f>HYPERLINK("https://phutho.phutan.angiang.gov.vn/", "UBND Ủy ban nhân dân xã Tân Phú  tỉnh Phú Thọ")</f>
        <v>UBND Ủy ban nhân dân xã Tân Phú  tỉnh Phú Thọ</v>
      </c>
      <c r="C1279" t="str">
        <v>https://phutho.phutan.angiang.gov.vn/</v>
      </c>
      <c r="D1279" t="str">
        <v>-</v>
      </c>
      <c r="E1279" t="str">
        <v>-</v>
      </c>
      <c r="F1279" t="str">
        <v>-</v>
      </c>
      <c r="G1279" t="str">
        <v>-</v>
      </c>
    </row>
    <row r="1280">
      <c r="A1280">
        <v>7279</v>
      </c>
      <c r="B1280" t="str">
        <f>HYPERLINK("https://www.facebook.com/p/C%C3%B4ng-An-X%C3%A3-M%E1%BB%B9-Thu%E1%BA%ADn-Huy%E1%BB%87n-T%C3%A2n-S%C6%A1n-100070419880943/", "Công an xã Mỹ Thuận  tỉnh Phú Thọ")</f>
        <v>Công an xã Mỹ Thuận  tỉnh Phú Thọ</v>
      </c>
      <c r="C1280" t="str">
        <v>https://www.facebook.com/p/C%C3%B4ng-An-X%C3%A3-M%E1%BB%B9-Thu%E1%BA%ADn-Huy%E1%BB%87n-T%C3%A2n-S%C6%A1n-100070419880943/</v>
      </c>
      <c r="D1280" t="str">
        <v>-</v>
      </c>
      <c r="E1280" t="str">
        <v/>
      </c>
      <c r="F1280" t="str">
        <v>-</v>
      </c>
      <c r="G1280" t="str">
        <v>-</v>
      </c>
    </row>
    <row r="1281">
      <c r="A1281">
        <v>7280</v>
      </c>
      <c r="B1281" t="str">
        <f>HYPERLINK("https://tanson.phutho.gov.vn/Chuyen-muc-tin/Chi-tiet-tin/t/xa-my-thuan/title/283/ctitle/78", "UBND Ủy ban nhân dân xã Mỹ Thuận  tỉnh Phú Thọ")</f>
        <v>UBND Ủy ban nhân dân xã Mỹ Thuận  tỉnh Phú Thọ</v>
      </c>
      <c r="C1281" t="str">
        <v>https://tanson.phutho.gov.vn/Chuyen-muc-tin/Chi-tiet-tin/t/xa-my-thuan/title/283/ctitle/78</v>
      </c>
      <c r="D1281" t="str">
        <v>-</v>
      </c>
      <c r="E1281" t="str">
        <v>-</v>
      </c>
      <c r="F1281" t="str">
        <v>-</v>
      </c>
      <c r="G1281" t="str">
        <v>-</v>
      </c>
    </row>
    <row r="1282">
      <c r="A1282">
        <v>7281</v>
      </c>
      <c r="B1282" t="str">
        <f>HYPERLINK("https://www.facebook.com/congantanson/", "Công an xã Tân Sơn  tỉnh Phú Thọ")</f>
        <v>Công an xã Tân Sơn  tỉnh Phú Thọ</v>
      </c>
      <c r="C1282" t="str">
        <v>https://www.facebook.com/congantanson/</v>
      </c>
      <c r="D1282" t="str">
        <v>-</v>
      </c>
      <c r="E1282" t="str">
        <v/>
      </c>
      <c r="F1282" t="str">
        <v>-</v>
      </c>
      <c r="G1282" t="str">
        <v>-</v>
      </c>
    </row>
    <row r="1283">
      <c r="A1283">
        <v>7282</v>
      </c>
      <c r="B1283" t="str">
        <f>HYPERLINK("https://tanson.phutho.gov.vn/", "UBND Ủy ban nhân dân xã Tân Sơn  tỉnh Phú Thọ")</f>
        <v>UBND Ủy ban nhân dân xã Tân Sơn  tỉnh Phú Thọ</v>
      </c>
      <c r="C1283" t="str">
        <v>https://tanson.phutho.gov.vn/</v>
      </c>
      <c r="D1283" t="str">
        <v>-</v>
      </c>
      <c r="E1283" t="str">
        <v>-</v>
      </c>
      <c r="F1283" t="str">
        <v>-</v>
      </c>
      <c r="G1283" t="str">
        <v>-</v>
      </c>
    </row>
    <row r="1284">
      <c r="A1284">
        <v>7283</v>
      </c>
      <c r="B1284" t="str">
        <f>HYPERLINK("https://www.facebook.com/doantruongthptminhdai/", "Công an xã Xuân Đài  tỉnh Phú Thọ")</f>
        <v>Công an xã Xuân Đài  tỉnh Phú Thọ</v>
      </c>
      <c r="C1284" t="str">
        <v>https://www.facebook.com/doantruongthptminhdai/</v>
      </c>
      <c r="D1284" t="str">
        <v>-</v>
      </c>
      <c r="E1284" t="str">
        <v/>
      </c>
      <c r="F1284" t="str">
        <v>-</v>
      </c>
      <c r="G1284" t="str">
        <v>-</v>
      </c>
    </row>
    <row r="1285">
      <c r="A1285">
        <v>7284</v>
      </c>
      <c r="B1285" t="str">
        <f>HYPERLINK("https://tanson.phutho.gov.vn/Chuyen-muc-tin/Chi-tiet-tin/t/xa-xuan-dai/title/292/ctitle/78", "UBND Ủy ban nhân dân xã Xuân Đài  tỉnh Phú Thọ")</f>
        <v>UBND Ủy ban nhân dân xã Xuân Đài  tỉnh Phú Thọ</v>
      </c>
      <c r="C1285" t="str">
        <v>https://tanson.phutho.gov.vn/Chuyen-muc-tin/Chi-tiet-tin/t/xa-xuan-dai/title/292/ctitle/78</v>
      </c>
      <c r="D1285" t="str">
        <v>-</v>
      </c>
      <c r="E1285" t="str">
        <v>-</v>
      </c>
      <c r="F1285" t="str">
        <v>-</v>
      </c>
      <c r="G1285" t="str">
        <v>-</v>
      </c>
    </row>
    <row r="1286">
      <c r="A1286">
        <v>7285</v>
      </c>
      <c r="B1286" t="str">
        <f>HYPERLINK("https://www.facebook.com/p/C%C3%B4ng-an-x%C3%A3-Minh-%C4%90%C3%A0i-huy%E1%BB%87n-T%C3%A2n-S%C6%A1n-t%E1%BB%89nh-Ph%C3%BA-Th%E1%BB%8D-100091731201478/", "Công an xã Minh Đài  tỉnh Phú Thọ")</f>
        <v>Công an xã Minh Đài  tỉnh Phú Thọ</v>
      </c>
      <c r="C1286" t="str">
        <v>https://www.facebook.com/p/C%C3%B4ng-an-x%C3%A3-Minh-%C4%90%C3%A0i-huy%E1%BB%87n-T%C3%A2n-S%C6%A1n-t%E1%BB%89nh-Ph%C3%BA-Th%E1%BB%8D-100091731201478/</v>
      </c>
      <c r="D1286" t="str">
        <v>0988093567</v>
      </c>
      <c r="E1286" t="str">
        <v>-</v>
      </c>
      <c r="F1286" t="str">
        <f>HYPERLINK("mailto:tuanthaolocnhan37@gmail.com", "tuanthaolocnhan37@gmail.com")</f>
        <v>tuanthaolocnhan37@gmail.com</v>
      </c>
      <c r="G1286" t="str">
        <v>Khu Minh Tâm, Minh Đài, Tân Sơn, Phú Thọ, Phu Thu, Vietnam</v>
      </c>
    </row>
    <row r="1287">
      <c r="A1287">
        <v>7286</v>
      </c>
      <c r="B1287" t="str">
        <f>HYPERLINK("https://tanson.phutho.gov.vn/Chuyen-muc-tin/Chi-tiet-tin/t/xa-minh-dai/title/282/ctitle/78", "UBND Ủy ban nhân dân xã Minh Đài  tỉnh Phú Thọ")</f>
        <v>UBND Ủy ban nhân dân xã Minh Đài  tỉnh Phú Thọ</v>
      </c>
      <c r="C1287" t="str">
        <v>https://tanson.phutho.gov.vn/Chuyen-muc-tin/Chi-tiet-tin/t/xa-minh-dai/title/282/ctitle/78</v>
      </c>
      <c r="D1287" t="str">
        <v>-</v>
      </c>
      <c r="E1287" t="str">
        <v>-</v>
      </c>
      <c r="F1287" t="str">
        <v>-</v>
      </c>
      <c r="G1287" t="str">
        <v>-</v>
      </c>
    </row>
    <row r="1288">
      <c r="A1288">
        <v>7287</v>
      </c>
      <c r="B1288" t="str">
        <f>HYPERLINK("https://www.facebook.com/groups/196257444333792/", "Công an xã Văn Luông  tỉnh Phú Thọ")</f>
        <v>Công an xã Văn Luông  tỉnh Phú Thọ</v>
      </c>
      <c r="C1288" t="str">
        <v>https://www.facebook.com/groups/196257444333792/</v>
      </c>
      <c r="D1288" t="str">
        <v>-</v>
      </c>
      <c r="E1288" t="str">
        <v/>
      </c>
      <c r="F1288" t="str">
        <v>-</v>
      </c>
      <c r="G1288" t="str">
        <v>-</v>
      </c>
    </row>
    <row r="1289">
      <c r="A1289">
        <v>7288</v>
      </c>
      <c r="B1289" t="str">
        <f>HYPERLINK("https://tanson.phutho.gov.vn/Chuyen-muc-tin/Chi-tiet-tin/t/xa-van-luong/title/290/ctitle/78", "UBND Ủy ban nhân dân xã Văn Luông  tỉnh Phú Thọ")</f>
        <v>UBND Ủy ban nhân dân xã Văn Luông  tỉnh Phú Thọ</v>
      </c>
      <c r="C1289" t="str">
        <v>https://tanson.phutho.gov.vn/Chuyen-muc-tin/Chi-tiet-tin/t/xa-van-luong/title/290/ctitle/78</v>
      </c>
      <c r="D1289" t="str">
        <v>-</v>
      </c>
      <c r="E1289" t="str">
        <v>-</v>
      </c>
      <c r="F1289" t="str">
        <v>-</v>
      </c>
      <c r="G1289" t="str">
        <v>-</v>
      </c>
    </row>
    <row r="1290">
      <c r="A1290">
        <v>7289</v>
      </c>
      <c r="B1290" t="str">
        <f>HYPERLINK("https://www.facebook.com/DoanThanhNienTinhPhuTho/videos/n%E1%BA%BFu-sau-n%C3%A0y-ho%C3%A0-b%C3%ACnh-m%C3%A0-con-kh%C3%B4ng-tr%E1%BB%9F-v%E1%BB%81-m%E1%BA%B9-%C4%91%E1%BB%ABng-bu%E1%BB%93n-v%C3%AC-con-%C4%91%C3%A3-ho%C3%A0-v%C3%A0o-h%C3%ACnh-h%C3%A0i/592555603260484/", "Công an xã Xuân Sơn  tỉnh Phú Thọ")</f>
        <v>Công an xã Xuân Sơn  tỉnh Phú Thọ</v>
      </c>
      <c r="C1290" t="str">
        <v>https://www.facebook.com/DoanThanhNienTinhPhuTho/videos/n%E1%BA%BFu-sau-n%C3%A0y-ho%C3%A0-b%C3%ACnh-m%C3%A0-con-kh%C3%B4ng-tr%E1%BB%9F-v%E1%BB%81-m%E1%BA%B9-%C4%91%E1%BB%ABng-bu%E1%BB%93n-v%C3%AC-con-%C4%91%C3%A3-ho%C3%A0-v%C3%A0o-h%C3%ACnh-h%C3%A0i/592555603260484/</v>
      </c>
      <c r="D1290" t="str">
        <v>-</v>
      </c>
      <c r="E1290" t="str">
        <v/>
      </c>
      <c r="F1290" t="str">
        <v>-</v>
      </c>
      <c r="G1290" t="str">
        <v>-</v>
      </c>
    </row>
    <row r="1291">
      <c r="A1291">
        <v>7290</v>
      </c>
      <c r="B1291" t="str">
        <f>HYPERLINK("https://tanson.phutho.gov.vn/Chuyen-muc-tin/Chi-tiet-tin/t/xa-xuan-son/title/293/ctitle/78", "UBND Ủy ban nhân dân xã Xuân Sơn  tỉnh Phú Thọ")</f>
        <v>UBND Ủy ban nhân dân xã Xuân Sơn  tỉnh Phú Thọ</v>
      </c>
      <c r="C1291" t="str">
        <v>https://tanson.phutho.gov.vn/Chuyen-muc-tin/Chi-tiet-tin/t/xa-xuan-son/title/293/ctitle/78</v>
      </c>
      <c r="D1291" t="str">
        <v>-</v>
      </c>
      <c r="E1291" t="str">
        <v>-</v>
      </c>
      <c r="F1291" t="str">
        <v>-</v>
      </c>
      <c r="G1291" t="str">
        <v>-</v>
      </c>
    </row>
    <row r="1292">
      <c r="A1292">
        <v>7291</v>
      </c>
      <c r="B1292" t="str">
        <f>HYPERLINK("https://www.facebook.com/chinhha12321/", "Công an xã Long Cốc  tỉnh Phú Thọ")</f>
        <v>Công an xã Long Cốc  tỉnh Phú Thọ</v>
      </c>
      <c r="C1292" t="str">
        <v>https://www.facebook.com/chinhha12321/</v>
      </c>
      <c r="D1292" t="str">
        <v>-</v>
      </c>
      <c r="E1292" t="str">
        <v/>
      </c>
      <c r="F1292" t="str">
        <v>-</v>
      </c>
      <c r="G1292" t="str">
        <v>-</v>
      </c>
    </row>
    <row r="1293">
      <c r="A1293">
        <v>7292</v>
      </c>
      <c r="B1293" t="str">
        <f>HYPERLINK("https://tanson.phutho.gov.vn/Chuyen-muc-tin/Chi-tiet-tin/t/xa-long-coc/title/1785/ctitle/78", "UBND Ủy ban nhân dân xã Long Cốc  tỉnh Phú Thọ")</f>
        <v>UBND Ủy ban nhân dân xã Long Cốc  tỉnh Phú Thọ</v>
      </c>
      <c r="C1293" t="str">
        <v>https://tanson.phutho.gov.vn/Chuyen-muc-tin/Chi-tiet-tin/t/xa-long-coc/title/1785/ctitle/78</v>
      </c>
      <c r="D1293" t="str">
        <v>-</v>
      </c>
      <c r="E1293" t="str">
        <v>-</v>
      </c>
      <c r="F1293" t="str">
        <v>-</v>
      </c>
      <c r="G1293" t="str">
        <v>-</v>
      </c>
    </row>
    <row r="1294">
      <c r="A1294">
        <v>7293</v>
      </c>
      <c r="B1294" t="str">
        <f>HYPERLINK("https://www.facebook.com/huyendoantanson/", "Công an xã Kim Thượng  tỉnh Phú Thọ")</f>
        <v>Công an xã Kim Thượng  tỉnh Phú Thọ</v>
      </c>
      <c r="C1294" t="str">
        <v>https://www.facebook.com/huyendoantanson/</v>
      </c>
      <c r="D1294" t="str">
        <v>-</v>
      </c>
      <c r="E1294" t="str">
        <v/>
      </c>
      <c r="F1294" t="str">
        <v>-</v>
      </c>
      <c r="G1294" t="str">
        <v>-</v>
      </c>
    </row>
    <row r="1295">
      <c r="A1295">
        <v>7294</v>
      </c>
      <c r="B1295" t="str">
        <f>HYPERLINK("https://tanson.phutho.gov.vn/Chuyen-muc-tin/Chi-tiet-tin/t/xa-kim-thuong/title/280/ctitle/78", "UBND Ủy ban nhân dân xã Kim Thượng  tỉnh Phú Thọ")</f>
        <v>UBND Ủy ban nhân dân xã Kim Thượng  tỉnh Phú Thọ</v>
      </c>
      <c r="C1295" t="str">
        <v>https://tanson.phutho.gov.vn/Chuyen-muc-tin/Chi-tiet-tin/t/xa-kim-thuong/title/280/ctitle/78</v>
      </c>
      <c r="D1295" t="str">
        <v>-</v>
      </c>
      <c r="E1295" t="str">
        <v>-</v>
      </c>
      <c r="F1295" t="str">
        <v>-</v>
      </c>
      <c r="G1295" t="str">
        <v>-</v>
      </c>
    </row>
    <row r="1296">
      <c r="A1296">
        <v>7295</v>
      </c>
      <c r="B1296" t="str">
        <f>HYPERLINK("https://www.facebook.com/p/C%C3%B4ng-an-x%C3%A3-Tam-Thanh-T%C3%A2n-S%C6%A1n-Ph%C3%BA-Th%E1%BB%8D-100067551648585/", "Công an xã Tam Thanh  tỉnh Phú Thọ")</f>
        <v>Công an xã Tam Thanh  tỉnh Phú Thọ</v>
      </c>
      <c r="C1296" t="str">
        <v>https://www.facebook.com/p/C%C3%B4ng-an-x%C3%A3-Tam-Thanh-T%C3%A2n-S%C6%A1n-Ph%C3%BA-Th%E1%BB%8D-100067551648585/</v>
      </c>
      <c r="D1296" t="str">
        <v>-</v>
      </c>
      <c r="E1296" t="str">
        <v/>
      </c>
      <c r="F1296" t="str">
        <v>-</v>
      </c>
      <c r="G1296" t="str">
        <v>Tam Thanh - Tân Sơn - Phú Thọ</v>
      </c>
    </row>
    <row r="1297">
      <c r="A1297">
        <v>7296</v>
      </c>
      <c r="B1297" t="str">
        <f>HYPERLINK("https://phuquy.binhthuan.gov.vn/ubnd-cac-xa/uy-ban-dan-dan-xa-tam-thanh-576869", "UBND Ủy ban nhân dân xã Tam Thanh  tỉnh Phú Thọ")</f>
        <v>UBND Ủy ban nhân dân xã Tam Thanh  tỉnh Phú Thọ</v>
      </c>
      <c r="C1297" t="str">
        <v>https://phuquy.binhthuan.gov.vn/ubnd-cac-xa/uy-ban-dan-dan-xa-tam-thanh-576869</v>
      </c>
      <c r="D1297" t="str">
        <v>-</v>
      </c>
      <c r="E1297" t="str">
        <v>-</v>
      </c>
      <c r="F1297" t="str">
        <v>-</v>
      </c>
      <c r="G1297" t="str">
        <v>-</v>
      </c>
    </row>
    <row r="1298">
      <c r="A1298">
        <v>7297</v>
      </c>
      <c r="B1298" t="str">
        <f>HYPERLINK("https://www.facebook.com/p/C%C3%B4ng-an-x%C3%A3-Vinh-Ti%E1%BB%81n-huy%E1%BB%87n-T%C3%A2n-S%C6%A1n-t%E1%BB%89nh-Ph%C3%BA-Th%E1%BB%8D-100067904854302/", "Công an xã Vinh Tiền  tỉnh Phú Thọ")</f>
        <v>Công an xã Vinh Tiền  tỉnh Phú Thọ</v>
      </c>
      <c r="C1298" t="str">
        <v>https://www.facebook.com/p/C%C3%B4ng-an-x%C3%A3-Vinh-Ti%E1%BB%81n-huy%E1%BB%87n-T%C3%A2n-S%C6%A1n-t%E1%BB%89nh-Ph%C3%BA-Th%E1%BB%8D-100067904854302/</v>
      </c>
      <c r="D1298" t="str">
        <v>-</v>
      </c>
      <c r="E1298" t="str">
        <v/>
      </c>
      <c r="F1298" t="str">
        <v>-</v>
      </c>
      <c r="G1298" t="str">
        <v>-</v>
      </c>
    </row>
    <row r="1299">
      <c r="A1299">
        <v>7298</v>
      </c>
      <c r="B1299" t="str">
        <f>HYPERLINK("https://tanson.phutho.gov.vn/Chuyen-muc-tin/Chi-tiet-tin/t/xa-vinh-tien/title/291/ctitle/78", "UBND Ủy ban nhân dân xã Vinh Tiền  tỉnh Phú Thọ")</f>
        <v>UBND Ủy ban nhân dân xã Vinh Tiền  tỉnh Phú Thọ</v>
      </c>
      <c r="C1299" t="str">
        <v>https://tanson.phutho.gov.vn/Chuyen-muc-tin/Chi-tiet-tin/t/xa-vinh-tien/title/291/ctitle/78</v>
      </c>
      <c r="D1299" t="str">
        <v>-</v>
      </c>
      <c r="E1299" t="str">
        <v>-</v>
      </c>
      <c r="F1299" t="str">
        <v>-</v>
      </c>
      <c r="G1299" t="str">
        <v>-</v>
      </c>
    </row>
    <row r="1300">
      <c r="A1300">
        <v>7299</v>
      </c>
      <c r="B1300" t="str">
        <f>HYPERLINK("https://www.facebook.com/p/Tu%E1%BB%95i-tr%E1%BA%BB-C%C3%B4ng-an-Th%C3%A0nh-ph%E1%BB%91-V%C4%A9nh-Y%C3%AAn-100066497717181/", "Công an phường Tích Sơn  tỉnh Vĩnh Phúc")</f>
        <v>Công an phường Tích Sơn  tỉnh Vĩnh Phúc</v>
      </c>
      <c r="C1300" t="str">
        <v>https://www.facebook.com/p/Tu%E1%BB%95i-tr%E1%BA%BB-C%C3%B4ng-an-Th%C3%A0nh-ph%E1%BB%91-V%C4%A9nh-Y%C3%AAn-100066497717181/</v>
      </c>
      <c r="D1300" t="str">
        <v>-</v>
      </c>
      <c r="E1300" t="str">
        <v/>
      </c>
      <c r="F1300" t="str">
        <v>-</v>
      </c>
      <c r="G1300" t="str">
        <v>-</v>
      </c>
    </row>
    <row r="1301">
      <c r="A1301">
        <v>7300</v>
      </c>
      <c r="B1301" t="str">
        <f>HYPERLINK("https://vinhyen.vinhphuc.gov.vn/ct/cms/hethongchinhtri/Lists/CacXaPhuong/view_detail.aspx?ItemID=55", "UBND Ủy ban nhân dân phường Tích Sơn  tỉnh Vĩnh Phúc")</f>
        <v>UBND Ủy ban nhân dân phường Tích Sơn  tỉnh Vĩnh Phúc</v>
      </c>
      <c r="C1301" t="str">
        <v>https://vinhyen.vinhphuc.gov.vn/ct/cms/hethongchinhtri/Lists/CacXaPhuong/view_detail.aspx?ItemID=55</v>
      </c>
      <c r="D1301" t="str">
        <v>-</v>
      </c>
      <c r="E1301" t="str">
        <v>-</v>
      </c>
      <c r="F1301" t="str">
        <v>-</v>
      </c>
      <c r="G1301" t="str">
        <v>-</v>
      </c>
    </row>
    <row r="1302">
      <c r="A1302">
        <v>7301</v>
      </c>
      <c r="B1302" t="str">
        <f>HYPERLINK("https://www.facebook.com/ConganphuongLienBao/", "Công an phường Liên Bảo  tỉnh Vĩnh Phúc")</f>
        <v>Công an phường Liên Bảo  tỉnh Vĩnh Phúc</v>
      </c>
      <c r="C1302" t="str">
        <v>https://www.facebook.com/ConganphuongLienBao/</v>
      </c>
      <c r="D1302" t="str">
        <v>-</v>
      </c>
      <c r="E1302" t="str">
        <v>02113861195</v>
      </c>
      <c r="F1302" t="str">
        <v>-</v>
      </c>
      <c r="G1302" t="str">
        <v>Lê Ngọc Chinh, Vinh Yen, Vietnam</v>
      </c>
    </row>
    <row r="1303">
      <c r="A1303">
        <v>7302</v>
      </c>
      <c r="B1303" t="str">
        <f>HYPERLINK("https://vinhyen.vinhphuc.gov.vn/ct/cms/hethongchinhtri/Lists/CacXaPhuong/view_detail.aspx?ItemID=57", "UBND Ủy ban nhân dân phường Liên Bảo  tỉnh Vĩnh Phúc")</f>
        <v>UBND Ủy ban nhân dân phường Liên Bảo  tỉnh Vĩnh Phúc</v>
      </c>
      <c r="C1303" t="str">
        <v>https://vinhyen.vinhphuc.gov.vn/ct/cms/hethongchinhtri/Lists/CacXaPhuong/view_detail.aspx?ItemID=57</v>
      </c>
      <c r="D1303" t="str">
        <v>-</v>
      </c>
      <c r="E1303" t="str">
        <v>-</v>
      </c>
      <c r="F1303" t="str">
        <v>-</v>
      </c>
      <c r="G1303" t="str">
        <v>-</v>
      </c>
    </row>
    <row r="1304">
      <c r="A1304">
        <v>7303</v>
      </c>
      <c r="B1304" t="str">
        <f>HYPERLINK("https://www.facebook.com/aNguyenvietcuong/", "Công an phường Hội Hợp  tỉnh Vĩnh Phúc")</f>
        <v>Công an phường Hội Hợp  tỉnh Vĩnh Phúc</v>
      </c>
      <c r="C1304" t="str">
        <v>https://www.facebook.com/aNguyenvietcuong/</v>
      </c>
      <c r="D1304" t="str">
        <v>-</v>
      </c>
      <c r="E1304" t="str">
        <v/>
      </c>
      <c r="F1304" t="str">
        <v>-</v>
      </c>
      <c r="G1304" t="str">
        <v>-</v>
      </c>
    </row>
    <row r="1305">
      <c r="A1305">
        <v>7304</v>
      </c>
      <c r="B1305" t="str">
        <f>HYPERLINK("https://vinhyen.vinhphuc.gov.vn/ct/cms/hethongchinhtri/Lists/CacXaPhuong/view_detail.aspx?ItemID=59", "UBND Ủy ban nhân dân phường Hội Hợp  tỉnh Vĩnh Phúc")</f>
        <v>UBND Ủy ban nhân dân phường Hội Hợp  tỉnh Vĩnh Phúc</v>
      </c>
      <c r="C1305" t="str">
        <v>https://vinhyen.vinhphuc.gov.vn/ct/cms/hethongchinhtri/Lists/CacXaPhuong/view_detail.aspx?ItemID=59</v>
      </c>
      <c r="D1305" t="str">
        <v>-</v>
      </c>
      <c r="E1305" t="str">
        <v>-</v>
      </c>
      <c r="F1305" t="str">
        <v>-</v>
      </c>
      <c r="G1305" t="str">
        <v>-</v>
      </c>
    </row>
    <row r="1306">
      <c r="A1306">
        <v>7305</v>
      </c>
      <c r="B1306" t="str">
        <v>Công an phường Đống Đa  tỉnh Vĩnh Phúc</v>
      </c>
      <c r="C1306" t="str">
        <v>-</v>
      </c>
      <c r="D1306" t="str">
        <v>-</v>
      </c>
      <c r="E1306" t="str">
        <v/>
      </c>
      <c r="F1306" t="str">
        <v>-</v>
      </c>
      <c r="G1306" t="str">
        <v>-</v>
      </c>
    </row>
    <row r="1307">
      <c r="A1307">
        <v>7306</v>
      </c>
      <c r="B1307" t="str">
        <f>HYPERLINK("https://vinhyen.vinhphuc.gov.vn/ct/cms/hethongchinhtri/Lists/CacXaPhuong/view_detail.aspx?ItemID=53", "UBND Ủy ban nhân dân phường Đống Đa  tỉnh Vĩnh Phúc")</f>
        <v>UBND Ủy ban nhân dân phường Đống Đa  tỉnh Vĩnh Phúc</v>
      </c>
      <c r="C1307" t="str">
        <v>https://vinhyen.vinhphuc.gov.vn/ct/cms/hethongchinhtri/Lists/CacXaPhuong/view_detail.aspx?ItemID=53</v>
      </c>
      <c r="D1307" t="str">
        <v>-</v>
      </c>
      <c r="E1307" t="str">
        <v>-</v>
      </c>
      <c r="F1307" t="str">
        <v>-</v>
      </c>
      <c r="G1307" t="str">
        <v>-</v>
      </c>
    </row>
    <row r="1308">
      <c r="A1308">
        <v>7307</v>
      </c>
      <c r="B1308" t="str">
        <v>Công an phường Ngô Quyền  tỉnh Vĩnh Phúc</v>
      </c>
      <c r="C1308" t="str">
        <v>-</v>
      </c>
      <c r="D1308" t="str">
        <v>-</v>
      </c>
      <c r="E1308" t="str">
        <v/>
      </c>
      <c r="F1308" t="str">
        <v>-</v>
      </c>
      <c r="G1308" t="str">
        <v>-</v>
      </c>
    </row>
    <row r="1309">
      <c r="A1309">
        <v>7308</v>
      </c>
      <c r="B1309" t="str">
        <f>HYPERLINK("https://vinhyen.vinhphuc.gov.vn/ct/cms/hethongchinhtri/Lists/CacXaPhuong/view_detail.aspx?ItemID=60", "UBND Ủy ban nhân dân phường Ngô Quyền  tỉnh Vĩnh Phúc")</f>
        <v>UBND Ủy ban nhân dân phường Ngô Quyền  tỉnh Vĩnh Phúc</v>
      </c>
      <c r="C1309" t="str">
        <v>https://vinhyen.vinhphuc.gov.vn/ct/cms/hethongchinhtri/Lists/CacXaPhuong/view_detail.aspx?ItemID=60</v>
      </c>
      <c r="D1309" t="str">
        <v>-</v>
      </c>
      <c r="E1309" t="str">
        <v>-</v>
      </c>
      <c r="F1309" t="str">
        <v>-</v>
      </c>
      <c r="G1309" t="str">
        <v>-</v>
      </c>
    </row>
    <row r="1310">
      <c r="A1310">
        <v>7309</v>
      </c>
      <c r="B1310" t="str">
        <f>HYPERLINK("https://www.facebook.com/p/Tu%E1%BB%95i-tr%E1%BA%BB-C%C3%B4ng-an-Th%C3%A0nh-ph%E1%BB%91-V%C4%A9nh-Y%C3%AAn-100066497717181/", "Công an phường Đồng Tâm  tỉnh Vĩnh Phúc")</f>
        <v>Công an phường Đồng Tâm  tỉnh Vĩnh Phúc</v>
      </c>
      <c r="C1310" t="str">
        <v>https://www.facebook.com/p/Tu%E1%BB%95i-tr%E1%BA%BB-C%C3%B4ng-an-Th%C3%A0nh-ph%E1%BB%91-V%C4%A9nh-Y%C3%AAn-100066497717181/</v>
      </c>
      <c r="D1310" t="str">
        <v>-</v>
      </c>
      <c r="E1310" t="str">
        <v/>
      </c>
      <c r="F1310" t="str">
        <v>-</v>
      </c>
      <c r="G1310" t="str">
        <v>-</v>
      </c>
    </row>
    <row r="1311">
      <c r="A1311">
        <v>7310</v>
      </c>
      <c r="B1311" t="str">
        <f>HYPERLINK("https://vinhyen.vinhphuc.gov.vn/ct/cms/hethongchinhtri/Lists/CacXaPhuong/view_detail.aspx?ItemID=56", "UBND Ủy ban nhân dân phường Đồng Tâm  tỉnh Vĩnh Phúc")</f>
        <v>UBND Ủy ban nhân dân phường Đồng Tâm  tỉnh Vĩnh Phúc</v>
      </c>
      <c r="C1311" t="str">
        <v>https://vinhyen.vinhphuc.gov.vn/ct/cms/hethongchinhtri/Lists/CacXaPhuong/view_detail.aspx?ItemID=56</v>
      </c>
      <c r="D1311" t="str">
        <v>-</v>
      </c>
      <c r="E1311" t="str">
        <v>-</v>
      </c>
      <c r="F1311" t="str">
        <v>-</v>
      </c>
      <c r="G1311" t="str">
        <v>-</v>
      </c>
    </row>
    <row r="1312">
      <c r="A1312">
        <v>7311</v>
      </c>
      <c r="B1312" t="str">
        <f>HYPERLINK("https://www.facebook.com/anttxadinhtrung/", "Công an xã Định Trung  tỉnh Vĩnh Phúc")</f>
        <v>Công an xã Định Trung  tỉnh Vĩnh Phúc</v>
      </c>
      <c r="C1312" t="str">
        <v>https://www.facebook.com/anttxadinhtrung/</v>
      </c>
      <c r="D1312" t="str">
        <v>-</v>
      </c>
      <c r="E1312" t="str">
        <v/>
      </c>
      <c r="F1312" t="str">
        <v>-</v>
      </c>
      <c r="G1312" t="str">
        <v>-</v>
      </c>
    </row>
    <row r="1313">
      <c r="A1313">
        <v>7312</v>
      </c>
      <c r="B1313" t="str">
        <f>HYPERLINK("https://vinhyen.vinhphuc.gov.vn/ct/cms/hethongchinhtri/Lists/CacXaPhuong/view_detail.aspx?ItemID=58", "UBND Ủy ban nhân dân xã Định Trung  tỉnh Vĩnh Phúc")</f>
        <v>UBND Ủy ban nhân dân xã Định Trung  tỉnh Vĩnh Phúc</v>
      </c>
      <c r="C1313" t="str">
        <v>https://vinhyen.vinhphuc.gov.vn/ct/cms/hethongchinhtri/Lists/CacXaPhuong/view_detail.aspx?ItemID=58</v>
      </c>
      <c r="D1313" t="str">
        <v>-</v>
      </c>
      <c r="E1313" t="str">
        <v>-</v>
      </c>
      <c r="F1313" t="str">
        <v>-</v>
      </c>
      <c r="G1313" t="str">
        <v>-</v>
      </c>
    </row>
    <row r="1314">
      <c r="A1314">
        <v>7313</v>
      </c>
      <c r="B1314" t="str">
        <f>HYPERLINK("https://www.facebook.com/p/Tu%E1%BB%95i-tr%E1%BA%BB-C%C3%B4ng-an-Th%C3%A0nh-ph%E1%BB%91-V%C4%A9nh-Y%C3%AAn-100066497717181/", "Công an phường Khai Quang  tỉnh Vĩnh Phúc")</f>
        <v>Công an phường Khai Quang  tỉnh Vĩnh Phúc</v>
      </c>
      <c r="C1314" t="str">
        <v>https://www.facebook.com/p/Tu%E1%BB%95i-tr%E1%BA%BB-C%C3%B4ng-an-Th%C3%A0nh-ph%E1%BB%91-V%C4%A9nh-Y%C3%AAn-100066497717181/</v>
      </c>
      <c r="D1314" t="str">
        <v>-</v>
      </c>
      <c r="E1314" t="str">
        <v/>
      </c>
      <c r="F1314" t="str">
        <v>-</v>
      </c>
      <c r="G1314" t="str">
        <v>-</v>
      </c>
    </row>
    <row r="1315">
      <c r="A1315">
        <v>7314</v>
      </c>
      <c r="B1315" t="str">
        <f>HYPERLINK("https://vinhyen.vinhphuc.gov.vn/ct/cms/hethongchinhtri/Lists/CacXaPhuong/view_detail.aspx?ItemID=54", "UBND Ủy ban nhân dân phường Khai Quang  tỉnh Vĩnh Phúc")</f>
        <v>UBND Ủy ban nhân dân phường Khai Quang  tỉnh Vĩnh Phúc</v>
      </c>
      <c r="C1315" t="str">
        <v>https://vinhyen.vinhphuc.gov.vn/ct/cms/hethongchinhtri/Lists/CacXaPhuong/view_detail.aspx?ItemID=54</v>
      </c>
      <c r="D1315" t="str">
        <v>-</v>
      </c>
      <c r="E1315" t="str">
        <v>-</v>
      </c>
      <c r="F1315" t="str">
        <v>-</v>
      </c>
      <c r="G1315" t="str">
        <v>-</v>
      </c>
    </row>
    <row r="1316">
      <c r="A1316">
        <v>7315</v>
      </c>
      <c r="B1316" t="str">
        <v>Công an xã Thanh Trù  tỉnh Vĩnh Phúc</v>
      </c>
      <c r="C1316" t="str">
        <v>-</v>
      </c>
      <c r="D1316" t="str">
        <v>-</v>
      </c>
      <c r="E1316" t="str">
        <v/>
      </c>
      <c r="F1316" t="str">
        <v>-</v>
      </c>
      <c r="G1316" t="str">
        <v>-</v>
      </c>
    </row>
    <row r="1317">
      <c r="A1317">
        <v>7316</v>
      </c>
      <c r="B1317" t="str">
        <f>HYPERLINK("https://vinhyen.vinhphuc.gov.vn/ct/cms/hethongchinhtri/Lists/CacXaPhuong/view_detail.aspx?ItemID=61", "UBND Ủy ban nhân dân xã Thanh Trù  tỉnh Vĩnh Phúc")</f>
        <v>UBND Ủy ban nhân dân xã Thanh Trù  tỉnh Vĩnh Phúc</v>
      </c>
      <c r="C1317" t="str">
        <v>https://vinhyen.vinhphuc.gov.vn/ct/cms/hethongchinhtri/Lists/CacXaPhuong/view_detail.aspx?ItemID=61</v>
      </c>
      <c r="D1317" t="str">
        <v>-</v>
      </c>
      <c r="E1317" t="str">
        <v>-</v>
      </c>
      <c r="F1317" t="str">
        <v>-</v>
      </c>
      <c r="G1317" t="str">
        <v>-</v>
      </c>
    </row>
    <row r="1318">
      <c r="A1318">
        <v>7317</v>
      </c>
      <c r="B1318" t="str">
        <f>HYPERLINK("https://www.facebook.com/media/set/?set=a.2197397987161828&amp;type=3&amp;comment_id=2212866078948352", "Công an phường Trưng Trắc  tỉnh Vĩnh Phúc")</f>
        <v>Công an phường Trưng Trắc  tỉnh Vĩnh Phúc</v>
      </c>
      <c r="C1318" t="str">
        <v>https://www.facebook.com/media/set/?set=a.2197397987161828&amp;type=3&amp;comment_id=2212866078948352</v>
      </c>
      <c r="D1318" t="str">
        <v>-</v>
      </c>
      <c r="E1318" t="str">
        <v/>
      </c>
      <c r="F1318" t="str">
        <v>-</v>
      </c>
      <c r="G1318" t="str">
        <v>-</v>
      </c>
    </row>
    <row r="1319">
      <c r="A1319">
        <v>7318</v>
      </c>
      <c r="B1319" t="str">
        <f>HYPERLINK("https://phucyen.vinhphuc.gov.vn/noidung/tintuc/Lists/HeThongChinhTri/View_Detail.aspx?ItemID=5", "UBND Ủy ban nhân dân phường Trưng Trắc  tỉnh Vĩnh Phúc")</f>
        <v>UBND Ủy ban nhân dân phường Trưng Trắc  tỉnh Vĩnh Phúc</v>
      </c>
      <c r="C1319" t="str">
        <v>https://phucyen.vinhphuc.gov.vn/noidung/tintuc/Lists/HeThongChinhTri/View_Detail.aspx?ItemID=5</v>
      </c>
      <c r="D1319" t="str">
        <v>-</v>
      </c>
      <c r="E1319" t="str">
        <v>-</v>
      </c>
      <c r="F1319" t="str">
        <v>-</v>
      </c>
      <c r="G1319" t="str">
        <v>-</v>
      </c>
    </row>
    <row r="1320">
      <c r="A1320">
        <v>7319</v>
      </c>
      <c r="B1320" t="str">
        <f>HYPERLINK("https://www.facebook.com/hungvuong29ngogiatu/?locale=vi_VN", "Công an phường Hùng Vương  tỉnh Vĩnh Phúc")</f>
        <v>Công an phường Hùng Vương  tỉnh Vĩnh Phúc</v>
      </c>
      <c r="C1320" t="str">
        <v>https://www.facebook.com/hungvuong29ngogiatu/?locale=vi_VN</v>
      </c>
      <c r="D1320" t="str">
        <v>0987234508</v>
      </c>
      <c r="E1320" t="str">
        <v>-</v>
      </c>
      <c r="F1320" t="str">
        <f>HYPERLINK("mailto:nnle.py@gmail.com", "nnle.py@gmail.com")</f>
        <v>nnle.py@gmail.com</v>
      </c>
      <c r="G1320" t="str">
        <v>Hùng Vương, Phúc Yên, Vietnam</v>
      </c>
    </row>
    <row r="1321">
      <c r="A1321">
        <v>7320</v>
      </c>
      <c r="B1321" t="str">
        <f>HYPERLINK("https://phucyen.vinhphuc.gov.vn/noidung/tintuc/Lists/HeThongChinhTri/View_Detail.aspx?ItemID=5", "UBND Ủy ban nhân dân phường Hùng Vương  tỉnh Vĩnh Phúc")</f>
        <v>UBND Ủy ban nhân dân phường Hùng Vương  tỉnh Vĩnh Phúc</v>
      </c>
      <c r="C1321" t="str">
        <v>https://phucyen.vinhphuc.gov.vn/noidung/tintuc/Lists/HeThongChinhTri/View_Detail.aspx?ItemID=5</v>
      </c>
      <c r="D1321" t="str">
        <v>-</v>
      </c>
      <c r="E1321" t="str">
        <v>-</v>
      </c>
      <c r="F1321" t="str">
        <v>-</v>
      </c>
      <c r="G1321" t="str">
        <v>-</v>
      </c>
    </row>
    <row r="1322">
      <c r="A1322">
        <v>7321</v>
      </c>
      <c r="B1322" t="str">
        <f>HYPERLINK("https://www.facebook.com/p/An-ninh-tr%E1%BA%ADt-t%E1%BB%B1-ph%C6%B0%E1%BB%9Dng-Tr%C6%B0ng-Nh%E1%BB%8B-100079498219071/", "Công an phường Trưng Nhị  tỉnh Vĩnh Phúc")</f>
        <v>Công an phường Trưng Nhị  tỉnh Vĩnh Phúc</v>
      </c>
      <c r="C1322" t="str">
        <v>https://www.facebook.com/p/An-ninh-tr%E1%BA%ADt-t%E1%BB%B1-ph%C6%B0%E1%BB%9Dng-Tr%C6%B0ng-Nh%E1%BB%8B-100079498219071/</v>
      </c>
      <c r="D1322" t="str">
        <v>0969317630</v>
      </c>
      <c r="E1322" t="str">
        <v>-</v>
      </c>
      <c r="F1322" t="str">
        <f>HYPERLINK("mailto:anninhtrattuphuongtrungnhi@gmail.com", "anninhtrattuphuongtrungnhi@gmail.com")</f>
        <v>anninhtrattuphuongtrungnhi@gmail.com</v>
      </c>
      <c r="G1322" t="str">
        <v>Đường Tô Ngọc Vân, Tổ 1 phường Trưng Nhị, thành phố Phúc Yên, tỉnh Vĩnh Phúc, Phúc Yên, Vietnam</v>
      </c>
    </row>
    <row r="1323">
      <c r="A1323">
        <v>7322</v>
      </c>
      <c r="B1323" t="str">
        <f>HYPERLINK("https://phucyen.vinhphuc.gov.vn/noidung/tintuc/Lists/HeThongChinhTri/View_Detail.aspx?ItemID=5", "UBND Ủy ban nhân dân phường Trưng Nhị  tỉnh Vĩnh Phúc")</f>
        <v>UBND Ủy ban nhân dân phường Trưng Nhị  tỉnh Vĩnh Phúc</v>
      </c>
      <c r="C1323" t="str">
        <v>https://phucyen.vinhphuc.gov.vn/noidung/tintuc/Lists/HeThongChinhTri/View_Detail.aspx?ItemID=5</v>
      </c>
      <c r="D1323" t="str">
        <v>-</v>
      </c>
      <c r="E1323" t="str">
        <v>-</v>
      </c>
      <c r="F1323" t="str">
        <v>-</v>
      </c>
      <c r="G1323" t="str">
        <v>-</v>
      </c>
    </row>
    <row r="1324">
      <c r="A1324">
        <v>7323</v>
      </c>
      <c r="B1324" t="str">
        <v>Công an phường Phúc Thắng  tỉnh Vĩnh Phúc</v>
      </c>
      <c r="C1324" t="str">
        <v>-</v>
      </c>
      <c r="D1324" t="str">
        <v>-</v>
      </c>
      <c r="E1324" t="str">
        <v/>
      </c>
      <c r="F1324" t="str">
        <v>-</v>
      </c>
      <c r="G1324" t="str">
        <v>-</v>
      </c>
    </row>
    <row r="1325">
      <c r="A1325">
        <v>7324</v>
      </c>
      <c r="B1325" t="str">
        <f>HYPERLINK("https://vinhphuc.gov.vn/ct/cms/congdan/khieunaitc/Lists/NghienCuuTraoDoi/View_Detail.aspx?ItemID=1486", "UBND Ủy ban nhân dân phường Phúc Thắng  tỉnh Vĩnh Phúc")</f>
        <v>UBND Ủy ban nhân dân phường Phúc Thắng  tỉnh Vĩnh Phúc</v>
      </c>
      <c r="C1325" t="str">
        <v>https://vinhphuc.gov.vn/ct/cms/congdan/khieunaitc/Lists/NghienCuuTraoDoi/View_Detail.aspx?ItemID=1486</v>
      </c>
      <c r="D1325" t="str">
        <v>-</v>
      </c>
      <c r="E1325" t="str">
        <v>-</v>
      </c>
      <c r="F1325" t="str">
        <v>-</v>
      </c>
      <c r="G1325" t="str">
        <v>-</v>
      </c>
    </row>
    <row r="1326">
      <c r="A1326">
        <v>7325</v>
      </c>
      <c r="B1326" t="str">
        <v>Công an phường Xuân Hoà  tỉnh Vĩnh Phúc</v>
      </c>
      <c r="C1326" t="str">
        <v>-</v>
      </c>
      <c r="D1326" t="str">
        <v>-</v>
      </c>
      <c r="E1326" t="str">
        <v/>
      </c>
      <c r="F1326" t="str">
        <v>-</v>
      </c>
      <c r="G1326" t="str">
        <v>-</v>
      </c>
    </row>
    <row r="1327">
      <c r="A1327">
        <v>7326</v>
      </c>
      <c r="B1327" t="str">
        <f>HYPERLINK("https://phucyen.vinhphuc.gov.vn/noidung/tintuc/Lists/Gioithieucacxaphuong/View_Detail.aspx?ItemID=12", "UBND Ủy ban nhân dân phường Xuân Hoà  tỉnh Vĩnh Phúc")</f>
        <v>UBND Ủy ban nhân dân phường Xuân Hoà  tỉnh Vĩnh Phúc</v>
      </c>
      <c r="C1327" t="str">
        <v>https://phucyen.vinhphuc.gov.vn/noidung/tintuc/Lists/Gioithieucacxaphuong/View_Detail.aspx?ItemID=12</v>
      </c>
      <c r="D1327" t="str">
        <v>-</v>
      </c>
      <c r="E1327" t="str">
        <v>-</v>
      </c>
      <c r="F1327" t="str">
        <v>-</v>
      </c>
      <c r="G1327" t="str">
        <v>-</v>
      </c>
    </row>
    <row r="1328">
      <c r="A1328">
        <v>7327</v>
      </c>
      <c r="B1328" t="str">
        <f>HYPERLINK("https://www.facebook.com/p/Tu%E1%BB%95i-tr%E1%BA%BB-C%C3%B4ng-an-Th%C3%A0nh-ph%E1%BB%91-V%C4%A9nh-Y%C3%AAn-100066497717181/", "Công an phường Đồng Xuân  tỉnh Vĩnh Phúc")</f>
        <v>Công an phường Đồng Xuân  tỉnh Vĩnh Phúc</v>
      </c>
      <c r="C1328" t="str">
        <v>https://www.facebook.com/p/Tu%E1%BB%95i-tr%E1%BA%BB-C%C3%B4ng-an-Th%C3%A0nh-ph%E1%BB%91-V%C4%A9nh-Y%C3%AAn-100066497717181/</v>
      </c>
      <c r="D1328" t="str">
        <v>-</v>
      </c>
      <c r="E1328" t="str">
        <v/>
      </c>
      <c r="F1328" t="str">
        <v>-</v>
      </c>
      <c r="G1328" t="str">
        <v>-</v>
      </c>
    </row>
    <row r="1329">
      <c r="A1329">
        <v>7328</v>
      </c>
      <c r="B1329" t="str">
        <f>HYPERLINK("https://phucyen.vinhphuc.gov.vn/noidung/tintuc/Lists/Gioithieucacxaphuong/View_Detail.aspx?ItemID=20", "UBND Ủy ban nhân dân phường Đồng Xuân  tỉnh Vĩnh Phúc")</f>
        <v>UBND Ủy ban nhân dân phường Đồng Xuân  tỉnh Vĩnh Phúc</v>
      </c>
      <c r="C1329" t="str">
        <v>https://phucyen.vinhphuc.gov.vn/noidung/tintuc/Lists/Gioithieucacxaphuong/View_Detail.aspx?ItemID=20</v>
      </c>
      <c r="D1329" t="str">
        <v>-</v>
      </c>
      <c r="E1329" t="str">
        <v>-</v>
      </c>
      <c r="F1329" t="str">
        <v>-</v>
      </c>
      <c r="G1329" t="str">
        <v>-</v>
      </c>
    </row>
    <row r="1330">
      <c r="A1330">
        <v>7329</v>
      </c>
      <c r="B1330" t="str">
        <f>HYPERLINK("https://www.facebook.com/24hxangocthanhnews/", "Công an xã Ngọc Thanh  tỉnh Vĩnh Phúc")</f>
        <v>Công an xã Ngọc Thanh  tỉnh Vĩnh Phúc</v>
      </c>
      <c r="C1330" t="str">
        <v>https://www.facebook.com/24hxangocthanhnews/</v>
      </c>
      <c r="D1330" t="str">
        <v>-</v>
      </c>
      <c r="E1330" t="str">
        <v/>
      </c>
      <c r="F1330" t="str">
        <v>-</v>
      </c>
      <c r="G1330" t="str">
        <v>-</v>
      </c>
    </row>
    <row r="1331">
      <c r="A1331">
        <v>7330</v>
      </c>
      <c r="B1331" t="str">
        <f>HYPERLINK("https://phucyen.vinhphuc.gov.vn/noidung/tintuc/Lists/Gioithieucacxaphuong/View_Detail.aspx?ItemID=11", "UBND Ủy ban nhân dân xã Ngọc Thanh  tỉnh Vĩnh Phúc")</f>
        <v>UBND Ủy ban nhân dân xã Ngọc Thanh  tỉnh Vĩnh Phúc</v>
      </c>
      <c r="C1331" t="str">
        <v>https://phucyen.vinhphuc.gov.vn/noidung/tintuc/Lists/Gioithieucacxaphuong/View_Detail.aspx?ItemID=11</v>
      </c>
      <c r="D1331" t="str">
        <v>-</v>
      </c>
      <c r="E1331" t="str">
        <v>-</v>
      </c>
      <c r="F1331" t="str">
        <v>-</v>
      </c>
      <c r="G1331" t="str">
        <v>-</v>
      </c>
    </row>
    <row r="1332">
      <c r="A1332">
        <v>7331</v>
      </c>
      <c r="B1332" t="str">
        <f>HYPERLINK("https://www.facebook.com/p/An-ninh-tr%E1%BA%ADt-t%E1%BB%B1-x%C3%A3-Cao-Minh-100071427229245/", "Công an xã Cao Minh  tỉnh Vĩnh Phúc")</f>
        <v>Công an xã Cao Minh  tỉnh Vĩnh Phúc</v>
      </c>
      <c r="C1332" t="str">
        <v>https://www.facebook.com/p/An-ninh-tr%E1%BA%ADt-t%E1%BB%B1-x%C3%A3-Cao-Minh-100071427229245/</v>
      </c>
      <c r="D1332" t="str">
        <v>-</v>
      </c>
      <c r="E1332" t="str">
        <v/>
      </c>
      <c r="F1332" t="str">
        <f>HYPERLINK("mailto:huyhungcia@gmail.com", "huyhungcia@gmail.com")</f>
        <v>huyhungcia@gmail.com</v>
      </c>
      <c r="G1332" t="str">
        <v>-</v>
      </c>
    </row>
    <row r="1333">
      <c r="A1333">
        <v>7332</v>
      </c>
      <c r="B1333" t="str">
        <f>HYPERLINK("https://phucyen.vinhphuc.gov.vn/noidung/tintuc/Lists/Gioithieucacxaphuong/View_Detail.aspx?ItemID=18", "UBND Ủy ban nhân dân xã Cao Minh  tỉnh Vĩnh Phúc")</f>
        <v>UBND Ủy ban nhân dân xã Cao Minh  tỉnh Vĩnh Phúc</v>
      </c>
      <c r="C1333" t="str">
        <v>https://phucyen.vinhphuc.gov.vn/noidung/tintuc/Lists/Gioithieucacxaphuong/View_Detail.aspx?ItemID=18</v>
      </c>
      <c r="D1333" t="str">
        <v>-</v>
      </c>
      <c r="E1333" t="str">
        <v>-</v>
      </c>
      <c r="F1333" t="str">
        <v>-</v>
      </c>
      <c r="G1333" t="str">
        <v>-</v>
      </c>
    </row>
    <row r="1334">
      <c r="A1334">
        <v>7333</v>
      </c>
      <c r="B1334" t="str">
        <f>HYPERLINK("https://www.facebook.com/TuoitreConganVinhPhuc/?locale=hi_IN", "Công an xã Nam Viêm  tỉnh Vĩnh Phúc")</f>
        <v>Công an xã Nam Viêm  tỉnh Vĩnh Phúc</v>
      </c>
      <c r="C1334" t="str">
        <v>https://www.facebook.com/TuoitreConganVinhPhuc/?locale=hi_IN</v>
      </c>
      <c r="D1334" t="str">
        <v>-</v>
      </c>
      <c r="E1334" t="str">
        <v/>
      </c>
      <c r="F1334" t="str">
        <v>-</v>
      </c>
      <c r="G1334" t="str">
        <v>-</v>
      </c>
    </row>
    <row r="1335">
      <c r="A1335">
        <v>7334</v>
      </c>
      <c r="B1335" t="str">
        <f>HYPERLINK("https://vpub.vinhphuc.gov.vn/portal/pages/2024-09-11/Pho-Chu-tich-UBND-tinh-Vu-Viet-Van-kiem-tra-chong-8zgzaqorvisa.aspx", "UBND Ủy ban nhân dân xã Nam Viêm  tỉnh Vĩnh Phúc")</f>
        <v>UBND Ủy ban nhân dân xã Nam Viêm  tỉnh Vĩnh Phúc</v>
      </c>
      <c r="C1335" t="str">
        <v>https://vpub.vinhphuc.gov.vn/portal/pages/2024-09-11/Pho-Chu-tich-UBND-tinh-Vu-Viet-Van-kiem-tra-chong-8zgzaqorvisa.aspx</v>
      </c>
      <c r="D1335" t="str">
        <v>-</v>
      </c>
      <c r="E1335" t="str">
        <v>-</v>
      </c>
      <c r="F1335" t="str">
        <v>-</v>
      </c>
      <c r="G1335" t="str">
        <v>-</v>
      </c>
    </row>
    <row r="1336">
      <c r="A1336">
        <v>7335</v>
      </c>
      <c r="B1336" t="str">
        <f>HYPERLINK("https://www.facebook.com/p/Tu%E1%BB%95i-tr%E1%BA%BB-C%C3%B4ng-an-Th%C3%A0nh-ph%E1%BB%91-V%C4%A9nh-Y%C3%AAn-100066497717181/?locale=nl_BE", "Công an xã Tiền Châu  tỉnh Vĩnh Phúc")</f>
        <v>Công an xã Tiền Châu  tỉnh Vĩnh Phúc</v>
      </c>
      <c r="C1336" t="str">
        <v>https://www.facebook.com/p/Tu%E1%BB%95i-tr%E1%BA%BB-C%C3%B4ng-an-Th%C3%A0nh-ph%E1%BB%91-V%C4%A9nh-Y%C3%AAn-100066497717181/?locale=nl_BE</v>
      </c>
      <c r="D1336" t="str">
        <v>-</v>
      </c>
      <c r="E1336" t="str">
        <v/>
      </c>
      <c r="F1336" t="str">
        <v>-</v>
      </c>
      <c r="G1336" t="str">
        <v>-</v>
      </c>
    </row>
    <row r="1337">
      <c r="A1337">
        <v>7336</v>
      </c>
      <c r="B1337" t="str">
        <f>HYPERLINK("https://phucyen.vinhphuc.gov.vn/noidung/tintuc/Lists/Gioithieucacxaphuong/View_Detail.aspx?ItemID=17", "UBND Ủy ban nhân dân xã Tiền Châu  tỉnh Vĩnh Phúc")</f>
        <v>UBND Ủy ban nhân dân xã Tiền Châu  tỉnh Vĩnh Phúc</v>
      </c>
      <c r="C1337" t="str">
        <v>https://phucyen.vinhphuc.gov.vn/noidung/tintuc/Lists/Gioithieucacxaphuong/View_Detail.aspx?ItemID=17</v>
      </c>
      <c r="D1337" t="str">
        <v>-</v>
      </c>
      <c r="E1337" t="str">
        <v>-</v>
      </c>
      <c r="F1337" t="str">
        <v>-</v>
      </c>
      <c r="G1337" t="str">
        <v>-</v>
      </c>
    </row>
    <row r="1338">
      <c r="A1338">
        <v>7337</v>
      </c>
      <c r="B1338" t="str">
        <f>HYPERLINK("https://www.facebook.com/Conganhuyenlapthach/?locale=vi_VN", "Công an thị trấn Lập Thạch  tỉnh Vĩnh Phúc")</f>
        <v>Công an thị trấn Lập Thạch  tỉnh Vĩnh Phúc</v>
      </c>
      <c r="C1338" t="str">
        <v>https://www.facebook.com/Conganhuyenlapthach/?locale=vi_VN</v>
      </c>
      <c r="D1338" t="str">
        <v>-</v>
      </c>
      <c r="E1338" t="str">
        <v/>
      </c>
      <c r="F1338" t="str">
        <v>-</v>
      </c>
      <c r="G1338" t="str">
        <v>-</v>
      </c>
    </row>
    <row r="1339">
      <c r="A1339">
        <v>7338</v>
      </c>
      <c r="B1339" t="str">
        <f>HYPERLINK("https://lapthach.vinhphuc.gov.vn/", "UBND Ủy ban nhân dân thị trấn Lập Thạch  tỉnh Vĩnh Phúc")</f>
        <v>UBND Ủy ban nhân dân thị trấn Lập Thạch  tỉnh Vĩnh Phúc</v>
      </c>
      <c r="C1339" t="str">
        <v>https://lapthach.vinhphuc.gov.vn/</v>
      </c>
      <c r="D1339" t="str">
        <v>-</v>
      </c>
      <c r="E1339" t="str">
        <v>-</v>
      </c>
      <c r="F1339" t="str">
        <v>-</v>
      </c>
      <c r="G1339" t="str">
        <v>-</v>
      </c>
    </row>
    <row r="1340">
      <c r="A1340">
        <v>7339</v>
      </c>
      <c r="B1340" t="str">
        <f>HYPERLINK("https://www.facebook.com/p/Tu%E1%BB%95i-tr%E1%BA%BB-C%C3%B4ng-an-Th%C3%A0nh-ph%E1%BB%91-V%C4%A9nh-Y%C3%AAn-100066497717181/", "Công an xã Quang Sơn  tỉnh Vĩnh Phúc")</f>
        <v>Công an xã Quang Sơn  tỉnh Vĩnh Phúc</v>
      </c>
      <c r="C1340" t="str">
        <v>https://www.facebook.com/p/Tu%E1%BB%95i-tr%E1%BA%BB-C%C3%B4ng-an-Th%C3%A0nh-ph%E1%BB%91-V%C4%A9nh-Y%C3%AAn-100066497717181/</v>
      </c>
      <c r="D1340" t="str">
        <v>-</v>
      </c>
      <c r="E1340" t="str">
        <v/>
      </c>
      <c r="F1340" t="str">
        <v>-</v>
      </c>
      <c r="G1340" t="str">
        <v>-</v>
      </c>
    </row>
    <row r="1341">
      <c r="A1341">
        <v>7340</v>
      </c>
      <c r="B1341" t="str">
        <f>HYPERLINK("https://vinhphuc.gov.vn/ct/cms/HeThongChinhTriTinh/uybannhandan/Lists/QuyetDinh/View_Detail.aspx?ItemID=124", "UBND Ủy ban nhân dân xã Quang Sơn  tỉnh Vĩnh Phúc")</f>
        <v>UBND Ủy ban nhân dân xã Quang Sơn  tỉnh Vĩnh Phúc</v>
      </c>
      <c r="C1341" t="str">
        <v>https://vinhphuc.gov.vn/ct/cms/HeThongChinhTriTinh/uybannhandan/Lists/QuyetDinh/View_Detail.aspx?ItemID=124</v>
      </c>
      <c r="D1341" t="str">
        <v>-</v>
      </c>
      <c r="E1341" t="str">
        <v>-</v>
      </c>
      <c r="F1341" t="str">
        <v>-</v>
      </c>
      <c r="G1341" t="str">
        <v>-</v>
      </c>
    </row>
    <row r="1342">
      <c r="A1342">
        <v>7341</v>
      </c>
      <c r="B1342" t="str">
        <f>HYPERLINK("https://www.facebook.com/684810815444728", "Công an xã Ngọc Mỹ  tỉnh Vĩnh Phúc")</f>
        <v>Công an xã Ngọc Mỹ  tỉnh Vĩnh Phúc</v>
      </c>
      <c r="C1342" t="str">
        <v>https://www.facebook.com/684810815444728</v>
      </c>
      <c r="D1342" t="str">
        <v>-</v>
      </c>
      <c r="E1342" t="str">
        <v/>
      </c>
      <c r="F1342" t="str">
        <v>-</v>
      </c>
      <c r="G1342" t="str">
        <v>-</v>
      </c>
    </row>
    <row r="1343">
      <c r="A1343">
        <v>7342</v>
      </c>
      <c r="B1343" t="str">
        <f>HYPERLINK("https://lapthach.vinhphuc.gov.vn/ct/cms/tintuc/Lists/GII1/View_Detail.aspx?ItemID=137", "UBND Ủy ban nhân dân xã Ngọc Mỹ  tỉnh Vĩnh Phúc")</f>
        <v>UBND Ủy ban nhân dân xã Ngọc Mỹ  tỉnh Vĩnh Phúc</v>
      </c>
      <c r="C1343" t="str">
        <v>https://lapthach.vinhphuc.gov.vn/ct/cms/tintuc/Lists/GII1/View_Detail.aspx?ItemID=137</v>
      </c>
      <c r="D1343" t="str">
        <v>-</v>
      </c>
      <c r="E1343" t="str">
        <v>-</v>
      </c>
      <c r="F1343" t="str">
        <v>-</v>
      </c>
      <c r="G1343" t="str">
        <v>-</v>
      </c>
    </row>
    <row r="1344">
      <c r="A1344">
        <v>7343</v>
      </c>
      <c r="B1344" t="str">
        <f>HYPERLINK("https://www.facebook.com/TuoitreConganVinhPhuc/", "Công an xã Hợp Lý  tỉnh Vĩnh Phúc")</f>
        <v>Công an xã Hợp Lý  tỉnh Vĩnh Phúc</v>
      </c>
      <c r="C1344" t="str">
        <v>https://www.facebook.com/TuoitreConganVinhPhuc/</v>
      </c>
      <c r="D1344" t="str">
        <v>-</v>
      </c>
      <c r="E1344" t="str">
        <v/>
      </c>
      <c r="F1344" t="str">
        <v>-</v>
      </c>
      <c r="G1344" t="str">
        <v>-</v>
      </c>
    </row>
    <row r="1345">
      <c r="A1345">
        <v>7344</v>
      </c>
      <c r="B1345" t="str">
        <f>HYPERLINK("https://lapthach.vinhphuc.gov.vn/ct/cms/tintuc/Lists/GII1/View_Detail.aspx?ItemID=118", "UBND Ủy ban nhân dân xã Hợp Lý  tỉnh Vĩnh Phúc")</f>
        <v>UBND Ủy ban nhân dân xã Hợp Lý  tỉnh Vĩnh Phúc</v>
      </c>
      <c r="C1345" t="str">
        <v>https://lapthach.vinhphuc.gov.vn/ct/cms/tintuc/Lists/GII1/View_Detail.aspx?ItemID=118</v>
      </c>
      <c r="D1345" t="str">
        <v>-</v>
      </c>
      <c r="E1345" t="str">
        <v>-</v>
      </c>
      <c r="F1345" t="str">
        <v>-</v>
      </c>
      <c r="G1345" t="str">
        <v>-</v>
      </c>
    </row>
    <row r="1346">
      <c r="A1346">
        <v>7345</v>
      </c>
      <c r="B1346" t="str">
        <f>HYPERLINK("https://www.facebook.com/TuoitreConganVinhPhuc/?locale=vi_VN", "Công an xã Bắc Bình  tỉnh Vĩnh Phúc")</f>
        <v>Công an xã Bắc Bình  tỉnh Vĩnh Phúc</v>
      </c>
      <c r="C1346" t="str">
        <v>https://www.facebook.com/TuoitreConganVinhPhuc/?locale=vi_VN</v>
      </c>
      <c r="D1346" t="str">
        <v>-</v>
      </c>
      <c r="E1346" t="str">
        <v/>
      </c>
      <c r="F1346" t="str">
        <v>-</v>
      </c>
      <c r="G1346" t="str">
        <v>-</v>
      </c>
    </row>
    <row r="1347">
      <c r="A1347">
        <v>7346</v>
      </c>
      <c r="B1347" t="str">
        <f>HYPERLINK("https://lapthach.vinhphuc.gov.vn/ct/cms/tintuc/Lists/GII1/View_Detail.aspx?ItemID=117", "UBND Ủy ban nhân dân xã Bắc Bình  tỉnh Vĩnh Phúc")</f>
        <v>UBND Ủy ban nhân dân xã Bắc Bình  tỉnh Vĩnh Phúc</v>
      </c>
      <c r="C1347" t="str">
        <v>https://lapthach.vinhphuc.gov.vn/ct/cms/tintuc/Lists/GII1/View_Detail.aspx?ItemID=117</v>
      </c>
      <c r="D1347" t="str">
        <v>-</v>
      </c>
      <c r="E1347" t="str">
        <v>-</v>
      </c>
      <c r="F1347" t="str">
        <v>-</v>
      </c>
      <c r="G1347" t="str">
        <v>-</v>
      </c>
    </row>
    <row r="1348">
      <c r="A1348">
        <v>7347</v>
      </c>
      <c r="B1348" t="str">
        <f>HYPERLINK("https://www.facebook.com/1460854430927731", "Công an xã Thái Hòa  tỉnh Vĩnh Phúc")</f>
        <v>Công an xã Thái Hòa  tỉnh Vĩnh Phúc</v>
      </c>
      <c r="C1348" t="str">
        <v>https://www.facebook.com/1460854430927731</v>
      </c>
      <c r="D1348" t="str">
        <v>-</v>
      </c>
      <c r="E1348" t="str">
        <v/>
      </c>
      <c r="F1348" t="str">
        <v>-</v>
      </c>
      <c r="G1348" t="str">
        <v>-</v>
      </c>
    </row>
    <row r="1349">
      <c r="A1349">
        <v>7348</v>
      </c>
      <c r="B1349" t="str">
        <f>HYPERLINK("https://lapthach.vinhphuc.gov.vn/ct/cms/tintuc/Lists/GII1/View_Detail.aspx?ItemID=116", "UBND Ủy ban nhân dân xã Thái Hòa  tỉnh Vĩnh Phúc")</f>
        <v>UBND Ủy ban nhân dân xã Thái Hòa  tỉnh Vĩnh Phúc</v>
      </c>
      <c r="C1349" t="str">
        <v>https://lapthach.vinhphuc.gov.vn/ct/cms/tintuc/Lists/GII1/View_Detail.aspx?ItemID=116</v>
      </c>
      <c r="D1349" t="str">
        <v>-</v>
      </c>
      <c r="E1349" t="str">
        <v>-</v>
      </c>
      <c r="F1349" t="str">
        <v>-</v>
      </c>
      <c r="G1349" t="str">
        <v>-</v>
      </c>
    </row>
    <row r="1350">
      <c r="A1350">
        <v>7349</v>
      </c>
      <c r="B1350" t="str">
        <f>HYPERLINK("https://www.facebook.com/Hoason1368/", "Công an thị trấn Hoa Sơn  tỉnh Vĩnh Phúc")</f>
        <v>Công an thị trấn Hoa Sơn  tỉnh Vĩnh Phúc</v>
      </c>
      <c r="C1350" t="str">
        <v>https://www.facebook.com/Hoason1368/</v>
      </c>
      <c r="D1350" t="str">
        <v>-</v>
      </c>
      <c r="E1350" t="str">
        <v/>
      </c>
      <c r="F1350" t="str">
        <v>-</v>
      </c>
      <c r="G1350" t="str">
        <v>-</v>
      </c>
    </row>
    <row r="1351">
      <c r="A1351">
        <v>7350</v>
      </c>
      <c r="B1351" t="str">
        <f>HYPERLINK("https://vinhphuc.gov.vn/ct/cms/HeThongChinhTriTinh/uybannhandan/Lists/QuyetDinh/View_Detail.aspx?ItemID=1032", "UBND Ủy ban nhân dân thị trấn Hoa Sơn  tỉnh Vĩnh Phúc")</f>
        <v>UBND Ủy ban nhân dân thị trấn Hoa Sơn  tỉnh Vĩnh Phúc</v>
      </c>
      <c r="C1351" t="str">
        <v>https://vinhphuc.gov.vn/ct/cms/HeThongChinhTriTinh/uybannhandan/Lists/QuyetDinh/View_Detail.aspx?ItemID=1032</v>
      </c>
      <c r="D1351" t="str">
        <v>-</v>
      </c>
      <c r="E1351" t="str">
        <v>-</v>
      </c>
      <c r="F1351" t="str">
        <v>-</v>
      </c>
      <c r="G1351" t="str">
        <v>-</v>
      </c>
    </row>
    <row r="1352">
      <c r="A1352">
        <v>7351</v>
      </c>
      <c r="B1352" t="str">
        <v>Công an xã Liễn Sơn  tỉnh Vĩnh Phúc</v>
      </c>
      <c r="C1352" t="str">
        <v>-</v>
      </c>
      <c r="D1352" t="str">
        <v>-</v>
      </c>
      <c r="E1352" t="str">
        <v/>
      </c>
      <c r="F1352" t="str">
        <v>-</v>
      </c>
      <c r="G1352" t="str">
        <v>-</v>
      </c>
    </row>
    <row r="1353">
      <c r="A1353">
        <v>7352</v>
      </c>
      <c r="B1353" t="str">
        <v>UBND Ủy ban nhân dân xã Liễn Sơn  tỉnh Vĩnh Phúc</v>
      </c>
      <c r="C1353" t="str">
        <v>-</v>
      </c>
      <c r="D1353" t="str">
        <v>-</v>
      </c>
      <c r="E1353" t="str">
        <v>-</v>
      </c>
      <c r="F1353" t="str">
        <v>-</v>
      </c>
      <c r="G1353" t="str">
        <v>-</v>
      </c>
    </row>
    <row r="1354">
      <c r="A1354">
        <v>7353</v>
      </c>
      <c r="B1354" t="str">
        <f>HYPERLINK("https://www.facebook.com/TuoitreConganVinhPhuc/", "Công an xã Xuân Hòa  tỉnh Vĩnh Phúc")</f>
        <v>Công an xã Xuân Hòa  tỉnh Vĩnh Phúc</v>
      </c>
      <c r="C1354" t="str">
        <v>https://www.facebook.com/TuoitreConganVinhPhuc/</v>
      </c>
      <c r="D1354" t="str">
        <v>-</v>
      </c>
      <c r="E1354" t="str">
        <v/>
      </c>
      <c r="F1354" t="str">
        <v>-</v>
      </c>
      <c r="G1354" t="str">
        <v>-</v>
      </c>
    </row>
    <row r="1355">
      <c r="A1355">
        <v>7354</v>
      </c>
      <c r="B1355" t="str">
        <f>HYPERLINK("https://phucyen.vinhphuc.gov.vn/noidung/tintuc/Lists/HeThongChinhTri/View_Detail.aspx?ItemID=5", "UBND Ủy ban nhân dân xã Xuân Hòa  tỉnh Vĩnh Phúc")</f>
        <v>UBND Ủy ban nhân dân xã Xuân Hòa  tỉnh Vĩnh Phúc</v>
      </c>
      <c r="C1355" t="str">
        <v>https://phucyen.vinhphuc.gov.vn/noidung/tintuc/Lists/HeThongChinhTri/View_Detail.aspx?ItemID=5</v>
      </c>
      <c r="D1355" t="str">
        <v>-</v>
      </c>
      <c r="E1355" t="str">
        <v>-</v>
      </c>
      <c r="F1355" t="str">
        <v>-</v>
      </c>
      <c r="G1355" t="str">
        <v>-</v>
      </c>
    </row>
    <row r="1356">
      <c r="A1356">
        <v>7355</v>
      </c>
      <c r="B1356" t="str">
        <f>HYPERLINK("https://www.facebook.com/684810815444728", "Công an xã Vân Trục  tỉnh Vĩnh Phúc")</f>
        <v>Công an xã Vân Trục  tỉnh Vĩnh Phúc</v>
      </c>
      <c r="C1356" t="str">
        <v>https://www.facebook.com/684810815444728</v>
      </c>
      <c r="D1356" t="str">
        <v>-</v>
      </c>
      <c r="E1356" t="str">
        <v/>
      </c>
      <c r="F1356" t="str">
        <v>-</v>
      </c>
      <c r="G1356" t="str">
        <v>-</v>
      </c>
    </row>
    <row r="1357">
      <c r="A1357">
        <v>7356</v>
      </c>
      <c r="B1357" t="str">
        <f>HYPERLINK("https://vinhphuc.gov.vn/ct/cms/HeThongChinhTriTinh/uybannhandan/Lists/QuyetDinh/View_Detail.aspx?ItemID=124", "UBND Ủy ban nhân dân xã Vân Trục  tỉnh Vĩnh Phúc")</f>
        <v>UBND Ủy ban nhân dân xã Vân Trục  tỉnh Vĩnh Phúc</v>
      </c>
      <c r="C1357" t="str">
        <v>https://vinhphuc.gov.vn/ct/cms/HeThongChinhTriTinh/uybannhandan/Lists/QuyetDinh/View_Detail.aspx?ItemID=124</v>
      </c>
      <c r="D1357" t="str">
        <v>-</v>
      </c>
      <c r="E1357" t="str">
        <v>-</v>
      </c>
      <c r="F1357" t="str">
        <v>-</v>
      </c>
      <c r="G1357" t="str">
        <v>-</v>
      </c>
    </row>
    <row r="1358">
      <c r="A1358">
        <v>7357</v>
      </c>
      <c r="B1358" t="str">
        <f>HYPERLINK("https://www.facebook.com/TuoitreConganVinhPhuc/", "Công an xã Liên Hòa  tỉnh Vĩnh Phúc")</f>
        <v>Công an xã Liên Hòa  tỉnh Vĩnh Phúc</v>
      </c>
      <c r="C1358" t="str">
        <v>https://www.facebook.com/TuoitreConganVinhPhuc/</v>
      </c>
      <c r="D1358" t="str">
        <v>-</v>
      </c>
      <c r="E1358" t="str">
        <v/>
      </c>
      <c r="F1358" t="str">
        <v>-</v>
      </c>
      <c r="G1358" t="str">
        <v>-</v>
      </c>
    </row>
    <row r="1359">
      <c r="A1359">
        <v>7358</v>
      </c>
      <c r="B1359" t="str">
        <f>HYPERLINK("https://lapthach.vinhphuc.gov.vn/ct/cms/tintuc/Lists/GII1/View_Detail.aspx?ItemID=177", "UBND Ủy ban nhân dân xã Liên Hòa  tỉnh Vĩnh Phúc")</f>
        <v>UBND Ủy ban nhân dân xã Liên Hòa  tỉnh Vĩnh Phúc</v>
      </c>
      <c r="C1359" t="str">
        <v>https://lapthach.vinhphuc.gov.vn/ct/cms/tintuc/Lists/GII1/View_Detail.aspx?ItemID=177</v>
      </c>
      <c r="D1359" t="str">
        <v>-</v>
      </c>
      <c r="E1359" t="str">
        <v>-</v>
      </c>
      <c r="F1359" t="str">
        <v>-</v>
      </c>
      <c r="G1359" t="str">
        <v>-</v>
      </c>
    </row>
    <row r="1360">
      <c r="A1360">
        <v>7359</v>
      </c>
      <c r="B1360" t="str">
        <f>HYPERLINK("https://www.facebook.com/TuoitreConganVinhPhuc/?locale=vi_VN", "Công an xã Tử Du  tỉnh Vĩnh Phúc")</f>
        <v>Công an xã Tử Du  tỉnh Vĩnh Phúc</v>
      </c>
      <c r="C1360" t="str">
        <v>https://www.facebook.com/TuoitreConganVinhPhuc/?locale=vi_VN</v>
      </c>
      <c r="D1360" t="str">
        <v>-</v>
      </c>
      <c r="E1360" t="str">
        <v/>
      </c>
      <c r="F1360" t="str">
        <v>-</v>
      </c>
      <c r="G1360" t="str">
        <v>-</v>
      </c>
    </row>
    <row r="1361">
      <c r="A1361">
        <v>7360</v>
      </c>
      <c r="B1361" t="str">
        <f>HYPERLINK("https://lapthach.vinhphuc.gov.vn/ct/cms/tintuc/Lists/GII1/View_Detail.aspx?ItemID=124", "UBND Ủy ban nhân dân xã Tử Du  tỉnh Vĩnh Phúc")</f>
        <v>UBND Ủy ban nhân dân xã Tử Du  tỉnh Vĩnh Phúc</v>
      </c>
      <c r="C1361" t="str">
        <v>https://lapthach.vinhphuc.gov.vn/ct/cms/tintuc/Lists/GII1/View_Detail.aspx?ItemID=124</v>
      </c>
      <c r="D1361" t="str">
        <v>-</v>
      </c>
      <c r="E1361" t="str">
        <v>-</v>
      </c>
      <c r="F1361" t="str">
        <v>-</v>
      </c>
      <c r="G1361" t="str">
        <v>-</v>
      </c>
    </row>
    <row r="1362">
      <c r="A1362">
        <v>7361</v>
      </c>
      <c r="B1362" t="str">
        <v>Công an xã Bàn Giản  tỉnh Vĩnh Phúc</v>
      </c>
      <c r="C1362" t="str">
        <v>-</v>
      </c>
      <c r="D1362" t="str">
        <v>-</v>
      </c>
      <c r="E1362" t="str">
        <v/>
      </c>
      <c r="F1362" t="str">
        <v>-</v>
      </c>
      <c r="G1362" t="str">
        <v>-</v>
      </c>
    </row>
    <row r="1363">
      <c r="A1363">
        <v>7362</v>
      </c>
      <c r="B1363" t="str">
        <f>HYPERLINK("https://vinhphuc.gov.vn/ct/cms/thongbao/Lists/ThongBao/View_Detail.aspx?ItemID=4140", "UBND Ủy ban nhân dân xã Bàn Giản  tỉnh Vĩnh Phúc")</f>
        <v>UBND Ủy ban nhân dân xã Bàn Giản  tỉnh Vĩnh Phúc</v>
      </c>
      <c r="C1363" t="str">
        <v>https://vinhphuc.gov.vn/ct/cms/thongbao/Lists/ThongBao/View_Detail.aspx?ItemID=4140</v>
      </c>
      <c r="D1363" t="str">
        <v>-</v>
      </c>
      <c r="E1363" t="str">
        <v>-</v>
      </c>
      <c r="F1363" t="str">
        <v>-</v>
      </c>
      <c r="G1363" t="str">
        <v>-</v>
      </c>
    </row>
    <row r="1364">
      <c r="A1364">
        <v>7363</v>
      </c>
      <c r="B1364" t="str">
        <f>HYPERLINK("https://www.facebook.com/TuoitreConganVinhPhuc/", "Công an xã Xuân Lôi  tỉnh Vĩnh Phúc")</f>
        <v>Công an xã Xuân Lôi  tỉnh Vĩnh Phúc</v>
      </c>
      <c r="C1364" t="str">
        <v>https://www.facebook.com/TuoitreConganVinhPhuc/</v>
      </c>
      <c r="D1364" t="str">
        <v>-</v>
      </c>
      <c r="E1364" t="str">
        <v/>
      </c>
      <c r="F1364" t="str">
        <v>-</v>
      </c>
      <c r="G1364" t="str">
        <v>-</v>
      </c>
    </row>
    <row r="1365">
      <c r="A1365">
        <v>7364</v>
      </c>
      <c r="B1365" t="str">
        <f>HYPERLINK("https://lapthach.vinhphuc.gov.vn/ct/cms/tintuc/Lists/GII1/View_Detail.aspx?ItemID=170", "UBND Ủy ban nhân dân xã Xuân Lôi  tỉnh Vĩnh Phúc")</f>
        <v>UBND Ủy ban nhân dân xã Xuân Lôi  tỉnh Vĩnh Phúc</v>
      </c>
      <c r="C1365" t="str">
        <v>https://lapthach.vinhphuc.gov.vn/ct/cms/tintuc/Lists/GII1/View_Detail.aspx?ItemID=170</v>
      </c>
      <c r="D1365" t="str">
        <v>-</v>
      </c>
      <c r="E1365" t="str">
        <v>-</v>
      </c>
      <c r="F1365" t="str">
        <v>-</v>
      </c>
      <c r="G1365" t="str">
        <v>-</v>
      </c>
    </row>
    <row r="1366">
      <c r="A1366">
        <v>7365</v>
      </c>
      <c r="B1366" t="str">
        <v>Công an xã Đồng Ích  tỉnh Vĩnh Phúc</v>
      </c>
      <c r="C1366" t="str">
        <v>-</v>
      </c>
      <c r="D1366" t="str">
        <v>-</v>
      </c>
      <c r="E1366" t="str">
        <v/>
      </c>
      <c r="F1366" t="str">
        <v>-</v>
      </c>
      <c r="G1366" t="str">
        <v>-</v>
      </c>
    </row>
    <row r="1367">
      <c r="A1367">
        <v>7366</v>
      </c>
      <c r="B1367" t="str">
        <f>HYPERLINK("https://lapthach.vinhphuc.gov.vn/ct/cms/tintuc/Lists/GII1/View_Detail.aspx?ItemID=172", "UBND Ủy ban nhân dân xã Đồng Ích  tỉnh Vĩnh Phúc")</f>
        <v>UBND Ủy ban nhân dân xã Đồng Ích  tỉnh Vĩnh Phúc</v>
      </c>
      <c r="C1367" t="str">
        <v>https://lapthach.vinhphuc.gov.vn/ct/cms/tintuc/Lists/GII1/View_Detail.aspx?ItemID=172</v>
      </c>
      <c r="D1367" t="str">
        <v>-</v>
      </c>
      <c r="E1367" t="str">
        <v>-</v>
      </c>
      <c r="F1367" t="str">
        <v>-</v>
      </c>
      <c r="G1367" t="str">
        <v>-</v>
      </c>
    </row>
    <row r="1368">
      <c r="A1368">
        <v>7367</v>
      </c>
      <c r="B1368" t="str">
        <v>Công an xã Tiên Lữ  tỉnh Vĩnh Phúc</v>
      </c>
      <c r="C1368" t="str">
        <v>-</v>
      </c>
      <c r="D1368" t="str">
        <v>-</v>
      </c>
      <c r="E1368" t="str">
        <v/>
      </c>
      <c r="F1368" t="str">
        <v>-</v>
      </c>
      <c r="G1368" t="str">
        <v>-</v>
      </c>
    </row>
    <row r="1369">
      <c r="A1369">
        <v>7368</v>
      </c>
      <c r="B1369" t="str">
        <f>HYPERLINK("https://vinhphuc.gov.vn/ct/cms/thongbao/Lists/dauthau/View_Detail.aspx?ItemID=844", "UBND Ủy ban nhân dân xã Tiên Lữ  tỉnh Vĩnh Phúc")</f>
        <v>UBND Ủy ban nhân dân xã Tiên Lữ  tỉnh Vĩnh Phúc</v>
      </c>
      <c r="C1369" t="str">
        <v>https://vinhphuc.gov.vn/ct/cms/thongbao/Lists/dauthau/View_Detail.aspx?ItemID=844</v>
      </c>
      <c r="D1369" t="str">
        <v>-</v>
      </c>
      <c r="E1369" t="str">
        <v>-</v>
      </c>
      <c r="F1369" t="str">
        <v>-</v>
      </c>
      <c r="G1369" t="str">
        <v>-</v>
      </c>
    </row>
    <row r="1370">
      <c r="A1370">
        <v>7369</v>
      </c>
      <c r="B1370" t="str">
        <f>HYPERLINK("https://www.facebook.com/TuoitreConganVinhPhuc/", "Công an xã Văn Quán  tỉnh Vĩnh Phúc")</f>
        <v>Công an xã Văn Quán  tỉnh Vĩnh Phúc</v>
      </c>
      <c r="C1370" t="str">
        <v>https://www.facebook.com/TuoitreConganVinhPhuc/</v>
      </c>
      <c r="D1370" t="str">
        <v>-</v>
      </c>
      <c r="E1370" t="str">
        <v/>
      </c>
      <c r="F1370" t="str">
        <v>-</v>
      </c>
      <c r="G1370" t="str">
        <v>-</v>
      </c>
    </row>
    <row r="1371">
      <c r="A1371">
        <v>7370</v>
      </c>
      <c r="B1371" t="str">
        <f>HYPERLINK("https://lapthach.vinhphuc.gov.vn/ct/cms/tintuc/Lists/GII1/View_Detail.aspx?ItemID=174", "UBND Ủy ban nhân dân xã Văn Quán  tỉnh Vĩnh Phúc")</f>
        <v>UBND Ủy ban nhân dân xã Văn Quán  tỉnh Vĩnh Phúc</v>
      </c>
      <c r="C1371" t="str">
        <v>https://lapthach.vinhphuc.gov.vn/ct/cms/tintuc/Lists/GII1/View_Detail.aspx?ItemID=174</v>
      </c>
      <c r="D1371" t="str">
        <v>-</v>
      </c>
      <c r="E1371" t="str">
        <v>-</v>
      </c>
      <c r="F1371" t="str">
        <v>-</v>
      </c>
      <c r="G1371" t="str">
        <v>-</v>
      </c>
    </row>
    <row r="1372">
      <c r="A1372">
        <v>7371</v>
      </c>
      <c r="B1372" t="str">
        <f>HYPERLINK("https://www.facebook.com/TuoitreConganVinhPhuc/", "Công an xã Đình Chu  tỉnh Vĩnh Phúc")</f>
        <v>Công an xã Đình Chu  tỉnh Vĩnh Phúc</v>
      </c>
      <c r="C1372" t="str">
        <v>https://www.facebook.com/TuoitreConganVinhPhuc/</v>
      </c>
      <c r="D1372" t="str">
        <v>-</v>
      </c>
      <c r="E1372" t="str">
        <v/>
      </c>
      <c r="F1372" t="str">
        <v>-</v>
      </c>
      <c r="G1372" t="str">
        <v>-</v>
      </c>
    </row>
    <row r="1373">
      <c r="A1373">
        <v>7372</v>
      </c>
      <c r="B1373" t="str">
        <f>HYPERLINK("https://vinhyen.vinhphuc.gov.vn/ct/cms/hethongchinhtri/Lists/CacXaPhuong/view_detail.aspx?ItemID=58", "UBND Ủy ban nhân dân xã Đình Chu  tỉnh Vĩnh Phúc")</f>
        <v>UBND Ủy ban nhân dân xã Đình Chu  tỉnh Vĩnh Phúc</v>
      </c>
      <c r="C1373" t="str">
        <v>https://vinhyen.vinhphuc.gov.vn/ct/cms/hethongchinhtri/Lists/CacXaPhuong/view_detail.aspx?ItemID=58</v>
      </c>
      <c r="D1373" t="str">
        <v>-</v>
      </c>
      <c r="E1373" t="str">
        <v>-</v>
      </c>
      <c r="F1373" t="str">
        <v>-</v>
      </c>
      <c r="G1373" t="str">
        <v>-</v>
      </c>
    </row>
    <row r="1374">
      <c r="A1374">
        <v>7373</v>
      </c>
      <c r="B1374" t="str">
        <f>HYPERLINK("https://www.facebook.com/p/An-ninh-tr%E1%BA%ADt-t%E1%BB%B1-x%C3%A3-Tri%E1%BB%87u-%C4%90%E1%BB%81-100071828344045/", "Công an xã Triệu Đề  tỉnh Vĩnh Phúc")</f>
        <v>Công an xã Triệu Đề  tỉnh Vĩnh Phúc</v>
      </c>
      <c r="C1374" t="str">
        <v>https://www.facebook.com/p/An-ninh-tr%E1%BA%ADt-t%E1%BB%B1-x%C3%A3-Tri%E1%BB%87u-%C4%90%E1%BB%81-100071828344045/</v>
      </c>
      <c r="D1374" t="str">
        <v>-</v>
      </c>
      <c r="E1374" t="str">
        <v/>
      </c>
      <c r="F1374" t="str">
        <v>-</v>
      </c>
      <c r="G1374" t="str">
        <v>-</v>
      </c>
    </row>
    <row r="1375">
      <c r="A1375">
        <v>7374</v>
      </c>
      <c r="B1375" t="str">
        <f>HYPERLINK("https://lapthach.vinhphuc.gov.vn/ct/cms/tintuc/Lists/GII1/View_Detail.aspx?ItemID=64", "UBND Ủy ban nhân dân xã Triệu Đề  tỉnh Vĩnh Phúc")</f>
        <v>UBND Ủy ban nhân dân xã Triệu Đề  tỉnh Vĩnh Phúc</v>
      </c>
      <c r="C1375" t="str">
        <v>https://lapthach.vinhphuc.gov.vn/ct/cms/tintuc/Lists/GII1/View_Detail.aspx?ItemID=64</v>
      </c>
      <c r="D1375" t="str">
        <v>-</v>
      </c>
      <c r="E1375" t="str">
        <v>-</v>
      </c>
      <c r="F1375" t="str">
        <v>-</v>
      </c>
      <c r="G1375" t="str">
        <v>-</v>
      </c>
    </row>
    <row r="1376">
      <c r="A1376">
        <v>7375</v>
      </c>
      <c r="B1376" t="str">
        <f>HYPERLINK("https://www.facebook.com/p/Tu%E1%BB%95i-tr%E1%BA%BB-C%C3%B4ng-an-Th%C3%A0nh-ph%E1%BB%91-V%C4%A9nh-Y%C3%AAn-100066497717181/", "Công an xã Sơn Đông  tỉnh Vĩnh Phúc")</f>
        <v>Công an xã Sơn Đông  tỉnh Vĩnh Phúc</v>
      </c>
      <c r="C1376" t="str">
        <v>https://www.facebook.com/p/Tu%E1%BB%95i-tr%E1%BA%BB-C%C3%B4ng-an-Th%C3%A0nh-ph%E1%BB%91-V%C4%A9nh-Y%C3%AAn-100066497717181/</v>
      </c>
      <c r="D1376" t="str">
        <v>-</v>
      </c>
      <c r="E1376" t="str">
        <v/>
      </c>
      <c r="F1376" t="str">
        <v>-</v>
      </c>
      <c r="G1376" t="str">
        <v>-</v>
      </c>
    </row>
    <row r="1377">
      <c r="A1377">
        <v>7376</v>
      </c>
      <c r="B1377" t="str">
        <f>HYPERLINK("https://lapthach.vinhphuc.gov.vn/ct/cms/tintuc/Lists/GII1/View_Detail.aspx?ItemID=176", "UBND Ủy ban nhân dân xã Sơn Đông  tỉnh Vĩnh Phúc")</f>
        <v>UBND Ủy ban nhân dân xã Sơn Đông  tỉnh Vĩnh Phúc</v>
      </c>
      <c r="C1377" t="str">
        <v>https://lapthach.vinhphuc.gov.vn/ct/cms/tintuc/Lists/GII1/View_Detail.aspx?ItemID=176</v>
      </c>
      <c r="D1377" t="str">
        <v>-</v>
      </c>
      <c r="E1377" t="str">
        <v>-</v>
      </c>
      <c r="F1377" t="str">
        <v>-</v>
      </c>
      <c r="G1377" t="str">
        <v>-</v>
      </c>
    </row>
    <row r="1378">
      <c r="A1378">
        <v>7377</v>
      </c>
      <c r="B1378" t="str">
        <f>HYPERLINK("https://www.facebook.com/TuoitreConganVinhPhuc/", "Công an thị trấn Hợp Hòa  tỉnh Vĩnh Phúc")</f>
        <v>Công an thị trấn Hợp Hòa  tỉnh Vĩnh Phúc</v>
      </c>
      <c r="C1378" t="str">
        <v>https://www.facebook.com/TuoitreConganVinhPhuc/</v>
      </c>
      <c r="D1378" t="str">
        <v>-</v>
      </c>
      <c r="E1378" t="str">
        <v/>
      </c>
      <c r="F1378" t="str">
        <v>-</v>
      </c>
      <c r="G1378" t="str">
        <v>-</v>
      </c>
    </row>
    <row r="1379">
      <c r="A1379">
        <v>7378</v>
      </c>
      <c r="B1379" t="str">
        <f>HYPERLINK("https://tamduong.vinhphuc.gov.vn/noidung/phong-ban/Lists/PhongBan/view_detail.aspx?ItemId=252", "UBND Ủy ban nhân dân thị trấn Hợp Hòa  tỉnh Vĩnh Phúc")</f>
        <v>UBND Ủy ban nhân dân thị trấn Hợp Hòa  tỉnh Vĩnh Phúc</v>
      </c>
      <c r="C1379" t="str">
        <v>https://tamduong.vinhphuc.gov.vn/noidung/phong-ban/Lists/PhongBan/view_detail.aspx?ItemId=252</v>
      </c>
      <c r="D1379" t="str">
        <v>-</v>
      </c>
      <c r="E1379" t="str">
        <v>-</v>
      </c>
      <c r="F1379" t="str">
        <v>-</v>
      </c>
      <c r="G1379" t="str">
        <v>-</v>
      </c>
    </row>
    <row r="1380">
      <c r="A1380">
        <v>7379</v>
      </c>
      <c r="B1380" t="str">
        <f>HYPERLINK("https://www.facebook.com/p/X%C3%A3-Ho%C3%A0ng-Hoa-Tam-D%C6%B0%C6%A1ng-V%C4%A9nh-Ph%C3%BAc-100069447398856/", "Công an xã Hoàng Hoa  tỉnh Vĩnh Phúc")</f>
        <v>Công an xã Hoàng Hoa  tỉnh Vĩnh Phúc</v>
      </c>
      <c r="C1380" t="str">
        <v>https://www.facebook.com/p/X%C3%A3-Ho%C3%A0ng-Hoa-Tam-D%C6%B0%C6%A1ng-V%C4%A9nh-Ph%C3%BAc-100069447398856/</v>
      </c>
      <c r="D1380" t="str">
        <v>-</v>
      </c>
      <c r="E1380" t="str">
        <v/>
      </c>
      <c r="F1380" t="str">
        <v>-</v>
      </c>
      <c r="G1380" t="str">
        <v>-</v>
      </c>
    </row>
    <row r="1381">
      <c r="A1381">
        <v>7380</v>
      </c>
      <c r="B1381" t="str">
        <f>HYPERLINK("http://votranh.phuluong.thainguyen.gov.vn/tin-tuc-su-kien/-/asset_publisher/rntMyNwZAIdK/content/ubnd-xa-vo-tranh-on-oan-ai-bieu-xa-hoang-hoa-huyen-tam-duong-tinh-vinh-phuc-en-tham-quan-hoc-tap-kinh-nghiem-xay-dung-nong-thon-moi-kieu-mau?inheritRedirect=false", "UBND Ủy ban nhân dân xã Hoàng Hoa  tỉnh Vĩnh Phúc")</f>
        <v>UBND Ủy ban nhân dân xã Hoàng Hoa  tỉnh Vĩnh Phúc</v>
      </c>
      <c r="C1381" t="str">
        <v>http://votranh.phuluong.thainguyen.gov.vn/tin-tuc-su-kien/-/asset_publisher/rntMyNwZAIdK/content/ubnd-xa-vo-tranh-on-oan-ai-bieu-xa-hoang-hoa-huyen-tam-duong-tinh-vinh-phuc-en-tham-quan-hoc-tap-kinh-nghiem-xay-dung-nong-thon-moi-kieu-mau?inheritRedirect=false</v>
      </c>
      <c r="D1381" t="str">
        <v>-</v>
      </c>
      <c r="E1381" t="str">
        <v>-</v>
      </c>
      <c r="F1381" t="str">
        <v>-</v>
      </c>
      <c r="G1381" t="str">
        <v>-</v>
      </c>
    </row>
    <row r="1382">
      <c r="A1382">
        <v>7381</v>
      </c>
      <c r="B1382" t="str">
        <f>HYPERLINK("https://www.facebook.com/TuoitreConganVinhPhuc/", "Công an xã Đồng Tĩnh  tỉnh Vĩnh Phúc")</f>
        <v>Công an xã Đồng Tĩnh  tỉnh Vĩnh Phúc</v>
      </c>
      <c r="C1382" t="str">
        <v>https://www.facebook.com/TuoitreConganVinhPhuc/</v>
      </c>
      <c r="D1382" t="str">
        <v>-</v>
      </c>
      <c r="E1382" t="str">
        <v/>
      </c>
      <c r="F1382" t="str">
        <v>-</v>
      </c>
      <c r="G1382" t="str">
        <v>-</v>
      </c>
    </row>
    <row r="1383">
      <c r="A1383">
        <v>7382</v>
      </c>
      <c r="B1383" t="str">
        <f>HYPERLINK("https://dongphuc.yendung.bacgiang.gov.vn/", "UBND Ủy ban nhân dân xã Đồng Tĩnh  tỉnh Vĩnh Phúc")</f>
        <v>UBND Ủy ban nhân dân xã Đồng Tĩnh  tỉnh Vĩnh Phúc</v>
      </c>
      <c r="C1383" t="str">
        <v>https://dongphuc.yendung.bacgiang.gov.vn/</v>
      </c>
      <c r="D1383" t="str">
        <v>-</v>
      </c>
      <c r="E1383" t="str">
        <v>-</v>
      </c>
      <c r="F1383" t="str">
        <v>-</v>
      </c>
      <c r="G1383" t="str">
        <v>-</v>
      </c>
    </row>
    <row r="1384">
      <c r="A1384">
        <v>7383</v>
      </c>
      <c r="B1384" t="str">
        <f>HYPERLINK("https://www.facebook.com/p/Tu%E1%BB%95i-tr%E1%BA%BB-C%C3%B4ng-an-Th%C3%A0nh-ph%E1%BB%91-V%C4%A9nh-Y%C3%AAn-100066497717181/", "Công an xã Kim Long  tỉnh Vĩnh Phúc")</f>
        <v>Công an xã Kim Long  tỉnh Vĩnh Phúc</v>
      </c>
      <c r="C1384" t="str">
        <v>https://www.facebook.com/p/Tu%E1%BB%95i-tr%E1%BA%BB-C%C3%B4ng-an-Th%C3%A0nh-ph%E1%BB%91-V%C4%A9nh-Y%C3%AAn-100066497717181/</v>
      </c>
      <c r="D1384" t="str">
        <v>-</v>
      </c>
      <c r="E1384" t="str">
        <v/>
      </c>
      <c r="F1384" t="str">
        <v>-</v>
      </c>
      <c r="G1384" t="str">
        <v>-</v>
      </c>
    </row>
    <row r="1385">
      <c r="A1385">
        <v>7384</v>
      </c>
      <c r="B1385" t="str">
        <f>HYPERLINK("https://vinhphuc.gov.vn/ct/cms/HeThongChinhTriTinh/uybannhandan/Lists/QuyetDinh/View_Detail.aspx?ItemID=50", "UBND Ủy ban nhân dân xã Kim Long  tỉnh Vĩnh Phúc")</f>
        <v>UBND Ủy ban nhân dân xã Kim Long  tỉnh Vĩnh Phúc</v>
      </c>
      <c r="C1385" t="str">
        <v>https://vinhphuc.gov.vn/ct/cms/HeThongChinhTriTinh/uybannhandan/Lists/QuyetDinh/View_Detail.aspx?ItemID=50</v>
      </c>
      <c r="D1385" t="str">
        <v>-</v>
      </c>
      <c r="E1385" t="str">
        <v>-</v>
      </c>
      <c r="F1385" t="str">
        <v>-</v>
      </c>
      <c r="G1385" t="str">
        <v>-</v>
      </c>
    </row>
    <row r="1386">
      <c r="A1386">
        <v>7385</v>
      </c>
      <c r="B1386" t="str">
        <v>Công an xã Hướng Đạo  tỉnh Vĩnh Phúc</v>
      </c>
      <c r="C1386" t="str">
        <v>-</v>
      </c>
      <c r="D1386" t="str">
        <v>-</v>
      </c>
      <c r="E1386" t="str">
        <v/>
      </c>
      <c r="F1386" t="str">
        <v>-</v>
      </c>
      <c r="G1386" t="str">
        <v>-</v>
      </c>
    </row>
    <row r="1387">
      <c r="A1387">
        <v>7386</v>
      </c>
      <c r="B1387" t="str">
        <f>HYPERLINK("https://tamduong.vinhphuc.gov.vn/noidung/phong-ban/Lists/PhongBan/view_detail.aspx?ItemId=250", "UBND Ủy ban nhân dân xã Hướng Đạo  tỉnh Vĩnh Phúc")</f>
        <v>UBND Ủy ban nhân dân xã Hướng Đạo  tỉnh Vĩnh Phúc</v>
      </c>
      <c r="C1387" t="str">
        <v>https://tamduong.vinhphuc.gov.vn/noidung/phong-ban/Lists/PhongBan/view_detail.aspx?ItemId=250</v>
      </c>
      <c r="D1387" t="str">
        <v>-</v>
      </c>
      <c r="E1387" t="str">
        <v>-</v>
      </c>
      <c r="F1387" t="str">
        <v>-</v>
      </c>
      <c r="G1387" t="str">
        <v>-</v>
      </c>
    </row>
    <row r="1388">
      <c r="A1388">
        <v>7387</v>
      </c>
      <c r="B1388" t="str">
        <f>HYPERLINK("https://www.facebook.com/ANTTDaoTru/", "Công an xã Đạo Tú  tỉnh Vĩnh Phúc")</f>
        <v>Công an xã Đạo Tú  tỉnh Vĩnh Phúc</v>
      </c>
      <c r="C1388" t="str">
        <v>https://www.facebook.com/ANTTDaoTru/</v>
      </c>
      <c r="D1388" t="str">
        <v>-</v>
      </c>
      <c r="E1388" t="str">
        <v/>
      </c>
      <c r="F1388" t="str">
        <f>HYPERLINK("mailto:thachcongtien93@gmail.com", "thachcongtien93@gmail.com")</f>
        <v>thachcongtien93@gmail.com</v>
      </c>
      <c r="G1388" t="str">
        <v>Tỉnh Vĩnh Phúc, Vietnam</v>
      </c>
    </row>
    <row r="1389">
      <c r="A1389">
        <v>7388</v>
      </c>
      <c r="B1389" t="str">
        <f>HYPERLINK("https://tamdao.vinhphuc.gov.vn/ct/cms/hethongchinhtri/uybanhuyen/Lists/xathitran/View_Detail.aspx?ItemID=24", "UBND Ủy ban nhân dân xã Đạo Tú  tỉnh Vĩnh Phúc")</f>
        <v>UBND Ủy ban nhân dân xã Đạo Tú  tỉnh Vĩnh Phúc</v>
      </c>
      <c r="C1389" t="str">
        <v>https://tamdao.vinhphuc.gov.vn/ct/cms/hethongchinhtri/uybanhuyen/Lists/xathitran/View_Detail.aspx?ItemID=24</v>
      </c>
      <c r="D1389" t="str">
        <v>-</v>
      </c>
      <c r="E1389" t="str">
        <v>-</v>
      </c>
      <c r="F1389" t="str">
        <v>-</v>
      </c>
      <c r="G1389" t="str">
        <v>-</v>
      </c>
    </row>
    <row r="1390">
      <c r="A1390">
        <v>7389</v>
      </c>
      <c r="B1390" t="str">
        <f>HYPERLINK("https://www.facebook.com/TuoitreConganVinhPhuc/?locale=vi_VN", "Công an xã An Hòa  tỉnh Vĩnh Phúc")</f>
        <v>Công an xã An Hòa  tỉnh Vĩnh Phúc</v>
      </c>
      <c r="C1390" t="str">
        <v>https://www.facebook.com/TuoitreConganVinhPhuc/?locale=vi_VN</v>
      </c>
      <c r="D1390" t="str">
        <v>-</v>
      </c>
      <c r="E1390" t="str">
        <v/>
      </c>
      <c r="F1390" t="str">
        <v>-</v>
      </c>
      <c r="G1390" t="str">
        <v>-</v>
      </c>
    </row>
    <row r="1391">
      <c r="A1391">
        <v>7390</v>
      </c>
      <c r="B1391" t="str">
        <f>HYPERLINK("https://tamduong.vinhphuc.gov.vn/ct/cms/tintuc/Lists/Thongtinchuyendoiso/View_Detail.aspx?ItemID=20", "UBND Ủy ban nhân dân xã An Hòa  tỉnh Vĩnh Phúc")</f>
        <v>UBND Ủy ban nhân dân xã An Hòa  tỉnh Vĩnh Phúc</v>
      </c>
      <c r="C1391" t="str">
        <v>https://tamduong.vinhphuc.gov.vn/ct/cms/tintuc/Lists/Thongtinchuyendoiso/View_Detail.aspx?ItemID=20</v>
      </c>
      <c r="D1391" t="str">
        <v>-</v>
      </c>
      <c r="E1391" t="str">
        <v>-</v>
      </c>
      <c r="F1391" t="str">
        <v>-</v>
      </c>
      <c r="G1391" t="str">
        <v>-</v>
      </c>
    </row>
    <row r="1392">
      <c r="A1392">
        <v>7391</v>
      </c>
      <c r="B1392" t="str">
        <f>HYPERLINK("https://www.facebook.com/Quanghieutdvp/", "Công an xã Thanh Vân  tỉnh Vĩnh Phúc")</f>
        <v>Công an xã Thanh Vân  tỉnh Vĩnh Phúc</v>
      </c>
      <c r="C1392" t="str">
        <v>https://www.facebook.com/Quanghieutdvp/</v>
      </c>
      <c r="D1392" t="str">
        <v>-</v>
      </c>
      <c r="E1392" t="str">
        <v/>
      </c>
      <c r="F1392" t="str">
        <v>-</v>
      </c>
      <c r="G1392" t="str">
        <v>-</v>
      </c>
    </row>
    <row r="1393">
      <c r="A1393">
        <v>7392</v>
      </c>
      <c r="B1393" t="str">
        <f>HYPERLINK("http://tamduong.vinhphuc.gov.vn/noidung/phong-ban/lists/phongban/view_detail.aspx?itemid=254", "UBND Ủy ban nhân dân xã Thanh Vân  tỉnh Vĩnh Phúc")</f>
        <v>UBND Ủy ban nhân dân xã Thanh Vân  tỉnh Vĩnh Phúc</v>
      </c>
      <c r="C1393" t="str">
        <v>http://tamduong.vinhphuc.gov.vn/noidung/phong-ban/lists/phongban/view_detail.aspx?itemid=254</v>
      </c>
      <c r="D1393" t="str">
        <v>-</v>
      </c>
      <c r="E1393" t="str">
        <v>-</v>
      </c>
      <c r="F1393" t="str">
        <v>-</v>
      </c>
      <c r="G1393" t="str">
        <v>-</v>
      </c>
    </row>
    <row r="1394">
      <c r="A1394">
        <v>7393</v>
      </c>
      <c r="B1394" t="str">
        <f>HYPERLINK("https://www.facebook.com/p/An-ninh-tr%E1%BA%ADt-t%E1%BB%B1-x%C3%A3-Duy-Phi%C3%AAn-huy%E1%BB%87n-Tam-D%C6%B0%C6%A1ng-100085148905874/", "Công an xã Duy Phiên  tỉnh Vĩnh Phúc")</f>
        <v>Công an xã Duy Phiên  tỉnh Vĩnh Phúc</v>
      </c>
      <c r="C1394" t="str">
        <v>https://www.facebook.com/p/An-ninh-tr%E1%BA%ADt-t%E1%BB%B1-x%C3%A3-Duy-Phi%C3%AAn-huy%E1%BB%87n-Tam-D%C6%B0%C6%A1ng-100085148905874/</v>
      </c>
      <c r="D1394" t="str">
        <v>-</v>
      </c>
      <c r="E1394" t="str">
        <v/>
      </c>
      <c r="F1394" t="str">
        <v>-</v>
      </c>
      <c r="G1394" t="str">
        <v>-</v>
      </c>
    </row>
    <row r="1395">
      <c r="A1395">
        <v>7394</v>
      </c>
      <c r="B1395" t="str">
        <f>HYPERLINK("https://tamduong.vinhphuc.gov.vn/SMPT_Publishing_UC/TinTuc/pPrintTinTuc.aspx?UrlList=/noidung/phong-ban/Lists/PhongBan&amp;ItemID=257", "UBND Ủy ban nhân dân xã Duy Phiên  tỉnh Vĩnh Phúc")</f>
        <v>UBND Ủy ban nhân dân xã Duy Phiên  tỉnh Vĩnh Phúc</v>
      </c>
      <c r="C1395" t="str">
        <v>https://tamduong.vinhphuc.gov.vn/SMPT_Publishing_UC/TinTuc/pPrintTinTuc.aspx?UrlList=/noidung/phong-ban/Lists/PhongBan&amp;ItemID=257</v>
      </c>
      <c r="D1395" t="str">
        <v>-</v>
      </c>
      <c r="E1395" t="str">
        <v>-</v>
      </c>
      <c r="F1395" t="str">
        <v>-</v>
      </c>
      <c r="G1395" t="str">
        <v>-</v>
      </c>
    </row>
    <row r="1396">
      <c r="A1396">
        <v>7395</v>
      </c>
      <c r="B1396" t="str">
        <f>HYPERLINK("https://www.facebook.com/TuoitreConganVinhPhuc/", "Công an xã Hoàng Đan  tỉnh Vĩnh Phúc")</f>
        <v>Công an xã Hoàng Đan  tỉnh Vĩnh Phúc</v>
      </c>
      <c r="C1396" t="str">
        <v>https://www.facebook.com/TuoitreConganVinhPhuc/</v>
      </c>
      <c r="D1396" t="str">
        <v>-</v>
      </c>
      <c r="E1396" t="str">
        <v/>
      </c>
      <c r="F1396" t="str">
        <v>-</v>
      </c>
      <c r="G1396" t="str">
        <v>-</v>
      </c>
    </row>
    <row r="1397">
      <c r="A1397">
        <v>7396</v>
      </c>
      <c r="B1397" t="str">
        <f>HYPERLINK("https://dichvucong.gov.vn/p/phananhkiennghi/pakn-detail.html?id=168557", "UBND Ủy ban nhân dân xã Hoàng Đan  tỉnh Vĩnh Phúc")</f>
        <v>UBND Ủy ban nhân dân xã Hoàng Đan  tỉnh Vĩnh Phúc</v>
      </c>
      <c r="C1397" t="str">
        <v>https://dichvucong.gov.vn/p/phananhkiennghi/pakn-detail.html?id=168557</v>
      </c>
      <c r="D1397" t="str">
        <v>-</v>
      </c>
      <c r="E1397" t="str">
        <v>-</v>
      </c>
      <c r="F1397" t="str">
        <v>-</v>
      </c>
      <c r="G1397" t="str">
        <v>-</v>
      </c>
    </row>
    <row r="1398">
      <c r="A1398">
        <v>7397</v>
      </c>
      <c r="B1398" t="str">
        <f>HYPERLINK("https://www.facebook.com/832894947302980", "Công an xã Hoàng Lâu  tỉnh Vĩnh Phúc")</f>
        <v>Công an xã Hoàng Lâu  tỉnh Vĩnh Phúc</v>
      </c>
      <c r="C1398" t="str">
        <v>https://www.facebook.com/832894947302980</v>
      </c>
      <c r="D1398" t="str">
        <v>-</v>
      </c>
      <c r="E1398" t="str">
        <v/>
      </c>
      <c r="F1398" t="str">
        <v>-</v>
      </c>
      <c r="G1398" t="str">
        <v>-</v>
      </c>
    </row>
    <row r="1399">
      <c r="A1399">
        <v>7398</v>
      </c>
      <c r="B1399" t="str">
        <f>HYPERLINK("https://tamduong.vinhphuc.gov.vn/SMPT_Publishing_UC/TinTuc/pPrintTinTuc.aspx?UrlList=/noidung/phong-ban/Lists/PhongBan&amp;ItemID=256", "UBND Ủy ban nhân dân xã Hoàng Lâu  tỉnh Vĩnh Phúc")</f>
        <v>UBND Ủy ban nhân dân xã Hoàng Lâu  tỉnh Vĩnh Phúc</v>
      </c>
      <c r="C1399" t="str">
        <v>https://tamduong.vinhphuc.gov.vn/SMPT_Publishing_UC/TinTuc/pPrintTinTuc.aspx?UrlList=/noidung/phong-ban/Lists/PhongBan&amp;ItemID=256</v>
      </c>
      <c r="D1399" t="str">
        <v>-</v>
      </c>
      <c r="E1399" t="str">
        <v>-</v>
      </c>
      <c r="F1399" t="str">
        <v>-</v>
      </c>
      <c r="G1399" t="str">
        <v>-</v>
      </c>
    </row>
    <row r="1400">
      <c r="A1400">
        <v>7399</v>
      </c>
      <c r="B1400" t="str">
        <f>HYPERLINK("https://www.facebook.com/TuoitreConganVinhPhuc/", "Công an xã Vân Hội  tỉnh Vĩnh Phúc")</f>
        <v>Công an xã Vân Hội  tỉnh Vĩnh Phúc</v>
      </c>
      <c r="C1400" t="str">
        <v>https://www.facebook.com/TuoitreConganVinhPhuc/</v>
      </c>
      <c r="D1400" t="str">
        <v>-</v>
      </c>
      <c r="E1400" t="str">
        <v/>
      </c>
      <c r="F1400" t="str">
        <v>-</v>
      </c>
      <c r="G1400" t="str">
        <v>-</v>
      </c>
    </row>
    <row r="1401">
      <c r="A1401">
        <v>7400</v>
      </c>
      <c r="B1401" t="str">
        <f>HYPERLINK("https://tamduong.vinhphuc.gov.vn/Pages/VanBanDieuHanh.aspx?ItemID=2397", "UBND Ủy ban nhân dân xã Vân Hội  tỉnh Vĩnh Phúc")</f>
        <v>UBND Ủy ban nhân dân xã Vân Hội  tỉnh Vĩnh Phúc</v>
      </c>
      <c r="C1401" t="str">
        <v>https://tamduong.vinhphuc.gov.vn/Pages/VanBanDieuHanh.aspx?ItemID=2397</v>
      </c>
      <c r="D1401" t="str">
        <v>-</v>
      </c>
      <c r="E1401" t="str">
        <v>-</v>
      </c>
      <c r="F1401" t="str">
        <v>-</v>
      </c>
      <c r="G1401" t="str">
        <v>-</v>
      </c>
    </row>
    <row r="1402">
      <c r="A1402">
        <v>7401</v>
      </c>
      <c r="B1402" t="str">
        <f>HYPERLINK("https://www.facebook.com/p/C%C3%B4ng-an-X%C3%A3-H%E1%BB%A3p-Th%E1%BB%8Bnh-100072332965306/", "Công an xã Hợp Thịnh  tỉnh Vĩnh Phúc")</f>
        <v>Công an xã Hợp Thịnh  tỉnh Vĩnh Phúc</v>
      </c>
      <c r="C1402" t="str">
        <v>https://www.facebook.com/p/C%C3%B4ng-an-X%C3%A3-H%E1%BB%A3p-Th%E1%BB%8Bnh-100072332965306/</v>
      </c>
      <c r="D1402" t="str">
        <v>-</v>
      </c>
      <c r="E1402" t="str">
        <v/>
      </c>
      <c r="F1402" t="str">
        <v>-</v>
      </c>
      <c r="G1402" t="str">
        <v>-</v>
      </c>
    </row>
    <row r="1403">
      <c r="A1403">
        <v>7402</v>
      </c>
      <c r="B1403" t="str">
        <f>HYPERLINK("https://vinhphuc.gov.vn/ct/cms/HeThongChinhTriTinh/uybannhandan/Lists/QuyetDinh/View_Detail.aspx?ItemID=217", "UBND Ủy ban nhân dân xã Hợp Thịnh  tỉnh Vĩnh Phúc")</f>
        <v>UBND Ủy ban nhân dân xã Hợp Thịnh  tỉnh Vĩnh Phúc</v>
      </c>
      <c r="C1403" t="str">
        <v>https://vinhphuc.gov.vn/ct/cms/HeThongChinhTriTinh/uybannhandan/Lists/QuyetDinh/View_Detail.aspx?ItemID=217</v>
      </c>
      <c r="D1403" t="str">
        <v>-</v>
      </c>
      <c r="E1403" t="str">
        <v>-</v>
      </c>
      <c r="F1403" t="str">
        <v>-</v>
      </c>
      <c r="G1403" t="str">
        <v>-</v>
      </c>
    </row>
    <row r="1404">
      <c r="A1404">
        <v>7403</v>
      </c>
      <c r="B1404" t="str">
        <f>HYPERLINK("https://www.facebook.com/antthuyentamdao/?locale=vi_VN", "Công an thị trấn Tam Đảo  tỉnh Vĩnh Phúc")</f>
        <v>Công an thị trấn Tam Đảo  tỉnh Vĩnh Phúc</v>
      </c>
      <c r="C1404" t="str">
        <v>https://www.facebook.com/antthuyentamdao/?locale=vi_VN</v>
      </c>
      <c r="D1404" t="str">
        <v>-</v>
      </c>
      <c r="E1404" t="str">
        <v/>
      </c>
      <c r="F1404" t="str">
        <v>-</v>
      </c>
      <c r="G1404" t="str">
        <v>-</v>
      </c>
    </row>
    <row r="1405">
      <c r="A1405">
        <v>7404</v>
      </c>
      <c r="B1405" t="str">
        <f>HYPERLINK("https://tamdao.vinhphuc.gov.vn/ct/cms/hethongchinhtri/uybanhuyen/Lists/xathitran/View_Detail.aspx?ItemID=32", "UBND Ủy ban nhân dân thị trấn Tam Đảo  tỉnh Vĩnh Phúc")</f>
        <v>UBND Ủy ban nhân dân thị trấn Tam Đảo  tỉnh Vĩnh Phúc</v>
      </c>
      <c r="C1405" t="str">
        <v>https://tamdao.vinhphuc.gov.vn/ct/cms/hethongchinhtri/uybanhuyen/Lists/xathitran/View_Detail.aspx?ItemID=32</v>
      </c>
      <c r="D1405" t="str">
        <v>-</v>
      </c>
      <c r="E1405" t="str">
        <v>-</v>
      </c>
      <c r="F1405" t="str">
        <v>-</v>
      </c>
      <c r="G1405" t="str">
        <v>-</v>
      </c>
    </row>
    <row r="1406">
      <c r="A1406">
        <v>7405</v>
      </c>
      <c r="B1406" t="str">
        <f>HYPERLINK("https://www.facebook.com/p/UBND-Th%E1%BB%8B-Tr%E1%BA%A5n-H%E1%BB%A3p-Ch%C3%A2u-H-Tam-%C4%90%E1%BA%A3o-T-V%C4%A9nh-Ph%C3%BAc-100029658863765/", "Công an xã Hợp Châu  tỉnh Vĩnh Phúc")</f>
        <v>Công an xã Hợp Châu  tỉnh Vĩnh Phúc</v>
      </c>
      <c r="C1406" t="str">
        <v>https://www.facebook.com/p/UBND-Th%E1%BB%8B-Tr%E1%BA%A5n-H%E1%BB%A3p-Ch%C3%A2u-H-Tam-%C4%90%E1%BA%A3o-T-V%C4%A9nh-Ph%C3%BAc-100029658863765/</v>
      </c>
      <c r="D1406" t="str">
        <v>-</v>
      </c>
      <c r="E1406" t="str">
        <v>02113853831</v>
      </c>
      <c r="F1406" t="str">
        <v>-</v>
      </c>
      <c r="G1406" t="str">
        <v>thị trấn Hợp Châu, huyện Tam Đảo, tỉnh Vĩnh Phúc</v>
      </c>
    </row>
    <row r="1407">
      <c r="A1407">
        <v>7406</v>
      </c>
      <c r="B1407" t="str">
        <f>HYPERLINK("http://tamdao.vinhphuc.gov.vn/ct/cms/hethongchinhtri/uybanhuyen/lists/cquantw/view_detail.aspx", "UBND Ủy ban nhân dân xã Hợp Châu  tỉnh Vĩnh Phúc")</f>
        <v>UBND Ủy ban nhân dân xã Hợp Châu  tỉnh Vĩnh Phúc</v>
      </c>
      <c r="C1407" t="str">
        <v>http://tamdao.vinhphuc.gov.vn/ct/cms/hethongchinhtri/uybanhuyen/lists/cquantw/view_detail.aspx</v>
      </c>
      <c r="D1407" t="str">
        <v>-</v>
      </c>
      <c r="E1407" t="str">
        <v>-</v>
      </c>
      <c r="F1407" t="str">
        <v>-</v>
      </c>
      <c r="G1407" t="str">
        <v>-</v>
      </c>
    </row>
    <row r="1408">
      <c r="A1408">
        <v>7407</v>
      </c>
      <c r="B1408" t="str">
        <f>HYPERLINK("https://www.facebook.com/ANTTDaoTru/", "Công an xã Đạo Trù  tỉnh Vĩnh Phúc")</f>
        <v>Công an xã Đạo Trù  tỉnh Vĩnh Phúc</v>
      </c>
      <c r="C1408" t="str">
        <v>https://www.facebook.com/ANTTDaoTru/</v>
      </c>
      <c r="D1408" t="str">
        <v>-</v>
      </c>
      <c r="E1408" t="str">
        <v/>
      </c>
      <c r="F1408" t="str">
        <v>-</v>
      </c>
      <c r="G1408" t="str">
        <v>-</v>
      </c>
    </row>
    <row r="1409">
      <c r="A1409">
        <v>7408</v>
      </c>
      <c r="B1409" t="str">
        <f>HYPERLINK("https://tamdao.vinhphuc.gov.vn/ct/cms/hethongchinhtri/uybanhuyen/Lists/xathitran/View_Detail.aspx?ItemID=24", "UBND Ủy ban nhân dân xã Đạo Trù  tỉnh Vĩnh Phúc")</f>
        <v>UBND Ủy ban nhân dân xã Đạo Trù  tỉnh Vĩnh Phúc</v>
      </c>
      <c r="C1409" t="str">
        <v>https://tamdao.vinhphuc.gov.vn/ct/cms/hethongchinhtri/uybanhuyen/Lists/xathitran/View_Detail.aspx?ItemID=24</v>
      </c>
      <c r="D1409" t="str">
        <v>-</v>
      </c>
      <c r="E1409" t="str">
        <v>-</v>
      </c>
      <c r="F1409" t="str">
        <v>-</v>
      </c>
      <c r="G1409" t="str">
        <v>-</v>
      </c>
    </row>
    <row r="1410">
      <c r="A1410">
        <v>7409</v>
      </c>
      <c r="B1410" t="str">
        <f>HYPERLINK("https://www.facebook.com/p/An-ninh-tr%E1%BA%ADt-t%E1%BB%B1-x%C3%A3-Y%C3%AAn-D%C6%B0%C6%A1ng-huy%E1%BB%87n-Tam-%C4%90%E1%BA%A3o-t%E1%BB%89nh-V%C4%A9nh-Ph%C3%BAc-100071582881125/", "Công an xã Yên Dương  tỉnh Vĩnh Phúc")</f>
        <v>Công an xã Yên Dương  tỉnh Vĩnh Phúc</v>
      </c>
      <c r="C1410" t="str">
        <v>https://www.facebook.com/p/An-ninh-tr%E1%BA%ADt-t%E1%BB%B1-x%C3%A3-Y%C3%AAn-D%C6%B0%C6%A1ng-huy%E1%BB%87n-Tam-%C4%90%E1%BA%A3o-t%E1%BB%89nh-V%C4%A9nh-Ph%C3%BAc-100071582881125/</v>
      </c>
      <c r="D1410" t="str">
        <v>-</v>
      </c>
      <c r="E1410" t="str">
        <v/>
      </c>
      <c r="F1410" t="str">
        <v>-</v>
      </c>
      <c r="G1410" t="str">
        <v>-</v>
      </c>
    </row>
    <row r="1411">
      <c r="A1411">
        <v>7410</v>
      </c>
      <c r="B1411" t="str">
        <f>HYPERLINK("http://tamdao.vinhphuc.gov.vn/ct/cms/hethongchinhtri/uybanhuyen/lists/tochuck/view_detail.aspx", "UBND Ủy ban nhân dân xã Yên Dương  tỉnh Vĩnh Phúc")</f>
        <v>UBND Ủy ban nhân dân xã Yên Dương  tỉnh Vĩnh Phúc</v>
      </c>
      <c r="C1411" t="str">
        <v>http://tamdao.vinhphuc.gov.vn/ct/cms/hethongchinhtri/uybanhuyen/lists/tochuck/view_detail.aspx</v>
      </c>
      <c r="D1411" t="str">
        <v>-</v>
      </c>
      <c r="E1411" t="str">
        <v>-</v>
      </c>
      <c r="F1411" t="str">
        <v>-</v>
      </c>
      <c r="G1411" t="str">
        <v>-</v>
      </c>
    </row>
    <row r="1412">
      <c r="A1412">
        <v>7411</v>
      </c>
      <c r="B1412" t="str">
        <f>HYPERLINK("https://www.facebook.com/p/An-ninh-tr%E1%BA%ADt-t%E1%BB%B1-x%C3%A3-B%E1%BB%93-L%C3%BD-huy%E1%BB%87n-Tam-%C4%90%E1%BA%A3o-t%E1%BB%89nh-V%C4%A9nh-Ph%C3%BAc-100071376944152/", "Công an xã Bồ Lý  tỉnh Vĩnh Phúc")</f>
        <v>Công an xã Bồ Lý  tỉnh Vĩnh Phúc</v>
      </c>
      <c r="C1412" t="str">
        <v>https://www.facebook.com/p/An-ninh-tr%E1%BA%ADt-t%E1%BB%B1-x%C3%A3-B%E1%BB%93-L%C3%BD-huy%E1%BB%87n-Tam-%C4%90%E1%BA%A3o-t%E1%BB%89nh-V%C4%A9nh-Ph%C3%BAc-100071376944152/</v>
      </c>
      <c r="D1412" t="str">
        <v>-</v>
      </c>
      <c r="E1412" t="str">
        <v>02113696082</v>
      </c>
      <c r="F1412" t="str">
        <f>HYPERLINK("mailto:conganxaboly@gmail.com", "conganxaboly@gmail.com")</f>
        <v>conganxaboly@gmail.com</v>
      </c>
      <c r="G1412" t="str">
        <v>Bồ Lý - Tam Đảo - Vĩnh Phúc, Tỉnh Vĩnh Phúc, Vietnam</v>
      </c>
    </row>
    <row r="1413">
      <c r="A1413">
        <v>7412</v>
      </c>
      <c r="B1413" t="str">
        <f>HYPERLINK("https://tamdao.vinhphuc.gov.vn/ct/cms/hethongchinhtri/uybanhuyen/Lists/xathitran/View_Detail.aspx?ItemID=30", "UBND Ủy ban nhân dân xã Bồ Lý  tỉnh Vĩnh Phúc")</f>
        <v>UBND Ủy ban nhân dân xã Bồ Lý  tỉnh Vĩnh Phúc</v>
      </c>
      <c r="C1413" t="str">
        <v>https://tamdao.vinhphuc.gov.vn/ct/cms/hethongchinhtri/uybanhuyen/Lists/xathitran/View_Detail.aspx?ItemID=30</v>
      </c>
      <c r="D1413" t="str">
        <v>-</v>
      </c>
      <c r="E1413" t="str">
        <v>-</v>
      </c>
      <c r="F1413" t="str">
        <v>-</v>
      </c>
      <c r="G1413" t="str">
        <v>-</v>
      </c>
    </row>
    <row r="1414">
      <c r="A1414">
        <v>7413</v>
      </c>
      <c r="B1414" t="str">
        <f>HYPERLINK("https://www.facebook.com/thitrandaidinh/", "Công an xã Đại Đình  tỉnh Vĩnh Phúc")</f>
        <v>Công an xã Đại Đình  tỉnh Vĩnh Phúc</v>
      </c>
      <c r="C1414" t="str">
        <v>https://www.facebook.com/thitrandaidinh/</v>
      </c>
      <c r="D1414" t="str">
        <v>-</v>
      </c>
      <c r="E1414" t="str">
        <v/>
      </c>
      <c r="F1414" t="str">
        <v>-</v>
      </c>
      <c r="G1414" t="str">
        <v>-</v>
      </c>
    </row>
    <row r="1415">
      <c r="A1415">
        <v>7414</v>
      </c>
      <c r="B1415" t="str">
        <f>HYPERLINK("https://tamdao.vinhphuc.gov.vn/ct/cms/hethongchinhtri/uybanhuyen/Lists/xathitran/View_Detail.aspx?ItemID=25", "UBND Ủy ban nhân dân xã Đại Đình  tỉnh Vĩnh Phúc")</f>
        <v>UBND Ủy ban nhân dân xã Đại Đình  tỉnh Vĩnh Phúc</v>
      </c>
      <c r="C1415" t="str">
        <v>https://tamdao.vinhphuc.gov.vn/ct/cms/hethongchinhtri/uybanhuyen/Lists/xathitran/View_Detail.aspx?ItemID=25</v>
      </c>
      <c r="D1415" t="str">
        <v>-</v>
      </c>
      <c r="E1415" t="str">
        <v>-</v>
      </c>
      <c r="F1415" t="str">
        <v>-</v>
      </c>
      <c r="G1415" t="str">
        <v>-</v>
      </c>
    </row>
    <row r="1416">
      <c r="A1416">
        <v>7415</v>
      </c>
      <c r="B1416" t="str">
        <f>HYPERLINK("https://www.facebook.com/TuoitreConganVinhPhuc/", "Công an xã Tam Quan  tỉnh Vĩnh Phúc")</f>
        <v>Công an xã Tam Quan  tỉnh Vĩnh Phúc</v>
      </c>
      <c r="C1416" t="str">
        <v>https://www.facebook.com/TuoitreConganVinhPhuc/</v>
      </c>
      <c r="D1416" t="str">
        <v>-</v>
      </c>
      <c r="E1416" t="str">
        <v/>
      </c>
      <c r="F1416" t="str">
        <v>-</v>
      </c>
      <c r="G1416" t="str">
        <v>-</v>
      </c>
    </row>
    <row r="1417">
      <c r="A1417">
        <v>7416</v>
      </c>
      <c r="B1417" t="str">
        <f>HYPERLINK("https://tamdao.vinhphuc.gov.vn/ct/cms/hethongchinhtri/uybanhuyen/Lists/xathitran/View_Detail.aspx?ItemID=26", "UBND Ủy ban nhân dân xã Tam Quan  tỉnh Vĩnh Phúc")</f>
        <v>UBND Ủy ban nhân dân xã Tam Quan  tỉnh Vĩnh Phúc</v>
      </c>
      <c r="C1417" t="str">
        <v>https://tamdao.vinhphuc.gov.vn/ct/cms/hethongchinhtri/uybanhuyen/Lists/xathitran/View_Detail.aspx?ItemID=26</v>
      </c>
      <c r="D1417" t="str">
        <v>-</v>
      </c>
      <c r="E1417" t="str">
        <v>-</v>
      </c>
      <c r="F1417" t="str">
        <v>-</v>
      </c>
      <c r="G1417" t="str">
        <v>-</v>
      </c>
    </row>
    <row r="1418">
      <c r="A1418">
        <v>7417</v>
      </c>
      <c r="B1418" t="str">
        <f>HYPERLINK("https://www.facebook.com/p/Tu%E1%BB%95i-tr%E1%BA%BB-C%C3%B4ng-an-Th%C3%A0nh-ph%E1%BB%91-V%C4%A9nh-Y%C3%AAn-100066497717181/", "Công an xã Hồ Sơn  tỉnh Vĩnh Phúc")</f>
        <v>Công an xã Hồ Sơn  tỉnh Vĩnh Phúc</v>
      </c>
      <c r="C1418" t="str">
        <v>https://www.facebook.com/p/Tu%E1%BB%95i-tr%E1%BA%BB-C%C3%B4ng-an-Th%C3%A0nh-ph%E1%BB%91-V%C4%A9nh-Y%C3%AAn-100066497717181/</v>
      </c>
      <c r="D1418" t="str">
        <v>-</v>
      </c>
      <c r="E1418" t="str">
        <v/>
      </c>
      <c r="F1418" t="str">
        <v>-</v>
      </c>
      <c r="G1418" t="str">
        <v>-</v>
      </c>
    </row>
    <row r="1419">
      <c r="A1419">
        <v>7418</v>
      </c>
      <c r="B1419" t="str">
        <f>HYPERLINK("https://tamdao.vinhphuc.gov.vn/ct/cms/hethongchinhtri/uybanhuyen/Lists/xathitran/View_Detail.aspx?ItemID=27", "UBND Ủy ban nhân dân xã Hồ Sơn  tỉnh Vĩnh Phúc")</f>
        <v>UBND Ủy ban nhân dân xã Hồ Sơn  tỉnh Vĩnh Phúc</v>
      </c>
      <c r="C1419" t="str">
        <v>https://tamdao.vinhphuc.gov.vn/ct/cms/hethongchinhtri/uybanhuyen/Lists/xathitran/View_Detail.aspx?ItemID=27</v>
      </c>
      <c r="D1419" t="str">
        <v>-</v>
      </c>
      <c r="E1419" t="str">
        <v>-</v>
      </c>
      <c r="F1419" t="str">
        <v>-</v>
      </c>
      <c r="G1419" t="str">
        <v>-</v>
      </c>
    </row>
    <row r="1420">
      <c r="A1420">
        <v>7419</v>
      </c>
      <c r="B1420" t="str">
        <f>HYPERLINK("https://www.facebook.com/p/Tu%E1%BB%95i-tr%E1%BA%BB-C%C3%B4ng-an-Th%C3%A0nh-ph%E1%BB%91-V%C4%A9nh-Y%C3%AAn-100066497717181/", "Công an xã Minh Quang  tỉnh Vĩnh Phúc")</f>
        <v>Công an xã Minh Quang  tỉnh Vĩnh Phúc</v>
      </c>
      <c r="C1420" t="str">
        <v>https://www.facebook.com/p/Tu%E1%BB%95i-tr%E1%BA%BB-C%C3%B4ng-an-Th%C3%A0nh-ph%E1%BB%91-V%C4%A9nh-Y%C3%AAn-100066497717181/</v>
      </c>
      <c r="D1420" t="str">
        <v>-</v>
      </c>
      <c r="E1420" t="str">
        <v/>
      </c>
      <c r="F1420" t="str">
        <v>-</v>
      </c>
      <c r="G1420" t="str">
        <v>-</v>
      </c>
    </row>
    <row r="1421">
      <c r="A1421">
        <v>7420</v>
      </c>
      <c r="B1421" t="str">
        <f>HYPERLINK("http://tamdao.vinhphuc.gov.vn/ct/cms/hethongchinhtri/uybanhuyen/lists/tochuck/view_detail.aspx", "UBND Ủy ban nhân dân xã Minh Quang  tỉnh Vĩnh Phúc")</f>
        <v>UBND Ủy ban nhân dân xã Minh Quang  tỉnh Vĩnh Phúc</v>
      </c>
      <c r="C1421" t="str">
        <v>http://tamdao.vinhphuc.gov.vn/ct/cms/hethongchinhtri/uybanhuyen/lists/tochuck/view_detail.aspx</v>
      </c>
      <c r="D1421" t="str">
        <v>-</v>
      </c>
      <c r="E1421" t="str">
        <v>-</v>
      </c>
      <c r="F1421" t="str">
        <v>-</v>
      </c>
      <c r="G1421" t="str">
        <v>-</v>
      </c>
    </row>
    <row r="1422">
      <c r="A1422">
        <v>7421</v>
      </c>
      <c r="B1422" t="str">
        <f>HYPERLINK("https://www.facebook.com/congantthuongcanh/?locale=vi_VN", "Công an thị trấn Hương Canh  tỉnh Vĩnh Phúc")</f>
        <v>Công an thị trấn Hương Canh  tỉnh Vĩnh Phúc</v>
      </c>
      <c r="C1422" t="str">
        <v>https://www.facebook.com/congantthuongcanh/?locale=vi_VN</v>
      </c>
      <c r="D1422" t="str">
        <v>-</v>
      </c>
      <c r="E1422" t="str">
        <v/>
      </c>
      <c r="F1422" t="str">
        <v>-</v>
      </c>
      <c r="G1422" t="str">
        <v>Huong Canh, Vietnam</v>
      </c>
    </row>
    <row r="1423">
      <c r="A1423">
        <v>7422</v>
      </c>
      <c r="B1423" t="str">
        <f>HYPERLINK("https://binhxuyen.vinhphuc.gov.vn/ct/cms/tintuc/lists/bandangdoanthe/view_detail.aspx", "UBND Ủy ban nhân dân thị trấn Hương Canh  tỉnh Vĩnh Phúc")</f>
        <v>UBND Ủy ban nhân dân thị trấn Hương Canh  tỉnh Vĩnh Phúc</v>
      </c>
      <c r="C1423" t="str">
        <v>https://binhxuyen.vinhphuc.gov.vn/ct/cms/tintuc/lists/bandangdoanthe/view_detail.aspx</v>
      </c>
      <c r="D1423" t="str">
        <v>-</v>
      </c>
      <c r="E1423" t="str">
        <v>-</v>
      </c>
      <c r="F1423" t="str">
        <v>-</v>
      </c>
      <c r="G1423" t="str">
        <v>-</v>
      </c>
    </row>
    <row r="1424">
      <c r="A1424">
        <v>7423</v>
      </c>
      <c r="B1424" t="str">
        <v>Công an thị trấn Gia Khánh  tỉnh Vĩnh Phúc</v>
      </c>
      <c r="C1424" t="str">
        <v>-</v>
      </c>
      <c r="D1424" t="str">
        <v>-</v>
      </c>
      <c r="E1424" t="str">
        <v/>
      </c>
      <c r="F1424" t="str">
        <v>-</v>
      </c>
      <c r="G1424" t="str">
        <v>-</v>
      </c>
    </row>
    <row r="1425">
      <c r="A1425">
        <v>7424</v>
      </c>
      <c r="B1425" t="str">
        <f>HYPERLINK("https://binhxuyen.vinhphuc.gov.vn/ct/cms/tintuc/Lists/XaThiTrantrendiaban/View_Detail.aspx?ItemID=12", "UBND Ủy ban nhân dân thị trấn Gia Khánh  tỉnh Vĩnh Phúc")</f>
        <v>UBND Ủy ban nhân dân thị trấn Gia Khánh  tỉnh Vĩnh Phúc</v>
      </c>
      <c r="C1425" t="str">
        <v>https://binhxuyen.vinhphuc.gov.vn/ct/cms/tintuc/Lists/XaThiTrantrendiaban/View_Detail.aspx?ItemID=12</v>
      </c>
      <c r="D1425" t="str">
        <v>-</v>
      </c>
      <c r="E1425" t="str">
        <v>-</v>
      </c>
      <c r="F1425" t="str">
        <v>-</v>
      </c>
      <c r="G1425" t="str">
        <v>-</v>
      </c>
    </row>
    <row r="1426">
      <c r="A1426">
        <v>7425</v>
      </c>
      <c r="B1426" t="str">
        <f>HYPERLINK("https://www.facebook.com/p/Tu%E1%BB%95i-tr%E1%BA%BB-C%C3%B4ng-an-Th%C3%A0nh-ph%E1%BB%91-V%C4%A9nh-Y%C3%AAn-100066497717181/?locale=nl_BE", "Công an xã Trung Mỹ  tỉnh Vĩnh Phúc")</f>
        <v>Công an xã Trung Mỹ  tỉnh Vĩnh Phúc</v>
      </c>
      <c r="C1426" t="str">
        <v>https://www.facebook.com/p/Tu%E1%BB%95i-tr%E1%BA%BB-C%C3%B4ng-an-Th%C3%A0nh-ph%E1%BB%91-V%C4%A9nh-Y%C3%AAn-100066497717181/?locale=nl_BE</v>
      </c>
      <c r="D1426" t="str">
        <v>-</v>
      </c>
      <c r="E1426" t="str">
        <v/>
      </c>
      <c r="F1426" t="str">
        <v>-</v>
      </c>
      <c r="G1426" t="str">
        <v>-</v>
      </c>
    </row>
    <row r="1427">
      <c r="A1427">
        <v>7426</v>
      </c>
      <c r="B1427" t="str">
        <f>HYPERLINK("https://vinhphuc.gov.vn/ct/cms/congdan/khieunaitc/Lists/TinTucHoatDong/View_Detail.aspx?ItemID=66", "UBND Ủy ban nhân dân xã Trung Mỹ  tỉnh Vĩnh Phúc")</f>
        <v>UBND Ủy ban nhân dân xã Trung Mỹ  tỉnh Vĩnh Phúc</v>
      </c>
      <c r="C1427" t="str">
        <v>https://vinhphuc.gov.vn/ct/cms/congdan/khieunaitc/Lists/TinTucHoatDong/View_Detail.aspx?ItemID=66</v>
      </c>
      <c r="D1427" t="str">
        <v>-</v>
      </c>
      <c r="E1427" t="str">
        <v>-</v>
      </c>
      <c r="F1427" t="str">
        <v>-</v>
      </c>
      <c r="G1427" t="str">
        <v>-</v>
      </c>
    </row>
    <row r="1428">
      <c r="A1428">
        <v>7427</v>
      </c>
      <c r="B1428" t="str">
        <f>HYPERLINK("https://www.facebook.com/conganthitranbahien/?locale=br_FR", "Công an xã Bá Hiến  tỉnh Vĩnh Phúc")</f>
        <v>Công an xã Bá Hiến  tỉnh Vĩnh Phúc</v>
      </c>
      <c r="C1428" t="str">
        <v>https://www.facebook.com/conganthitranbahien/?locale=br_FR</v>
      </c>
      <c r="D1428" t="str">
        <v>-</v>
      </c>
      <c r="E1428" t="str">
        <v/>
      </c>
      <c r="F1428" t="str">
        <v>-</v>
      </c>
      <c r="G1428" t="str">
        <v>-</v>
      </c>
    </row>
    <row r="1429">
      <c r="A1429">
        <v>7428</v>
      </c>
      <c r="B1429" t="str">
        <f>HYPERLINK("https://vinhphuc.gov.vn/ct/cms/HeThongChinhTriTinh/uybannhandan/Lists/QuyetDinh/View_Detail.aspx?ItemID=216", "UBND Ủy ban nhân dân xã Bá Hiến  tỉnh Vĩnh Phúc")</f>
        <v>UBND Ủy ban nhân dân xã Bá Hiến  tỉnh Vĩnh Phúc</v>
      </c>
      <c r="C1429" t="str">
        <v>https://vinhphuc.gov.vn/ct/cms/HeThongChinhTriTinh/uybannhandan/Lists/QuyetDinh/View_Detail.aspx?ItemID=216</v>
      </c>
      <c r="D1429" t="str">
        <v>-</v>
      </c>
      <c r="E1429" t="str">
        <v>-</v>
      </c>
      <c r="F1429" t="str">
        <v>-</v>
      </c>
      <c r="G1429" t="str">
        <v>-</v>
      </c>
    </row>
    <row r="1430">
      <c r="A1430">
        <v>7429</v>
      </c>
      <c r="B1430" t="str">
        <f>HYPERLINK("https://www.facebook.com/C%C3%B4ng-an-x%C3%A3-Thi%E1%BB%87n-K%E1%BA%BF-106816967481208/", "Công an xã Thiện Kế  tỉnh Vĩnh Phúc")</f>
        <v>Công an xã Thiện Kế  tỉnh Vĩnh Phúc</v>
      </c>
      <c r="C1430" t="str">
        <v>https://www.facebook.com/C%C3%B4ng-an-x%C3%A3-Thi%E1%BB%87n-K%E1%BA%BF-106816967481208/</v>
      </c>
      <c r="D1430" t="str">
        <v>-</v>
      </c>
      <c r="E1430" t="str">
        <v/>
      </c>
      <c r="F1430" t="str">
        <v>-</v>
      </c>
      <c r="G1430" t="str">
        <v>-</v>
      </c>
    </row>
    <row r="1431">
      <c r="A1431">
        <v>7430</v>
      </c>
      <c r="B1431" t="str">
        <f>HYPERLINK("https://vinhphuc.gov.vn/ct/cms/thongbao/Lists/dauthau/View_Detail.aspx?ItemID=1458", "UBND Ủy ban nhân dân xã Thiện Kế  tỉnh Vĩnh Phúc")</f>
        <v>UBND Ủy ban nhân dân xã Thiện Kế  tỉnh Vĩnh Phúc</v>
      </c>
      <c r="C1431" t="str">
        <v>https://vinhphuc.gov.vn/ct/cms/thongbao/Lists/dauthau/View_Detail.aspx?ItemID=1458</v>
      </c>
      <c r="D1431" t="str">
        <v>-</v>
      </c>
      <c r="E1431" t="str">
        <v>-</v>
      </c>
      <c r="F1431" t="str">
        <v>-</v>
      </c>
      <c r="G1431" t="str">
        <v>-</v>
      </c>
    </row>
    <row r="1432">
      <c r="A1432">
        <v>7431</v>
      </c>
      <c r="B1432" t="str">
        <f>HYPERLINK("https://www.facebook.com/TuoitreConganVinhPhuc/?locale=hi_IN", "Công an xã Hương Sơn  tỉnh Vĩnh Phúc")</f>
        <v>Công an xã Hương Sơn  tỉnh Vĩnh Phúc</v>
      </c>
      <c r="C1432" t="str">
        <v>https://www.facebook.com/TuoitreConganVinhPhuc/?locale=hi_IN</v>
      </c>
      <c r="D1432" t="str">
        <v>-</v>
      </c>
      <c r="E1432" t="str">
        <v/>
      </c>
      <c r="F1432" t="str">
        <v>-</v>
      </c>
      <c r="G1432" t="str">
        <v>-</v>
      </c>
    </row>
    <row r="1433">
      <c r="A1433">
        <v>7432</v>
      </c>
      <c r="B1433" t="str">
        <f>HYPERLINK("https://binhxuyen.vinhphuc.gov.vn/ct/cms/tintuc/Lists/XaThiTrantrendiaban/View_Detail.aspx?ItemID=5", "UBND Ủy ban nhân dân xã Hương Sơn  tỉnh Vĩnh Phúc")</f>
        <v>UBND Ủy ban nhân dân xã Hương Sơn  tỉnh Vĩnh Phúc</v>
      </c>
      <c r="C1433" t="str">
        <v>https://binhxuyen.vinhphuc.gov.vn/ct/cms/tintuc/Lists/XaThiTrantrendiaban/View_Detail.aspx?ItemID=5</v>
      </c>
      <c r="D1433" t="str">
        <v>-</v>
      </c>
      <c r="E1433" t="str">
        <v>-</v>
      </c>
      <c r="F1433" t="str">
        <v>-</v>
      </c>
      <c r="G1433" t="str">
        <v>-</v>
      </c>
    </row>
    <row r="1434">
      <c r="A1434">
        <v>7433</v>
      </c>
      <c r="B1434" t="str">
        <f>HYPERLINK("https://www.facebook.com/p/Tr%C6%B0%E1%BB%9Dng-Ti%E1%BB%83u-H%E1%BB%8Dc-Tam-H%E1%BB%A3p-100076117967398/", "Công an xã Tam Hợp  tỉnh Vĩnh Phúc")</f>
        <v>Công an xã Tam Hợp  tỉnh Vĩnh Phúc</v>
      </c>
      <c r="C1434" t="str">
        <v>https://www.facebook.com/p/Tr%C6%B0%E1%BB%9Dng-Ti%E1%BB%83u-H%E1%BB%8Dc-Tam-H%E1%BB%A3p-100076117967398/</v>
      </c>
      <c r="D1434" t="str">
        <v>-</v>
      </c>
      <c r="E1434" t="str">
        <v/>
      </c>
      <c r="F1434" t="str">
        <v>-</v>
      </c>
      <c r="G1434" t="str">
        <v>-</v>
      </c>
    </row>
    <row r="1435">
      <c r="A1435">
        <v>7434</v>
      </c>
      <c r="B1435" t="str">
        <f>HYPERLINK("https://binhxuyen.vinhphuc.gov.vn/ct/cms/tintuc/Lists/XaThiTrantrendiaban/View_Detail.aspx?ItemID=2", "UBND Ủy ban nhân dân xã Tam Hợp  tỉnh Vĩnh Phúc")</f>
        <v>UBND Ủy ban nhân dân xã Tam Hợp  tỉnh Vĩnh Phúc</v>
      </c>
      <c r="C1435" t="str">
        <v>https://binhxuyen.vinhphuc.gov.vn/ct/cms/tintuc/Lists/XaThiTrantrendiaban/View_Detail.aspx?ItemID=2</v>
      </c>
      <c r="D1435" t="str">
        <v>-</v>
      </c>
      <c r="E1435" t="str">
        <v>-</v>
      </c>
      <c r="F1435" t="str">
        <v>-</v>
      </c>
      <c r="G1435" t="str">
        <v>-</v>
      </c>
    </row>
    <row r="1436">
      <c r="A1436">
        <v>7435</v>
      </c>
      <c r="B1436" t="str">
        <v>Công an xã Quất Lưu  tỉnh Vĩnh Phúc</v>
      </c>
      <c r="C1436" t="str">
        <v>-</v>
      </c>
      <c r="D1436" t="str">
        <v>-</v>
      </c>
      <c r="E1436" t="str">
        <v/>
      </c>
      <c r="F1436" t="str">
        <v>-</v>
      </c>
      <c r="G1436" t="str">
        <v>-</v>
      </c>
    </row>
    <row r="1437">
      <c r="A1437">
        <v>7436</v>
      </c>
      <c r="B1437" t="str">
        <f>HYPERLINK("https://vinhphuc.gov.vn/ct/cms/HeThongChinhTriTinh/uybannhandan/Lists/QuyetDinh/View_Detail.aspx?ItemID=221", "UBND Ủy ban nhân dân xã Quất Lưu  tỉnh Vĩnh Phúc")</f>
        <v>UBND Ủy ban nhân dân xã Quất Lưu  tỉnh Vĩnh Phúc</v>
      </c>
      <c r="C1437" t="str">
        <v>https://vinhphuc.gov.vn/ct/cms/HeThongChinhTriTinh/uybannhandan/Lists/QuyetDinh/View_Detail.aspx?ItemID=221</v>
      </c>
      <c r="D1437" t="str">
        <v>-</v>
      </c>
      <c r="E1437" t="str">
        <v>-</v>
      </c>
      <c r="F1437" t="str">
        <v>-</v>
      </c>
      <c r="G1437" t="str">
        <v>-</v>
      </c>
    </row>
    <row r="1438">
      <c r="A1438">
        <v>7437</v>
      </c>
      <c r="B1438" t="str">
        <f>HYPERLINK("https://www.facebook.com/p/Tu%E1%BB%95i-tr%E1%BA%BB-C%C3%B4ng-an-Th%C3%A0nh-ph%E1%BB%91-V%C4%A9nh-Y%C3%AAn-100066497717181/?locale=nl_BE", "Công an xã Sơn Lôi  tỉnh Vĩnh Phúc")</f>
        <v>Công an xã Sơn Lôi  tỉnh Vĩnh Phúc</v>
      </c>
      <c r="C1438" t="str">
        <v>https://www.facebook.com/p/Tu%E1%BB%95i-tr%E1%BA%BB-C%C3%B4ng-an-Th%C3%A0nh-ph%E1%BB%91-V%C4%A9nh-Y%C3%AAn-100066497717181/?locale=nl_BE</v>
      </c>
      <c r="D1438" t="str">
        <v>-</v>
      </c>
      <c r="E1438" t="str">
        <v/>
      </c>
      <c r="F1438" t="str">
        <v>-</v>
      </c>
      <c r="G1438" t="str">
        <v>-</v>
      </c>
    </row>
    <row r="1439">
      <c r="A1439">
        <v>7438</v>
      </c>
      <c r="B1439" t="str">
        <f>HYPERLINK("https://binhxuyen.vinhphuc.gov.vn/ct/cms/tintuc/Lists/XaThiTrantrendiaban/View_Detail.aspx?ItemID=9", "UBND Ủy ban nhân dân xã Sơn Lôi  tỉnh Vĩnh Phúc")</f>
        <v>UBND Ủy ban nhân dân xã Sơn Lôi  tỉnh Vĩnh Phúc</v>
      </c>
      <c r="C1439" t="str">
        <v>https://binhxuyen.vinhphuc.gov.vn/ct/cms/tintuc/Lists/XaThiTrantrendiaban/View_Detail.aspx?ItemID=9</v>
      </c>
      <c r="D1439" t="str">
        <v>-</v>
      </c>
      <c r="E1439" t="str">
        <v>-</v>
      </c>
      <c r="F1439" t="str">
        <v>-</v>
      </c>
      <c r="G1439" t="str">
        <v>-</v>
      </c>
    </row>
    <row r="1440">
      <c r="A1440">
        <v>7439</v>
      </c>
      <c r="B1440" t="str">
        <f>HYPERLINK("https://www.facebook.com/groups/1424629867750993/", "Công an xã Đạo Đức  tỉnh Vĩnh Phúc")</f>
        <v>Công an xã Đạo Đức  tỉnh Vĩnh Phúc</v>
      </c>
      <c r="C1440" t="str">
        <v>https://www.facebook.com/groups/1424629867750993/</v>
      </c>
      <c r="D1440" t="str">
        <v>-</v>
      </c>
      <c r="E1440" t="str">
        <v/>
      </c>
      <c r="F1440" t="str">
        <v>-</v>
      </c>
      <c r="G1440" t="str">
        <v>-</v>
      </c>
    </row>
    <row r="1441">
      <c r="A1441">
        <v>7440</v>
      </c>
      <c r="B1441" t="str">
        <f>HYPERLINK("https://vinhphuc.gov.vn/ct/cms/HeThongChinhTriTinh/uybannhandan/Lists/QuyetDinh/View_Detail.aspx?ItemID=219", "UBND Ủy ban nhân dân xã Đạo Đức  tỉnh Vĩnh Phúc")</f>
        <v>UBND Ủy ban nhân dân xã Đạo Đức  tỉnh Vĩnh Phúc</v>
      </c>
      <c r="C1441" t="str">
        <v>https://vinhphuc.gov.vn/ct/cms/HeThongChinhTriTinh/uybannhandan/Lists/QuyetDinh/View_Detail.aspx?ItemID=219</v>
      </c>
      <c r="D1441" t="str">
        <v>-</v>
      </c>
      <c r="E1441" t="str">
        <v>-</v>
      </c>
      <c r="F1441" t="str">
        <v>-</v>
      </c>
      <c r="G1441" t="str">
        <v>-</v>
      </c>
    </row>
    <row r="1442">
      <c r="A1442">
        <v>7441</v>
      </c>
      <c r="B1442" t="str">
        <f>HYPERLINK("https://www.facebook.com/p/Tu%E1%BB%95i-tr%E1%BA%BB-C%C3%B4ng-an-Th%C3%A0nh-ph%E1%BB%91-V%C4%A9nh-Y%C3%AAn-100066497717181/", "Công an xã Tân Phong  tỉnh Vĩnh Phúc")</f>
        <v>Công an xã Tân Phong  tỉnh Vĩnh Phúc</v>
      </c>
      <c r="C1442" t="str">
        <v>https://www.facebook.com/p/Tu%E1%BB%95i-tr%E1%BA%BB-C%C3%B4ng-an-Th%C3%A0nh-ph%E1%BB%91-V%C4%A9nh-Y%C3%AAn-100066497717181/</v>
      </c>
      <c r="D1442" t="str">
        <v>-</v>
      </c>
      <c r="E1442" t="str">
        <v/>
      </c>
      <c r="F1442" t="str">
        <v>-</v>
      </c>
      <c r="G1442" t="str">
        <v>-</v>
      </c>
    </row>
    <row r="1443">
      <c r="A1443">
        <v>7442</v>
      </c>
      <c r="B1443" t="str">
        <f>HYPERLINK("https://vinhphuc.gov.vn/ct/cms/congdan/khieunaitc/Lists/TinTucHoatDong/View_Detail.aspx?ItemID=82", "UBND Ủy ban nhân dân xã Tân Phong  tỉnh Vĩnh Phúc")</f>
        <v>UBND Ủy ban nhân dân xã Tân Phong  tỉnh Vĩnh Phúc</v>
      </c>
      <c r="C1443" t="str">
        <v>https://vinhphuc.gov.vn/ct/cms/congdan/khieunaitc/Lists/TinTucHoatDong/View_Detail.aspx?ItemID=82</v>
      </c>
      <c r="D1443" t="str">
        <v>-</v>
      </c>
      <c r="E1443" t="str">
        <v>-</v>
      </c>
      <c r="F1443" t="str">
        <v>-</v>
      </c>
      <c r="G1443" t="str">
        <v>-</v>
      </c>
    </row>
    <row r="1444">
      <c r="A1444">
        <v>7443</v>
      </c>
      <c r="B1444" t="str">
        <v>Công an thị trấn Thanh Lãng  tỉnh Vĩnh Phúc</v>
      </c>
      <c r="C1444" t="str">
        <v>-</v>
      </c>
      <c r="D1444" t="str">
        <v>-</v>
      </c>
      <c r="E1444" t="str">
        <v/>
      </c>
      <c r="F1444" t="str">
        <v>-</v>
      </c>
      <c r="G1444" t="str">
        <v>-</v>
      </c>
    </row>
    <row r="1445">
      <c r="A1445">
        <v>7444</v>
      </c>
      <c r="B1445" t="str">
        <f>HYPERLINK("https://vinhphuc.gov.vn/ct/cms/congdan/khieunaitc/Lists/TinTucHoatDong/View_Detail.aspx?ItemID=90", "UBND Ủy ban nhân dân thị trấn Thanh Lãng  tỉnh Vĩnh Phúc")</f>
        <v>UBND Ủy ban nhân dân thị trấn Thanh Lãng  tỉnh Vĩnh Phúc</v>
      </c>
      <c r="C1445" t="str">
        <v>https://vinhphuc.gov.vn/ct/cms/congdan/khieunaitc/Lists/TinTucHoatDong/View_Detail.aspx?ItemID=90</v>
      </c>
      <c r="D1445" t="str">
        <v>-</v>
      </c>
      <c r="E1445" t="str">
        <v>-</v>
      </c>
      <c r="F1445" t="str">
        <v>-</v>
      </c>
      <c r="G1445" t="str">
        <v>-</v>
      </c>
    </row>
    <row r="1446">
      <c r="A1446">
        <v>7445</v>
      </c>
      <c r="B1446" t="str">
        <f>HYPERLINK("https://www.facebook.com/TuoitreConganVinhPhuc/", "Công an xã Phú Xuân  tỉnh Vĩnh Phúc")</f>
        <v>Công an xã Phú Xuân  tỉnh Vĩnh Phúc</v>
      </c>
      <c r="C1446" t="str">
        <v>https://www.facebook.com/TuoitreConganVinhPhuc/</v>
      </c>
      <c r="D1446" t="str">
        <v>-</v>
      </c>
      <c r="E1446" t="str">
        <v/>
      </c>
      <c r="F1446" t="str">
        <v>-</v>
      </c>
      <c r="G1446" t="str">
        <v>-</v>
      </c>
    </row>
    <row r="1447">
      <c r="A1447">
        <v>7446</v>
      </c>
      <c r="B1447" t="str">
        <f>HYPERLINK("https://vpub.vinhphuc.gov.vn/portal/pages/2024-02-15/Pho-Chu-tich-UBND-tinh-Nguyen-Van-Khuoc-xuong-dong695uw26hpts6.aspx", "UBND Ủy ban nhân dân xã Phú Xuân  tỉnh Vĩnh Phúc")</f>
        <v>UBND Ủy ban nhân dân xã Phú Xuân  tỉnh Vĩnh Phúc</v>
      </c>
      <c r="C1447" t="str">
        <v>https://vpub.vinhphuc.gov.vn/portal/pages/2024-02-15/Pho-Chu-tich-UBND-tinh-Nguyen-Van-Khuoc-xuong-dong695uw26hpts6.aspx</v>
      </c>
      <c r="D1447" t="str">
        <v>-</v>
      </c>
      <c r="E1447" t="str">
        <v>-</v>
      </c>
      <c r="F1447" t="str">
        <v>-</v>
      </c>
      <c r="G1447" t="str">
        <v>-</v>
      </c>
    </row>
    <row r="1448">
      <c r="A1448">
        <v>7447</v>
      </c>
      <c r="B1448" t="str">
        <f>HYPERLINK("https://www.facebook.com/p/An-ninh-tr%E1%BA%ADt-t%E1%BB%B1-huy%E1%BB%87n-Y%C3%AAn-L%E1%BA%A1c-100071671720863/", "Công an thị trấn Yên Lạc  tỉnh Vĩnh Phúc")</f>
        <v>Công an thị trấn Yên Lạc  tỉnh Vĩnh Phúc</v>
      </c>
      <c r="C1448" t="str">
        <v>https://www.facebook.com/p/An-ninh-tr%E1%BA%ADt-t%E1%BB%B1-huy%E1%BB%87n-Y%C3%AAn-L%E1%BA%A1c-100071671720863/</v>
      </c>
      <c r="D1448" t="str">
        <v>-</v>
      </c>
      <c r="E1448" t="str">
        <v/>
      </c>
      <c r="F1448" t="str">
        <v>-</v>
      </c>
      <c r="G1448" t="str">
        <v>-</v>
      </c>
    </row>
    <row r="1449">
      <c r="A1449">
        <v>7448</v>
      </c>
      <c r="B1449" t="str">
        <f>HYPERLINK("https://yenlac.vinhphuc.gov.vn/ct/cms/tintuc/Lists/n/View_Detail.aspx?ItemID=18", "UBND Ủy ban nhân dân thị trấn Yên Lạc  tỉnh Vĩnh Phúc")</f>
        <v>UBND Ủy ban nhân dân thị trấn Yên Lạc  tỉnh Vĩnh Phúc</v>
      </c>
      <c r="C1449" t="str">
        <v>https://yenlac.vinhphuc.gov.vn/ct/cms/tintuc/Lists/n/View_Detail.aspx?ItemID=18</v>
      </c>
      <c r="D1449" t="str">
        <v>-</v>
      </c>
      <c r="E1449" t="str">
        <v>-</v>
      </c>
      <c r="F1449" t="str">
        <v>-</v>
      </c>
      <c r="G1449" t="str">
        <v>-</v>
      </c>
    </row>
    <row r="1450">
      <c r="A1450">
        <v>7449</v>
      </c>
      <c r="B1450" t="str">
        <f>HYPERLINK("https://www.facebook.com/doanxadongcuong1/", "Công an xã Đồng Cương  tỉnh Vĩnh Phúc")</f>
        <v>Công an xã Đồng Cương  tỉnh Vĩnh Phúc</v>
      </c>
      <c r="C1450" t="str">
        <v>https://www.facebook.com/doanxadongcuong1/</v>
      </c>
      <c r="D1450" t="str">
        <v>-</v>
      </c>
      <c r="E1450" t="str">
        <v/>
      </c>
      <c r="F1450" t="str">
        <v>-</v>
      </c>
      <c r="G1450" t="str">
        <v>-</v>
      </c>
    </row>
    <row r="1451">
      <c r="A1451">
        <v>7450</v>
      </c>
      <c r="B1451" t="str">
        <f>HYPERLINK("https://yenlac.vinhphuc.gov.vn/ct/cms/tintuc/Lists/n/View_Detail.aspx?ItemID=26", "UBND Ủy ban nhân dân xã Đồng Cương  tỉnh Vĩnh Phúc")</f>
        <v>UBND Ủy ban nhân dân xã Đồng Cương  tỉnh Vĩnh Phúc</v>
      </c>
      <c r="C1451" t="str">
        <v>https://yenlac.vinhphuc.gov.vn/ct/cms/tintuc/Lists/n/View_Detail.aspx?ItemID=26</v>
      </c>
      <c r="D1451" t="str">
        <v>-</v>
      </c>
      <c r="E1451" t="str">
        <v>-</v>
      </c>
      <c r="F1451" t="str">
        <v>-</v>
      </c>
      <c r="G1451" t="str">
        <v>-</v>
      </c>
    </row>
    <row r="1452">
      <c r="A1452">
        <v>7451</v>
      </c>
      <c r="B1452" t="str">
        <f>HYPERLINK("https://www.facebook.com/TuoitreConganVinhPhuc/", "Công an xã Đồng Văn  tỉnh Vĩnh Phúc")</f>
        <v>Công an xã Đồng Văn  tỉnh Vĩnh Phúc</v>
      </c>
      <c r="C1452" t="str">
        <v>https://www.facebook.com/TuoitreConganVinhPhuc/</v>
      </c>
      <c r="D1452" t="str">
        <v>-</v>
      </c>
      <c r="E1452" t="str">
        <v/>
      </c>
      <c r="F1452" t="str">
        <v>-</v>
      </c>
      <c r="G1452" t="str">
        <v>-</v>
      </c>
    </row>
    <row r="1453">
      <c r="A1453">
        <v>7452</v>
      </c>
      <c r="B1453" t="str">
        <f>HYPERLINK("https://songlo.vinhphuc.gov.vn/SMPT_Publishing_UC/TinTuc/pPrintTinTuc.aspx?UrlList=/ct/cms/tintuc/Lists/Hethongchinhtri&amp;ItemID=59", "UBND Ủy ban nhân dân xã Đồng Văn  tỉnh Vĩnh Phúc")</f>
        <v>UBND Ủy ban nhân dân xã Đồng Văn  tỉnh Vĩnh Phúc</v>
      </c>
      <c r="C1453" t="str">
        <v>https://songlo.vinhphuc.gov.vn/SMPT_Publishing_UC/TinTuc/pPrintTinTuc.aspx?UrlList=/ct/cms/tintuc/Lists/Hethongchinhtri&amp;ItemID=59</v>
      </c>
      <c r="D1453" t="str">
        <v>-</v>
      </c>
      <c r="E1453" t="str">
        <v>-</v>
      </c>
      <c r="F1453" t="str">
        <v>-</v>
      </c>
      <c r="G1453" t="str">
        <v>-</v>
      </c>
    </row>
    <row r="1454">
      <c r="A1454">
        <v>7453</v>
      </c>
      <c r="B1454" t="str">
        <f>HYPERLINK("https://www.facebook.com/TuoitreConganVinhPhuc/", "Công an xã Bình Định  tỉnh Vĩnh Phúc")</f>
        <v>Công an xã Bình Định  tỉnh Vĩnh Phúc</v>
      </c>
      <c r="C1454" t="str">
        <v>https://www.facebook.com/TuoitreConganVinhPhuc/</v>
      </c>
      <c r="D1454" t="str">
        <v>-</v>
      </c>
      <c r="E1454" t="str">
        <v/>
      </c>
      <c r="F1454" t="str">
        <f>HYPERLINK("mailto:doanconganvp@gmail.com", "doanconganvp@gmail.com")</f>
        <v>doanconganvp@gmail.com</v>
      </c>
      <c r="G1454" t="str">
        <v>số 1 đường tôn đức thắng, Vinh Yen, Vietnam</v>
      </c>
    </row>
    <row r="1455">
      <c r="A1455">
        <v>7454</v>
      </c>
      <c r="B1455" t="str">
        <f>HYPERLINK("https://yenlac.vinhphuc.gov.vn/ct/cms/tintuc/Lists/n/View_Detail.aspx?ItemID=19", "UBND Ủy ban nhân dân xã Bình Định  tỉnh Vĩnh Phúc")</f>
        <v>UBND Ủy ban nhân dân xã Bình Định  tỉnh Vĩnh Phúc</v>
      </c>
      <c r="C1455" t="str">
        <v>https://yenlac.vinhphuc.gov.vn/ct/cms/tintuc/Lists/n/View_Detail.aspx?ItemID=19</v>
      </c>
      <c r="D1455" t="str">
        <v>-</v>
      </c>
      <c r="E1455" t="str">
        <v>-</v>
      </c>
      <c r="F1455" t="str">
        <v>-</v>
      </c>
      <c r="G1455" t="str">
        <v>-</v>
      </c>
    </row>
    <row r="1456">
      <c r="A1456">
        <v>7455</v>
      </c>
      <c r="B1456" t="str">
        <f>HYPERLINK("https://www.facebook.com/p/An-ninh-tr%C3%A2%CC%A3t-t%C6%B0%CC%A3-xa%CC%83-Trung-Nguy%C3%AAn-100079818357002/", "Công an xã Trung Nguyên  tỉnh Vĩnh Phúc")</f>
        <v>Công an xã Trung Nguyên  tỉnh Vĩnh Phúc</v>
      </c>
      <c r="C1456" t="str">
        <v>https://www.facebook.com/p/An-ninh-tr%C3%A2%CC%A3t-t%C6%B0%CC%A3-xa%CC%83-Trung-Nguy%C3%AAn-100079818357002/</v>
      </c>
      <c r="D1456" t="str">
        <v>-</v>
      </c>
      <c r="E1456" t="str">
        <v/>
      </c>
      <c r="F1456" t="str">
        <v>-</v>
      </c>
      <c r="G1456" t="str">
        <v>-</v>
      </c>
    </row>
    <row r="1457">
      <c r="A1457">
        <v>7456</v>
      </c>
      <c r="B1457" t="str">
        <f>HYPERLINK("https://yenlac.vinhphuc.gov.vn/ct/cms/tintuc/Lists/n/View_Detail.aspx?ItemID=24", "UBND Ủy ban nhân dân xã Trung Nguyên  tỉnh Vĩnh Phúc")</f>
        <v>UBND Ủy ban nhân dân xã Trung Nguyên  tỉnh Vĩnh Phúc</v>
      </c>
      <c r="C1457" t="str">
        <v>https://yenlac.vinhphuc.gov.vn/ct/cms/tintuc/Lists/n/View_Detail.aspx?ItemID=24</v>
      </c>
      <c r="D1457" t="str">
        <v>-</v>
      </c>
      <c r="E1457" t="str">
        <v>-</v>
      </c>
      <c r="F1457" t="str">
        <v>-</v>
      </c>
      <c r="G1457" t="str">
        <v>-</v>
      </c>
    </row>
    <row r="1458">
      <c r="A1458">
        <v>7457</v>
      </c>
      <c r="B1458" t="str">
        <f>HYPERLINK(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, "Công an xã Tề Lỗ  tỉnh Vĩnh Phúc")</f>
        <v>Công an xã Tề Lỗ  tỉnh Vĩnh Phúc</v>
      </c>
      <c r="C1458" t="str">
        <v>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</v>
      </c>
      <c r="D1458" t="str">
        <v>-</v>
      </c>
      <c r="E1458" t="str">
        <v/>
      </c>
      <c r="F1458" t="str">
        <v>-</v>
      </c>
      <c r="G1458" t="str">
        <v>-</v>
      </c>
    </row>
    <row r="1459">
      <c r="A1459">
        <v>7458</v>
      </c>
      <c r="B1459" t="str">
        <f>HYPERLINK("https://yenlac.vinhphuc.gov.vn/ct/cms/tintuc/Lists/n/View_Detail.aspx?ItemID=29", "UBND Ủy ban nhân dân xã Tề Lỗ  tỉnh Vĩnh Phúc")</f>
        <v>UBND Ủy ban nhân dân xã Tề Lỗ  tỉnh Vĩnh Phúc</v>
      </c>
      <c r="C1459" t="str">
        <v>https://yenlac.vinhphuc.gov.vn/ct/cms/tintuc/Lists/n/View_Detail.aspx?ItemID=29</v>
      </c>
      <c r="D1459" t="str">
        <v>-</v>
      </c>
      <c r="E1459" t="str">
        <v>-</v>
      </c>
      <c r="F1459" t="str">
        <v>-</v>
      </c>
      <c r="G1459" t="str">
        <v>-</v>
      </c>
    </row>
    <row r="1460">
      <c r="A1460">
        <v>7459</v>
      </c>
      <c r="B1460" t="str">
        <f>HYPERLINK("https://www.facebook.com/TuoitreConganVinhPhuc/", "Công an xã Tam Hồng  tỉnh Vĩnh Phúc")</f>
        <v>Công an xã Tam Hồng  tỉnh Vĩnh Phúc</v>
      </c>
      <c r="C1460" t="str">
        <v>https://www.facebook.com/TuoitreConganVinhPhuc/</v>
      </c>
      <c r="D1460" t="str">
        <v>-</v>
      </c>
      <c r="E1460" t="str">
        <v/>
      </c>
      <c r="F1460" t="str">
        <v>-</v>
      </c>
      <c r="G1460" t="str">
        <v>-</v>
      </c>
    </row>
    <row r="1461">
      <c r="A1461">
        <v>7460</v>
      </c>
      <c r="B1461" t="str">
        <f>HYPERLINK("https://vinhphuc.gov.vn/ct/cms/HeThongChinhTriTinh/uybannhandan/Lists/QuyetDinh/View_Detail.aspx?ItemID=218", "UBND Ủy ban nhân dân xã Tam Hồng  tỉnh Vĩnh Phúc")</f>
        <v>UBND Ủy ban nhân dân xã Tam Hồng  tỉnh Vĩnh Phúc</v>
      </c>
      <c r="C1461" t="str">
        <v>https://vinhphuc.gov.vn/ct/cms/HeThongChinhTriTinh/uybannhandan/Lists/QuyetDinh/View_Detail.aspx?ItemID=218</v>
      </c>
      <c r="D1461" t="str">
        <v>-</v>
      </c>
      <c r="E1461" t="str">
        <v>-</v>
      </c>
      <c r="F1461" t="str">
        <v>-</v>
      </c>
      <c r="G1461" t="str">
        <v>-</v>
      </c>
    </row>
    <row r="1462">
      <c r="A1462">
        <v>7461</v>
      </c>
      <c r="B1462" t="str">
        <v>Công an xã Yên Đồng  tỉnh Vĩnh Phúc</v>
      </c>
      <c r="C1462" t="str">
        <v>-</v>
      </c>
      <c r="D1462" t="str">
        <v>-</v>
      </c>
      <c r="E1462" t="str">
        <v/>
      </c>
      <c r="F1462" t="str">
        <v>-</v>
      </c>
      <c r="G1462" t="str">
        <v>-</v>
      </c>
    </row>
    <row r="1463">
      <c r="A1463">
        <v>7462</v>
      </c>
      <c r="B1463" t="str">
        <v>UBND Ủy ban nhân dân xã Yên Đồng  tỉnh Vĩnh Phúc</v>
      </c>
      <c r="C1463" t="str">
        <v>-</v>
      </c>
      <c r="D1463" t="str">
        <v>-</v>
      </c>
      <c r="E1463" t="str">
        <v>-</v>
      </c>
      <c r="F1463" t="str">
        <v>-</v>
      </c>
      <c r="G1463" t="str">
        <v>-</v>
      </c>
    </row>
    <row r="1464">
      <c r="A1464">
        <v>7463</v>
      </c>
      <c r="B1464" t="str">
        <f>HYPERLINK("https://www.facebook.com/TuoitreConganVinhPhuc/", "Công an xã Văn Tiến  tỉnh Vĩnh Phúc")</f>
        <v>Công an xã Văn Tiến  tỉnh Vĩnh Phúc</v>
      </c>
      <c r="C1464" t="str">
        <v>https://www.facebook.com/TuoitreConganVinhPhuc/</v>
      </c>
      <c r="D1464" t="str">
        <v>-</v>
      </c>
      <c r="E1464" t="str">
        <v/>
      </c>
      <c r="F1464" t="str">
        <v>-</v>
      </c>
      <c r="G1464" t="str">
        <v>-</v>
      </c>
    </row>
    <row r="1465">
      <c r="A1465">
        <v>7464</v>
      </c>
      <c r="B1465" t="str">
        <f>HYPERLINK("https://congbao.vinhphuc.gov.vn/congbao/congbao.nsf/VanBan", "UBND Ủy ban nhân dân xã Văn Tiến  tỉnh Vĩnh Phúc")</f>
        <v>UBND Ủy ban nhân dân xã Văn Tiến  tỉnh Vĩnh Phúc</v>
      </c>
      <c r="C1465" t="str">
        <v>https://congbao.vinhphuc.gov.vn/congbao/congbao.nsf/VanBan</v>
      </c>
      <c r="D1465" t="str">
        <v>-</v>
      </c>
      <c r="E1465" t="str">
        <v>-</v>
      </c>
      <c r="F1465" t="str">
        <v>-</v>
      </c>
      <c r="G1465" t="str">
        <v>-</v>
      </c>
    </row>
    <row r="1466">
      <c r="A1466">
        <v>7465</v>
      </c>
      <c r="B1466" t="str">
        <f>HYPERLINK("https://www.facebook.com/Doanxanguyetduc/", "Công an xã Nguyệt Đức  tỉnh Vĩnh Phúc")</f>
        <v>Công an xã Nguyệt Đức  tỉnh Vĩnh Phúc</v>
      </c>
      <c r="C1466" t="str">
        <v>https://www.facebook.com/Doanxanguyetduc/</v>
      </c>
      <c r="D1466" t="str">
        <v>-</v>
      </c>
      <c r="E1466" t="str">
        <v/>
      </c>
      <c r="F1466" t="str">
        <f>HYPERLINK("mailto:lananhhoang390@gmail.com", "lananhhoang390@gmail.com")</f>
        <v>lananhhoang390@gmail.com</v>
      </c>
      <c r="G1466" t="str">
        <v>-</v>
      </c>
    </row>
    <row r="1467">
      <c r="A1467">
        <v>7466</v>
      </c>
      <c r="B1467" t="str">
        <f>HYPERLINK("https://yenlac.vinhphuc.gov.vn/ct/cms/tintuc/Lists/n/View_Detail.aspx?ItemID=28", "UBND Ủy ban nhân dân xã Nguyệt Đức  tỉnh Vĩnh Phúc")</f>
        <v>UBND Ủy ban nhân dân xã Nguyệt Đức  tỉnh Vĩnh Phúc</v>
      </c>
      <c r="C1467" t="str">
        <v>https://yenlac.vinhphuc.gov.vn/ct/cms/tintuc/Lists/n/View_Detail.aspx?ItemID=28</v>
      </c>
      <c r="D1467" t="str">
        <v>-</v>
      </c>
      <c r="E1467" t="str">
        <v>-</v>
      </c>
      <c r="F1467" t="str">
        <v>-</v>
      </c>
      <c r="G1467" t="str">
        <v>-</v>
      </c>
    </row>
    <row r="1468">
      <c r="A1468">
        <v>7467</v>
      </c>
      <c r="B1468" t="str">
        <f>HYPERLINK("https://www.facebook.com/TuoitreConganVinhPhuc/", "Công an xã Yên Phương  tỉnh Vĩnh Phúc")</f>
        <v>Công an xã Yên Phương  tỉnh Vĩnh Phúc</v>
      </c>
      <c r="C1468" t="str">
        <v>https://www.facebook.com/TuoitreConganVinhPhuc/</v>
      </c>
      <c r="D1468" t="str">
        <v>-</v>
      </c>
      <c r="E1468" t="str">
        <v/>
      </c>
      <c r="F1468" t="str">
        <v>-</v>
      </c>
      <c r="G1468" t="str">
        <v>-</v>
      </c>
    </row>
    <row r="1469">
      <c r="A1469">
        <v>7468</v>
      </c>
      <c r="B1469" t="str">
        <f>HYPERLINK("https://yenlac.vinhphuc.gov.vn/ct/cms/tintuc/Lists/n/View_Detail.aspx?ItemID=27", "UBND Ủy ban nhân dân xã Yên Phương  tỉnh Vĩnh Phúc")</f>
        <v>UBND Ủy ban nhân dân xã Yên Phương  tỉnh Vĩnh Phúc</v>
      </c>
      <c r="C1469" t="str">
        <v>https://yenlac.vinhphuc.gov.vn/ct/cms/tintuc/Lists/n/View_Detail.aspx?ItemID=27</v>
      </c>
      <c r="D1469" t="str">
        <v>-</v>
      </c>
      <c r="E1469" t="str">
        <v>-</v>
      </c>
      <c r="F1469" t="str">
        <v>-</v>
      </c>
      <c r="G1469" t="str">
        <v>-</v>
      </c>
    </row>
    <row r="1470">
      <c r="A1470">
        <v>7469</v>
      </c>
      <c r="B1470" t="str">
        <f>HYPERLINK("https://www.facebook.com/reel/1161699361490211/?locale=vi_VN", "Công an xã Hồng Phương  tỉnh Vĩnh Phúc")</f>
        <v>Công an xã Hồng Phương  tỉnh Vĩnh Phúc</v>
      </c>
      <c r="C1470" t="str">
        <v>https://www.facebook.com/reel/1161699361490211/?locale=vi_VN</v>
      </c>
      <c r="D1470" t="str">
        <v>-</v>
      </c>
      <c r="E1470" t="str">
        <v/>
      </c>
      <c r="F1470" t="str">
        <v>-</v>
      </c>
      <c r="G1470" t="str">
        <v>-</v>
      </c>
    </row>
    <row r="1471">
      <c r="A1471">
        <v>7470</v>
      </c>
      <c r="B1471" t="str">
        <f>HYPERLINK("https://vinhphuc.gov.vn/ct/cms/congdan/khieunaitc/Lists/NghienCuuTraoDoi/View_Detail.aspx?ItemID=1401", "UBND Ủy ban nhân dân xã Hồng Phương  tỉnh Vĩnh Phúc")</f>
        <v>UBND Ủy ban nhân dân xã Hồng Phương  tỉnh Vĩnh Phúc</v>
      </c>
      <c r="C1471" t="str">
        <v>https://vinhphuc.gov.vn/ct/cms/congdan/khieunaitc/Lists/NghienCuuTraoDoi/View_Detail.aspx?ItemID=1401</v>
      </c>
      <c r="D1471" t="str">
        <v>-</v>
      </c>
      <c r="E1471" t="str">
        <v>-</v>
      </c>
      <c r="F1471" t="str">
        <v>-</v>
      </c>
      <c r="G1471" t="str">
        <v>-</v>
      </c>
    </row>
    <row r="1472">
      <c r="A1472">
        <v>7471</v>
      </c>
      <c r="B1472" t="str">
        <f>HYPERLINK("https://www.facebook.com/ConganVinhPhuc.Official/", "Công an xã Trung Kiên  tỉnh Vĩnh Phúc")</f>
        <v>Công an xã Trung Kiên  tỉnh Vĩnh Phúc</v>
      </c>
      <c r="C1472" t="str">
        <v>https://www.facebook.com/ConganVinhPhuc.Official/</v>
      </c>
      <c r="D1472" t="str">
        <v>-</v>
      </c>
      <c r="E1472" t="str">
        <v/>
      </c>
      <c r="F1472" t="str">
        <v>-</v>
      </c>
      <c r="G1472" t="str">
        <v>-</v>
      </c>
    </row>
    <row r="1473">
      <c r="A1473">
        <v>7472</v>
      </c>
      <c r="B1473" t="str">
        <f>HYPERLINK("https://yenlac.vinhphuc.gov.vn/SMPT_Publishing_UC/TinTuc/pPrintTinTuc.aspx?UrlList=/ct/cms/tintuc/Lists/n&amp;ItemID=20", "UBND Ủy ban nhân dân xã Trung Kiên  tỉnh Vĩnh Phúc")</f>
        <v>UBND Ủy ban nhân dân xã Trung Kiên  tỉnh Vĩnh Phúc</v>
      </c>
      <c r="C1473" t="str">
        <v>https://yenlac.vinhphuc.gov.vn/SMPT_Publishing_UC/TinTuc/pPrintTinTuc.aspx?UrlList=/ct/cms/tintuc/Lists/n&amp;ItemID=20</v>
      </c>
      <c r="D1473" t="str">
        <v>-</v>
      </c>
      <c r="E1473" t="str">
        <v>-</v>
      </c>
      <c r="F1473" t="str">
        <v>-</v>
      </c>
      <c r="G1473" t="str">
        <v>-</v>
      </c>
    </row>
    <row r="1474">
      <c r="A1474">
        <v>7473</v>
      </c>
      <c r="B1474" t="str">
        <v>Công an xã Liên Châu  tỉnh Vĩnh Phúc</v>
      </c>
      <c r="C1474" t="str">
        <v>-</v>
      </c>
      <c r="D1474" t="str">
        <v>-</v>
      </c>
      <c r="E1474" t="str">
        <v/>
      </c>
      <c r="F1474" t="str">
        <v>-</v>
      </c>
      <c r="G1474" t="str">
        <v>-</v>
      </c>
    </row>
    <row r="1475">
      <c r="A1475">
        <v>7474</v>
      </c>
      <c r="B1475" t="str">
        <f>HYPERLINK("https://yenlac.vinhphuc.gov.vn/ct/cms/tintuc/Lists/n/View_Detail.aspx?ItemID=25", "UBND Ủy ban nhân dân xã Liên Châu  tỉnh Vĩnh Phúc")</f>
        <v>UBND Ủy ban nhân dân xã Liên Châu  tỉnh Vĩnh Phúc</v>
      </c>
      <c r="C1475" t="str">
        <v>https://yenlac.vinhphuc.gov.vn/ct/cms/tintuc/Lists/n/View_Detail.aspx?ItemID=25</v>
      </c>
      <c r="D1475" t="str">
        <v>-</v>
      </c>
      <c r="E1475" t="str">
        <v>-</v>
      </c>
      <c r="F1475" t="str">
        <v>-</v>
      </c>
      <c r="G1475" t="str">
        <v>-</v>
      </c>
    </row>
    <row r="1476">
      <c r="A1476">
        <v>7475</v>
      </c>
      <c r="B1476" t="str">
        <f>HYPERLINK("https://www.facebook.com/p/Tu%E1%BB%95i-tr%E1%BA%BB-C%C3%B4ng-an-Th%C3%A0nh-ph%E1%BB%91-V%C4%A9nh-Y%C3%AAn-100066497717181/", "Công an xã Đại Tự  tỉnh Vĩnh Phúc")</f>
        <v>Công an xã Đại Tự  tỉnh Vĩnh Phúc</v>
      </c>
      <c r="C1476" t="str">
        <v>https://www.facebook.com/p/Tu%E1%BB%95i-tr%E1%BA%BB-C%C3%B4ng-an-Th%C3%A0nh-ph%E1%BB%91-V%C4%A9nh-Y%C3%AAn-100066497717181/</v>
      </c>
      <c r="D1476" t="str">
        <v>-</v>
      </c>
      <c r="E1476" t="str">
        <v/>
      </c>
      <c r="F1476" t="str">
        <v>-</v>
      </c>
      <c r="G1476" t="str">
        <v>-</v>
      </c>
    </row>
    <row r="1477">
      <c r="A1477">
        <v>7476</v>
      </c>
      <c r="B1477" t="str">
        <f>HYPERLINK("https://vinhphuc.gov.vn/ct/cms/HeThongChinhTriTinh/uybannhandan/Lists/QuyetDinh/View_Detail.aspx?ItemID=978", "UBND Ủy ban nhân dân xã Đại Tự  tỉnh Vĩnh Phúc")</f>
        <v>UBND Ủy ban nhân dân xã Đại Tự  tỉnh Vĩnh Phúc</v>
      </c>
      <c r="C1477" t="str">
        <v>https://vinhphuc.gov.vn/ct/cms/HeThongChinhTriTinh/uybannhandan/Lists/QuyetDinh/View_Detail.aspx?ItemID=978</v>
      </c>
      <c r="D1477" t="str">
        <v>-</v>
      </c>
      <c r="E1477" t="str">
        <v>-</v>
      </c>
      <c r="F1477" t="str">
        <v>-</v>
      </c>
      <c r="G1477" t="str">
        <v>-</v>
      </c>
    </row>
    <row r="1478">
      <c r="A1478">
        <v>7477</v>
      </c>
      <c r="B1478" t="str">
        <v>Công an xã Hồng Châu  tỉnh Vĩnh Phúc</v>
      </c>
      <c r="C1478" t="str">
        <v>-</v>
      </c>
      <c r="D1478" t="str">
        <v>-</v>
      </c>
      <c r="E1478" t="str">
        <v/>
      </c>
      <c r="F1478" t="str">
        <v>-</v>
      </c>
      <c r="G1478" t="str">
        <v>-</v>
      </c>
    </row>
    <row r="1479">
      <c r="A1479">
        <v>7478</v>
      </c>
      <c r="B1479" t="str">
        <f>HYPERLINK("https://yenlac.vinhphuc.gov.vn/ct/cms/tintuc/Lists/n/View_Detail.aspx?ItemID=31", "UBND Ủy ban nhân dân xã Hồng Châu  tỉnh Vĩnh Phúc")</f>
        <v>UBND Ủy ban nhân dân xã Hồng Châu  tỉnh Vĩnh Phúc</v>
      </c>
      <c r="C1479" t="str">
        <v>https://yenlac.vinhphuc.gov.vn/ct/cms/tintuc/Lists/n/View_Detail.aspx?ItemID=31</v>
      </c>
      <c r="D1479" t="str">
        <v>-</v>
      </c>
      <c r="E1479" t="str">
        <v>-</v>
      </c>
      <c r="F1479" t="str">
        <v>-</v>
      </c>
      <c r="G1479" t="str">
        <v>-</v>
      </c>
    </row>
    <row r="1480">
      <c r="A1480">
        <v>7479</v>
      </c>
      <c r="B1480" t="str">
        <f>HYPERLINK("https://www.facebook.com/TuoitreConganVinhPhuc/", "Công an xã Trung Hà  tỉnh Vĩnh Phúc")</f>
        <v>Công an xã Trung Hà  tỉnh Vĩnh Phúc</v>
      </c>
      <c r="C1480" t="str">
        <v>https://www.facebook.com/TuoitreConganVinhPhuc/</v>
      </c>
      <c r="D1480" t="str">
        <v>-</v>
      </c>
      <c r="E1480" t="str">
        <v/>
      </c>
      <c r="F1480" t="str">
        <v>-</v>
      </c>
      <c r="G1480" t="str">
        <v>-</v>
      </c>
    </row>
    <row r="1481">
      <c r="A1481">
        <v>7480</v>
      </c>
      <c r="B1481" t="str">
        <f>HYPERLINK("https://yenlac.vinhphuc.gov.vn/ct/cms/tintuc/Lists/n/View_Detail.aspx?ItemID=32", "UBND Ủy ban nhân dân xã Trung Hà  tỉnh Vĩnh Phúc")</f>
        <v>UBND Ủy ban nhân dân xã Trung Hà  tỉnh Vĩnh Phúc</v>
      </c>
      <c r="C1481" t="str">
        <v>https://yenlac.vinhphuc.gov.vn/ct/cms/tintuc/Lists/n/View_Detail.aspx?ItemID=32</v>
      </c>
      <c r="D1481" t="str">
        <v>-</v>
      </c>
      <c r="E1481" t="str">
        <v>-</v>
      </c>
      <c r="F1481" t="str">
        <v>-</v>
      </c>
      <c r="G1481" t="str">
        <v>-</v>
      </c>
    </row>
    <row r="1482">
      <c r="A1482">
        <v>7481</v>
      </c>
      <c r="B1482" t="str">
        <f>HYPERLINK("https://www.facebook.com/ANTThuyenVinhTuong/", "Công an thị trấn Vĩnh Tường  tỉnh Vĩnh Phúc")</f>
        <v>Công an thị trấn Vĩnh Tường  tỉnh Vĩnh Phúc</v>
      </c>
      <c r="C1482" t="str">
        <v>https://www.facebook.com/ANTThuyenVinhTuong/</v>
      </c>
      <c r="D1482" t="str">
        <v>-</v>
      </c>
      <c r="E1482" t="str">
        <v/>
      </c>
      <c r="F1482" t="str">
        <v>-</v>
      </c>
      <c r="G1482" t="str">
        <v>-</v>
      </c>
    </row>
    <row r="1483">
      <c r="A1483">
        <v>7482</v>
      </c>
      <c r="B1483" t="str">
        <f>HYPERLINK("https://vinhtuong.vinhphuc.gov.vn/ct/cms/tintuc/Lists/CACXATHITRAN/View_Detail.aspx?ItemID=43", "UBND Ủy ban nhân dân thị trấn Vĩnh Tường  tỉnh Vĩnh Phúc")</f>
        <v>UBND Ủy ban nhân dân thị trấn Vĩnh Tường  tỉnh Vĩnh Phúc</v>
      </c>
      <c r="C1483" t="str">
        <v>https://vinhtuong.vinhphuc.gov.vn/ct/cms/tintuc/Lists/CACXATHITRAN/View_Detail.aspx?ItemID=43</v>
      </c>
      <c r="D1483" t="str">
        <v>-</v>
      </c>
      <c r="E1483" t="str">
        <v>-</v>
      </c>
      <c r="F1483" t="str">
        <v>-</v>
      </c>
      <c r="G1483" t="str">
        <v>-</v>
      </c>
    </row>
    <row r="1484">
      <c r="A1484">
        <v>7483</v>
      </c>
      <c r="B1484" t="str">
        <f>HYPERLINK("https://www.facebook.com/p/An-ninh-tr%E1%BA%ADt-t%E1%BB%B1-x%C3%A3-Kim-X%C3%A1-100072483153744/", "Công an xã Kim Xá  tỉnh Vĩnh Phúc")</f>
        <v>Công an xã Kim Xá  tỉnh Vĩnh Phúc</v>
      </c>
      <c r="C1484" t="str">
        <v>https://www.facebook.com/p/An-ninh-tr%E1%BA%ADt-t%E1%BB%B1-x%C3%A3-Kim-X%C3%A1-100072483153744/</v>
      </c>
      <c r="D1484" t="str">
        <v>-</v>
      </c>
      <c r="E1484" t="str">
        <v/>
      </c>
      <c r="F1484" t="str">
        <f>HYPERLINK("mailto:Conganxakimxa@gmail.com", "Conganxakimxa@gmail.com")</f>
        <v>Conganxakimxa@gmail.com</v>
      </c>
      <c r="G1484" t="str">
        <v>309</v>
      </c>
    </row>
    <row r="1485">
      <c r="A1485">
        <v>7484</v>
      </c>
      <c r="B1485" t="str">
        <f>HYPERLINK("https://vinhtuong.vinhphuc.gov.vn/ct/cms/tintuc/Lists/CACXATHITRAN/View_Detail.aspx?ItemID=17", "UBND Ủy ban nhân dân xã Kim Xá  tỉnh Vĩnh Phúc")</f>
        <v>UBND Ủy ban nhân dân xã Kim Xá  tỉnh Vĩnh Phúc</v>
      </c>
      <c r="C1485" t="str">
        <v>https://vinhtuong.vinhphuc.gov.vn/ct/cms/tintuc/Lists/CACXATHITRAN/View_Detail.aspx?ItemID=17</v>
      </c>
      <c r="D1485" t="str">
        <v>-</v>
      </c>
      <c r="E1485" t="str">
        <v>-</v>
      </c>
      <c r="F1485" t="str">
        <v>-</v>
      </c>
      <c r="G1485" t="str">
        <v>-</v>
      </c>
    </row>
    <row r="1486">
      <c r="A1486">
        <v>7485</v>
      </c>
      <c r="B1486" t="str">
        <f>HYPERLINK("https://www.facebook.com/TuoitreConganVinhPhuc/", "Công an xã Yên Bình  tỉnh Vĩnh Phúc")</f>
        <v>Công an xã Yên Bình  tỉnh Vĩnh Phúc</v>
      </c>
      <c r="C1486" t="str">
        <v>https://www.facebook.com/TuoitreConganVinhPhuc/</v>
      </c>
      <c r="D1486" t="str">
        <v>-</v>
      </c>
      <c r="E1486" t="str">
        <v/>
      </c>
      <c r="F1486" t="str">
        <v>-</v>
      </c>
      <c r="G1486" t="str">
        <v>-</v>
      </c>
    </row>
    <row r="1487">
      <c r="A1487">
        <v>7486</v>
      </c>
      <c r="B1487" t="str">
        <f>HYPERLINK("https://vinhtuong.vinhphuc.gov.vn/ct/cms/tintuc/Lists/CACXATHITRAN/View_Detail.aspx?ItemID=34", "UBND Ủy ban nhân dân xã Yên Bình  tỉnh Vĩnh Phúc")</f>
        <v>UBND Ủy ban nhân dân xã Yên Bình  tỉnh Vĩnh Phúc</v>
      </c>
      <c r="C1487" t="str">
        <v>https://vinhtuong.vinhphuc.gov.vn/ct/cms/tintuc/Lists/CACXATHITRAN/View_Detail.aspx?ItemID=34</v>
      </c>
      <c r="D1487" t="str">
        <v>-</v>
      </c>
      <c r="E1487" t="str">
        <v>-</v>
      </c>
      <c r="F1487" t="str">
        <v>-</v>
      </c>
      <c r="G1487" t="str">
        <v>-</v>
      </c>
    </row>
    <row r="1488">
      <c r="A1488">
        <v>7487</v>
      </c>
      <c r="B1488" t="str">
        <f>HYPERLINK("https://www.facebook.com/TuoitreConganVinhPhuc/", "Công an xã Chấn Hưng  tỉnh Vĩnh Phúc")</f>
        <v>Công an xã Chấn Hưng  tỉnh Vĩnh Phúc</v>
      </c>
      <c r="C1488" t="str">
        <v>https://www.facebook.com/TuoitreConganVinhPhuc/</v>
      </c>
      <c r="D1488" t="str">
        <v>-</v>
      </c>
      <c r="E1488" t="str">
        <v/>
      </c>
      <c r="F1488" t="str">
        <v>-</v>
      </c>
      <c r="G1488" t="str">
        <v>-</v>
      </c>
    </row>
    <row r="1489">
      <c r="A1489">
        <v>7488</v>
      </c>
      <c r="B1489" t="str">
        <f>HYPERLINK("https://vinhtuong.vinhphuc.gov.vn/ct/cms/tintuc/Lists/CACXATHITRAN/View_Detail.aspx?ItemID=44", "UBND Ủy ban nhân dân xã Chấn Hưng  tỉnh Vĩnh Phúc")</f>
        <v>UBND Ủy ban nhân dân xã Chấn Hưng  tỉnh Vĩnh Phúc</v>
      </c>
      <c r="C1489" t="str">
        <v>https://vinhtuong.vinhphuc.gov.vn/ct/cms/tintuc/Lists/CACXATHITRAN/View_Detail.aspx?ItemID=44</v>
      </c>
      <c r="D1489" t="str">
        <v>-</v>
      </c>
      <c r="E1489" t="str">
        <v>-</v>
      </c>
      <c r="F1489" t="str">
        <v>-</v>
      </c>
      <c r="G1489" t="str">
        <v>-</v>
      </c>
    </row>
    <row r="1490">
      <c r="A1490">
        <v>7489</v>
      </c>
      <c r="B1490" t="str">
        <f>HYPERLINK("https://www.facebook.com/732839230771634", "Công an xã Nghĩa Hưng  tỉnh Vĩnh Phúc")</f>
        <v>Công an xã Nghĩa Hưng  tỉnh Vĩnh Phúc</v>
      </c>
      <c r="C1490" t="str">
        <v>https://www.facebook.com/732839230771634</v>
      </c>
      <c r="D1490" t="str">
        <v>-</v>
      </c>
      <c r="E1490" t="str">
        <v/>
      </c>
      <c r="F1490" t="str">
        <v>-</v>
      </c>
      <c r="G1490" t="str">
        <v>-</v>
      </c>
    </row>
    <row r="1491">
      <c r="A1491">
        <v>7490</v>
      </c>
      <c r="B1491" t="str">
        <f>HYPERLINK("https://vinhtuong.vinhphuc.gov.vn/ct/cms/tintuc/Lists/CACXATHITRAN/View_Detail.aspx?ItemID=31", "UBND Ủy ban nhân dân xã Nghĩa Hưng  tỉnh Vĩnh Phúc")</f>
        <v>UBND Ủy ban nhân dân xã Nghĩa Hưng  tỉnh Vĩnh Phúc</v>
      </c>
      <c r="C1491" t="str">
        <v>https://vinhtuong.vinhphuc.gov.vn/ct/cms/tintuc/Lists/CACXATHITRAN/View_Detail.aspx?ItemID=31</v>
      </c>
      <c r="D1491" t="str">
        <v>-</v>
      </c>
      <c r="E1491" t="str">
        <v>-</v>
      </c>
      <c r="F1491" t="str">
        <v>-</v>
      </c>
      <c r="G1491" t="str">
        <v>-</v>
      </c>
    </row>
    <row r="1492">
      <c r="A1492">
        <v>7491</v>
      </c>
      <c r="B1492" t="str">
        <f>HYPERLINK("https://www.facebook.com/p/UBND-X%C3%A3-Y%C3%AAn-L%E1%BA%ADp-100069068953005/", "Công an xã Yên Lập  tỉnh Vĩnh Phúc")</f>
        <v>Công an xã Yên Lập  tỉnh Vĩnh Phúc</v>
      </c>
      <c r="C1492" t="str">
        <v>https://www.facebook.com/p/UBND-X%C3%A3-Y%C3%AAn-L%E1%BA%ADp-100069068953005/</v>
      </c>
      <c r="D1492" t="str">
        <v>-</v>
      </c>
      <c r="E1492" t="str">
        <v>02113855911</v>
      </c>
      <c r="F1492" t="str">
        <f>HYPERLINK("mailto:phuongxinh20july@gmail.com", "phuongxinh20july@gmail.com")</f>
        <v>phuongxinh20july@gmail.com</v>
      </c>
      <c r="G1492" t="str">
        <v>-</v>
      </c>
    </row>
    <row r="1493">
      <c r="A1493">
        <v>7492</v>
      </c>
      <c r="B1493" t="str">
        <f>HYPERLINK("https://vinhtuong.vinhphuc.gov.vn/ct/cms/tintuc/Lists/CACXATHITRAN/View_Detail.aspx?ItemID=37", "UBND Ủy ban nhân dân xã Yên Lập  tỉnh Vĩnh Phúc")</f>
        <v>UBND Ủy ban nhân dân xã Yên Lập  tỉnh Vĩnh Phúc</v>
      </c>
      <c r="C1493" t="str">
        <v>https://vinhtuong.vinhphuc.gov.vn/ct/cms/tintuc/Lists/CACXATHITRAN/View_Detail.aspx?ItemID=37</v>
      </c>
      <c r="D1493" t="str">
        <v>-</v>
      </c>
      <c r="E1493" t="str">
        <v>-</v>
      </c>
      <c r="F1493" t="str">
        <v>-</v>
      </c>
      <c r="G1493" t="str">
        <v>-</v>
      </c>
    </row>
    <row r="1494">
      <c r="A1494">
        <v>7493</v>
      </c>
      <c r="B1494" t="str">
        <f>HYPERLINK("https://www.facebook.com/TuoitreConganVinhPhuc/?locale=vi_VN", "Công an xã Việt Xuân  tỉnh Vĩnh Phúc")</f>
        <v>Công an xã Việt Xuân  tỉnh Vĩnh Phúc</v>
      </c>
      <c r="C1494" t="str">
        <v>https://www.facebook.com/TuoitreConganVinhPhuc/?locale=vi_VN</v>
      </c>
      <c r="D1494" t="str">
        <v>-</v>
      </c>
      <c r="E1494" t="str">
        <v/>
      </c>
      <c r="F1494" t="str">
        <v>-</v>
      </c>
      <c r="G1494" t="str">
        <v>-</v>
      </c>
    </row>
    <row r="1495">
      <c r="A1495">
        <v>7494</v>
      </c>
      <c r="B1495" t="str">
        <f>HYPERLINK("https://vinhtuong.vinhphuc.gov.vn/ct/cms/tintuc/Lists/CACXATHITRAN/View_Detail.aspx?ItemID=16", "UBND Ủy ban nhân dân xã Việt Xuân  tỉnh Vĩnh Phúc")</f>
        <v>UBND Ủy ban nhân dân xã Việt Xuân  tỉnh Vĩnh Phúc</v>
      </c>
      <c r="C1495" t="str">
        <v>https://vinhtuong.vinhphuc.gov.vn/ct/cms/tintuc/Lists/CACXATHITRAN/View_Detail.aspx?ItemID=16</v>
      </c>
      <c r="D1495" t="str">
        <v>-</v>
      </c>
      <c r="E1495" t="str">
        <v>-</v>
      </c>
      <c r="F1495" t="str">
        <v>-</v>
      </c>
      <c r="G1495" t="str">
        <v>-</v>
      </c>
    </row>
    <row r="1496">
      <c r="A1496">
        <v>7495</v>
      </c>
      <c r="B1496" t="str">
        <f>HYPERLINK("https://www.facebook.com/TuoitreConganVinhPhuc/?locale=fa_IR", "Công an xã Bồ Sao  tỉnh Vĩnh Phúc")</f>
        <v>Công an xã Bồ Sao  tỉnh Vĩnh Phúc</v>
      </c>
      <c r="C1496" t="str">
        <v>https://www.facebook.com/TuoitreConganVinhPhuc/?locale=fa_IR</v>
      </c>
      <c r="D1496" t="str">
        <v>-</v>
      </c>
      <c r="E1496" t="str">
        <v/>
      </c>
      <c r="F1496" t="str">
        <v>-</v>
      </c>
      <c r="G1496" t="str">
        <v>-</v>
      </c>
    </row>
    <row r="1497">
      <c r="A1497">
        <v>7496</v>
      </c>
      <c r="B1497" t="str">
        <f>HYPERLINK("https://vinhtuong.vinhphuc.gov.vn/ct/cms/tintuc/Lists/CACXATHITRAN/View_Detail.aspx?ItemID=40", "UBND Ủy ban nhân dân xã Bồ Sao  tỉnh Vĩnh Phúc")</f>
        <v>UBND Ủy ban nhân dân xã Bồ Sao  tỉnh Vĩnh Phúc</v>
      </c>
      <c r="C1497" t="str">
        <v>https://vinhtuong.vinhphuc.gov.vn/ct/cms/tintuc/Lists/CACXATHITRAN/View_Detail.aspx?ItemID=40</v>
      </c>
      <c r="D1497" t="str">
        <v>-</v>
      </c>
      <c r="E1497" t="str">
        <v>-</v>
      </c>
      <c r="F1497" t="str">
        <v>-</v>
      </c>
      <c r="G1497" t="str">
        <v>-</v>
      </c>
    </row>
    <row r="1498">
      <c r="A1498">
        <v>7497</v>
      </c>
      <c r="B1498" t="str">
        <f>HYPERLINK("https://www.facebook.com/TuoitreConganVinhPhuc/?locale=vi_VN", "Công an xã Đại Đồng  tỉnh Vĩnh Phúc")</f>
        <v>Công an xã Đại Đồng  tỉnh Vĩnh Phúc</v>
      </c>
      <c r="C1498" t="str">
        <v>https://www.facebook.com/TuoitreConganVinhPhuc/?locale=vi_VN</v>
      </c>
      <c r="D1498" t="str">
        <v>-</v>
      </c>
      <c r="E1498" t="str">
        <v/>
      </c>
      <c r="F1498" t="str">
        <v>-</v>
      </c>
      <c r="G1498" t="str">
        <v>-</v>
      </c>
    </row>
    <row r="1499">
      <c r="A1499">
        <v>7498</v>
      </c>
      <c r="B1499" t="str">
        <f>HYPERLINK("https://vinhtuong.vinhphuc.gov.vn/ct/cms/tintuc/Lists/CACXATHITRAN/View_Detail.aspx?ItemID=48", "UBND Ủy ban nhân dân xã Đại Đồng  tỉnh Vĩnh Phúc")</f>
        <v>UBND Ủy ban nhân dân xã Đại Đồng  tỉnh Vĩnh Phúc</v>
      </c>
      <c r="C1499" t="str">
        <v>https://vinhtuong.vinhphuc.gov.vn/ct/cms/tintuc/Lists/CACXATHITRAN/View_Detail.aspx?ItemID=48</v>
      </c>
      <c r="D1499" t="str">
        <v>-</v>
      </c>
      <c r="E1499" t="str">
        <v>-</v>
      </c>
      <c r="F1499" t="str">
        <v>-</v>
      </c>
      <c r="G1499" t="str">
        <v>-</v>
      </c>
    </row>
    <row r="1500">
      <c r="A1500">
        <v>7499</v>
      </c>
      <c r="B1500" t="str">
        <f>HYPERLINK("https://www.facebook.com/p/Tu%E1%BB%95i-tr%E1%BA%BB-C%C3%B4ng-an-Th%C3%A0nh-ph%E1%BB%91-V%C4%A9nh-Y%C3%AAn-100066497717181/", "Công an xã Tân Tiến  tỉnh Vĩnh Phúc")</f>
        <v>Công an xã Tân Tiến  tỉnh Vĩnh Phúc</v>
      </c>
      <c r="C1500" t="str">
        <v>https://www.facebook.com/p/Tu%E1%BB%95i-tr%E1%BA%BB-C%C3%B4ng-an-Th%C3%A0nh-ph%E1%BB%91-V%C4%A9nh-Y%C3%AAn-100066497717181/</v>
      </c>
      <c r="D1500" t="str">
        <v>-</v>
      </c>
      <c r="E1500" t="str">
        <v/>
      </c>
      <c r="F1500" t="str">
        <v>-</v>
      </c>
      <c r="G1500" t="str">
        <v>-</v>
      </c>
    </row>
    <row r="1501">
      <c r="A1501">
        <v>7500</v>
      </c>
      <c r="B1501" t="str">
        <f>HYPERLINK("https://vinhtuong.vinhphuc.gov.vn/ct/cms/tintuc/Lists/CACXATHITRAN/View_Detail.aspx?ItemID=46", "UBND Ủy ban nhân dân xã Tân Tiến  tỉnh Vĩnh Phúc")</f>
        <v>UBND Ủy ban nhân dân xã Tân Tiến  tỉnh Vĩnh Phúc</v>
      </c>
      <c r="C1501" t="str">
        <v>https://vinhtuong.vinhphuc.gov.vn/ct/cms/tintuc/Lists/CACXATHITRAN/View_Detail.aspx?ItemID=46</v>
      </c>
      <c r="D1501" t="str">
        <v>-</v>
      </c>
      <c r="E1501" t="str">
        <v>-</v>
      </c>
      <c r="F1501" t="str">
        <v>-</v>
      </c>
      <c r="G1501" t="str">
        <v>-</v>
      </c>
    </row>
    <row r="1502">
      <c r="A1502">
        <v>7501</v>
      </c>
      <c r="B1502" t="str">
        <v>Công an xã Lũng Hoà  tỉnh Vĩnh Phúc</v>
      </c>
      <c r="C1502" t="str">
        <v>-</v>
      </c>
      <c r="D1502" t="str">
        <v>-</v>
      </c>
      <c r="E1502" t="str">
        <v/>
      </c>
      <c r="F1502" t="str">
        <v>-</v>
      </c>
      <c r="G1502" t="str">
        <v>-</v>
      </c>
    </row>
    <row r="1503">
      <c r="A1503">
        <v>7502</v>
      </c>
      <c r="B1503" t="str">
        <f>HYPERLINK("https://vinhtuong.vinhphuc.gov.vn/ct/cms/tintuc/Lists/CACXATHITRAN/View_Detail.aspx?ItemID=45", "UBND Ủy ban nhân dân xã Lũng Hoà  tỉnh Vĩnh Phúc")</f>
        <v>UBND Ủy ban nhân dân xã Lũng Hoà  tỉnh Vĩnh Phúc</v>
      </c>
      <c r="C1503" t="str">
        <v>https://vinhtuong.vinhphuc.gov.vn/ct/cms/tintuc/Lists/CACXATHITRAN/View_Detail.aspx?ItemID=45</v>
      </c>
      <c r="D1503" t="str">
        <v>-</v>
      </c>
      <c r="E1503" t="str">
        <v>-</v>
      </c>
      <c r="F1503" t="str">
        <v>-</v>
      </c>
      <c r="G1503" t="str">
        <v>-</v>
      </c>
    </row>
    <row r="1504">
      <c r="A1504">
        <v>7503</v>
      </c>
      <c r="B1504" t="str">
        <f>HYPERLINK("https://www.facebook.com/p/Tu%E1%BB%95i-tr%E1%BA%BB-C%C3%B4ng-an-Th%C3%A0nh-ph%E1%BB%91-V%C4%A9nh-Y%C3%AAn-100066497717181/", "Công an xã Cao Đại  tỉnh Vĩnh Phúc")</f>
        <v>Công an xã Cao Đại  tỉnh Vĩnh Phúc</v>
      </c>
      <c r="C1504" t="str">
        <v>https://www.facebook.com/p/Tu%E1%BB%95i-tr%E1%BA%BB-C%C3%B4ng-an-Th%C3%A0nh-ph%E1%BB%91-V%C4%A9nh-Y%C3%AAn-100066497717181/</v>
      </c>
      <c r="D1504" t="str">
        <v>-</v>
      </c>
      <c r="E1504" t="str">
        <v/>
      </c>
      <c r="F1504" t="str">
        <v>-</v>
      </c>
      <c r="G1504" t="str">
        <v>-</v>
      </c>
    </row>
    <row r="1505">
      <c r="A1505">
        <v>7504</v>
      </c>
      <c r="B1505" t="str">
        <f>HYPERLINK("https://vinhtuong.vinhphuc.gov.vn/ct/cms/tintuc/lists/cacxathitran/view_detail.aspx?itemid=15", "UBND Ủy ban nhân dân xã Cao Đại  tỉnh Vĩnh Phúc")</f>
        <v>UBND Ủy ban nhân dân xã Cao Đại  tỉnh Vĩnh Phúc</v>
      </c>
      <c r="C1505" t="str">
        <v>https://vinhtuong.vinhphuc.gov.vn/ct/cms/tintuc/lists/cacxathitran/view_detail.aspx?itemid=15</v>
      </c>
      <c r="D1505" t="str">
        <v>-</v>
      </c>
      <c r="E1505" t="str">
        <v>-</v>
      </c>
      <c r="F1505" t="str">
        <v>-</v>
      </c>
      <c r="G1505" t="str">
        <v>-</v>
      </c>
    </row>
    <row r="1506">
      <c r="A1506">
        <v>7505</v>
      </c>
      <c r="B1506" t="str">
        <f>HYPERLINK("https://www.facebook.com/TuoitreConganVinhPhuc/", "Công an thị trấn Thổ Tang  tỉnh Vĩnh Phúc")</f>
        <v>Công an thị trấn Thổ Tang  tỉnh Vĩnh Phúc</v>
      </c>
      <c r="C1506" t="str">
        <v>https://www.facebook.com/TuoitreConganVinhPhuc/</v>
      </c>
      <c r="D1506" t="str">
        <v>-</v>
      </c>
      <c r="E1506" t="str">
        <v/>
      </c>
      <c r="F1506" t="str">
        <v>-</v>
      </c>
      <c r="G1506" t="str">
        <v>-</v>
      </c>
    </row>
    <row r="1507">
      <c r="A1507">
        <v>7506</v>
      </c>
      <c r="B1507" t="str">
        <f>HYPERLINK("https://vinhtuong.vinhphuc.gov.vn/ct/cms/tintuc/Lists/CACXATHITRAN/View_Detail.aspx?ItemID=39", "UBND Ủy ban nhân dân thị trấn Thổ Tang  tỉnh Vĩnh Phúc")</f>
        <v>UBND Ủy ban nhân dân thị trấn Thổ Tang  tỉnh Vĩnh Phúc</v>
      </c>
      <c r="C1507" t="str">
        <v>https://vinhtuong.vinhphuc.gov.vn/ct/cms/tintuc/Lists/CACXATHITRAN/View_Detail.aspx?ItemID=39</v>
      </c>
      <c r="D1507" t="str">
        <v>-</v>
      </c>
      <c r="E1507" t="str">
        <v>-</v>
      </c>
      <c r="F1507" t="str">
        <v>-</v>
      </c>
      <c r="G1507" t="str">
        <v>-</v>
      </c>
    </row>
    <row r="1508">
      <c r="A1508">
        <v>7507</v>
      </c>
      <c r="B1508" t="str">
        <f>HYPERLINK("https://www.facebook.com/p/C%C3%B4ng-an-x%C3%A3-V%C4%A9nh-S%C6%A1n-100039604761947/", "Công an xã Vĩnh Sơn  tỉnh Vĩnh Phúc")</f>
        <v>Công an xã Vĩnh Sơn  tỉnh Vĩnh Phúc</v>
      </c>
      <c r="C1508" t="str">
        <v>https://www.facebook.com/p/C%C3%B4ng-an-x%C3%A3-V%C4%A9nh-S%C6%A1n-100039604761947/</v>
      </c>
      <c r="D1508" t="str">
        <v>-</v>
      </c>
      <c r="E1508" t="str">
        <v/>
      </c>
      <c r="F1508" t="str">
        <f>HYPERLINK("mailto:thanhchien8384@gmail.com", "thanhchien8384@gmail.com")</f>
        <v>thanhchien8384@gmail.com</v>
      </c>
      <c r="G1508" t="str">
        <v>Đường Liên Xã 570</v>
      </c>
    </row>
    <row r="1509">
      <c r="A1509">
        <v>7508</v>
      </c>
      <c r="B1509" t="str">
        <f>HYPERLINK("https://vinhtuong.vinhphuc.gov.vn/ct/cms/tintuc/Lists/CACXATHITRAN/View_Detail.aspx?ItemID=41", "UBND Ủy ban nhân dân xã Vĩnh Sơn  tỉnh Vĩnh Phúc")</f>
        <v>UBND Ủy ban nhân dân xã Vĩnh Sơn  tỉnh Vĩnh Phúc</v>
      </c>
      <c r="C1509" t="str">
        <v>https://vinhtuong.vinhphuc.gov.vn/ct/cms/tintuc/Lists/CACXATHITRAN/View_Detail.aspx?ItemID=41</v>
      </c>
      <c r="D1509" t="str">
        <v>-</v>
      </c>
      <c r="E1509" t="str">
        <v>-</v>
      </c>
      <c r="F1509" t="str">
        <v>-</v>
      </c>
      <c r="G1509" t="str">
        <v>-</v>
      </c>
    </row>
    <row r="1510">
      <c r="A1510">
        <v>7509</v>
      </c>
      <c r="B1510" t="str">
        <f>HYPERLINK("https://www.facebook.com/TuoitreConganVinhPhuc/", "Công an xã Bình Dương  tỉnh Vĩnh Phúc")</f>
        <v>Công an xã Bình Dương  tỉnh Vĩnh Phúc</v>
      </c>
      <c r="C1510" t="str">
        <v>https://www.facebook.com/TuoitreConganVinhPhuc/</v>
      </c>
      <c r="D1510" t="str">
        <v>-</v>
      </c>
      <c r="E1510" t="str">
        <v/>
      </c>
      <c r="F1510" t="str">
        <v>-</v>
      </c>
      <c r="G1510" t="str">
        <v>-</v>
      </c>
    </row>
    <row r="1511">
      <c r="A1511">
        <v>7510</v>
      </c>
      <c r="B1511" t="str">
        <f>HYPERLINK("https://vinhtuong.vinhphuc.gov.vn/ct/cms/tintuc/Lists/CACXATHITRAN/View_Detail.aspx?ItemID=30", "UBND Ủy ban nhân dân xã Bình Dương  tỉnh Vĩnh Phúc")</f>
        <v>UBND Ủy ban nhân dân xã Bình Dương  tỉnh Vĩnh Phúc</v>
      </c>
      <c r="C1511" t="str">
        <v>https://vinhtuong.vinhphuc.gov.vn/ct/cms/tintuc/Lists/CACXATHITRAN/View_Detail.aspx?ItemID=30</v>
      </c>
      <c r="D1511" t="str">
        <v>-</v>
      </c>
      <c r="E1511" t="str">
        <v>-</v>
      </c>
      <c r="F1511" t="str">
        <v>-</v>
      </c>
      <c r="G1511" t="str">
        <v>-</v>
      </c>
    </row>
    <row r="1512">
      <c r="A1512">
        <v>7511</v>
      </c>
      <c r="B1512" t="str">
        <f>HYPERLINK("https://www.facebook.com/p/Tu%E1%BB%95i-tr%E1%BA%BB-C%C3%B4ng-an-Th%C3%A0nh-ph%E1%BB%91-V%C4%A9nh-Y%C3%AAn-100066497717181/", "Công an xã Tân Cương  tỉnh Vĩnh Phúc")</f>
        <v>Công an xã Tân Cương  tỉnh Vĩnh Phúc</v>
      </c>
      <c r="C1512" t="str">
        <v>https://www.facebook.com/p/Tu%E1%BB%95i-tr%E1%BA%BB-C%C3%B4ng-an-Th%C3%A0nh-ph%E1%BB%91-V%C4%A9nh-Y%C3%AAn-100066497717181/</v>
      </c>
      <c r="D1512" t="str">
        <v>-</v>
      </c>
      <c r="E1512" t="str">
        <v>02113861204</v>
      </c>
      <c r="F1512" t="str">
        <v>-</v>
      </c>
      <c r="G1512" t="str">
        <v>Lê Xoay - Ngô Quyền - Vĩnh Yên, Yen, Vietnam</v>
      </c>
    </row>
    <row r="1513">
      <c r="A1513">
        <v>7512</v>
      </c>
      <c r="B1513" t="str">
        <f>HYPERLINK("https://sonoivu.vinhphuc.gov.vn/SMPT_Publishing_UC/TinTuc/pPrintTinTuc.aspx?UrlList=/ct/cms/chuyenmon/Lists/XayDungChinhQuyen&amp;ItemID=286", "UBND Ủy ban nhân dân xã Tân Cương  tỉnh Vĩnh Phúc")</f>
        <v>UBND Ủy ban nhân dân xã Tân Cương  tỉnh Vĩnh Phúc</v>
      </c>
      <c r="C1513" t="str">
        <v>https://sonoivu.vinhphuc.gov.vn/SMPT_Publishing_UC/TinTuc/pPrintTinTuc.aspx?UrlList=/ct/cms/chuyenmon/Lists/XayDungChinhQuyen&amp;ItemID=286</v>
      </c>
      <c r="D1513" t="str">
        <v>-</v>
      </c>
      <c r="E1513" t="str">
        <v>-</v>
      </c>
      <c r="F1513" t="str">
        <v>-</v>
      </c>
      <c r="G1513" t="str">
        <v>-</v>
      </c>
    </row>
    <row r="1514">
      <c r="A1514">
        <v>7513</v>
      </c>
      <c r="B1514" t="str">
        <f>HYPERLINK("https://www.facebook.com/p/Tu%E1%BB%95i-tr%E1%BA%BB-C%C3%B4ng-an-Th%C3%A0nh-ph%E1%BB%91-V%C4%A9nh-Y%C3%AAn-100066497717181/?locale=nl_BE", "Công an xã Phú Thịnh  tỉnh Vĩnh Phúc")</f>
        <v>Công an xã Phú Thịnh  tỉnh Vĩnh Phúc</v>
      </c>
      <c r="C1514" t="str">
        <v>https://www.facebook.com/p/Tu%E1%BB%95i-tr%E1%BA%BB-C%C3%B4ng-an-Th%C3%A0nh-ph%E1%BB%91-V%C4%A9nh-Y%C3%AAn-100066497717181/?locale=nl_BE</v>
      </c>
      <c r="D1514" t="str">
        <v>-</v>
      </c>
      <c r="E1514" t="str">
        <v/>
      </c>
      <c r="F1514" t="str">
        <v>-</v>
      </c>
      <c r="G1514" t="str">
        <v>-</v>
      </c>
    </row>
    <row r="1515">
      <c r="A1515">
        <v>7514</v>
      </c>
      <c r="B1515" t="str">
        <f>HYPERLINK("https://sonoivu.vinhphuc.gov.vn/SMPT_Publishing_UC/TinTuc/pPrintTinTuc.aspx?UrlList=/ct/cms/chuyenmon/Lists/XayDungChinhQuyen&amp;ItemID=286", "UBND Ủy ban nhân dân xã Phú Thịnh  tỉnh Vĩnh Phúc")</f>
        <v>UBND Ủy ban nhân dân xã Phú Thịnh  tỉnh Vĩnh Phúc</v>
      </c>
      <c r="C1515" t="str">
        <v>https://sonoivu.vinhphuc.gov.vn/SMPT_Publishing_UC/TinTuc/pPrintTinTuc.aspx?UrlList=/ct/cms/chuyenmon/Lists/XayDungChinhQuyen&amp;ItemID=286</v>
      </c>
      <c r="D1515" t="str">
        <v>-</v>
      </c>
      <c r="E1515" t="str">
        <v>-</v>
      </c>
      <c r="F1515" t="str">
        <v>-</v>
      </c>
      <c r="G1515" t="str">
        <v>-</v>
      </c>
    </row>
    <row r="1516">
      <c r="A1516">
        <v>7515</v>
      </c>
      <c r="B1516" t="str">
        <v>Công an xã Thượng Trưng  tỉnh Vĩnh Phúc</v>
      </c>
      <c r="C1516" t="str">
        <v>-</v>
      </c>
      <c r="D1516" t="str">
        <v>-</v>
      </c>
      <c r="E1516" t="str">
        <v/>
      </c>
      <c r="F1516" t="str">
        <v>-</v>
      </c>
      <c r="G1516" t="str">
        <v>-</v>
      </c>
    </row>
    <row r="1517">
      <c r="A1517">
        <v>7516</v>
      </c>
      <c r="B1517" t="str">
        <f>HYPERLINK("https://vinhtuong.vinhphuc.gov.vn/ct/cms/tintuc/Lists/CACXATHITRAN/View_Detail.aspx?ItemID=42", "UBND Ủy ban nhân dân xã Thượng Trưng  tỉnh Vĩnh Phúc")</f>
        <v>UBND Ủy ban nhân dân xã Thượng Trưng  tỉnh Vĩnh Phúc</v>
      </c>
      <c r="C1517" t="str">
        <v>https://vinhtuong.vinhphuc.gov.vn/ct/cms/tintuc/Lists/CACXATHITRAN/View_Detail.aspx?ItemID=42</v>
      </c>
      <c r="D1517" t="str">
        <v>-</v>
      </c>
      <c r="E1517" t="str">
        <v>-</v>
      </c>
      <c r="F1517" t="str">
        <v>-</v>
      </c>
      <c r="G1517" t="str">
        <v>-</v>
      </c>
    </row>
    <row r="1518">
      <c r="A1518">
        <v>7517</v>
      </c>
      <c r="B1518" t="str">
        <f>HYPERLINK("https://www.facebook.com/TuoitreConganVinhPhuc/", "Công an xã Vũ Di  tỉnh Vĩnh Phúc")</f>
        <v>Công an xã Vũ Di  tỉnh Vĩnh Phúc</v>
      </c>
      <c r="C1518" t="str">
        <v>https://www.facebook.com/TuoitreConganVinhPhuc/</v>
      </c>
      <c r="D1518" t="str">
        <v>-</v>
      </c>
      <c r="E1518" t="str">
        <v/>
      </c>
      <c r="F1518" t="str">
        <v>-</v>
      </c>
      <c r="G1518" t="str">
        <v>-</v>
      </c>
    </row>
    <row r="1519">
      <c r="A1519">
        <v>7518</v>
      </c>
      <c r="B1519" t="str">
        <f>HYPERLINK("https://vinhtuong.vinhphuc.gov.vn/ct/cms/tintuc/Lists/CACXATHITRAN/View_Detail.aspx?ItemID=32", "UBND Ủy ban nhân dân xã Vũ Di  tỉnh Vĩnh Phúc")</f>
        <v>UBND Ủy ban nhân dân xã Vũ Di  tỉnh Vĩnh Phúc</v>
      </c>
      <c r="C1519" t="str">
        <v>https://vinhtuong.vinhphuc.gov.vn/ct/cms/tintuc/Lists/CACXATHITRAN/View_Detail.aspx?ItemID=32</v>
      </c>
      <c r="D1519" t="str">
        <v>-</v>
      </c>
      <c r="E1519" t="str">
        <v>-</v>
      </c>
      <c r="F1519" t="str">
        <v>-</v>
      </c>
      <c r="G1519" t="str">
        <v>-</v>
      </c>
    </row>
    <row r="1520">
      <c r="A1520">
        <v>7519</v>
      </c>
      <c r="B1520" t="str">
        <f>HYPERLINK("https://www.facebook.com/TuoitreConganVinhPhuc/", "Công an xã Lý Nhân  tỉnh Vĩnh Phúc")</f>
        <v>Công an xã Lý Nhân  tỉnh Vĩnh Phúc</v>
      </c>
      <c r="C1520" t="str">
        <v>https://www.facebook.com/TuoitreConganVinhPhuc/</v>
      </c>
      <c r="D1520" t="str">
        <v>-</v>
      </c>
      <c r="E1520" t="str">
        <v/>
      </c>
      <c r="F1520" t="str">
        <v>-</v>
      </c>
      <c r="G1520" t="str">
        <v>-</v>
      </c>
    </row>
    <row r="1521">
      <c r="A1521">
        <v>7520</v>
      </c>
      <c r="B1521" t="str">
        <f>HYPERLINK("https://vinhtuong.vinhphuc.gov.vn/ct/cms/tintuc/Lists/CACXATHITRAN/View_Detail.aspx?ItemID=47", "UBND Ủy ban nhân dân xã Lý Nhân  tỉnh Vĩnh Phúc")</f>
        <v>UBND Ủy ban nhân dân xã Lý Nhân  tỉnh Vĩnh Phúc</v>
      </c>
      <c r="C1521" t="str">
        <v>https://vinhtuong.vinhphuc.gov.vn/ct/cms/tintuc/Lists/CACXATHITRAN/View_Detail.aspx?ItemID=47</v>
      </c>
      <c r="D1521" t="str">
        <v>-</v>
      </c>
      <c r="E1521" t="str">
        <v>-</v>
      </c>
      <c r="F1521" t="str">
        <v>-</v>
      </c>
      <c r="G1521" t="str">
        <v>-</v>
      </c>
    </row>
    <row r="1522">
      <c r="A1522">
        <v>7521</v>
      </c>
      <c r="B1522" t="str">
        <f>HYPERLINK("https://www.facebook.com/TuoitreConganVinhPhuc/", "Công an xã Tuân Chính  tỉnh Vĩnh Phúc")</f>
        <v>Công an xã Tuân Chính  tỉnh Vĩnh Phúc</v>
      </c>
      <c r="C1522" t="str">
        <v>https://www.facebook.com/TuoitreConganVinhPhuc/</v>
      </c>
      <c r="D1522" t="str">
        <v>-</v>
      </c>
      <c r="E1522" t="str">
        <v/>
      </c>
      <c r="F1522" t="str">
        <v>-</v>
      </c>
      <c r="G1522" t="str">
        <v>-</v>
      </c>
    </row>
    <row r="1523">
      <c r="A1523">
        <v>7522</v>
      </c>
      <c r="B1523" t="str">
        <f>HYPERLINK("https://vinhtuong.vinhphuc.gov.vn/ct/cms/tintuc/Lists/CACXATHITRAN/View_Detail.aspx?ItemID=50", "UBND Ủy ban nhân dân xã Tuân Chính  tỉnh Vĩnh Phúc")</f>
        <v>UBND Ủy ban nhân dân xã Tuân Chính  tỉnh Vĩnh Phúc</v>
      </c>
      <c r="C1523" t="str">
        <v>https://vinhtuong.vinhphuc.gov.vn/ct/cms/tintuc/Lists/CACXATHITRAN/View_Detail.aspx?ItemID=50</v>
      </c>
      <c r="D1523" t="str">
        <v>-</v>
      </c>
      <c r="E1523" t="str">
        <v>-</v>
      </c>
      <c r="F1523" t="str">
        <v>-</v>
      </c>
      <c r="G1523" t="str">
        <v>-</v>
      </c>
    </row>
    <row r="1524">
      <c r="A1524">
        <v>7523</v>
      </c>
      <c r="B1524" t="str">
        <f>HYPERLINK("https://www.facebook.com/TuoitreConganVinhPhuc/", "Công an xã Vân Xuân  tỉnh Vĩnh Phúc")</f>
        <v>Công an xã Vân Xuân  tỉnh Vĩnh Phúc</v>
      </c>
      <c r="C1524" t="str">
        <v>https://www.facebook.com/TuoitreConganVinhPhuc/</v>
      </c>
      <c r="D1524" t="str">
        <v>-</v>
      </c>
      <c r="E1524" t="str">
        <v/>
      </c>
      <c r="F1524" t="str">
        <f>HYPERLINK("mailto:doanconganvp@gmail.com", "doanconganvp@gmail.com")</f>
        <v>doanconganvp@gmail.com</v>
      </c>
      <c r="G1524" t="str">
        <v>số 1 đường tôn đức thắng, Vinh Yen, Vietnam</v>
      </c>
    </row>
    <row r="1525">
      <c r="A1525">
        <v>7524</v>
      </c>
      <c r="B1525" t="str">
        <f>HYPERLINK("https://vinhtuong.vinhphuc.gov.vn/ct/cms/tintuc/Lists/CACXATHITRAN/View_Detail.aspx?ItemID=1", "UBND Ủy ban nhân dân xã Vân Xuân  tỉnh Vĩnh Phúc")</f>
        <v>UBND Ủy ban nhân dân xã Vân Xuân  tỉnh Vĩnh Phúc</v>
      </c>
      <c r="C1525" t="str">
        <v>https://vinhtuong.vinhphuc.gov.vn/ct/cms/tintuc/Lists/CACXATHITRAN/View_Detail.aspx?ItemID=1</v>
      </c>
      <c r="D1525" t="str">
        <v>-</v>
      </c>
      <c r="E1525" t="str">
        <v>-</v>
      </c>
      <c r="F1525" t="str">
        <v>-</v>
      </c>
      <c r="G1525" t="str">
        <v>-</v>
      </c>
    </row>
    <row r="1526">
      <c r="A1526">
        <v>7525</v>
      </c>
      <c r="B1526" t="str">
        <f>HYPERLINK("https://www.facebook.com/TuoitreConganVinhPhuc/", "Công an xã Tam Phúc  tỉnh Vĩnh Phúc")</f>
        <v>Công an xã Tam Phúc  tỉnh Vĩnh Phúc</v>
      </c>
      <c r="C1526" t="str">
        <v>https://www.facebook.com/TuoitreConganVinhPhuc/</v>
      </c>
      <c r="D1526" t="str">
        <v>-</v>
      </c>
      <c r="E1526" t="str">
        <v/>
      </c>
      <c r="F1526" t="str">
        <v>-</v>
      </c>
      <c r="G1526" t="str">
        <v>-</v>
      </c>
    </row>
    <row r="1527">
      <c r="A1527">
        <v>7526</v>
      </c>
      <c r="B1527" t="str">
        <f>HYPERLINK("https://vinhtuong.vinhphuc.gov.vn/ct/cms/tintuc/Lists/CACXATHITRAN/View_Detail.aspx?ItemID=33", "UBND Ủy ban nhân dân xã Tam Phúc  tỉnh Vĩnh Phúc")</f>
        <v>UBND Ủy ban nhân dân xã Tam Phúc  tỉnh Vĩnh Phúc</v>
      </c>
      <c r="C1527" t="str">
        <v>https://vinhtuong.vinhphuc.gov.vn/ct/cms/tintuc/Lists/CACXATHITRAN/View_Detail.aspx?ItemID=33</v>
      </c>
      <c r="D1527" t="str">
        <v>-</v>
      </c>
      <c r="E1527" t="str">
        <v>-</v>
      </c>
      <c r="F1527" t="str">
        <v>-</v>
      </c>
      <c r="G1527" t="str">
        <v>-</v>
      </c>
    </row>
    <row r="1528">
      <c r="A1528">
        <v>7527</v>
      </c>
      <c r="B1528" t="str">
        <v>Công an thị trấn Tứ Trưng  tỉnh Vĩnh Phúc</v>
      </c>
      <c r="C1528" t="str">
        <v>-</v>
      </c>
      <c r="D1528" t="str">
        <v>-</v>
      </c>
      <c r="E1528" t="str">
        <v/>
      </c>
      <c r="F1528" t="str">
        <v>-</v>
      </c>
      <c r="G1528" t="str">
        <v>-</v>
      </c>
    </row>
    <row r="1529">
      <c r="A1529">
        <v>7528</v>
      </c>
      <c r="B1529" t="str">
        <f>HYPERLINK("https://vinhtuong.vinhphuc.gov.vn/ct/cms/tintuc/Lists/CACXATHITRAN/View_Detail.aspx?ItemID=38", "UBND Ủy ban nhân dân thị trấn Tứ Trưng  tỉnh Vĩnh Phúc")</f>
        <v>UBND Ủy ban nhân dân thị trấn Tứ Trưng  tỉnh Vĩnh Phúc</v>
      </c>
      <c r="C1529" t="str">
        <v>https://vinhtuong.vinhphuc.gov.vn/ct/cms/tintuc/Lists/CACXATHITRAN/View_Detail.aspx?ItemID=38</v>
      </c>
      <c r="D1529" t="str">
        <v>-</v>
      </c>
      <c r="E1529" t="str">
        <v>-</v>
      </c>
      <c r="F1529" t="str">
        <v>-</v>
      </c>
      <c r="G1529" t="str">
        <v>-</v>
      </c>
    </row>
    <row r="1530">
      <c r="A1530">
        <v>7529</v>
      </c>
      <c r="B1530" t="str">
        <f>HYPERLINK("https://www.facebook.com/p/Tu%E1%BB%95i-tr%E1%BA%BB-C%C3%B4ng-an-Th%C3%A0nh-ph%E1%BB%91-V%C4%A9nh-Y%C3%AAn-100066497717181/", "Công an xã Ngũ Kiên  tỉnh Vĩnh Phúc")</f>
        <v>Công an xã Ngũ Kiên  tỉnh Vĩnh Phúc</v>
      </c>
      <c r="C1530" t="str">
        <v>https://www.facebook.com/p/Tu%E1%BB%95i-tr%E1%BA%BB-C%C3%B4ng-an-Th%C3%A0nh-ph%E1%BB%91-V%C4%A9nh-Y%C3%AAn-100066497717181/</v>
      </c>
      <c r="D1530" t="str">
        <v>-</v>
      </c>
      <c r="E1530" t="str">
        <v/>
      </c>
      <c r="F1530" t="str">
        <v>-</v>
      </c>
      <c r="G1530" t="str">
        <v>-</v>
      </c>
    </row>
    <row r="1531">
      <c r="A1531">
        <v>7530</v>
      </c>
      <c r="B1531" t="str">
        <f>HYPERLINK("https://vinhtuong.vinhphuc.gov.vn/ct/cms/tintuc/Lists/CACXATHITRAN/View_Detail.aspx?ItemID=5", "UBND Ủy ban nhân dân xã Ngũ Kiên  tỉnh Vĩnh Phúc")</f>
        <v>UBND Ủy ban nhân dân xã Ngũ Kiên  tỉnh Vĩnh Phúc</v>
      </c>
      <c r="C1531" t="str">
        <v>https://vinhtuong.vinhphuc.gov.vn/ct/cms/tintuc/Lists/CACXATHITRAN/View_Detail.aspx?ItemID=5</v>
      </c>
      <c r="D1531" t="str">
        <v>-</v>
      </c>
      <c r="E1531" t="str">
        <v>-</v>
      </c>
      <c r="F1531" t="str">
        <v>-</v>
      </c>
      <c r="G1531" t="str">
        <v>-</v>
      </c>
    </row>
    <row r="1532">
      <c r="A1532">
        <v>7531</v>
      </c>
      <c r="B1532" t="str">
        <f>HYPERLINK("https://www.facebook.com/TuoitreConganVinhPhuc/", "Công an xã An Tường  tỉnh Vĩnh Phúc")</f>
        <v>Công an xã An Tường  tỉnh Vĩnh Phúc</v>
      </c>
      <c r="C1532" t="str">
        <v>https://www.facebook.com/TuoitreConganVinhPhuc/</v>
      </c>
      <c r="D1532" t="str">
        <v>-</v>
      </c>
      <c r="E1532" t="str">
        <v/>
      </c>
      <c r="F1532" t="str">
        <v>-</v>
      </c>
      <c r="G1532" t="str">
        <v>-</v>
      </c>
    </row>
    <row r="1533">
      <c r="A1533">
        <v>7532</v>
      </c>
      <c r="B1533" t="str">
        <f>HYPERLINK("https://vinhtuong.vinhphuc.gov.vn/ct/cms/tintuc/Lists/CACXATHITRAN/View_Detail.aspx?ItemID=4", "UBND Ủy ban nhân dân xã An Tường  tỉnh Vĩnh Phúc")</f>
        <v>UBND Ủy ban nhân dân xã An Tường  tỉnh Vĩnh Phúc</v>
      </c>
      <c r="C1533" t="str">
        <v>https://vinhtuong.vinhphuc.gov.vn/ct/cms/tintuc/Lists/CACXATHITRAN/View_Detail.aspx?ItemID=4</v>
      </c>
      <c r="D1533" t="str">
        <v>-</v>
      </c>
      <c r="E1533" t="str">
        <v>-</v>
      </c>
      <c r="F1533" t="str">
        <v>-</v>
      </c>
      <c r="G1533" t="str">
        <v>-</v>
      </c>
    </row>
    <row r="1534">
      <c r="A1534">
        <v>7533</v>
      </c>
      <c r="B1534" t="str">
        <f>HYPERLINK("https://www.facebook.com/TuoitreConganVinhPhuc/?locale=vi_VN", "Công an xã Vĩnh Thịnh  tỉnh Vĩnh Phúc")</f>
        <v>Công an xã Vĩnh Thịnh  tỉnh Vĩnh Phúc</v>
      </c>
      <c r="C1534" t="str">
        <v>https://www.facebook.com/TuoitreConganVinhPhuc/?locale=vi_VN</v>
      </c>
      <c r="D1534" t="str">
        <v>-</v>
      </c>
      <c r="E1534" t="str">
        <v/>
      </c>
      <c r="F1534" t="str">
        <v>-</v>
      </c>
      <c r="G1534" t="str">
        <v>-</v>
      </c>
    </row>
    <row r="1535">
      <c r="A1535">
        <v>7534</v>
      </c>
      <c r="B1535" t="str">
        <f>HYPERLINK("https://vinhtuong.vinhphuc.gov.vn/ct/cms/tintuc/Lists/CACXATHITRAN/View_Detail.aspx?ItemID=2", "UBND Ủy ban nhân dân xã Vĩnh Thịnh  tỉnh Vĩnh Phúc")</f>
        <v>UBND Ủy ban nhân dân xã Vĩnh Thịnh  tỉnh Vĩnh Phúc</v>
      </c>
      <c r="C1535" t="str">
        <v>https://vinhtuong.vinhphuc.gov.vn/ct/cms/tintuc/Lists/CACXATHITRAN/View_Detail.aspx?ItemID=2</v>
      </c>
      <c r="D1535" t="str">
        <v>-</v>
      </c>
      <c r="E1535" t="str">
        <v>-</v>
      </c>
      <c r="F1535" t="str">
        <v>-</v>
      </c>
      <c r="G1535" t="str">
        <v>-</v>
      </c>
    </row>
    <row r="1536">
      <c r="A1536">
        <v>7535</v>
      </c>
      <c r="B1536" t="str">
        <f>HYPERLINK("https://www.facebook.com/TuoitreConganVinhPhuc/", "Công an xã Phú Đa  tỉnh Vĩnh Phúc")</f>
        <v>Công an xã Phú Đa  tỉnh Vĩnh Phúc</v>
      </c>
      <c r="C1536" t="str">
        <v>https://www.facebook.com/TuoitreConganVinhPhuc/</v>
      </c>
      <c r="D1536" t="str">
        <v>-</v>
      </c>
      <c r="E1536" t="str">
        <v/>
      </c>
      <c r="F1536" t="str">
        <v>-</v>
      </c>
      <c r="G1536" t="str">
        <v>-</v>
      </c>
    </row>
    <row r="1537">
      <c r="A1537">
        <v>7536</v>
      </c>
      <c r="B1537" t="str">
        <f>HYPERLINK("https://vinhtuong.vinhphuc.gov.vn/ct/cms/tintuc/Lists/CACXATHITRAN/View_Detail.aspx?ItemID=49", "UBND Ủy ban nhân dân xã Phú Đa  tỉnh Vĩnh Phúc")</f>
        <v>UBND Ủy ban nhân dân xã Phú Đa  tỉnh Vĩnh Phúc</v>
      </c>
      <c r="C1537" t="str">
        <v>https://vinhtuong.vinhphuc.gov.vn/ct/cms/tintuc/Lists/CACXATHITRAN/View_Detail.aspx?ItemID=49</v>
      </c>
      <c r="D1537" t="str">
        <v>-</v>
      </c>
      <c r="E1537" t="str">
        <v>-</v>
      </c>
      <c r="F1537" t="str">
        <v>-</v>
      </c>
      <c r="G1537" t="str">
        <v>-</v>
      </c>
    </row>
    <row r="1538">
      <c r="A1538">
        <v>7537</v>
      </c>
      <c r="B1538" t="str">
        <f>HYPERLINK("https://www.facebook.com/p/Tu%E1%BB%95i-tr%E1%BA%BB-C%C3%B4ng-an-Th%C3%A0nh-ph%E1%BB%91-V%C4%A9nh-Y%C3%AAn-100066497717181/", "Công an xã Vĩnh Ninh  tỉnh Vĩnh Phúc")</f>
        <v>Công an xã Vĩnh Ninh  tỉnh Vĩnh Phúc</v>
      </c>
      <c r="C1538" t="str">
        <v>https://www.facebook.com/p/Tu%E1%BB%95i-tr%E1%BA%BB-C%C3%B4ng-an-Th%C3%A0nh-ph%E1%BB%91-V%C4%A9nh-Y%C3%AAn-100066497717181/</v>
      </c>
      <c r="D1538" t="str">
        <v>-</v>
      </c>
      <c r="E1538" t="str">
        <v/>
      </c>
      <c r="F1538" t="str">
        <v>-</v>
      </c>
      <c r="G1538" t="str">
        <v>-</v>
      </c>
    </row>
    <row r="1539">
      <c r="A1539">
        <v>7538</v>
      </c>
      <c r="B1539" t="str">
        <f>HYPERLINK("https://vinhtuong.vinhphuc.gov.vn/ct/cms/tintuc/lists/cacxathitran/view_detail.aspx?itemid=3", "UBND Ủy ban nhân dân xã Vĩnh Ninh  tỉnh Vĩnh Phúc")</f>
        <v>UBND Ủy ban nhân dân xã Vĩnh Ninh  tỉnh Vĩnh Phúc</v>
      </c>
      <c r="C1539" t="str">
        <v>https://vinhtuong.vinhphuc.gov.vn/ct/cms/tintuc/lists/cacxathitran/view_detail.aspx?itemid=3</v>
      </c>
      <c r="D1539" t="str">
        <v>-</v>
      </c>
      <c r="E1539" t="str">
        <v>-</v>
      </c>
      <c r="F1539" t="str">
        <v>-</v>
      </c>
      <c r="G1539" t="str">
        <v>-</v>
      </c>
    </row>
    <row r="1540">
      <c r="A1540">
        <v>7539</v>
      </c>
      <c r="B1540" t="str">
        <f>HYPERLINK("https://www.facebook.com/TuoitreConganVinhPhuc/", "Công an xã Lãng Công  tỉnh Vĩnh Phúc")</f>
        <v>Công an xã Lãng Công  tỉnh Vĩnh Phúc</v>
      </c>
      <c r="C1540" t="str">
        <v>https://www.facebook.com/TuoitreConganVinhPhuc/</v>
      </c>
      <c r="D1540" t="str">
        <v>-</v>
      </c>
      <c r="E1540" t="str">
        <v/>
      </c>
      <c r="F1540" t="str">
        <v>-</v>
      </c>
      <c r="G1540" t="str">
        <v>-</v>
      </c>
    </row>
    <row r="1541">
      <c r="A1541">
        <v>7540</v>
      </c>
      <c r="B1541" t="str">
        <f>HYPERLINK("https://songlo.vinhphuc.gov.vn/noidung/Lists/Hethongchinhtri/View_Detail.aspx?ItemID=58", "UBND Ủy ban nhân dân xã Lãng Công  tỉnh Vĩnh Phúc")</f>
        <v>UBND Ủy ban nhân dân xã Lãng Công  tỉnh Vĩnh Phúc</v>
      </c>
      <c r="C1541" t="str">
        <v>https://songlo.vinhphuc.gov.vn/noidung/Lists/Hethongchinhtri/View_Detail.aspx?ItemID=58</v>
      </c>
      <c r="D1541" t="str">
        <v>-</v>
      </c>
      <c r="E1541" t="str">
        <v>-</v>
      </c>
      <c r="F1541" t="str">
        <v>-</v>
      </c>
      <c r="G1541" t="str">
        <v>-</v>
      </c>
    </row>
    <row r="1542">
      <c r="A1542">
        <v>7541</v>
      </c>
      <c r="B1542" t="str">
        <f>HYPERLINK("https://www.facebook.com/p/Tu%E1%BB%95i-tr%E1%BA%BB-C%C3%B4ng-an-Th%C3%A0nh-ph%E1%BB%91-V%C4%A9nh-Y%C3%AAn-100066497717181/", "Công an xã Quang Yên  tỉnh Vĩnh Phúc")</f>
        <v>Công an xã Quang Yên  tỉnh Vĩnh Phúc</v>
      </c>
      <c r="C1542" t="str">
        <v>https://www.facebook.com/p/Tu%E1%BB%95i-tr%E1%BA%BB-C%C3%B4ng-an-Th%C3%A0nh-ph%E1%BB%91-V%C4%A9nh-Y%C3%AAn-100066497717181/</v>
      </c>
      <c r="D1542" t="str">
        <v>-</v>
      </c>
      <c r="E1542" t="str">
        <v>02113861204</v>
      </c>
      <c r="F1542" t="str">
        <v>-</v>
      </c>
      <c r="G1542" t="str">
        <v>Lê Xoay - Ngô Quyền - Vĩnh Yên, Yen, Vietnam</v>
      </c>
    </row>
    <row r="1543">
      <c r="A1543">
        <v>7542</v>
      </c>
      <c r="B1543" t="str">
        <f>HYPERLINK("https://songlo.vinhphuc.gov.vn/SMPT_Publishing_UC/TinTuc/pPrintTinTuc.aspx?UrlList=/ct/cms/tintuc/Lists/Hethongchinhtri&amp;ItemID=56", "UBND Ủy ban nhân dân xã Quang Yên  tỉnh Vĩnh Phúc")</f>
        <v>UBND Ủy ban nhân dân xã Quang Yên  tỉnh Vĩnh Phúc</v>
      </c>
      <c r="C1543" t="str">
        <v>https://songlo.vinhphuc.gov.vn/SMPT_Publishing_UC/TinTuc/pPrintTinTuc.aspx?UrlList=/ct/cms/tintuc/Lists/Hethongchinhtri&amp;ItemID=56</v>
      </c>
      <c r="D1543" t="str">
        <v>-</v>
      </c>
      <c r="E1543" t="str">
        <v>-</v>
      </c>
      <c r="F1543" t="str">
        <v>-</v>
      </c>
      <c r="G1543" t="str">
        <v>-</v>
      </c>
    </row>
    <row r="1544">
      <c r="A1544">
        <v>7543</v>
      </c>
      <c r="B1544" t="str">
        <f>HYPERLINK("https://www.facebook.com/TuoitreConganVinhPhuc/", "Công an xã Bạch Lưu  tỉnh Vĩnh Phúc")</f>
        <v>Công an xã Bạch Lưu  tỉnh Vĩnh Phúc</v>
      </c>
      <c r="C1544" t="str">
        <v>https://www.facebook.com/TuoitreConganVinhPhuc/</v>
      </c>
      <c r="D1544" t="str">
        <v>-</v>
      </c>
      <c r="E1544" t="str">
        <v/>
      </c>
      <c r="F1544" t="str">
        <v>-</v>
      </c>
      <c r="G1544" t="str">
        <v>-</v>
      </c>
    </row>
    <row r="1545">
      <c r="A1545">
        <v>7544</v>
      </c>
      <c r="B1545" t="str">
        <f>HYPERLINK("https://songlo.vinhphuc.gov.vn/noidung/Lists/Hethongchinhtri/View_Detail.aspx?ItemID=47", "UBND Ủy ban nhân dân xã Bạch Lưu  tỉnh Vĩnh Phúc")</f>
        <v>UBND Ủy ban nhân dân xã Bạch Lưu  tỉnh Vĩnh Phúc</v>
      </c>
      <c r="C1545" t="str">
        <v>https://songlo.vinhphuc.gov.vn/noidung/Lists/Hethongchinhtri/View_Detail.aspx?ItemID=47</v>
      </c>
      <c r="D1545" t="str">
        <v>-</v>
      </c>
      <c r="E1545" t="str">
        <v>-</v>
      </c>
      <c r="F1545" t="str">
        <v>-</v>
      </c>
      <c r="G1545" t="str">
        <v>-</v>
      </c>
    </row>
    <row r="1546">
      <c r="A1546">
        <v>7545</v>
      </c>
      <c r="B1546" t="str">
        <f>HYPERLINK("https://www.facebook.com/p/An-ninh-tr%E1%BA%ADt-t%E1%BB%B1-x%C3%A3-H%E1%BA%A3i-L%E1%BB%B1u-100077994290426/", "Công an xã Hải Lựu  tỉnh Vĩnh Phúc")</f>
        <v>Công an xã Hải Lựu  tỉnh Vĩnh Phúc</v>
      </c>
      <c r="C1546" t="str">
        <v>https://www.facebook.com/p/An-ninh-tr%E1%BA%ADt-t%E1%BB%B1-x%C3%A3-H%E1%BA%A3i-L%E1%BB%B1u-100077994290426/</v>
      </c>
      <c r="D1546" t="str">
        <v>-</v>
      </c>
      <c r="E1546" t="str">
        <v>02113892594</v>
      </c>
      <c r="F1546" t="str">
        <f>HYPERLINK("mailto:Phungha985@gmail.com", "Phungha985@gmail.com")</f>
        <v>Phungha985@gmail.com</v>
      </c>
      <c r="G1546" t="str">
        <v>-</v>
      </c>
    </row>
    <row r="1547">
      <c r="A1547">
        <v>7546</v>
      </c>
      <c r="B1547" t="str">
        <f>HYPERLINK("https://songlo.vinhphuc.gov.vn/ct/cms/tintuc/Lists/Hethongchinhtri/View_Detail.aspx?ItemID=55", "UBND Ủy ban nhân dân xã Hải Lựu  tỉnh Vĩnh Phúc")</f>
        <v>UBND Ủy ban nhân dân xã Hải Lựu  tỉnh Vĩnh Phúc</v>
      </c>
      <c r="C1547" t="str">
        <v>https://songlo.vinhphuc.gov.vn/ct/cms/tintuc/Lists/Hethongchinhtri/View_Detail.aspx?ItemID=55</v>
      </c>
      <c r="D1547" t="str">
        <v>-</v>
      </c>
      <c r="E1547" t="str">
        <v>-</v>
      </c>
      <c r="F1547" t="str">
        <v>-</v>
      </c>
      <c r="G1547" t="str">
        <v>-</v>
      </c>
    </row>
    <row r="1548">
      <c r="A1548">
        <v>7547</v>
      </c>
      <c r="B1548" t="str">
        <f>HYPERLINK("https://www.facebook.com/vinhphuctuoidep/", "Công an xã Đồng Quế  tỉnh Vĩnh Phúc")</f>
        <v>Công an xã Đồng Quế  tỉnh Vĩnh Phúc</v>
      </c>
      <c r="C1548" t="str">
        <v>https://www.facebook.com/vinhphuctuoidep/</v>
      </c>
      <c r="D1548" t="str">
        <v>-</v>
      </c>
      <c r="E1548" t="str">
        <v/>
      </c>
      <c r="F1548" t="str">
        <v>-</v>
      </c>
      <c r="G1548" t="str">
        <v>-</v>
      </c>
    </row>
    <row r="1549">
      <c r="A1549">
        <v>7548</v>
      </c>
      <c r="B1549" t="str">
        <f>HYPERLINK("https://songlo.vinhphuc.gov.vn/SMPT_Publishing_UC/TinTuc/pPrintTinTuc.aspx?UrlList=/ct/cms/tintuc/Lists/Hethongchinhtri&amp;ItemID=59", "UBND Ủy ban nhân dân xã Đồng Quế  tỉnh Vĩnh Phúc")</f>
        <v>UBND Ủy ban nhân dân xã Đồng Quế  tỉnh Vĩnh Phúc</v>
      </c>
      <c r="C1549" t="str">
        <v>https://songlo.vinhphuc.gov.vn/SMPT_Publishing_UC/TinTuc/pPrintTinTuc.aspx?UrlList=/ct/cms/tintuc/Lists/Hethongchinhtri&amp;ItemID=59</v>
      </c>
      <c r="D1549" t="str">
        <v>-</v>
      </c>
      <c r="E1549" t="str">
        <v>-</v>
      </c>
      <c r="F1549" t="str">
        <v>-</v>
      </c>
      <c r="G1549" t="str">
        <v>-</v>
      </c>
    </row>
    <row r="1550">
      <c r="A1550">
        <v>7549</v>
      </c>
      <c r="B1550" t="str">
        <f>HYPERLINK("https://www.facebook.com/p/An-ninh-tr%E1%BA%ADt-t%E1%BB%B1-x%C3%A3-Nh%C3%A2n-%C4%90%E1%BA%A1o-100066176750036/", "Công an xã Nhân Đạo  tỉnh Vĩnh Phúc")</f>
        <v>Công an xã Nhân Đạo  tỉnh Vĩnh Phúc</v>
      </c>
      <c r="C1550" t="str">
        <v>https://www.facebook.com/p/An-ninh-tr%E1%BA%ADt-t%E1%BB%B1-x%C3%A3-Nh%C3%A2n-%C4%90%E1%BA%A1o-100066176750036/</v>
      </c>
      <c r="D1550" t="str">
        <v>-</v>
      </c>
      <c r="E1550" t="str">
        <v>02113696305</v>
      </c>
      <c r="F1550" t="str">
        <v>-</v>
      </c>
      <c r="G1550" t="str">
        <v>-</v>
      </c>
    </row>
    <row r="1551">
      <c r="A1551">
        <v>7550</v>
      </c>
      <c r="B1551" t="str">
        <f>HYPERLINK("https://songlo.vinhphuc.gov.vn/noidung/Lists/Hethongchinhtri/View_Detail.aspx?ItemID=49", "UBND Ủy ban nhân dân xã Nhân Đạo  tỉnh Vĩnh Phúc")</f>
        <v>UBND Ủy ban nhân dân xã Nhân Đạo  tỉnh Vĩnh Phúc</v>
      </c>
      <c r="C1551" t="str">
        <v>https://songlo.vinhphuc.gov.vn/noidung/Lists/Hethongchinhtri/View_Detail.aspx?ItemID=49</v>
      </c>
      <c r="D1551" t="str">
        <v>-</v>
      </c>
      <c r="E1551" t="str">
        <v>-</v>
      </c>
      <c r="F1551" t="str">
        <v>-</v>
      </c>
      <c r="G1551" t="str">
        <v>-</v>
      </c>
    </row>
    <row r="1552">
      <c r="A1552">
        <v>7551</v>
      </c>
      <c r="B1552" t="str">
        <f>HYPERLINK("https://www.facebook.com/XaDonNhanSongLoVinhPhuc/", "Công an xã Đôn Nhân  tỉnh Vĩnh Phúc")</f>
        <v>Công an xã Đôn Nhân  tỉnh Vĩnh Phúc</v>
      </c>
      <c r="C1552" t="str">
        <v>https://www.facebook.com/XaDonNhanSongLoVinhPhuc/</v>
      </c>
      <c r="D1552" t="str">
        <v>0376296626</v>
      </c>
      <c r="E1552" t="str">
        <v>-</v>
      </c>
      <c r="F1552" t="str">
        <f>HYPERLINK("mailto:Fanpagexadonnhan@gmail.com", "Fanpagexadonnhan@gmail.com")</f>
        <v>Fanpagexadonnhan@gmail.com</v>
      </c>
      <c r="G1552" t="str">
        <v>Xã Đôn Nhân, Huyện Sông Lô, Vĩnh Phúc, Vietnam</v>
      </c>
    </row>
    <row r="1553">
      <c r="A1553">
        <v>7552</v>
      </c>
      <c r="B1553" t="str">
        <f>HYPERLINK("https://songlo.vinhphuc.gov.vn/noidung/Lists/Hethongchinhtri/View_Detail.aspx?ItemID=62", "UBND Ủy ban nhân dân xã Đôn Nhân  tỉnh Vĩnh Phúc")</f>
        <v>UBND Ủy ban nhân dân xã Đôn Nhân  tỉnh Vĩnh Phúc</v>
      </c>
      <c r="C1553" t="str">
        <v>https://songlo.vinhphuc.gov.vn/noidung/Lists/Hethongchinhtri/View_Detail.aspx?ItemID=62</v>
      </c>
      <c r="D1553" t="str">
        <v>-</v>
      </c>
      <c r="E1553" t="str">
        <v>-</v>
      </c>
      <c r="F1553" t="str">
        <v>-</v>
      </c>
      <c r="G1553" t="str">
        <v>-</v>
      </c>
    </row>
    <row r="1554">
      <c r="A1554">
        <v>7553</v>
      </c>
      <c r="B1554" t="str">
        <f>HYPERLINK("https://www.facebook.com/TuoitreConganVinhPhuc/", "Công an xã Phương Khoan  tỉnh Vĩnh Phúc")</f>
        <v>Công an xã Phương Khoan  tỉnh Vĩnh Phúc</v>
      </c>
      <c r="C1554" t="str">
        <v>https://www.facebook.com/TuoitreConganVinhPhuc/</v>
      </c>
      <c r="D1554" t="str">
        <v>-</v>
      </c>
      <c r="E1554" t="str">
        <v/>
      </c>
      <c r="F1554" t="str">
        <v>-</v>
      </c>
      <c r="G1554" t="str">
        <v>-</v>
      </c>
    </row>
    <row r="1555">
      <c r="A1555">
        <v>7554</v>
      </c>
      <c r="B1555" t="str">
        <f>HYPERLINK("https://songlo.vinhphuc.gov.vn/SMPT_Publishing_UC/TinTuc/pPrintTinTuc.aspx?UrlList=/noidung/Lists/Hethongchinhtri&amp;ItemID=57", "UBND Ủy ban nhân dân xã Phương Khoan  tỉnh Vĩnh Phúc")</f>
        <v>UBND Ủy ban nhân dân xã Phương Khoan  tỉnh Vĩnh Phúc</v>
      </c>
      <c r="C1555" t="str">
        <v>https://songlo.vinhphuc.gov.vn/SMPT_Publishing_UC/TinTuc/pPrintTinTuc.aspx?UrlList=/noidung/Lists/Hethongchinhtri&amp;ItemID=57</v>
      </c>
      <c r="D1555" t="str">
        <v>-</v>
      </c>
      <c r="E1555" t="str">
        <v>-</v>
      </c>
      <c r="F1555" t="str">
        <v>-</v>
      </c>
      <c r="G1555" t="str">
        <v>-</v>
      </c>
    </row>
    <row r="1556">
      <c r="A1556">
        <v>7555</v>
      </c>
      <c r="B1556" t="str">
        <f>HYPERLINK("https://www.facebook.com/TuoitreConganVinhPhuc/", "Công an xã Tân Lập  tỉnh Vĩnh Phúc")</f>
        <v>Công an xã Tân Lập  tỉnh Vĩnh Phúc</v>
      </c>
      <c r="C1556" t="str">
        <v>https://www.facebook.com/TuoitreConganVinhPhuc/</v>
      </c>
      <c r="D1556" t="str">
        <v>-</v>
      </c>
      <c r="E1556" t="str">
        <v/>
      </c>
      <c r="F1556" t="str">
        <v>-</v>
      </c>
      <c r="G1556" t="str">
        <v>-</v>
      </c>
    </row>
    <row r="1557">
      <c r="A1557">
        <v>7556</v>
      </c>
      <c r="B1557" t="str">
        <f>HYPERLINK("https://songlo.vinhphuc.gov.vn/noidung/Lists/Hethongchinhtri/View_Detail.aspx?ItemID=50", "UBND Ủy ban nhân dân xã Tân Lập  tỉnh Vĩnh Phúc")</f>
        <v>UBND Ủy ban nhân dân xã Tân Lập  tỉnh Vĩnh Phúc</v>
      </c>
      <c r="C1557" t="str">
        <v>https://songlo.vinhphuc.gov.vn/noidung/Lists/Hethongchinhtri/View_Detail.aspx?ItemID=50</v>
      </c>
      <c r="D1557" t="str">
        <v>-</v>
      </c>
      <c r="E1557" t="str">
        <v>-</v>
      </c>
      <c r="F1557" t="str">
        <v>-</v>
      </c>
      <c r="G1557" t="str">
        <v>-</v>
      </c>
    </row>
    <row r="1558">
      <c r="A1558">
        <v>7557</v>
      </c>
      <c r="B1558" t="str">
        <v>Công an xã Nhạo Sơn  tỉnh Vĩnh Phúc</v>
      </c>
      <c r="C1558" t="str">
        <v>-</v>
      </c>
      <c r="D1558" t="str">
        <v>-</v>
      </c>
      <c r="E1558" t="str">
        <v/>
      </c>
      <c r="F1558" t="str">
        <v>-</v>
      </c>
      <c r="G1558" t="str">
        <v>-</v>
      </c>
    </row>
    <row r="1559">
      <c r="A1559">
        <v>7558</v>
      </c>
      <c r="B1559" t="str">
        <f>HYPERLINK("https://songlo.vinhphuc.gov.vn/noidung/Lists/Hethongchinhtri/View_Detail.aspx?ItemID=56", "UBND Ủy ban nhân dân xã Nhạo Sơn  tỉnh Vĩnh Phúc")</f>
        <v>UBND Ủy ban nhân dân xã Nhạo Sơn  tỉnh Vĩnh Phúc</v>
      </c>
      <c r="C1559" t="str">
        <v>https://songlo.vinhphuc.gov.vn/noidung/Lists/Hethongchinhtri/View_Detail.aspx?ItemID=56</v>
      </c>
      <c r="D1559" t="str">
        <v>-</v>
      </c>
      <c r="E1559" t="str">
        <v>-</v>
      </c>
      <c r="F1559" t="str">
        <v>-</v>
      </c>
      <c r="G1559" t="str">
        <v>-</v>
      </c>
    </row>
    <row r="1560">
      <c r="A1560">
        <v>7559</v>
      </c>
      <c r="B1560" t="str">
        <f>HYPERLINK("https://www.facebook.com/p/Huy%E1%BB%87n-S%C3%B4ng-l%C3%B4-Th%E1%BB%8B-tr%E1%BA%A5n-Tam-S%C6%A1n-100063580323871/", "Công an thị trấn Tam Sơn  tỉnh Vĩnh Phúc")</f>
        <v>Công an thị trấn Tam Sơn  tỉnh Vĩnh Phúc</v>
      </c>
      <c r="C1560" t="str">
        <v>https://www.facebook.com/p/Huy%E1%BB%87n-S%C3%B4ng-l%C3%B4-Th%E1%BB%8B-tr%E1%BA%A5n-Tam-S%C6%A1n-100063580323871/</v>
      </c>
      <c r="D1560" t="str">
        <v>-</v>
      </c>
      <c r="E1560" t="str">
        <v/>
      </c>
      <c r="F1560" t="str">
        <v>-</v>
      </c>
      <c r="G1560" t="str">
        <v>-</v>
      </c>
    </row>
    <row r="1561">
      <c r="A1561">
        <v>7560</v>
      </c>
      <c r="B1561" t="str">
        <f>HYPERLINK("https://songlo.vinhphuc.gov.vn/noidung/Lists/Hethongchinhtri/View_Detail.aspx?ItemID=51", "UBND Ủy ban nhân dân thị trấn Tam Sơn  tỉnh Vĩnh Phúc")</f>
        <v>UBND Ủy ban nhân dân thị trấn Tam Sơn  tỉnh Vĩnh Phúc</v>
      </c>
      <c r="C1561" t="str">
        <v>https://songlo.vinhphuc.gov.vn/noidung/Lists/Hethongchinhtri/View_Detail.aspx?ItemID=51</v>
      </c>
      <c r="D1561" t="str">
        <v>-</v>
      </c>
      <c r="E1561" t="str">
        <v>-</v>
      </c>
      <c r="F1561" t="str">
        <v>-</v>
      </c>
      <c r="G1561" t="str">
        <v>-</v>
      </c>
    </row>
    <row r="1562">
      <c r="A1562">
        <v>7561</v>
      </c>
      <c r="B1562" t="str">
        <f>HYPERLINK("https://www.facebook.com/NhuthuySL.ANtt/", "Công an xã Như Thụy  tỉnh Vĩnh Phúc")</f>
        <v>Công an xã Như Thụy  tỉnh Vĩnh Phúc</v>
      </c>
      <c r="C1562" t="str">
        <v>https://www.facebook.com/NhuthuySL.ANtt/</v>
      </c>
      <c r="D1562" t="str">
        <v>-</v>
      </c>
      <c r="E1562" t="str">
        <v/>
      </c>
      <c r="F1562" t="str">
        <f>HYPERLINK("mailto:caxnhuthuy053@gmail.com", "caxnhuthuy053@gmail.com")</f>
        <v>caxnhuthuy053@gmail.com</v>
      </c>
      <c r="G1562" t="str">
        <v>Tỉnh Vĩnh Phúc, Vietnam</v>
      </c>
    </row>
    <row r="1563">
      <c r="A1563">
        <v>7562</v>
      </c>
      <c r="B1563" t="str">
        <f>HYPERLINK("https://songlo.vinhphuc.gov.vn/noidung/Lists/Hethongchinhtri/View_Detail.aspx?ItemID=54", "UBND Ủy ban nhân dân xã Như Thụy  tỉnh Vĩnh Phúc")</f>
        <v>UBND Ủy ban nhân dân xã Như Thụy  tỉnh Vĩnh Phúc</v>
      </c>
      <c r="C1563" t="str">
        <v>https://songlo.vinhphuc.gov.vn/noidung/Lists/Hethongchinhtri/View_Detail.aspx?ItemID=54</v>
      </c>
      <c r="D1563" t="str">
        <v>-</v>
      </c>
      <c r="E1563" t="str">
        <v>-</v>
      </c>
      <c r="F1563" t="str">
        <v>-</v>
      </c>
      <c r="G1563" t="str">
        <v>-</v>
      </c>
    </row>
    <row r="1564">
      <c r="A1564">
        <v>7563</v>
      </c>
      <c r="B1564" t="str">
        <f>HYPERLINK("https://www.facebook.com/xayenthach/", "Công an xã Yên Thạch  tỉnh Vĩnh Phúc")</f>
        <v>Công an xã Yên Thạch  tỉnh Vĩnh Phúc</v>
      </c>
      <c r="C1564" t="str">
        <v>https://www.facebook.com/xayenthach/</v>
      </c>
      <c r="D1564" t="str">
        <v>0976168344</v>
      </c>
      <c r="E1564" t="str">
        <v>-</v>
      </c>
      <c r="F1564" t="str">
        <v>-</v>
      </c>
      <c r="G1564" t="str">
        <v>-</v>
      </c>
    </row>
    <row r="1565">
      <c r="A1565">
        <v>7564</v>
      </c>
      <c r="B1565" t="str">
        <f>HYPERLINK("https://songlo.vinhphuc.gov.vn/noidung/Lists/Hethongchinhtri/View_Detail.aspx?ItemID=61", "UBND Ủy ban nhân dân xã Yên Thạch  tỉnh Vĩnh Phúc")</f>
        <v>UBND Ủy ban nhân dân xã Yên Thạch  tỉnh Vĩnh Phúc</v>
      </c>
      <c r="C1565" t="str">
        <v>https://songlo.vinhphuc.gov.vn/noidung/Lists/Hethongchinhtri/View_Detail.aspx?ItemID=61</v>
      </c>
      <c r="D1565" t="str">
        <v>-</v>
      </c>
      <c r="E1565" t="str">
        <v>-</v>
      </c>
      <c r="F1565" t="str">
        <v>-</v>
      </c>
      <c r="G1565" t="str">
        <v>-</v>
      </c>
    </row>
    <row r="1566">
      <c r="A1566">
        <v>7565</v>
      </c>
      <c r="B1566" t="str">
        <f>HYPERLINK("https://www.facebook.com/ANM.VINHPHUC/", "Công an xã Đồng Thịnh  tỉnh Vĩnh Phúc")</f>
        <v>Công an xã Đồng Thịnh  tỉnh Vĩnh Phúc</v>
      </c>
      <c r="C1566" t="str">
        <v>https://www.facebook.com/ANM.VINHPHUC/</v>
      </c>
      <c r="D1566" t="str">
        <v>-</v>
      </c>
      <c r="E1566" t="str">
        <v>02113757999</v>
      </c>
      <c r="F1566" t="str">
        <v>-</v>
      </c>
      <c r="G1566" t="str">
        <v>Đường Tôn Đức Thắng, Phường Khai Quang, Thành phố Vĩnh Yên, Tỉnh Vĩnh Phúc, Vietnam</v>
      </c>
    </row>
    <row r="1567">
      <c r="A1567">
        <v>7566</v>
      </c>
      <c r="B1567" t="str">
        <f>HYPERLINK("https://songlo.vinhphuc.gov.vn/noidung/Lists/Hethongchinhtri/View_Detail.aspx?ItemID=53", "UBND Ủy ban nhân dân xã Đồng Thịnh  tỉnh Vĩnh Phúc")</f>
        <v>UBND Ủy ban nhân dân xã Đồng Thịnh  tỉnh Vĩnh Phúc</v>
      </c>
      <c r="C1567" t="str">
        <v>https://songlo.vinhphuc.gov.vn/noidung/Lists/Hethongchinhtri/View_Detail.aspx?ItemID=53</v>
      </c>
      <c r="D1567" t="str">
        <v>-</v>
      </c>
      <c r="E1567" t="str">
        <v>-</v>
      </c>
      <c r="F1567" t="str">
        <v>-</v>
      </c>
      <c r="G1567" t="str">
        <v>-</v>
      </c>
    </row>
    <row r="1568">
      <c r="A1568">
        <v>7567</v>
      </c>
      <c r="B1568" t="str">
        <v>Công an xã Tứ Yên  tỉnh Vĩnh Phúc</v>
      </c>
      <c r="C1568" t="str">
        <v>-</v>
      </c>
      <c r="D1568" t="str">
        <v>-</v>
      </c>
      <c r="E1568" t="str">
        <v/>
      </c>
      <c r="F1568" t="str">
        <v>-</v>
      </c>
      <c r="G1568" t="str">
        <v>-</v>
      </c>
    </row>
    <row r="1569">
      <c r="A1569">
        <v>7568</v>
      </c>
      <c r="B1569" t="str">
        <f>HYPERLINK("https://songlo.vinhphuc.gov.vn/ct/cms/tintuc/Lists/Hethongchinhtri/View_Detail.aspx?ItemID=65", "UBND Ủy ban nhân dân xã Tứ Yên  tỉnh Vĩnh Phúc")</f>
        <v>UBND Ủy ban nhân dân xã Tứ Yên  tỉnh Vĩnh Phúc</v>
      </c>
      <c r="C1569" t="str">
        <v>https://songlo.vinhphuc.gov.vn/ct/cms/tintuc/Lists/Hethongchinhtri/View_Detail.aspx?ItemID=65</v>
      </c>
      <c r="D1569" t="str">
        <v>-</v>
      </c>
      <c r="E1569" t="str">
        <v>-</v>
      </c>
      <c r="F1569" t="str">
        <v>-</v>
      </c>
      <c r="G1569" t="str">
        <v>-</v>
      </c>
    </row>
    <row r="1570">
      <c r="A1570">
        <v>7569</v>
      </c>
      <c r="B1570" t="str">
        <v>Công an xã Đức Bác  tỉnh Vĩnh Phúc</v>
      </c>
      <c r="C1570" t="str">
        <v>-</v>
      </c>
      <c r="D1570" t="str">
        <v>-</v>
      </c>
      <c r="E1570" t="str">
        <v/>
      </c>
      <c r="F1570" t="str">
        <v>-</v>
      </c>
      <c r="G1570" t="str">
        <v>-</v>
      </c>
    </row>
    <row r="1571">
      <c r="A1571">
        <v>7570</v>
      </c>
      <c r="B1571" t="str">
        <f>HYPERLINK("https://songlo.vinhphuc.gov.vn/noidung/Lists/Hethongchinhtri/View_Detail.aspx?ItemID=59", "UBND Ủy ban nhân dân xã Đức Bác  tỉnh Vĩnh Phúc")</f>
        <v>UBND Ủy ban nhân dân xã Đức Bác  tỉnh Vĩnh Phúc</v>
      </c>
      <c r="C1571" t="str">
        <v>https://songlo.vinhphuc.gov.vn/noidung/Lists/Hethongchinhtri/View_Detail.aspx?ItemID=59</v>
      </c>
      <c r="D1571" t="str">
        <v>-</v>
      </c>
      <c r="E1571" t="str">
        <v>-</v>
      </c>
      <c r="F1571" t="str">
        <v>-</v>
      </c>
      <c r="G1571" t="str">
        <v>-</v>
      </c>
    </row>
    <row r="1572">
      <c r="A1572">
        <v>7571</v>
      </c>
      <c r="B1572" t="str">
        <f>HYPERLINK("https://www.facebook.com/Caophongsonglovinhphuc/?locale=vi_VN", "Công an xã Cao Phong  tỉnh Vĩnh Phúc")</f>
        <v>Công an xã Cao Phong  tỉnh Vĩnh Phúc</v>
      </c>
      <c r="C1572" t="str">
        <v>https://www.facebook.com/Caophongsonglovinhphuc/?locale=vi_VN</v>
      </c>
      <c r="D1572" t="str">
        <v>-</v>
      </c>
      <c r="E1572" t="str">
        <v/>
      </c>
      <c r="F1572" t="str">
        <v>-</v>
      </c>
      <c r="G1572" t="str">
        <v>-</v>
      </c>
    </row>
    <row r="1573">
      <c r="A1573">
        <v>7572</v>
      </c>
      <c r="B1573" t="str">
        <f>HYPERLINK("https://songlo.vinhphuc.gov.vn/ct/cms/tintuc/Lists/Hethongchinhtri/View_Detail.aspx?ItemID=67", "UBND Ủy ban nhân dân xã Cao Phong  tỉnh Vĩnh Phúc")</f>
        <v>UBND Ủy ban nhân dân xã Cao Phong  tỉnh Vĩnh Phúc</v>
      </c>
      <c r="C1573" t="str">
        <v>https://songlo.vinhphuc.gov.vn/ct/cms/tintuc/Lists/Hethongchinhtri/View_Detail.aspx?ItemID=67</v>
      </c>
      <c r="D1573" t="str">
        <v>-</v>
      </c>
      <c r="E1573" t="str">
        <v>-</v>
      </c>
      <c r="F1573" t="str">
        <v>-</v>
      </c>
      <c r="G1573" t="str">
        <v>-</v>
      </c>
    </row>
    <row r="1574">
      <c r="A1574">
        <v>7573</v>
      </c>
      <c r="B1574" t="str">
        <f>HYPERLINK("https://www.facebook.com/p/C%C3%B4ng-an-Ph%C6%B0%E1%BB%9Dng-V%C5%A9-Ninh-th%C3%A0nh-ph%E1%BB%91-B%E1%BA%AFc-Ninh-100078442014482/?locale=vi_VN", "Công an phường Vũ Ninh  tỉnh Bắc Ninh")</f>
        <v>Công an phường Vũ Ninh  tỉnh Bắc Ninh</v>
      </c>
      <c r="C1574" t="str">
        <v>https://www.facebook.com/p/C%C3%B4ng-an-Ph%C6%B0%E1%BB%9Dng-V%C5%A9-Ninh-th%C3%A0nh-ph%E1%BB%91-B%E1%BA%AFc-Ninh-100078442014482/?locale=vi_VN</v>
      </c>
      <c r="D1574" t="str">
        <v>-</v>
      </c>
      <c r="E1574" t="str">
        <v>02223870469</v>
      </c>
      <c r="F1574" t="str">
        <f>HYPERLINK("mailto:capvuninh09163@gmail.com", "capvuninh09163@gmail.com")</f>
        <v>capvuninh09163@gmail.com</v>
      </c>
      <c r="G1574" t="str">
        <v>phố Phạm Sư Mạnh, khu Thanh Sơn, P. Vũ Ninh, Bac Ninh, Vietnam</v>
      </c>
    </row>
    <row r="1575">
      <c r="A1575">
        <v>7574</v>
      </c>
      <c r="B1575" t="str">
        <f>HYPERLINK("https://tpbacninh.bacninh.gov.vn/ubnd-phuong-vu-ninh", "UBND Ủy ban nhân dân phường Vũ Ninh  tỉnh Bắc Ninh")</f>
        <v>UBND Ủy ban nhân dân phường Vũ Ninh  tỉnh Bắc Ninh</v>
      </c>
      <c r="C1575" t="str">
        <v>https://tpbacninh.bacninh.gov.vn/ubnd-phuong-vu-ninh</v>
      </c>
      <c r="D1575" t="str">
        <v>-</v>
      </c>
      <c r="E1575" t="str">
        <v>-</v>
      </c>
      <c r="F1575" t="str">
        <v>-</v>
      </c>
      <c r="G1575" t="str">
        <v>-</v>
      </c>
    </row>
    <row r="1576">
      <c r="A1576">
        <v>7575</v>
      </c>
      <c r="B1576" t="str">
        <f>HYPERLINK("https://www.facebook.com/100079518109703", "Công an phường Đáp Cầu  tỉnh Bắc Ninh")</f>
        <v>Công an phường Đáp Cầu  tỉnh Bắc Ninh</v>
      </c>
      <c r="C1576" t="str">
        <v>https://www.facebook.com/100079518109703</v>
      </c>
      <c r="D1576" t="str">
        <v>-</v>
      </c>
      <c r="E1576" t="str">
        <v/>
      </c>
      <c r="F1576" t="str">
        <v>-</v>
      </c>
      <c r="G1576" t="str">
        <v>-</v>
      </c>
    </row>
    <row r="1577">
      <c r="A1577">
        <v>7576</v>
      </c>
      <c r="B1577" t="str">
        <f>HYPERLINK("https://www.bacninh.gov.vn/web/phuongdapcau/thong-tin-lien-he", "UBND Ủy ban nhân dân phường Đáp Cầu  tỉnh Bắc Ninh")</f>
        <v>UBND Ủy ban nhân dân phường Đáp Cầu  tỉnh Bắc Ninh</v>
      </c>
      <c r="C1577" t="str">
        <v>https://www.bacninh.gov.vn/web/phuongdapcau/thong-tin-lien-he</v>
      </c>
      <c r="D1577" t="str">
        <v>-</v>
      </c>
      <c r="E1577" t="str">
        <v>-</v>
      </c>
      <c r="F1577" t="str">
        <v>-</v>
      </c>
      <c r="G1577" t="str">
        <v>-</v>
      </c>
    </row>
    <row r="1578">
      <c r="A1578">
        <v>7577</v>
      </c>
      <c r="B1578" t="str">
        <f>HYPERLINK("https://www.facebook.com/p/C%C3%B4ng-an-Ph%C6%B0%E1%BB%9Dng-Th%E1%BB%8B-c%E1%BA%A7u-TP-B%E1%BA%AFc-Ninh-100079649779255/", "Công an phường Thị Cầu  tỉnh Bắc Ninh")</f>
        <v>Công an phường Thị Cầu  tỉnh Bắc Ninh</v>
      </c>
      <c r="C1578" t="str">
        <v>https://www.facebook.com/p/C%C3%B4ng-an-Ph%C6%B0%E1%BB%9Dng-Th%E1%BB%8B-c%E1%BA%A7u-TP-B%E1%BA%AFc-Ninh-100079649779255/</v>
      </c>
      <c r="D1578" t="str">
        <v>-</v>
      </c>
      <c r="E1578" t="str">
        <v/>
      </c>
      <c r="F1578" t="str">
        <v>-</v>
      </c>
      <c r="G1578" t="str">
        <v>-</v>
      </c>
    </row>
    <row r="1579">
      <c r="A1579">
        <v>7578</v>
      </c>
      <c r="B1579" t="str">
        <f>HYPERLINK("https://tpbacninh.bacninh.gov.vn/ubnd-phuong-thi-cau", "UBND Ủy ban nhân dân phường Thị Cầu  tỉnh Bắc Ninh")</f>
        <v>UBND Ủy ban nhân dân phường Thị Cầu  tỉnh Bắc Ninh</v>
      </c>
      <c r="C1579" t="str">
        <v>https://tpbacninh.bacninh.gov.vn/ubnd-phuong-thi-cau</v>
      </c>
      <c r="D1579" t="str">
        <v>-</v>
      </c>
      <c r="E1579" t="str">
        <v>-</v>
      </c>
      <c r="F1579" t="str">
        <v>-</v>
      </c>
      <c r="G1579" t="str">
        <v>-</v>
      </c>
    </row>
    <row r="1580">
      <c r="A1580">
        <v>7579</v>
      </c>
      <c r="B1580" t="str">
        <f>HYPERLINK("https://www.facebook.com/p/CAP-Kinh-B%E1%BA%AFcTP-B%E1%BA%AFc-Ninh-100075973465654/", "Công an phường Kinh Bắc  tỉnh Bắc Ninh")</f>
        <v>Công an phường Kinh Bắc  tỉnh Bắc Ninh</v>
      </c>
      <c r="C1580" t="str">
        <v>https://www.facebook.com/p/CAP-Kinh-B%E1%BA%AFcTP-B%E1%BA%AFc-Ninh-100075973465654/</v>
      </c>
      <c r="D1580" t="str">
        <v>-</v>
      </c>
      <c r="E1580" t="str">
        <v>02223857268</v>
      </c>
      <c r="F1580" t="str">
        <f>HYPERLINK("mailto:Capkinhbac2021@gmail.com", "Capkinhbac2021@gmail.com")</f>
        <v>Capkinhbac2021@gmail.com</v>
      </c>
      <c r="G1580" t="str">
        <v>Hồ Ngọc Lân, Kinh Bắc, Bac Ninh, Vietnam</v>
      </c>
    </row>
    <row r="1581">
      <c r="A1581">
        <v>7580</v>
      </c>
      <c r="B1581" t="str">
        <f>HYPERLINK("https://www.bacninh.gov.vn/web/phuongkinhbac", "UBND Ủy ban nhân dân phường Kinh Bắc  tỉnh Bắc Ninh")</f>
        <v>UBND Ủy ban nhân dân phường Kinh Bắc  tỉnh Bắc Ninh</v>
      </c>
      <c r="C1581" t="str">
        <v>https://www.bacninh.gov.vn/web/phuongkinhbac</v>
      </c>
      <c r="D1581" t="str">
        <v>-</v>
      </c>
      <c r="E1581" t="str">
        <v>-</v>
      </c>
      <c r="F1581" t="str">
        <v>-</v>
      </c>
      <c r="G1581" t="str">
        <v>-</v>
      </c>
    </row>
    <row r="1582">
      <c r="A1582">
        <v>7581</v>
      </c>
      <c r="B1582" t="str">
        <v>Công an phường Vệ An  tỉnh Bắc Ninh</v>
      </c>
      <c r="C1582" t="str">
        <v>-</v>
      </c>
      <c r="D1582" t="str">
        <v>-</v>
      </c>
      <c r="E1582" t="str">
        <v/>
      </c>
      <c r="F1582" t="str">
        <v>-</v>
      </c>
      <c r="G1582" t="str">
        <v>-</v>
      </c>
    </row>
    <row r="1583">
      <c r="A1583">
        <v>7582</v>
      </c>
      <c r="B1583" t="str">
        <f>HYPERLINK("https://tpbacninh.bacninh.gov.vn/ubnd-phuong-ve-an", "UBND Ủy ban nhân dân phường Vệ An  tỉnh Bắc Ninh")</f>
        <v>UBND Ủy ban nhân dân phường Vệ An  tỉnh Bắc Ninh</v>
      </c>
      <c r="C1583" t="str">
        <v>https://tpbacninh.bacninh.gov.vn/ubnd-phuong-ve-an</v>
      </c>
      <c r="D1583" t="str">
        <v>-</v>
      </c>
      <c r="E1583" t="str">
        <v>-</v>
      </c>
      <c r="F1583" t="str">
        <v>-</v>
      </c>
      <c r="G1583" t="str">
        <v>-</v>
      </c>
    </row>
    <row r="1584">
      <c r="A1584">
        <v>7583</v>
      </c>
      <c r="B1584" t="str">
        <f>HYPERLINK("https://www.facebook.com/p/C%C3%B4ng-an-ph%C6%B0%E1%BB%9Dng-Ti%E1%BB%81n-An-100081063382467/", "Công an phường Tiền An  tỉnh Bắc Ninh")</f>
        <v>Công an phường Tiền An  tỉnh Bắc Ninh</v>
      </c>
      <c r="C1584" t="str">
        <v>https://www.facebook.com/p/C%C3%B4ng-an-ph%C6%B0%E1%BB%9Dng-Ti%E1%BB%81n-An-100081063382467/</v>
      </c>
      <c r="D1584" t="str">
        <v>-</v>
      </c>
      <c r="E1584" t="str">
        <v/>
      </c>
      <c r="F1584" t="str">
        <v>-</v>
      </c>
      <c r="G1584" t="str">
        <v>-</v>
      </c>
    </row>
    <row r="1585">
      <c r="A1585">
        <v>7584</v>
      </c>
      <c r="B1585" t="str">
        <f>HYPERLINK("https://www.bacninh.gov.vn/web/phuongtienan/thong-tin-lien-he", "UBND Ủy ban nhân dân phường Tiền An  tỉnh Bắc Ninh")</f>
        <v>UBND Ủy ban nhân dân phường Tiền An  tỉnh Bắc Ninh</v>
      </c>
      <c r="C1585" t="str">
        <v>https://www.bacninh.gov.vn/web/phuongtienan/thong-tin-lien-he</v>
      </c>
      <c r="D1585" t="str">
        <v>-</v>
      </c>
      <c r="E1585" t="str">
        <v>-</v>
      </c>
      <c r="F1585" t="str">
        <v>-</v>
      </c>
      <c r="G1585" t="str">
        <v>-</v>
      </c>
    </row>
    <row r="1586">
      <c r="A1586">
        <v>7585</v>
      </c>
      <c r="B1586" t="str">
        <f>HYPERLINK("https://www.facebook.com/p/C%C3%B4ng-an-ph%C6%B0%E1%BB%9Dng-%C4%90%E1%BA%A1i-Ph%C3%BAc-100083094961399/", "Công an phường Đại Phúc  tỉnh Bắc Ninh")</f>
        <v>Công an phường Đại Phúc  tỉnh Bắc Ninh</v>
      </c>
      <c r="C1586" t="str">
        <v>https://www.facebook.com/p/C%C3%B4ng-an-ph%C6%B0%E1%BB%9Dng-%C4%90%E1%BA%A1i-Ph%C3%BAc-100083094961399/</v>
      </c>
      <c r="D1586" t="str">
        <v>-</v>
      </c>
      <c r="E1586" t="str">
        <v/>
      </c>
      <c r="F1586" t="str">
        <v>-</v>
      </c>
      <c r="G1586" t="str">
        <v>-</v>
      </c>
    </row>
    <row r="1587">
      <c r="A1587">
        <v>7586</v>
      </c>
      <c r="B1587" t="str">
        <f>HYPERLINK("https://tpbacninh.bacninh.gov.vn/ubnd-phuong-ai-phuc", "UBND Ủy ban nhân dân phường Đại Phúc  tỉnh Bắc Ninh")</f>
        <v>UBND Ủy ban nhân dân phường Đại Phúc  tỉnh Bắc Ninh</v>
      </c>
      <c r="C1587" t="str">
        <v>https://tpbacninh.bacninh.gov.vn/ubnd-phuong-ai-phuc</v>
      </c>
      <c r="D1587" t="str">
        <v>-</v>
      </c>
      <c r="E1587" t="str">
        <v>-</v>
      </c>
      <c r="F1587" t="str">
        <v>-</v>
      </c>
      <c r="G1587" t="str">
        <v>-</v>
      </c>
    </row>
    <row r="1588">
      <c r="A1588">
        <v>7587</v>
      </c>
      <c r="B1588" t="str">
        <v>Công an phường Ninh Xá  tỉnh Bắc Ninh</v>
      </c>
      <c r="C1588" t="str">
        <v>-</v>
      </c>
      <c r="D1588" t="str">
        <v>-</v>
      </c>
      <c r="E1588" t="str">
        <v/>
      </c>
      <c r="F1588" t="str">
        <v>-</v>
      </c>
      <c r="G1588" t="str">
        <v>-</v>
      </c>
    </row>
    <row r="1589">
      <c r="A1589">
        <v>7588</v>
      </c>
      <c r="B1589" t="str">
        <f>HYPERLINK("https://www.bacninh.gov.vn/web/phuong-ninh-xa/thong-tin-lien-he", "UBND Ủy ban nhân dân phường Ninh Xá  tỉnh Bắc Ninh")</f>
        <v>UBND Ủy ban nhân dân phường Ninh Xá  tỉnh Bắc Ninh</v>
      </c>
      <c r="C1589" t="str">
        <v>https://www.bacninh.gov.vn/web/phuong-ninh-xa/thong-tin-lien-he</v>
      </c>
      <c r="D1589" t="str">
        <v>-</v>
      </c>
      <c r="E1589" t="str">
        <v>-</v>
      </c>
      <c r="F1589" t="str">
        <v>-</v>
      </c>
      <c r="G1589" t="str">
        <v>-</v>
      </c>
    </row>
    <row r="1590">
      <c r="A1590">
        <v>7589</v>
      </c>
      <c r="B1590" t="str">
        <f>HYPERLINK("https://www.facebook.com/CAPSuoiHoa.TPBN/", "Công an phường Suối Hoa  tỉnh Bắc Ninh")</f>
        <v>Công an phường Suối Hoa  tỉnh Bắc Ninh</v>
      </c>
      <c r="C1590" t="str">
        <v>https://www.facebook.com/CAPSuoiHoa.TPBN/</v>
      </c>
      <c r="D1590" t="str">
        <v>-</v>
      </c>
      <c r="E1590" t="str">
        <v/>
      </c>
      <c r="F1590" t="str">
        <v>-</v>
      </c>
      <c r="G1590" t="str">
        <v>-</v>
      </c>
    </row>
    <row r="1591">
      <c r="A1591">
        <v>7590</v>
      </c>
      <c r="B1591" t="str">
        <f>HYPERLINK("https://www.bacninh.gov.vn/web/phuongsuoihoa/thong-tin-lien-he", "UBND Ủy ban nhân dân phường Suối Hoa  tỉnh Bắc Ninh")</f>
        <v>UBND Ủy ban nhân dân phường Suối Hoa  tỉnh Bắc Ninh</v>
      </c>
      <c r="C1591" t="str">
        <v>https://www.bacninh.gov.vn/web/phuongsuoihoa/thong-tin-lien-he</v>
      </c>
      <c r="D1591" t="str">
        <v>-</v>
      </c>
      <c r="E1591" t="str">
        <v>-</v>
      </c>
      <c r="F1591" t="str">
        <v>-</v>
      </c>
      <c r="G1591" t="str">
        <v>-</v>
      </c>
    </row>
    <row r="1592">
      <c r="A1592">
        <v>7591</v>
      </c>
      <c r="B1592" t="str">
        <v>Công an phường Võ Cường  tỉnh Bắc Ninh</v>
      </c>
      <c r="C1592" t="str">
        <v>-</v>
      </c>
      <c r="D1592" t="str">
        <v>-</v>
      </c>
      <c r="E1592" t="str">
        <v/>
      </c>
      <c r="F1592" t="str">
        <v>-</v>
      </c>
      <c r="G1592" t="str">
        <v>-</v>
      </c>
    </row>
    <row r="1593">
      <c r="A1593">
        <v>7592</v>
      </c>
      <c r="B1593" t="str">
        <f>HYPERLINK("https://www.bacninh.gov.vn/web/phuongvocuong/thong-tin-lien-he", "UBND Ủy ban nhân dân phường Võ Cường  tỉnh Bắc Ninh")</f>
        <v>UBND Ủy ban nhân dân phường Võ Cường  tỉnh Bắc Ninh</v>
      </c>
      <c r="C1593" t="str">
        <v>https://www.bacninh.gov.vn/web/phuongvocuong/thong-tin-lien-he</v>
      </c>
      <c r="D1593" t="str">
        <v>-</v>
      </c>
      <c r="E1593" t="str">
        <v>-</v>
      </c>
      <c r="F1593" t="str">
        <v>-</v>
      </c>
      <c r="G1593" t="str">
        <v>-</v>
      </c>
    </row>
    <row r="1594">
      <c r="A1594">
        <v>7593</v>
      </c>
      <c r="B1594" t="str">
        <v>Công an xã Hòa Long  tỉnh Bắc Ninh</v>
      </c>
      <c r="C1594" t="str">
        <v>-</v>
      </c>
      <c r="D1594" t="str">
        <v>-</v>
      </c>
      <c r="E1594" t="str">
        <v/>
      </c>
      <c r="F1594" t="str">
        <v>-</v>
      </c>
      <c r="G1594" t="str">
        <v>-</v>
      </c>
    </row>
    <row r="1595">
      <c r="A1595">
        <v>7594</v>
      </c>
      <c r="B1595" t="str">
        <f>HYPERLINK("https://www.bacninh.gov.vn/web/phuonghoalong/thong-tin-lien-he", "UBND Ủy ban nhân dân xã Hòa Long  tỉnh Bắc Ninh")</f>
        <v>UBND Ủy ban nhân dân xã Hòa Long  tỉnh Bắc Ninh</v>
      </c>
      <c r="C1595" t="str">
        <v>https://www.bacninh.gov.vn/web/phuonghoalong/thong-tin-lien-he</v>
      </c>
      <c r="D1595" t="str">
        <v>-</v>
      </c>
      <c r="E1595" t="str">
        <v>-</v>
      </c>
      <c r="F1595" t="str">
        <v>-</v>
      </c>
      <c r="G1595" t="str">
        <v>-</v>
      </c>
    </row>
    <row r="1596">
      <c r="A1596">
        <v>7595</v>
      </c>
      <c r="B1596" t="str">
        <f>HYPERLINK("https://www.facebook.com/p/C%C3%B4ng-an-th%C3%A0nh-ph%E1%BB%91-B%E1%BA%AFc-Ninh-100071529034036/?locale=pl_PL", "Công an phường Vạn An  tỉnh Bắc Ninh")</f>
        <v>Công an phường Vạn An  tỉnh Bắc Ninh</v>
      </c>
      <c r="C1596" t="str">
        <v>https://www.facebook.com/p/C%C3%B4ng-an-th%C3%A0nh-ph%E1%BB%91-B%E1%BA%AFc-Ninh-100071529034036/?locale=pl_PL</v>
      </c>
      <c r="D1596" t="str">
        <v>-</v>
      </c>
      <c r="E1596" t="str">
        <v/>
      </c>
      <c r="F1596" t="str">
        <v>-</v>
      </c>
      <c r="G1596" t="str">
        <v>-</v>
      </c>
    </row>
    <row r="1597">
      <c r="A1597">
        <v>7596</v>
      </c>
      <c r="B1597" t="str">
        <f>HYPERLINK("https://tpbacninh.bacninh.gov.vn/ubnd-phuong-van-an", "UBND Ủy ban nhân dân phường Vạn An  tỉnh Bắc Ninh")</f>
        <v>UBND Ủy ban nhân dân phường Vạn An  tỉnh Bắc Ninh</v>
      </c>
      <c r="C1597" t="str">
        <v>https://tpbacninh.bacninh.gov.vn/ubnd-phuong-van-an</v>
      </c>
      <c r="D1597" t="str">
        <v>-</v>
      </c>
      <c r="E1597" t="str">
        <v>-</v>
      </c>
      <c r="F1597" t="str">
        <v>-</v>
      </c>
      <c r="G1597" t="str">
        <v>-</v>
      </c>
    </row>
    <row r="1598">
      <c r="A1598">
        <v>7597</v>
      </c>
      <c r="B1598" t="str">
        <v>Công an phường Khúc Xuyên  tỉnh Bắc Ninh</v>
      </c>
      <c r="C1598" t="str">
        <v>-</v>
      </c>
      <c r="D1598" t="str">
        <v>-</v>
      </c>
      <c r="E1598" t="str">
        <v/>
      </c>
      <c r="F1598" t="str">
        <v>-</v>
      </c>
      <c r="G1598" t="str">
        <v>-</v>
      </c>
    </row>
    <row r="1599">
      <c r="A1599">
        <v>7598</v>
      </c>
      <c r="B1599" t="str">
        <f>HYPERLINK("https://tpbacninh.bacninh.gov.vn/ubnd-phuong-khuc-xuyen", "UBND Ủy ban nhân dân phường Khúc Xuyên  tỉnh Bắc Ninh")</f>
        <v>UBND Ủy ban nhân dân phường Khúc Xuyên  tỉnh Bắc Ninh</v>
      </c>
      <c r="C1599" t="str">
        <v>https://tpbacninh.bacninh.gov.vn/ubnd-phuong-khuc-xuyen</v>
      </c>
      <c r="D1599" t="str">
        <v>-</v>
      </c>
      <c r="E1599" t="str">
        <v>-</v>
      </c>
      <c r="F1599" t="str">
        <v>-</v>
      </c>
      <c r="G1599" t="str">
        <v>-</v>
      </c>
    </row>
    <row r="1600">
      <c r="A1600">
        <v>7599</v>
      </c>
      <c r="B1600" t="str">
        <f>HYPERLINK("https://www.facebook.com/p/C%C3%B4ng-An-Ph%C6%B0%E1%BB%9Dng-Phong-Kh%C3%AA-100075935294364/", "Công an phường Phong Khê  tỉnh Bắc Ninh")</f>
        <v>Công an phường Phong Khê  tỉnh Bắc Ninh</v>
      </c>
      <c r="C1600" t="str">
        <v>https://www.facebook.com/p/C%C3%B4ng-An-Ph%C6%B0%E1%BB%9Dng-Phong-Kh%C3%AA-100075935294364/</v>
      </c>
      <c r="D1600" t="str">
        <v>-</v>
      </c>
      <c r="E1600" t="str">
        <v/>
      </c>
      <c r="F1600" t="str">
        <v>-</v>
      </c>
      <c r="G1600" t="str">
        <v>-</v>
      </c>
    </row>
    <row r="1601">
      <c r="A1601">
        <v>7600</v>
      </c>
      <c r="B1601" t="str">
        <f>HYPERLINK("https://www.bacninh.gov.vn/web/phuongphongkhe/thong-tin-lien-he", "UBND Ủy ban nhân dân phường Phong Khê  tỉnh Bắc Ninh")</f>
        <v>UBND Ủy ban nhân dân phường Phong Khê  tỉnh Bắc Ninh</v>
      </c>
      <c r="C1601" t="str">
        <v>https://www.bacninh.gov.vn/web/phuongphongkhe/thong-tin-lien-he</v>
      </c>
      <c r="D1601" t="str">
        <v>-</v>
      </c>
      <c r="E1601" t="str">
        <v>-</v>
      </c>
      <c r="F1601" t="str">
        <v>-</v>
      </c>
      <c r="G1601" t="str">
        <v>-</v>
      </c>
    </row>
    <row r="1602">
      <c r="A1602">
        <v>7601</v>
      </c>
      <c r="B1602" t="str">
        <v>Công an xã Kim Chân  tỉnh Bắc Ninh</v>
      </c>
      <c r="C1602" t="str">
        <v>-</v>
      </c>
      <c r="D1602" t="str">
        <v>-</v>
      </c>
      <c r="E1602" t="str">
        <v/>
      </c>
      <c r="F1602" t="str">
        <v>-</v>
      </c>
      <c r="G1602" t="str">
        <v>-</v>
      </c>
    </row>
    <row r="1603">
      <c r="A1603">
        <v>7602</v>
      </c>
      <c r="B1603" t="str">
        <f>HYPERLINK("https://tpbacninh.bacninh.gov.vn/ubnd-xa-kim-chan", "UBND Ủy ban nhân dân xã Kim Chân  tỉnh Bắc Ninh")</f>
        <v>UBND Ủy ban nhân dân xã Kim Chân  tỉnh Bắc Ninh</v>
      </c>
      <c r="C1603" t="str">
        <v>https://tpbacninh.bacninh.gov.vn/ubnd-xa-kim-chan</v>
      </c>
      <c r="D1603" t="str">
        <v>-</v>
      </c>
      <c r="E1603" t="str">
        <v>-</v>
      </c>
      <c r="F1603" t="str">
        <v>-</v>
      </c>
      <c r="G1603" t="str">
        <v>-</v>
      </c>
    </row>
    <row r="1604">
      <c r="A1604">
        <v>7603</v>
      </c>
      <c r="B1604" t="str">
        <v>Công an phường Vân Dương  tỉnh Bắc Ninh</v>
      </c>
      <c r="C1604" t="str">
        <v>-</v>
      </c>
      <c r="D1604" t="str">
        <v>-</v>
      </c>
      <c r="E1604" t="str">
        <v/>
      </c>
      <c r="F1604" t="str">
        <v>-</v>
      </c>
      <c r="G1604" t="str">
        <v>-</v>
      </c>
    </row>
    <row r="1605">
      <c r="A1605">
        <v>7604</v>
      </c>
      <c r="B1605" t="str">
        <f>HYPERLINK("https://tpbacninh.bacninh.gov.vn/ubnd-phuong-van-duong", "UBND Ủy ban nhân dân phường Vân Dương  tỉnh Bắc Ninh")</f>
        <v>UBND Ủy ban nhân dân phường Vân Dương  tỉnh Bắc Ninh</v>
      </c>
      <c r="C1605" t="str">
        <v>https://tpbacninh.bacninh.gov.vn/ubnd-phuong-van-duong</v>
      </c>
      <c r="D1605" t="str">
        <v>-</v>
      </c>
      <c r="E1605" t="str">
        <v>-</v>
      </c>
      <c r="F1605" t="str">
        <v>-</v>
      </c>
      <c r="G1605" t="str">
        <v>-</v>
      </c>
    </row>
    <row r="1606">
      <c r="A1606">
        <v>7605</v>
      </c>
      <c r="B1606" t="str">
        <f>HYPERLINK("https://www.facebook.com/conganphuongnamson99/", "Công an xã Nam Sơn  tỉnh Bắc Ninh")</f>
        <v>Công an xã Nam Sơn  tỉnh Bắc Ninh</v>
      </c>
      <c r="C1606" t="str">
        <v>https://www.facebook.com/conganphuongnamson99/</v>
      </c>
      <c r="D1606" t="str">
        <v>-</v>
      </c>
      <c r="E1606" t="str">
        <v/>
      </c>
      <c r="F1606" t="str">
        <v>-</v>
      </c>
      <c r="G1606" t="str">
        <v>-</v>
      </c>
    </row>
    <row r="1607">
      <c r="A1607">
        <v>7606</v>
      </c>
      <c r="B1607" t="str">
        <f>HYPERLINK("https://tpbacninh.bacninh.gov.vn/ubnd-xa-nam-son", "UBND Ủy ban nhân dân xã Nam Sơn  tỉnh Bắc Ninh")</f>
        <v>UBND Ủy ban nhân dân xã Nam Sơn  tỉnh Bắc Ninh</v>
      </c>
      <c r="C1607" t="str">
        <v>https://tpbacninh.bacninh.gov.vn/ubnd-xa-nam-son</v>
      </c>
      <c r="D1607" t="str">
        <v>-</v>
      </c>
      <c r="E1607" t="str">
        <v>-</v>
      </c>
      <c r="F1607" t="str">
        <v>-</v>
      </c>
      <c r="G1607" t="str">
        <v>-</v>
      </c>
    </row>
    <row r="1608">
      <c r="A1608">
        <v>7607</v>
      </c>
      <c r="B1608" t="str">
        <f>HYPERLINK("https://www.facebook.com/p/C%C3%B4ng-an-Ph%C6%B0%E1%BB%9Dng-Kh%E1%BA%AFc-Ni%E1%BB%87m-TPB%E1%BA%AFc-Ninh-100083348200972/", "Công an phường Khắc Niệm  tỉnh Bắc Ninh")</f>
        <v>Công an phường Khắc Niệm  tỉnh Bắc Ninh</v>
      </c>
      <c r="C1608" t="str">
        <v>https://www.facebook.com/p/C%C3%B4ng-an-Ph%C6%B0%E1%BB%9Dng-Kh%E1%BA%AFc-Ni%E1%BB%87m-TPB%E1%BA%AFc-Ninh-100083348200972/</v>
      </c>
      <c r="D1608" t="str">
        <v>-</v>
      </c>
      <c r="E1608" t="str">
        <v/>
      </c>
      <c r="F1608" t="str">
        <v>-</v>
      </c>
      <c r="G1608" t="str">
        <v>-</v>
      </c>
    </row>
    <row r="1609">
      <c r="A1609">
        <v>7608</v>
      </c>
      <c r="B1609" t="str">
        <f>HYPERLINK("https://www.bacninh.gov.vn/web/phuongkhacniem/gioi-thieu-ubnd-phuong", "UBND Ủy ban nhân dân phường Khắc Niệm  tỉnh Bắc Ninh")</f>
        <v>UBND Ủy ban nhân dân phường Khắc Niệm  tỉnh Bắc Ninh</v>
      </c>
      <c r="C1609" t="str">
        <v>https://www.bacninh.gov.vn/web/phuongkhacniem/gioi-thieu-ubnd-phuong</v>
      </c>
      <c r="D1609" t="str">
        <v>-</v>
      </c>
      <c r="E1609" t="str">
        <v>-</v>
      </c>
      <c r="F1609" t="str">
        <v>-</v>
      </c>
      <c r="G1609" t="str">
        <v>-</v>
      </c>
    </row>
    <row r="1610">
      <c r="A1610">
        <v>7609</v>
      </c>
      <c r="B1610" t="str">
        <v>Công an phường Hạp Lĩnh  tỉnh Bắc Ninh</v>
      </c>
      <c r="C1610" t="str">
        <v>-</v>
      </c>
      <c r="D1610" t="str">
        <v>-</v>
      </c>
      <c r="E1610" t="str">
        <v/>
      </c>
      <c r="F1610" t="str">
        <v>-</v>
      </c>
      <c r="G1610" t="str">
        <v>-</v>
      </c>
    </row>
    <row r="1611">
      <c r="A1611">
        <v>7610</v>
      </c>
      <c r="B1611" t="str">
        <f>HYPERLINK("https://www.bacninh.gov.vn/web/phuonghaplinh/gioi-thieu-ubnd-phuong", "UBND Ủy ban nhân dân phường Hạp Lĩnh  tỉnh Bắc Ninh")</f>
        <v>UBND Ủy ban nhân dân phường Hạp Lĩnh  tỉnh Bắc Ninh</v>
      </c>
      <c r="C1611" t="str">
        <v>https://www.bacninh.gov.vn/web/phuonghaplinh/gioi-thieu-ubnd-phuong</v>
      </c>
      <c r="D1611" t="str">
        <v>-</v>
      </c>
      <c r="E1611" t="str">
        <v>-</v>
      </c>
      <c r="F1611" t="str">
        <v>-</v>
      </c>
      <c r="G1611" t="str">
        <v>-</v>
      </c>
    </row>
    <row r="1612">
      <c r="A1612">
        <v>7611</v>
      </c>
      <c r="B1612" t="str">
        <v>Công an thị trấn Chờ  tỉnh Bắc Ninh</v>
      </c>
      <c r="C1612" t="str">
        <v>-</v>
      </c>
      <c r="D1612" t="str">
        <v>-</v>
      </c>
      <c r="E1612" t="str">
        <v/>
      </c>
      <c r="F1612" t="str">
        <v>-</v>
      </c>
      <c r="G1612" t="str">
        <v>-</v>
      </c>
    </row>
    <row r="1613">
      <c r="A1613">
        <v>7612</v>
      </c>
      <c r="B1613" t="str">
        <f>HYPERLINK("https://www.bacninh.gov.vn/web/ubnd-thi-tran-cho", "UBND Ủy ban nhân dân thị trấn Chờ  tỉnh Bắc Ninh")</f>
        <v>UBND Ủy ban nhân dân thị trấn Chờ  tỉnh Bắc Ninh</v>
      </c>
      <c r="C1613" t="str">
        <v>https://www.bacninh.gov.vn/web/ubnd-thi-tran-cho</v>
      </c>
      <c r="D1613" t="str">
        <v>-</v>
      </c>
      <c r="E1613" t="str">
        <v>-</v>
      </c>
      <c r="F1613" t="str">
        <v>-</v>
      </c>
      <c r="G1613" t="str">
        <v>-</v>
      </c>
    </row>
    <row r="1614">
      <c r="A1614">
        <v>7613</v>
      </c>
      <c r="B1614" t="str">
        <v>Công an xã Dũng Liệt  tỉnh Bắc Ninh</v>
      </c>
      <c r="C1614" t="str">
        <v>-</v>
      </c>
      <c r="D1614" t="str">
        <v>-</v>
      </c>
      <c r="E1614" t="str">
        <v/>
      </c>
      <c r="F1614" t="str">
        <v>-</v>
      </c>
      <c r="G1614" t="str">
        <v>-</v>
      </c>
    </row>
    <row r="1615">
      <c r="A1615">
        <v>7614</v>
      </c>
      <c r="B1615" t="str">
        <f>HYPERLINK("https://www.bacninh.gov.vn/web/ubnd-xa-dung-liet/gioi-thieu-chung", "UBND Ủy ban nhân dân xã Dũng Liệt  tỉnh Bắc Ninh")</f>
        <v>UBND Ủy ban nhân dân xã Dũng Liệt  tỉnh Bắc Ninh</v>
      </c>
      <c r="C1615" t="str">
        <v>https://www.bacninh.gov.vn/web/ubnd-xa-dung-liet/gioi-thieu-chung</v>
      </c>
      <c r="D1615" t="str">
        <v>-</v>
      </c>
      <c r="E1615" t="str">
        <v>-</v>
      </c>
      <c r="F1615" t="str">
        <v>-</v>
      </c>
      <c r="G1615" t="str">
        <v>-</v>
      </c>
    </row>
    <row r="1616">
      <c r="A1616">
        <v>7615</v>
      </c>
      <c r="B1616" t="str">
        <f>HYPERLINK("https://www.facebook.com/conganxatamda/", "Công an xã Tam Đa  tỉnh Bắc Ninh")</f>
        <v>Công an xã Tam Đa  tỉnh Bắc Ninh</v>
      </c>
      <c r="C1616" t="str">
        <v>https://www.facebook.com/conganxatamda/</v>
      </c>
      <c r="D1616" t="str">
        <v>-</v>
      </c>
      <c r="E1616" t="str">
        <v/>
      </c>
      <c r="F1616" t="str">
        <v>-</v>
      </c>
      <c r="G1616" t="str">
        <v>-</v>
      </c>
    </row>
    <row r="1617">
      <c r="A1617">
        <v>7616</v>
      </c>
      <c r="B1617" t="str">
        <f>HYPERLINK("https://www.bacninh.gov.vn/web/ubnd-xa-tam-a", "UBND Ủy ban nhân dân xã Tam Đa  tỉnh Bắc Ninh")</f>
        <v>UBND Ủy ban nhân dân xã Tam Đa  tỉnh Bắc Ninh</v>
      </c>
      <c r="C1617" t="str">
        <v>https://www.bacninh.gov.vn/web/ubnd-xa-tam-a</v>
      </c>
      <c r="D1617" t="str">
        <v>-</v>
      </c>
      <c r="E1617" t="str">
        <v>-</v>
      </c>
      <c r="F1617" t="str">
        <v>-</v>
      </c>
      <c r="G1617" t="str">
        <v>-</v>
      </c>
    </row>
    <row r="1618">
      <c r="A1618">
        <v>7617</v>
      </c>
      <c r="B1618" t="str">
        <f>HYPERLINK("https://www.facebook.com/caxtamgiangyenphongbn/", "Công an xã Tam Giang  tỉnh Bắc Ninh")</f>
        <v>Công an xã Tam Giang  tỉnh Bắc Ninh</v>
      </c>
      <c r="C1618" t="str">
        <v>https://www.facebook.com/caxtamgiangyenphongbn/</v>
      </c>
      <c r="D1618" t="str">
        <v>0904333349</v>
      </c>
      <c r="E1618" t="str">
        <v>-</v>
      </c>
      <c r="F1618" t="str">
        <f>HYPERLINK("mailto:conganxatamgiang6789@gmail.com", "conganxatamgiang6789@gmail.com")</f>
        <v>conganxatamgiang6789@gmail.com</v>
      </c>
      <c r="G1618" t="str">
        <v>-</v>
      </c>
    </row>
    <row r="1619">
      <c r="A1619">
        <v>7618</v>
      </c>
      <c r="B1619" t="str">
        <f>HYPERLINK("https://www.bacninh.gov.vn/web/ubnd-xa-tam-giang", "UBND Ủy ban nhân dân xã Tam Giang  tỉnh Bắc Ninh")</f>
        <v>UBND Ủy ban nhân dân xã Tam Giang  tỉnh Bắc Ninh</v>
      </c>
      <c r="C1619" t="str">
        <v>https://www.bacninh.gov.vn/web/ubnd-xa-tam-giang</v>
      </c>
      <c r="D1619" t="str">
        <v>-</v>
      </c>
      <c r="E1619" t="str">
        <v>-</v>
      </c>
      <c r="F1619" t="str">
        <v>-</v>
      </c>
      <c r="G1619" t="str">
        <v>-</v>
      </c>
    </row>
    <row r="1620">
      <c r="A1620">
        <v>7619</v>
      </c>
      <c r="B1620" t="str">
        <f>HYPERLINK("https://www.facebook.com/conganxayentrung/", "Công an xã Yên Trung  tỉnh Bắc Ninh")</f>
        <v>Công an xã Yên Trung  tỉnh Bắc Ninh</v>
      </c>
      <c r="C1620" t="str">
        <v>https://www.facebook.com/conganxayentrung/</v>
      </c>
      <c r="D1620" t="str">
        <v>-</v>
      </c>
      <c r="E1620" t="str">
        <v/>
      </c>
      <c r="F1620" t="str">
        <v>-</v>
      </c>
      <c r="G1620" t="str">
        <v>-</v>
      </c>
    </row>
    <row r="1621">
      <c r="A1621">
        <v>7620</v>
      </c>
      <c r="B1621" t="str">
        <f>HYPERLINK("https://www.bacninh.gov.vn/web/ubnd-xa-yen-trung", "UBND Ủy ban nhân dân xã Yên Trung  tỉnh Bắc Ninh")</f>
        <v>UBND Ủy ban nhân dân xã Yên Trung  tỉnh Bắc Ninh</v>
      </c>
      <c r="C1621" t="str">
        <v>https://www.bacninh.gov.vn/web/ubnd-xa-yen-trung</v>
      </c>
      <c r="D1621" t="str">
        <v>-</v>
      </c>
      <c r="E1621" t="str">
        <v>-</v>
      </c>
      <c r="F1621" t="str">
        <v>-</v>
      </c>
      <c r="G1621" t="str">
        <v>-</v>
      </c>
    </row>
    <row r="1622">
      <c r="A1622">
        <v>7621</v>
      </c>
      <c r="B1622" t="str">
        <f>HYPERLINK("https://www.facebook.com/p/C%C3%B4ng-an-x%C3%A3-Thu%E1%BB%B5-Ho%C3%A0-Y%C3%AAn-Phong-B%E1%BA%AFc-Ninh-61550645651706/", "Công an xã Thụy Hòa  tỉnh Bắc Ninh")</f>
        <v>Công an xã Thụy Hòa  tỉnh Bắc Ninh</v>
      </c>
      <c r="C1622" t="str">
        <v>https://www.facebook.com/p/C%C3%B4ng-an-x%C3%A3-Thu%E1%BB%B5-Ho%C3%A0-Y%C3%AAn-Phong-B%E1%BA%AFc-Ninh-61550645651706/</v>
      </c>
      <c r="D1622" t="str">
        <v>0963551243</v>
      </c>
      <c r="E1622" t="str">
        <v>-</v>
      </c>
      <c r="F1622" t="str">
        <f>HYPERLINK("mailto:conganxathuyhoayenphongbacninh@gmail.com", "conganxathuyhoayenphongbacninh@gmail.com")</f>
        <v>conganxathuyhoayenphongbacninh@gmail.com</v>
      </c>
      <c r="G1622" t="str">
        <v>Thôn Đông Tảo, xã Thuỵ Hoà, huyện Yên Phong, tỉnh Bắc Ninh, Bac Ninh, Vietnam</v>
      </c>
    </row>
    <row r="1623">
      <c r="A1623">
        <v>7622</v>
      </c>
      <c r="B1623" t="str">
        <f>HYPERLINK("https://www.bacninh.gov.vn/web/ubnd-xa-thuy-hoa/gioi-thieu-chung", "UBND Ủy ban nhân dân xã Thụy Hòa  tỉnh Bắc Ninh")</f>
        <v>UBND Ủy ban nhân dân xã Thụy Hòa  tỉnh Bắc Ninh</v>
      </c>
      <c r="C1623" t="str">
        <v>https://www.bacninh.gov.vn/web/ubnd-xa-thuy-hoa/gioi-thieu-chung</v>
      </c>
      <c r="D1623" t="str">
        <v>-</v>
      </c>
      <c r="E1623" t="str">
        <v>-</v>
      </c>
      <c r="F1623" t="str">
        <v>-</v>
      </c>
      <c r="G1623" t="str">
        <v>-</v>
      </c>
    </row>
    <row r="1624">
      <c r="A1624">
        <v>7623</v>
      </c>
      <c r="B1624" t="str">
        <f>HYPERLINK("https://www.facebook.com/TT.CAH.HV/", "Công an xã Hòa Tiến  tỉnh Bắc Ninh")</f>
        <v>Công an xã Hòa Tiến  tỉnh Bắc Ninh</v>
      </c>
      <c r="C1624" t="str">
        <v>https://www.facebook.com/TT.CAH.HV/</v>
      </c>
      <c r="D1624" t="str">
        <v>-</v>
      </c>
      <c r="E1624" t="str">
        <v/>
      </c>
      <c r="F1624" t="str">
        <f>HYPERLINK("mailto:Tuoitrehoavang2020@gmail.com", "Tuoitrehoavang2020@gmail.com")</f>
        <v>Tuoitrehoavang2020@gmail.com</v>
      </c>
      <c r="G1624" t="str">
        <v>Khu Trung tâm Hành chính huyện Hòa Vang, Da Nang, Vietnam</v>
      </c>
    </row>
    <row r="1625">
      <c r="A1625">
        <v>7624</v>
      </c>
      <c r="B1625" t="str">
        <f>HYPERLINK("https://www.bacninh.gov.vn/web/ubnd-xa-hoa-tien", "UBND Ủy ban nhân dân xã Hòa Tiến  tỉnh Bắc Ninh")</f>
        <v>UBND Ủy ban nhân dân xã Hòa Tiến  tỉnh Bắc Ninh</v>
      </c>
      <c r="C1625" t="str">
        <v>https://www.bacninh.gov.vn/web/ubnd-xa-hoa-tien</v>
      </c>
      <c r="D1625" t="str">
        <v>-</v>
      </c>
      <c r="E1625" t="str">
        <v>-</v>
      </c>
      <c r="F1625" t="str">
        <v>-</v>
      </c>
      <c r="G1625" t="str">
        <v>-</v>
      </c>
    </row>
    <row r="1626">
      <c r="A1626">
        <v>7625</v>
      </c>
      <c r="B1626" t="str">
        <f>HYPERLINK("https://www.facebook.com/p/C%C3%B4ng-an-x%C3%A3-%C4%90%C3%B4ng-Ti%E1%BA%BFn-huy%E1%BB%87n-Y%C3%AAn-Phong-t%E1%BB%89nh-B%E1%BA%AFc-Ninh-100076385404275/", "Công an xã Đông Tiến  tỉnh Bắc Ninh")</f>
        <v>Công an xã Đông Tiến  tỉnh Bắc Ninh</v>
      </c>
      <c r="C1626" t="str">
        <v>https://www.facebook.com/p/C%C3%B4ng-an-x%C3%A3-%C4%90%C3%B4ng-Ti%E1%BA%BFn-huy%E1%BB%87n-Y%C3%AAn-Phong-t%E1%BB%89nh-B%E1%BA%AFc-Ninh-100076385404275/</v>
      </c>
      <c r="D1626" t="str">
        <v>-</v>
      </c>
      <c r="E1626" t="str">
        <v/>
      </c>
      <c r="F1626" t="str">
        <v>-</v>
      </c>
      <c r="G1626" t="str">
        <v>-</v>
      </c>
    </row>
    <row r="1627">
      <c r="A1627">
        <v>7626</v>
      </c>
      <c r="B1627" t="str">
        <f>HYPERLINK("https://www.bacninh.gov.vn/web/ubnd-xa-dong-tien", "UBND Ủy ban nhân dân xã Đông Tiến  tỉnh Bắc Ninh")</f>
        <v>UBND Ủy ban nhân dân xã Đông Tiến  tỉnh Bắc Ninh</v>
      </c>
      <c r="C1627" t="str">
        <v>https://www.bacninh.gov.vn/web/ubnd-xa-dong-tien</v>
      </c>
      <c r="D1627" t="str">
        <v>-</v>
      </c>
      <c r="E1627" t="str">
        <v>-</v>
      </c>
      <c r="F1627" t="str">
        <v>-</v>
      </c>
      <c r="G1627" t="str">
        <v>-</v>
      </c>
    </row>
    <row r="1628">
      <c r="A1628">
        <v>7627</v>
      </c>
      <c r="B1628" t="str">
        <f>HYPERLINK("https://www.facebook.com/p/C%C3%B4ng-an-x%C3%A3-Y%C3%AAn-Ph%E1%BB%A5-Y%C3%AAn-Phong-B%E1%BA%AFc-Ninh-100075965263068/", "Công an xã Yên Phụ  tỉnh Bắc Ninh")</f>
        <v>Công an xã Yên Phụ  tỉnh Bắc Ninh</v>
      </c>
      <c r="C1628" t="str">
        <v>https://www.facebook.com/p/C%C3%B4ng-an-x%C3%A3-Y%C3%AAn-Ph%E1%BB%A5-Y%C3%AAn-Phong-B%E1%BA%AFc-Ninh-100075965263068/</v>
      </c>
      <c r="D1628" t="str">
        <v>-</v>
      </c>
      <c r="E1628" t="str">
        <v>02223705599</v>
      </c>
      <c r="F1628" t="str">
        <f>HYPERLINK("mailto:conganxayenphu.yenphong@gmail.com", "conganxayenphu.yenphong@gmail.com")</f>
        <v>conganxayenphu.yenphong@gmail.com</v>
      </c>
      <c r="G1628" t="str">
        <v>Thôn An Ninh, xã Yên Phụ, huyện Yên Phong, tỉnh Bắc Ninh, Bac Ninh, Vietnam</v>
      </c>
    </row>
    <row r="1629">
      <c r="A1629">
        <v>7628</v>
      </c>
      <c r="B1629" t="str">
        <f>HYPERLINK("https://www.bacninh.gov.vn/web/ubnd-xa-yen-phu/ubnd-xa-yen-phu", "UBND Ủy ban nhân dân xã Yên Phụ  tỉnh Bắc Ninh")</f>
        <v>UBND Ủy ban nhân dân xã Yên Phụ  tỉnh Bắc Ninh</v>
      </c>
      <c r="C1629" t="str">
        <v>https://www.bacninh.gov.vn/web/ubnd-xa-yen-phu/ubnd-xa-yen-phu</v>
      </c>
      <c r="D1629" t="str">
        <v>-</v>
      </c>
      <c r="E1629" t="str">
        <v>-</v>
      </c>
      <c r="F1629" t="str">
        <v>-</v>
      </c>
      <c r="G1629" t="str">
        <v>-</v>
      </c>
    </row>
    <row r="1630">
      <c r="A1630">
        <v>7629</v>
      </c>
      <c r="B1630" t="str">
        <f>HYPERLINK("https://www.facebook.com/p/C%C3%B4ng-an-x%C3%A3-Trung-Ngh%C4%A9a-100078959583797/", "Công an xã Trung Nghĩa  tỉnh Bắc Ninh")</f>
        <v>Công an xã Trung Nghĩa  tỉnh Bắc Ninh</v>
      </c>
      <c r="C1630" t="str">
        <v>https://www.facebook.com/p/C%C3%B4ng-an-x%C3%A3-Trung-Ngh%C4%A9a-100078959583797/</v>
      </c>
      <c r="D1630" t="str">
        <v>-</v>
      </c>
      <c r="E1630" t="str">
        <v/>
      </c>
      <c r="F1630" t="str">
        <v>-</v>
      </c>
      <c r="G1630" t="str">
        <v>-</v>
      </c>
    </row>
    <row r="1631">
      <c r="A1631">
        <v>7630</v>
      </c>
      <c r="B1631" t="str">
        <f>HYPERLINK("https://www.bacninh.gov.vn/web/ubnd-xa-trung-nghia", "UBND Ủy ban nhân dân xã Trung Nghĩa  tỉnh Bắc Ninh")</f>
        <v>UBND Ủy ban nhân dân xã Trung Nghĩa  tỉnh Bắc Ninh</v>
      </c>
      <c r="C1631" t="str">
        <v>https://www.bacninh.gov.vn/web/ubnd-xa-trung-nghia</v>
      </c>
      <c r="D1631" t="str">
        <v>-</v>
      </c>
      <c r="E1631" t="str">
        <v>-</v>
      </c>
      <c r="F1631" t="str">
        <v>-</v>
      </c>
      <c r="G1631" t="str">
        <v>-</v>
      </c>
    </row>
    <row r="1632">
      <c r="A1632">
        <v>7631</v>
      </c>
      <c r="B1632" t="str">
        <f>HYPERLINK("https://www.facebook.com/p/C%C3%B4ng-an-x%C3%A3-%C4%90%C3%B4ng-Ti%E1%BA%BFn-huy%E1%BB%87n-Y%C3%AAn-Phong-t%E1%BB%89nh-B%E1%BA%AFc-Ninh-100076385404275/?locale=vi_VN", "Công an xã Đông Phong  tỉnh Bắc Ninh")</f>
        <v>Công an xã Đông Phong  tỉnh Bắc Ninh</v>
      </c>
      <c r="C1632" t="str">
        <v>https://www.facebook.com/p/C%C3%B4ng-an-x%C3%A3-%C4%90%C3%B4ng-Ti%E1%BA%BFn-huy%E1%BB%87n-Y%C3%AAn-Phong-t%E1%BB%89nh-B%E1%BA%AFc-Ninh-100076385404275/?locale=vi_VN</v>
      </c>
      <c r="D1632" t="str">
        <v>-</v>
      </c>
      <c r="E1632" t="str">
        <v/>
      </c>
      <c r="F1632" t="str">
        <v>-</v>
      </c>
      <c r="G1632" t="str">
        <v>-</v>
      </c>
    </row>
    <row r="1633">
      <c r="A1633">
        <v>7632</v>
      </c>
      <c r="B1633" t="str">
        <f>HYPERLINK("https://www.bacninh.gov.vn/web/ubnd-xa-dong-phong", "UBND Ủy ban nhân dân xã Đông Phong  tỉnh Bắc Ninh")</f>
        <v>UBND Ủy ban nhân dân xã Đông Phong  tỉnh Bắc Ninh</v>
      </c>
      <c r="C1633" t="str">
        <v>https://www.bacninh.gov.vn/web/ubnd-xa-dong-phong</v>
      </c>
      <c r="D1633" t="str">
        <v>-</v>
      </c>
      <c r="E1633" t="str">
        <v>-</v>
      </c>
      <c r="F1633" t="str">
        <v>-</v>
      </c>
      <c r="G1633" t="str">
        <v>-</v>
      </c>
    </row>
    <row r="1634">
      <c r="A1634">
        <v>7633</v>
      </c>
      <c r="B1634" t="str">
        <f>HYPERLINK("https://www.facebook.com/CALongChauYP/", "Công an xã Long Châu  tỉnh Bắc Ninh")</f>
        <v>Công an xã Long Châu  tỉnh Bắc Ninh</v>
      </c>
      <c r="C1634" t="str">
        <v>https://www.facebook.com/CALongChauYP/</v>
      </c>
      <c r="D1634" t="str">
        <v>-</v>
      </c>
      <c r="E1634" t="str">
        <v/>
      </c>
      <c r="F1634" t="str">
        <v>-</v>
      </c>
      <c r="G1634" t="str">
        <v>Samsung Yên Phong, Bac Ninh, Vietnam</v>
      </c>
    </row>
    <row r="1635">
      <c r="A1635">
        <v>7634</v>
      </c>
      <c r="B1635" t="str">
        <f>HYPERLINK("https://www.bacninh.gov.vn/web/ubnd-xa-long-chau", "UBND Ủy ban nhân dân xã Long Châu  tỉnh Bắc Ninh")</f>
        <v>UBND Ủy ban nhân dân xã Long Châu  tỉnh Bắc Ninh</v>
      </c>
      <c r="C1635" t="str">
        <v>https://www.bacninh.gov.vn/web/ubnd-xa-long-chau</v>
      </c>
      <c r="D1635" t="str">
        <v>-</v>
      </c>
      <c r="E1635" t="str">
        <v>-</v>
      </c>
      <c r="F1635" t="str">
        <v>-</v>
      </c>
      <c r="G1635" t="str">
        <v>-</v>
      </c>
    </row>
    <row r="1636">
      <c r="A1636">
        <v>7635</v>
      </c>
      <c r="B1636" t="str">
        <v>Công an xã Văn Môn  tỉnh Bắc Ninh</v>
      </c>
      <c r="C1636" t="str">
        <v>-</v>
      </c>
      <c r="D1636" t="str">
        <v>-</v>
      </c>
      <c r="E1636" t="str">
        <v/>
      </c>
      <c r="F1636" t="str">
        <v>-</v>
      </c>
      <c r="G1636" t="str">
        <v>-</v>
      </c>
    </row>
    <row r="1637">
      <c r="A1637">
        <v>7636</v>
      </c>
      <c r="B1637" t="str">
        <f>HYPERLINK("https://www.bacninh.gov.vn/web/ubnd-xa-van-mon", "UBND Ủy ban nhân dân xã Văn Môn  tỉnh Bắc Ninh")</f>
        <v>UBND Ủy ban nhân dân xã Văn Môn  tỉnh Bắc Ninh</v>
      </c>
      <c r="C1637" t="str">
        <v>https://www.bacninh.gov.vn/web/ubnd-xa-van-mon</v>
      </c>
      <c r="D1637" t="str">
        <v>-</v>
      </c>
      <c r="E1637" t="str">
        <v>-</v>
      </c>
      <c r="F1637" t="str">
        <v>-</v>
      </c>
      <c r="G1637" t="str">
        <v>-</v>
      </c>
    </row>
    <row r="1638">
      <c r="A1638">
        <v>7637</v>
      </c>
      <c r="B1638" t="str">
        <v>Công an xã Đông Thọ  tỉnh Bắc Ninh</v>
      </c>
      <c r="C1638" t="str">
        <v>-</v>
      </c>
      <c r="D1638" t="str">
        <v>-</v>
      </c>
      <c r="E1638" t="str">
        <v/>
      </c>
      <c r="F1638" t="str">
        <v>-</v>
      </c>
      <c r="G1638" t="str">
        <v>-</v>
      </c>
    </row>
    <row r="1639">
      <c r="A1639">
        <v>7638</v>
      </c>
      <c r="B1639" t="str">
        <f>HYPERLINK("https://www.bacninh.gov.vn/web/ubnd-xa-dong-tho", "UBND Ủy ban nhân dân xã Đông Thọ  tỉnh Bắc Ninh")</f>
        <v>UBND Ủy ban nhân dân xã Đông Thọ  tỉnh Bắc Ninh</v>
      </c>
      <c r="C1639" t="str">
        <v>https://www.bacninh.gov.vn/web/ubnd-xa-dong-tho</v>
      </c>
      <c r="D1639" t="str">
        <v>-</v>
      </c>
      <c r="E1639" t="str">
        <v>-</v>
      </c>
      <c r="F1639" t="str">
        <v>-</v>
      </c>
      <c r="G1639" t="str">
        <v>-</v>
      </c>
    </row>
    <row r="1640">
      <c r="A1640">
        <v>7639</v>
      </c>
      <c r="B1640" t="str">
        <f>HYPERLINK("https://www.facebook.com/p/C%C3%B4ng-an-Ph%C6%B0%E1%BB%9Dng-Ph%E1%BB%91-M%E1%BB%9Bi-Qu%E1%BA%BF-V%C3%B5-B%E1%BA%AFc-Ninh-100079065079955/", "Công an thị trấn Phố Mới  tỉnh Bắc Ninh")</f>
        <v>Công an thị trấn Phố Mới  tỉnh Bắc Ninh</v>
      </c>
      <c r="C1640" t="str">
        <v>https://www.facebook.com/p/C%C3%B4ng-an-Ph%C6%B0%E1%BB%9Dng-Ph%E1%BB%91-M%E1%BB%9Bi-Qu%E1%BA%BF-V%C3%B5-B%E1%BA%AFc-Ninh-100079065079955/</v>
      </c>
      <c r="D1640" t="str">
        <v>-</v>
      </c>
      <c r="E1640" t="str">
        <v/>
      </c>
      <c r="F1640" t="str">
        <v>-</v>
      </c>
      <c r="G1640" t="str">
        <v>Khu 3, Phường Phố Mới, Quế Võ, Bắc Ninh</v>
      </c>
    </row>
    <row r="1641">
      <c r="A1641">
        <v>7640</v>
      </c>
      <c r="B1641" t="str">
        <f>HYPERLINK("https://quevo.bacninh.gov.vn/", "UBND Ủy ban nhân dân thị trấn Phố Mới  tỉnh Bắc Ninh")</f>
        <v>UBND Ủy ban nhân dân thị trấn Phố Mới  tỉnh Bắc Ninh</v>
      </c>
      <c r="C1641" t="str">
        <v>https://quevo.bacninh.gov.vn/</v>
      </c>
      <c r="D1641" t="str">
        <v>-</v>
      </c>
      <c r="E1641" t="str">
        <v>-</v>
      </c>
      <c r="F1641" t="str">
        <v>-</v>
      </c>
      <c r="G1641" t="str">
        <v>-</v>
      </c>
    </row>
    <row r="1642">
      <c r="A1642">
        <v>7641</v>
      </c>
      <c r="B1642" t="str">
        <v>Công an xã Việt Thống  tỉnh Bắc Ninh</v>
      </c>
      <c r="C1642" t="str">
        <v>-</v>
      </c>
      <c r="D1642" t="str">
        <v>-</v>
      </c>
      <c r="E1642" t="str">
        <v/>
      </c>
      <c r="F1642" t="str">
        <v>-</v>
      </c>
      <c r="G1642" t="str">
        <v>-</v>
      </c>
    </row>
    <row r="1643">
      <c r="A1643">
        <v>7642</v>
      </c>
      <c r="B1643" t="str">
        <f>HYPERLINK("https://bacninh.gov.vn/", "UBND Ủy ban nhân dân xã Việt Thống  tỉnh Bắc Ninh")</f>
        <v>UBND Ủy ban nhân dân xã Việt Thống  tỉnh Bắc Ninh</v>
      </c>
      <c r="C1643" t="str">
        <v>https://bacninh.gov.vn/</v>
      </c>
      <c r="D1643" t="str">
        <v>-</v>
      </c>
      <c r="E1643" t="str">
        <v>-</v>
      </c>
      <c r="F1643" t="str">
        <v>-</v>
      </c>
      <c r="G1643" t="str">
        <v>-</v>
      </c>
    </row>
    <row r="1644">
      <c r="A1644">
        <v>7643</v>
      </c>
      <c r="B1644" t="str">
        <f>HYPERLINK("https://www.facebook.com/tuoitrethanhphobacninh/", "Công an xã Đại Xuân  tỉnh Bắc Ninh")</f>
        <v>Công an xã Đại Xuân  tỉnh Bắc Ninh</v>
      </c>
      <c r="C1644" t="str">
        <v>https://www.facebook.com/tuoitrethanhphobacninh/</v>
      </c>
      <c r="D1644" t="str">
        <v>-</v>
      </c>
      <c r="E1644" t="str">
        <v/>
      </c>
      <c r="F1644" t="str">
        <v>-</v>
      </c>
      <c r="G1644" t="str">
        <v>-</v>
      </c>
    </row>
    <row r="1645">
      <c r="A1645">
        <v>7644</v>
      </c>
      <c r="B1645" t="str">
        <f>HYPERLINK("https://quevo.bacninh.gov.vn/news/-/details/22344/xa-ai-xuan", "UBND Ủy ban nhân dân xã Đại Xuân  tỉnh Bắc Ninh")</f>
        <v>UBND Ủy ban nhân dân xã Đại Xuân  tỉnh Bắc Ninh</v>
      </c>
      <c r="C1645" t="str">
        <v>https://quevo.bacninh.gov.vn/news/-/details/22344/xa-ai-xuan</v>
      </c>
      <c r="D1645" t="str">
        <v>-</v>
      </c>
      <c r="E1645" t="str">
        <v>-</v>
      </c>
      <c r="F1645" t="str">
        <v>-</v>
      </c>
      <c r="G1645" t="str">
        <v>-</v>
      </c>
    </row>
    <row r="1646">
      <c r="A1646">
        <v>7645</v>
      </c>
      <c r="B1646" t="str">
        <v>Công an xã Nhân Hòa  tỉnh Bắc Ninh</v>
      </c>
      <c r="C1646" t="str">
        <v>-</v>
      </c>
      <c r="D1646" t="str">
        <v>-</v>
      </c>
      <c r="E1646" t="str">
        <v/>
      </c>
      <c r="F1646" t="str">
        <v>-</v>
      </c>
      <c r="G1646" t="str">
        <v>-</v>
      </c>
    </row>
    <row r="1647">
      <c r="A1647">
        <v>7646</v>
      </c>
      <c r="B1647" t="str">
        <f>HYPERLINK("https://quevo.bacninh.gov.vn/news/-/details/22344/xa-nhan-hoa", "UBND Ủy ban nhân dân xã Nhân Hòa  tỉnh Bắc Ninh")</f>
        <v>UBND Ủy ban nhân dân xã Nhân Hòa  tỉnh Bắc Ninh</v>
      </c>
      <c r="C1647" t="str">
        <v>https://quevo.bacninh.gov.vn/news/-/details/22344/xa-nhan-hoa</v>
      </c>
      <c r="D1647" t="str">
        <v>-</v>
      </c>
      <c r="E1647" t="str">
        <v>-</v>
      </c>
      <c r="F1647" t="str">
        <v>-</v>
      </c>
      <c r="G1647" t="str">
        <v>-</v>
      </c>
    </row>
    <row r="1648">
      <c r="A1648">
        <v>7647</v>
      </c>
      <c r="B1648" t="str">
        <f>HYPERLINK("https://www.facebook.com/p/C%C3%B4ng-An-T%E1%BB%89nh-B%E1%BA%AFc-Ninh-100067184832103/", "Công an xã Bằng An  tỉnh Bắc Ninh")</f>
        <v>Công an xã Bằng An  tỉnh Bắc Ninh</v>
      </c>
      <c r="C1648" t="str">
        <v>https://www.facebook.com/p/C%C3%B4ng-An-T%E1%BB%89nh-B%E1%BA%AFc-Ninh-100067184832103/</v>
      </c>
      <c r="D1648" t="str">
        <v>-</v>
      </c>
      <c r="E1648" t="str">
        <v/>
      </c>
      <c r="F1648" t="str">
        <v>-</v>
      </c>
      <c r="G1648" t="str">
        <v>-</v>
      </c>
    </row>
    <row r="1649">
      <c r="A1649">
        <v>7648</v>
      </c>
      <c r="B1649" t="str">
        <f>HYPERLINK("https://www.bacninh.gov.vn/web/xa-dong-cuu/uy-ban-nhan-dan-xa", "UBND Ủy ban nhân dân xã Bằng An  tỉnh Bắc Ninh")</f>
        <v>UBND Ủy ban nhân dân xã Bằng An  tỉnh Bắc Ninh</v>
      </c>
      <c r="C1649" t="str">
        <v>https://www.bacninh.gov.vn/web/xa-dong-cuu/uy-ban-nhan-dan-xa</v>
      </c>
      <c r="D1649" t="str">
        <v>-</v>
      </c>
      <c r="E1649" t="str">
        <v>-</v>
      </c>
      <c r="F1649" t="str">
        <v>-</v>
      </c>
      <c r="G1649" t="str">
        <v>-</v>
      </c>
    </row>
    <row r="1650">
      <c r="A1650">
        <v>7649</v>
      </c>
      <c r="B1650" t="str">
        <f>HYPERLINK("https://www.facebook.com/p/C%C3%B4ng-An-Ph%C6%B0%E1%BB%9Dng-Ph%C6%B0%C6%A1ng-Li%E1%BB%85u-100076593765460/", "Công an xã Phương Liễu  tỉnh Bắc Ninh")</f>
        <v>Công an xã Phương Liễu  tỉnh Bắc Ninh</v>
      </c>
      <c r="C1650" t="str">
        <v>https://www.facebook.com/p/C%C3%B4ng-An-Ph%C6%B0%E1%BB%9Dng-Ph%C6%B0%C6%A1ng-Li%E1%BB%85u-100076593765460/</v>
      </c>
      <c r="D1650" t="str">
        <v>-</v>
      </c>
      <c r="E1650" t="str">
        <v/>
      </c>
      <c r="F1650" t="str">
        <f>HYPERLINK("mailto:caxphuonglieu@gmail.com", "caxphuonglieu@gmail.com")</f>
        <v>caxphuonglieu@gmail.com</v>
      </c>
      <c r="G1650" t="str">
        <v>Quốc lộ 18, thôn Giang Liễu, xã Phương Liễu, huyện Quế Võ, tỉnh Bắc Ninh, Bac Ninh, Vietnam</v>
      </c>
    </row>
    <row r="1651">
      <c r="A1651">
        <v>7650</v>
      </c>
      <c r="B1651" t="str">
        <f>HYPERLINK("https://quevo.bacninh.gov.vn/news/-/details/22344/phuong-phuong-lieu-4584664", "UBND Ủy ban nhân dân xã Phương Liễu  tỉnh Bắc Ninh")</f>
        <v>UBND Ủy ban nhân dân xã Phương Liễu  tỉnh Bắc Ninh</v>
      </c>
      <c r="C1651" t="str">
        <v>https://quevo.bacninh.gov.vn/news/-/details/22344/phuong-phuong-lieu-4584664</v>
      </c>
      <c r="D1651" t="str">
        <v>-</v>
      </c>
      <c r="E1651" t="str">
        <v>-</v>
      </c>
      <c r="F1651" t="str">
        <v>-</v>
      </c>
      <c r="G1651" t="str">
        <v>-</v>
      </c>
    </row>
    <row r="1652">
      <c r="A1652">
        <v>7651</v>
      </c>
      <c r="B1652" t="str">
        <f>HYPERLINK("https://www.facebook.com/conganphuongquetan/", "Công an xã Quế Tân  tỉnh Bắc Ninh")</f>
        <v>Công an xã Quế Tân  tỉnh Bắc Ninh</v>
      </c>
      <c r="C1652" t="str">
        <v>https://www.facebook.com/conganphuongquetan/</v>
      </c>
      <c r="D1652" t="str">
        <v>-</v>
      </c>
      <c r="E1652" t="str">
        <v/>
      </c>
      <c r="F1652" t="str">
        <v>-</v>
      </c>
      <c r="G1652" t="str">
        <v>Đường Khuất Duy Tiến, khu phố Lạc Xá, phường Quế Tân, thị xã Quế Võ, Bac Ninh, Vietnam</v>
      </c>
    </row>
    <row r="1653">
      <c r="A1653">
        <v>7652</v>
      </c>
      <c r="B1653" t="str">
        <f>HYPERLINK("https://quevo.bacninh.gov.vn/", "UBND Ủy ban nhân dân xã Quế Tân  tỉnh Bắc Ninh")</f>
        <v>UBND Ủy ban nhân dân xã Quế Tân  tỉnh Bắc Ninh</v>
      </c>
      <c r="C1653" t="str">
        <v>https://quevo.bacninh.gov.vn/</v>
      </c>
      <c r="D1653" t="str">
        <v>-</v>
      </c>
      <c r="E1653" t="str">
        <v>-</v>
      </c>
      <c r="F1653" t="str">
        <v>-</v>
      </c>
      <c r="G1653" t="str">
        <v>-</v>
      </c>
    </row>
    <row r="1654">
      <c r="A1654">
        <v>7653</v>
      </c>
      <c r="B1654" t="str">
        <v>Công an xã Phù Lương  tỉnh Bắc Ninh</v>
      </c>
      <c r="C1654" t="str">
        <v>-</v>
      </c>
      <c r="D1654" t="str">
        <v>-</v>
      </c>
      <c r="E1654" t="str">
        <v/>
      </c>
      <c r="F1654" t="str">
        <v>-</v>
      </c>
      <c r="G1654" t="str">
        <v>-</v>
      </c>
    </row>
    <row r="1655">
      <c r="A1655">
        <v>7654</v>
      </c>
      <c r="B1655" t="str">
        <f>HYPERLINK("https://www.bacninh.gov.vn/web/xa-phu-luong", "UBND Ủy ban nhân dân xã Phù Lương  tỉnh Bắc Ninh")</f>
        <v>UBND Ủy ban nhân dân xã Phù Lương  tỉnh Bắc Ninh</v>
      </c>
      <c r="C1655" t="str">
        <v>https://www.bacninh.gov.vn/web/xa-phu-luong</v>
      </c>
      <c r="D1655" t="str">
        <v>-</v>
      </c>
      <c r="E1655" t="str">
        <v>-</v>
      </c>
      <c r="F1655" t="str">
        <v>-</v>
      </c>
      <c r="G1655" t="str">
        <v>-</v>
      </c>
    </row>
    <row r="1656">
      <c r="A1656">
        <v>7655</v>
      </c>
      <c r="B1656" t="str">
        <f>HYPERLINK("https://www.facebook.com/caxphulang/", "Công an xã Phù Lãng  tỉnh Bắc Ninh")</f>
        <v>Công an xã Phù Lãng  tỉnh Bắc Ninh</v>
      </c>
      <c r="C1656" t="str">
        <v>https://www.facebook.com/caxphulang/</v>
      </c>
      <c r="D1656" t="str">
        <v>0977991978</v>
      </c>
      <c r="E1656" t="str">
        <v>-</v>
      </c>
      <c r="F1656" t="str">
        <v>-</v>
      </c>
      <c r="G1656" t="str">
        <v>Bac Ninh, Vietnam</v>
      </c>
    </row>
    <row r="1657">
      <c r="A1657">
        <v>7656</v>
      </c>
      <c r="B1657" t="str">
        <f>HYPERLINK("https://quevo.bacninh.gov.vn/news/-/details/22344/xa-phu-lang", "UBND Ủy ban nhân dân xã Phù Lãng  tỉnh Bắc Ninh")</f>
        <v>UBND Ủy ban nhân dân xã Phù Lãng  tỉnh Bắc Ninh</v>
      </c>
      <c r="C1657" t="str">
        <v>https://quevo.bacninh.gov.vn/news/-/details/22344/xa-phu-lang</v>
      </c>
      <c r="D1657" t="str">
        <v>-</v>
      </c>
      <c r="E1657" t="str">
        <v>-</v>
      </c>
      <c r="F1657" t="str">
        <v>-</v>
      </c>
      <c r="G1657" t="str">
        <v>-</v>
      </c>
    </row>
    <row r="1658">
      <c r="A1658">
        <v>7657</v>
      </c>
      <c r="B1658" t="str">
        <v>Công an xã Phượng Mao  tỉnh Bắc Ninh</v>
      </c>
      <c r="C1658" t="str">
        <v>-</v>
      </c>
      <c r="D1658" t="str">
        <v>-</v>
      </c>
      <c r="E1658" t="str">
        <v/>
      </c>
      <c r="F1658" t="str">
        <v>-</v>
      </c>
      <c r="G1658" t="str">
        <v>-</v>
      </c>
    </row>
    <row r="1659">
      <c r="A1659">
        <v>7658</v>
      </c>
      <c r="B1659" t="str">
        <f>HYPERLINK("https://quevo.bacninh.gov.vn/news/-/details/22344/phuong-phuong-mao-4584674", "UBND Ủy ban nhân dân xã Phượng Mao  tỉnh Bắc Ninh")</f>
        <v>UBND Ủy ban nhân dân xã Phượng Mao  tỉnh Bắc Ninh</v>
      </c>
      <c r="C1659" t="str">
        <v>https://quevo.bacninh.gov.vn/news/-/details/22344/phuong-phuong-mao-4584674</v>
      </c>
      <c r="D1659" t="str">
        <v>-</v>
      </c>
      <c r="E1659" t="str">
        <v>-</v>
      </c>
      <c r="F1659" t="str">
        <v>-</v>
      </c>
      <c r="G1659" t="str">
        <v>-</v>
      </c>
    </row>
    <row r="1660">
      <c r="A1660">
        <v>7659</v>
      </c>
      <c r="B1660" t="str">
        <f>HYPERLINK("https://www.facebook.com/p/C%C3%B4ng-an-x%C3%A3-Vi%E1%BB%87t-H%C3%B9ng-Qu%E1%BA%BF-V%C3%B5-B%E1%BA%AFc-Ninh-100080269400368/", "Công an xã Việt Hùng  tỉnh Bắc Ninh")</f>
        <v>Công an xã Việt Hùng  tỉnh Bắc Ninh</v>
      </c>
      <c r="C1660" t="str">
        <v>https://www.facebook.com/p/C%C3%B4ng-an-x%C3%A3-Vi%E1%BB%87t-H%C3%B9ng-Qu%E1%BA%BF-V%C3%B5-B%E1%BA%AFc-Ninh-100080269400368/</v>
      </c>
      <c r="D1660" t="str">
        <v>-</v>
      </c>
      <c r="E1660" t="str">
        <v/>
      </c>
      <c r="F1660" t="str">
        <v>-</v>
      </c>
      <c r="G1660" t="str">
        <v>-</v>
      </c>
    </row>
    <row r="1661">
      <c r="A1661">
        <v>7660</v>
      </c>
      <c r="B1661" t="str">
        <f>HYPERLINK("https://www.bacninh.gov.vn/web/viet-hung/lien-he", "UBND Ủy ban nhân dân xã Việt Hùng  tỉnh Bắc Ninh")</f>
        <v>UBND Ủy ban nhân dân xã Việt Hùng  tỉnh Bắc Ninh</v>
      </c>
      <c r="C1661" t="str">
        <v>https://www.bacninh.gov.vn/web/viet-hung/lien-he</v>
      </c>
      <c r="D1661" t="str">
        <v>-</v>
      </c>
      <c r="E1661" t="str">
        <v>-</v>
      </c>
      <c r="F1661" t="str">
        <v>-</v>
      </c>
      <c r="G1661" t="str">
        <v>-</v>
      </c>
    </row>
    <row r="1662">
      <c r="A1662">
        <v>7661</v>
      </c>
      <c r="B1662" t="str">
        <f>HYPERLINK("https://www.facebook.com/p/C%C3%B4ng-an-x%C3%A3-ng%E1%BB%8Dc-x%C3%A1-huy%E1%BB%87n-qu%E1%BA%BF-v%C3%B5-t%E1%BB%89nh-b%E1%BA%AFc-ninh-100076229295858/", "Công an xã Ngọc Xá  tỉnh Bắc Ninh")</f>
        <v>Công an xã Ngọc Xá  tỉnh Bắc Ninh</v>
      </c>
      <c r="C1662" t="str">
        <v>https://www.facebook.com/p/C%C3%B4ng-an-x%C3%A3-ng%E1%BB%8Dc-x%C3%A1-huy%E1%BB%87n-qu%E1%BA%BF-v%C3%B5-t%E1%BB%89nh-b%E1%BA%AFc-ninh-100076229295858/</v>
      </c>
      <c r="D1662" t="str">
        <v>-</v>
      </c>
      <c r="E1662" t="str">
        <v/>
      </c>
      <c r="F1662" t="str">
        <f>HYPERLINK("mailto:truongpro158@gmail.com", "truongpro158@gmail.com")</f>
        <v>truongpro158@gmail.com</v>
      </c>
      <c r="G1662" t="str">
        <v>-</v>
      </c>
    </row>
    <row r="1663">
      <c r="A1663">
        <v>7662</v>
      </c>
      <c r="B1663" t="str">
        <f>HYPERLINK("https://quevo.bacninh.gov.vn/news/-/details/22344/xa-ngoc-xa", "UBND Ủy ban nhân dân xã Ngọc Xá  tỉnh Bắc Ninh")</f>
        <v>UBND Ủy ban nhân dân xã Ngọc Xá  tỉnh Bắc Ninh</v>
      </c>
      <c r="C1663" t="str">
        <v>https://quevo.bacninh.gov.vn/news/-/details/22344/xa-ngoc-xa</v>
      </c>
      <c r="D1663" t="str">
        <v>-</v>
      </c>
      <c r="E1663" t="str">
        <v>-</v>
      </c>
      <c r="F1663" t="str">
        <v>-</v>
      </c>
      <c r="G1663" t="str">
        <v>-</v>
      </c>
    </row>
    <row r="1664">
      <c r="A1664">
        <v>7663</v>
      </c>
      <c r="B1664" t="str">
        <f>HYPERLINK("https://www.facebook.com/caxchauphong/", "Công an xã Châu Phong  tỉnh Bắc Ninh")</f>
        <v>Công an xã Châu Phong  tỉnh Bắc Ninh</v>
      </c>
      <c r="C1664" t="str">
        <v>https://www.facebook.com/caxchauphong/</v>
      </c>
      <c r="D1664" t="str">
        <v>-</v>
      </c>
      <c r="E1664" t="str">
        <v/>
      </c>
      <c r="F1664" t="str">
        <v>-</v>
      </c>
      <c r="G1664" t="str">
        <v>Thôn Thất Gian - Châu Phong - Quế Võ - Bắc Ninh, Bac Ninh, Vietnam</v>
      </c>
    </row>
    <row r="1665">
      <c r="A1665">
        <v>7664</v>
      </c>
      <c r="B1665" t="str">
        <f>HYPERLINK("https://quevo.bacninh.gov.vn/news/-/details/22344/xa-chau-phong", "UBND Ủy ban nhân dân xã Châu Phong  tỉnh Bắc Ninh")</f>
        <v>UBND Ủy ban nhân dân xã Châu Phong  tỉnh Bắc Ninh</v>
      </c>
      <c r="C1665" t="str">
        <v>https://quevo.bacninh.gov.vn/news/-/details/22344/xa-chau-phong</v>
      </c>
      <c r="D1665" t="str">
        <v>-</v>
      </c>
      <c r="E1665" t="str">
        <v>-</v>
      </c>
      <c r="F1665" t="str">
        <v>-</v>
      </c>
      <c r="G1665" t="str">
        <v>-</v>
      </c>
    </row>
    <row r="1666">
      <c r="A1666">
        <v>7665</v>
      </c>
      <c r="B1666" t="str">
        <v>Công an xã Bồng Lai  tỉnh Bắc Ninh</v>
      </c>
      <c r="C1666" t="str">
        <v>-</v>
      </c>
      <c r="D1666" t="str">
        <v>-</v>
      </c>
      <c r="E1666" t="str">
        <v/>
      </c>
      <c r="F1666" t="str">
        <v>-</v>
      </c>
      <c r="G1666" t="str">
        <v>-</v>
      </c>
    </row>
    <row r="1667">
      <c r="A1667">
        <v>7666</v>
      </c>
      <c r="B1667" t="str">
        <f>HYPERLINK("https://www.bacninh.gov.vn/web/bong-lai/gioi-thieu-chung", "UBND Ủy ban nhân dân xã Bồng Lai  tỉnh Bắc Ninh")</f>
        <v>UBND Ủy ban nhân dân xã Bồng Lai  tỉnh Bắc Ninh</v>
      </c>
      <c r="C1667" t="str">
        <v>https://www.bacninh.gov.vn/web/bong-lai/gioi-thieu-chung</v>
      </c>
      <c r="D1667" t="str">
        <v>-</v>
      </c>
      <c r="E1667" t="str">
        <v>-</v>
      </c>
      <c r="F1667" t="str">
        <v>-</v>
      </c>
      <c r="G1667" t="str">
        <v>-</v>
      </c>
    </row>
    <row r="1668">
      <c r="A1668">
        <v>7667</v>
      </c>
      <c r="B1668" t="str">
        <f>HYPERLINK("https://www.facebook.com/groups/864889650632559/", "Công an xã Cách Bi  tỉnh Bắc Ninh")</f>
        <v>Công an xã Cách Bi  tỉnh Bắc Ninh</v>
      </c>
      <c r="C1668" t="str">
        <v>https://www.facebook.com/groups/864889650632559/</v>
      </c>
      <c r="D1668" t="str">
        <v>-</v>
      </c>
      <c r="E1668" t="str">
        <v/>
      </c>
      <c r="F1668" t="str">
        <v>-</v>
      </c>
      <c r="G1668" t="str">
        <v>-</v>
      </c>
    </row>
    <row r="1669">
      <c r="A1669">
        <v>7668</v>
      </c>
      <c r="B1669" t="str">
        <f>HYPERLINK("https://www.bacninh.gov.vn/web/cach-bi", "UBND Ủy ban nhân dân xã Cách Bi  tỉnh Bắc Ninh")</f>
        <v>UBND Ủy ban nhân dân xã Cách Bi  tỉnh Bắc Ninh</v>
      </c>
      <c r="C1669" t="str">
        <v>https://www.bacninh.gov.vn/web/cach-bi</v>
      </c>
      <c r="D1669" t="str">
        <v>-</v>
      </c>
      <c r="E1669" t="str">
        <v>-</v>
      </c>
      <c r="F1669" t="str">
        <v>-</v>
      </c>
      <c r="G1669" t="str">
        <v>-</v>
      </c>
    </row>
    <row r="1670">
      <c r="A1670">
        <v>7669</v>
      </c>
      <c r="B1670" t="str">
        <f>HYPERLINK("https://www.facebook.com/p/C%C3%B4ng-an-X%C3%A3-%C4%90%C3%A0o-Vi%C3%AAn-Th%E1%BB%8B-x%C3%A3-Qu%E1%BA%BF-V%C3%B5-100082317493607/", "Công an xã Đào Viên  tỉnh Bắc Ninh")</f>
        <v>Công an xã Đào Viên  tỉnh Bắc Ninh</v>
      </c>
      <c r="C1670" t="str">
        <v>https://www.facebook.com/p/C%C3%B4ng-an-X%C3%A3-%C4%90%C3%A0o-Vi%C3%AAn-Th%E1%BB%8B-x%C3%A3-Qu%E1%BA%BF-V%C3%B5-100082317493607/</v>
      </c>
      <c r="D1670" t="str">
        <v>-</v>
      </c>
      <c r="E1670" t="str">
        <v/>
      </c>
      <c r="F1670" t="str">
        <v>-</v>
      </c>
      <c r="G1670" t="str">
        <v>Thôn Lầy, xã Đào Viên, Thị Xã Quế Võ, Bac Ninh, Vietnam</v>
      </c>
    </row>
    <row r="1671">
      <c r="A1671">
        <v>7670</v>
      </c>
      <c r="B1671" t="str">
        <f>HYPERLINK("https://www.bacninh.gov.vn/web/dao-vien/gioi-thieu-chung", "UBND Ủy ban nhân dân xã Đào Viên  tỉnh Bắc Ninh")</f>
        <v>UBND Ủy ban nhân dân xã Đào Viên  tỉnh Bắc Ninh</v>
      </c>
      <c r="C1671" t="str">
        <v>https://www.bacninh.gov.vn/web/dao-vien/gioi-thieu-chung</v>
      </c>
      <c r="D1671" t="str">
        <v>-</v>
      </c>
      <c r="E1671" t="str">
        <v>-</v>
      </c>
      <c r="F1671" t="str">
        <v>-</v>
      </c>
      <c r="G1671" t="str">
        <v>-</v>
      </c>
    </row>
    <row r="1672">
      <c r="A1672">
        <v>7671</v>
      </c>
      <c r="B1672" t="str">
        <v>Công an xã Yên Giả  tỉnh Bắc Ninh</v>
      </c>
      <c r="C1672" t="str">
        <v>-</v>
      </c>
      <c r="D1672" t="str">
        <v>-</v>
      </c>
      <c r="E1672" t="str">
        <v/>
      </c>
      <c r="F1672" t="str">
        <v>-</v>
      </c>
      <c r="G1672" t="str">
        <v>-</v>
      </c>
    </row>
    <row r="1673">
      <c r="A1673">
        <v>7672</v>
      </c>
      <c r="B1673" t="str">
        <f>HYPERLINK("https://quevo.bacninh.gov.vn/news/-/details/22344/xa-yen-gia", "UBND Ủy ban nhân dân xã Yên Giả  tỉnh Bắc Ninh")</f>
        <v>UBND Ủy ban nhân dân xã Yên Giả  tỉnh Bắc Ninh</v>
      </c>
      <c r="C1673" t="str">
        <v>https://quevo.bacninh.gov.vn/news/-/details/22344/xa-yen-gia</v>
      </c>
      <c r="D1673" t="str">
        <v>-</v>
      </c>
      <c r="E1673" t="str">
        <v>-</v>
      </c>
      <c r="F1673" t="str">
        <v>-</v>
      </c>
      <c r="G1673" t="str">
        <v>-</v>
      </c>
    </row>
    <row r="1674">
      <c r="A1674">
        <v>7673</v>
      </c>
      <c r="B1674" t="str">
        <f>HYPERLINK("https://www.facebook.com/TrucO.Village/?locale=vi_VN", "Công an xã Mộ Đạo  tỉnh Bắc Ninh")</f>
        <v>Công an xã Mộ Đạo  tỉnh Bắc Ninh</v>
      </c>
      <c r="C1674" t="str">
        <v>https://www.facebook.com/TrucO.Village/?locale=vi_VN</v>
      </c>
      <c r="D1674" t="str">
        <v>-</v>
      </c>
      <c r="E1674" t="str">
        <v/>
      </c>
      <c r="F1674" t="str">
        <f>HYPERLINK("mailto:thanhnamktgt@gmail.com", "thanhnamktgt@gmail.com")</f>
        <v>thanhnamktgt@gmail.com</v>
      </c>
      <c r="G1674" t="str">
        <v>Trúc Ổ, Bac Ninh, Vietnam</v>
      </c>
    </row>
    <row r="1675">
      <c r="A1675">
        <v>7674</v>
      </c>
      <c r="B1675" t="str">
        <f>HYPERLINK("https://quevo.bacninh.gov.vn/news/-/details/22344/xa-mo-ao", "UBND Ủy ban nhân dân xã Mộ Đạo  tỉnh Bắc Ninh")</f>
        <v>UBND Ủy ban nhân dân xã Mộ Đạo  tỉnh Bắc Ninh</v>
      </c>
      <c r="C1675" t="str">
        <v>https://quevo.bacninh.gov.vn/news/-/details/22344/xa-mo-ao</v>
      </c>
      <c r="D1675" t="str">
        <v>-</v>
      </c>
      <c r="E1675" t="str">
        <v>-</v>
      </c>
      <c r="F1675" t="str">
        <v>-</v>
      </c>
      <c r="G1675" t="str">
        <v>-</v>
      </c>
    </row>
    <row r="1676">
      <c r="A1676">
        <v>7675</v>
      </c>
      <c r="B1676" t="str">
        <v>Công an xã Đức Long  tỉnh Bắc Ninh</v>
      </c>
      <c r="C1676" t="str">
        <v>-</v>
      </c>
      <c r="D1676" t="str">
        <v>-</v>
      </c>
      <c r="E1676" t="str">
        <v/>
      </c>
      <c r="F1676" t="str">
        <v>-</v>
      </c>
      <c r="G1676" t="str">
        <v>-</v>
      </c>
    </row>
    <row r="1677">
      <c r="A1677">
        <v>7676</v>
      </c>
      <c r="B1677" t="str">
        <f>HYPERLINK("https://quevo.bacninh.gov.vn/news/-/details/22344/xa-uc-long", "UBND Ủy ban nhân dân xã Đức Long  tỉnh Bắc Ninh")</f>
        <v>UBND Ủy ban nhân dân xã Đức Long  tỉnh Bắc Ninh</v>
      </c>
      <c r="C1677" t="str">
        <v>https://quevo.bacninh.gov.vn/news/-/details/22344/xa-uc-long</v>
      </c>
      <c r="D1677" t="str">
        <v>-</v>
      </c>
      <c r="E1677" t="str">
        <v>-</v>
      </c>
      <c r="F1677" t="str">
        <v>-</v>
      </c>
      <c r="G1677" t="str">
        <v>-</v>
      </c>
    </row>
    <row r="1678">
      <c r="A1678">
        <v>7677</v>
      </c>
      <c r="B1678" t="str">
        <f>HYPERLINK("https://www.facebook.com/p/Truy%E1%BB%81n-th%C3%B4ng-x%C3%A3-Chi-L%C4%83ng-Th%E1%BB%8B-x%C3%A3-Qu%E1%BA%BF-V%C3%B5-100080295351001/", "Công an xã Chi Lăng  tỉnh Bắc Ninh")</f>
        <v>Công an xã Chi Lăng  tỉnh Bắc Ninh</v>
      </c>
      <c r="C1678" t="str">
        <v>https://www.facebook.com/p/Truy%E1%BB%81n-th%C3%B4ng-x%C3%A3-Chi-L%C4%83ng-Th%E1%BB%8B-x%C3%A3-Qu%E1%BA%BF-V%C3%B5-100080295351001/</v>
      </c>
      <c r="D1678" t="str">
        <v>-</v>
      </c>
      <c r="E1678" t="str">
        <v/>
      </c>
      <c r="F1678" t="str">
        <v>-</v>
      </c>
      <c r="G1678" t="str">
        <v>-</v>
      </c>
    </row>
    <row r="1679">
      <c r="A1679">
        <v>7678</v>
      </c>
      <c r="B1679" t="str">
        <f>HYPERLINK("https://www.bacninh.gov.vn/web/chi-lang/lien-he", "UBND Ủy ban nhân dân xã Chi Lăng  tỉnh Bắc Ninh")</f>
        <v>UBND Ủy ban nhân dân xã Chi Lăng  tỉnh Bắc Ninh</v>
      </c>
      <c r="C1679" t="str">
        <v>https://www.bacninh.gov.vn/web/chi-lang/lien-he</v>
      </c>
      <c r="D1679" t="str">
        <v>-</v>
      </c>
      <c r="E1679" t="str">
        <v>-</v>
      </c>
      <c r="F1679" t="str">
        <v>-</v>
      </c>
      <c r="G1679" t="str">
        <v>-</v>
      </c>
    </row>
    <row r="1680">
      <c r="A1680">
        <v>7679</v>
      </c>
      <c r="B1680" t="str">
        <v>Công an xã Hán Quảng  tỉnh Bắc Ninh</v>
      </c>
      <c r="C1680" t="str">
        <v>-</v>
      </c>
      <c r="D1680" t="str">
        <v>-</v>
      </c>
      <c r="E1680" t="str">
        <v/>
      </c>
      <c r="F1680" t="str">
        <v>-</v>
      </c>
      <c r="G1680" t="str">
        <v>-</v>
      </c>
    </row>
    <row r="1681">
      <c r="A1681">
        <v>7680</v>
      </c>
      <c r="B1681" t="str">
        <f>HYPERLINK("https://quevo.bacninh.gov.vn/news/-/details/22344/xa-han-quang", "UBND Ủy ban nhân dân xã Hán Quảng  tỉnh Bắc Ninh")</f>
        <v>UBND Ủy ban nhân dân xã Hán Quảng  tỉnh Bắc Ninh</v>
      </c>
      <c r="C1681" t="str">
        <v>https://quevo.bacninh.gov.vn/news/-/details/22344/xa-han-quang</v>
      </c>
      <c r="D1681" t="str">
        <v>-</v>
      </c>
      <c r="E1681" t="str">
        <v>-</v>
      </c>
      <c r="F1681" t="str">
        <v>-</v>
      </c>
      <c r="G1681" t="str">
        <v>-</v>
      </c>
    </row>
    <row r="1682">
      <c r="A1682">
        <v>7681</v>
      </c>
      <c r="B1682" t="str">
        <f>HYPERLINK("https://www.facebook.com/p/Tu%E1%BB%95i-tr%E1%BA%BB-C%C3%B4ng-an-huy%E1%BB%87n-Ninh-Ph%C6%B0%E1%BB%9Bc-100068114569027/", "Công an thị trấn Lim  tỉnh Bắc Ninh")</f>
        <v>Công an thị trấn Lim  tỉnh Bắc Ninh</v>
      </c>
      <c r="C1682" t="str">
        <v>https://www.facebook.com/p/Tu%E1%BB%95i-tr%E1%BA%BB-C%C3%B4ng-an-huy%E1%BB%87n-Ninh-Ph%C6%B0%E1%BB%9Bc-100068114569027/</v>
      </c>
      <c r="D1682" t="str">
        <v>-</v>
      </c>
      <c r="E1682" t="str">
        <v>02593864529</v>
      </c>
      <c r="F1682" t="str">
        <v>-</v>
      </c>
      <c r="G1682" t="str">
        <v>Quốc lộ 1A</v>
      </c>
    </row>
    <row r="1683">
      <c r="A1683">
        <v>7682</v>
      </c>
      <c r="B1683" t="str">
        <f>HYPERLINK("https://www.bacninh.gov.vn/web/thi-tran-lim", "UBND Ủy ban nhân dân thị trấn Lim  tỉnh Bắc Ninh")</f>
        <v>UBND Ủy ban nhân dân thị trấn Lim  tỉnh Bắc Ninh</v>
      </c>
      <c r="C1683" t="str">
        <v>https://www.bacninh.gov.vn/web/thi-tran-lim</v>
      </c>
      <c r="D1683" t="str">
        <v>-</v>
      </c>
      <c r="E1683" t="str">
        <v>-</v>
      </c>
      <c r="F1683" t="str">
        <v>-</v>
      </c>
      <c r="G1683" t="str">
        <v>-</v>
      </c>
    </row>
    <row r="1684">
      <c r="A1684">
        <v>7683</v>
      </c>
      <c r="B1684" t="str">
        <f>HYPERLINK("https://www.facebook.com/p/C%C3%B4ng-an-x%C3%A3-Ph%C3%BA-L%C3%A2m-100081836477317/", "Công an xã Phú Lâm  tỉnh Bắc Ninh")</f>
        <v>Công an xã Phú Lâm  tỉnh Bắc Ninh</v>
      </c>
      <c r="C1684" t="str">
        <v>https://www.facebook.com/p/C%C3%B4ng-an-x%C3%A3-Ph%C3%BA-L%C3%A2m-100081836477317/</v>
      </c>
      <c r="D1684" t="str">
        <v>-</v>
      </c>
      <c r="E1684" t="str">
        <v>862585113</v>
      </c>
      <c r="F1684" t="str">
        <v>-</v>
      </c>
      <c r="G1684" t="str">
        <v>Khu Tây Mỗ 2, xã Phú Lâm, huyện Đoan Hùng, tỉnh Phú Thọ</v>
      </c>
    </row>
    <row r="1685">
      <c r="A1685">
        <v>7684</v>
      </c>
      <c r="B1685" t="str">
        <f>HYPERLINK("https://www.bacninh.gov.vn/web/xa-phu-lam", "UBND Ủy ban nhân dân xã Phú Lâm  tỉnh Bắc Ninh")</f>
        <v>UBND Ủy ban nhân dân xã Phú Lâm  tỉnh Bắc Ninh</v>
      </c>
      <c r="C1685" t="str">
        <v>https://www.bacninh.gov.vn/web/xa-phu-lam</v>
      </c>
      <c r="D1685" t="str">
        <v>-</v>
      </c>
      <c r="E1685" t="str">
        <v>-</v>
      </c>
      <c r="F1685" t="str">
        <v>-</v>
      </c>
      <c r="G1685" t="str">
        <v>-</v>
      </c>
    </row>
    <row r="1686">
      <c r="A1686">
        <v>7685</v>
      </c>
      <c r="B1686" t="str">
        <v>Công an xã Nội Duệ  tỉnh Bắc Ninh</v>
      </c>
      <c r="C1686" t="str">
        <v>-</v>
      </c>
      <c r="D1686" t="str">
        <v>-</v>
      </c>
      <c r="E1686" t="str">
        <v/>
      </c>
      <c r="F1686" t="str">
        <v>-</v>
      </c>
      <c r="G1686" t="str">
        <v>-</v>
      </c>
    </row>
    <row r="1687">
      <c r="A1687">
        <v>7686</v>
      </c>
      <c r="B1687" t="str">
        <f>HYPERLINK("https://www.bacninh.gov.vn/web/xa-noi-due", "UBND Ủy ban nhân dân xã Nội Duệ  tỉnh Bắc Ninh")</f>
        <v>UBND Ủy ban nhân dân xã Nội Duệ  tỉnh Bắc Ninh</v>
      </c>
      <c r="C1687" t="str">
        <v>https://www.bacninh.gov.vn/web/xa-noi-due</v>
      </c>
      <c r="D1687" t="str">
        <v>-</v>
      </c>
      <c r="E1687" t="str">
        <v>-</v>
      </c>
      <c r="F1687" t="str">
        <v>-</v>
      </c>
      <c r="G1687" t="str">
        <v>-</v>
      </c>
    </row>
    <row r="1688">
      <c r="A1688">
        <v>7687</v>
      </c>
      <c r="B1688" t="str">
        <v>Công an xã Liên Bão  tỉnh Bắc Ninh</v>
      </c>
      <c r="C1688" t="str">
        <v>-</v>
      </c>
      <c r="D1688" t="str">
        <v>-</v>
      </c>
      <c r="E1688" t="str">
        <v/>
      </c>
      <c r="F1688" t="str">
        <v>-</v>
      </c>
      <c r="G1688" t="str">
        <v>-</v>
      </c>
    </row>
    <row r="1689">
      <c r="A1689">
        <v>7688</v>
      </c>
      <c r="B1689" t="str">
        <f>HYPERLINK("https://www.bacninh.gov.vn/web/xa-lien-bao", "UBND Ủy ban nhân dân xã Liên Bão  tỉnh Bắc Ninh")</f>
        <v>UBND Ủy ban nhân dân xã Liên Bão  tỉnh Bắc Ninh</v>
      </c>
      <c r="C1689" t="str">
        <v>https://www.bacninh.gov.vn/web/xa-lien-bao</v>
      </c>
      <c r="D1689" t="str">
        <v>-</v>
      </c>
      <c r="E1689" t="str">
        <v>-</v>
      </c>
      <c r="F1689" t="str">
        <v>-</v>
      </c>
      <c r="G1689" t="str">
        <v>-</v>
      </c>
    </row>
    <row r="1690">
      <c r="A1690">
        <v>7689</v>
      </c>
      <c r="B1690" t="str">
        <f>HYPERLINK("https://www.facebook.com/myretreat.hienvan/", "Công an xã Hiên Vân  tỉnh Bắc Ninh")</f>
        <v>Công an xã Hiên Vân  tỉnh Bắc Ninh</v>
      </c>
      <c r="C1690" t="str">
        <v>https://www.facebook.com/myretreat.hienvan/</v>
      </c>
      <c r="D1690" t="str">
        <v>0826803666</v>
      </c>
      <c r="E1690" t="str">
        <v>-</v>
      </c>
      <c r="F1690" t="str">
        <f>HYPERLINK("mailto:res@myretreat.vn", "res@myretreat.vn")</f>
        <v>res@myretreat.vn</v>
      </c>
      <c r="G1690" t="str">
        <v>Làng Kiều, Xã Hiên Vân, Huyện Tiên Du, tỉnh Bắc Ninh</v>
      </c>
    </row>
    <row r="1691">
      <c r="A1691">
        <v>7690</v>
      </c>
      <c r="B1691" t="str">
        <f>HYPERLINK("https://www.bacninh.gov.vn/web/xa-hien-van", "UBND Ủy ban nhân dân xã Hiên Vân  tỉnh Bắc Ninh")</f>
        <v>UBND Ủy ban nhân dân xã Hiên Vân  tỉnh Bắc Ninh</v>
      </c>
      <c r="C1691" t="str">
        <v>https://www.bacninh.gov.vn/web/xa-hien-van</v>
      </c>
      <c r="D1691" t="str">
        <v>-</v>
      </c>
      <c r="E1691" t="str">
        <v>-</v>
      </c>
      <c r="F1691" t="str">
        <v>-</v>
      </c>
      <c r="G1691" t="str">
        <v>-</v>
      </c>
    </row>
    <row r="1692">
      <c r="A1692">
        <v>7691</v>
      </c>
      <c r="B1692" t="str">
        <f>HYPERLINK("https://www.facebook.com/p/C%C3%B4ng-an-x%C3%A3-Ho%C3%A0n-S%C6%A1n-100083331667792/", "Công an xã Hoàn Sơn  tỉnh Bắc Ninh")</f>
        <v>Công an xã Hoàn Sơn  tỉnh Bắc Ninh</v>
      </c>
      <c r="C1692" t="str">
        <v>https://www.facebook.com/p/C%C3%B4ng-an-x%C3%A3-Ho%C3%A0n-S%C6%A1n-100083331667792/</v>
      </c>
      <c r="D1692" t="str">
        <v>-</v>
      </c>
      <c r="E1692" t="str">
        <v/>
      </c>
      <c r="F1692" t="str">
        <v>-</v>
      </c>
      <c r="G1692" t="str">
        <v>-</v>
      </c>
    </row>
    <row r="1693">
      <c r="A1693">
        <v>7692</v>
      </c>
      <c r="B1693" t="str">
        <f>HYPERLINK("https://www.bacninh.gov.vn/web/xa-hoan-son", "UBND Ủy ban nhân dân xã Hoàn Sơn  tỉnh Bắc Ninh")</f>
        <v>UBND Ủy ban nhân dân xã Hoàn Sơn  tỉnh Bắc Ninh</v>
      </c>
      <c r="C1693" t="str">
        <v>https://www.bacninh.gov.vn/web/xa-hoan-son</v>
      </c>
      <c r="D1693" t="str">
        <v>-</v>
      </c>
      <c r="E1693" t="str">
        <v>-</v>
      </c>
      <c r="F1693" t="str">
        <v>-</v>
      </c>
      <c r="G1693" t="str">
        <v>-</v>
      </c>
    </row>
    <row r="1694">
      <c r="A1694">
        <v>7693</v>
      </c>
      <c r="B1694" t="str">
        <f>HYPERLINK("https://www.facebook.com/conganxaLacVe/?locale=vi_VN", "Công an xã Lạc Vệ  tỉnh Bắc Ninh")</f>
        <v>Công an xã Lạc Vệ  tỉnh Bắc Ninh</v>
      </c>
      <c r="C1694" t="str">
        <v>https://www.facebook.com/conganxaLacVe/?locale=vi_VN</v>
      </c>
      <c r="D1694" t="str">
        <v>-</v>
      </c>
      <c r="E1694" t="str">
        <v/>
      </c>
      <c r="F1694" t="str">
        <v>-</v>
      </c>
      <c r="G1694" t="str">
        <v>-</v>
      </c>
    </row>
    <row r="1695">
      <c r="A1695">
        <v>7694</v>
      </c>
      <c r="B1695" t="str">
        <v>UBND Ủy ban nhân dân xã Lạc Vệ  tỉnh Bắc Ninh</v>
      </c>
      <c r="C1695" t="str">
        <v>-</v>
      </c>
      <c r="D1695" t="str">
        <v>-</v>
      </c>
      <c r="E1695" t="str">
        <v>-</v>
      </c>
      <c r="F1695" t="str">
        <v>-</v>
      </c>
      <c r="G1695" t="str">
        <v>-</v>
      </c>
    </row>
    <row r="1696">
      <c r="A1696">
        <v>7695</v>
      </c>
      <c r="B1696" t="str">
        <f>HYPERLINK("https://www.facebook.com/TinhdoanBN/", "Công an xã Việt Đoàn  tỉnh Bắc Ninh")</f>
        <v>Công an xã Việt Đoàn  tỉnh Bắc Ninh</v>
      </c>
      <c r="C1696" t="str">
        <v>https://www.facebook.com/TinhdoanBN/</v>
      </c>
      <c r="D1696" t="str">
        <v>-</v>
      </c>
      <c r="E1696" t="str">
        <v>02223810215</v>
      </c>
      <c r="F1696" t="str">
        <f>HYPERLINK("mailto:bantuyengiaotdbn@gmail.com", "bantuyengiaotdbn@gmail.com")</f>
        <v>bantuyengiaotdbn@gmail.com</v>
      </c>
      <c r="G1696" t="str">
        <v>81 Lê Văn Thịnh, phường Suối Hoa, thành phố Bắc Ninh, Bac Ninh, Vietnam</v>
      </c>
    </row>
    <row r="1697">
      <c r="A1697">
        <v>7696</v>
      </c>
      <c r="B1697" t="str">
        <f>HYPERLINK("https://www.bacninh.gov.vn/web/xa-viet-oan", "UBND Ủy ban nhân dân xã Việt Đoàn  tỉnh Bắc Ninh")</f>
        <v>UBND Ủy ban nhân dân xã Việt Đoàn  tỉnh Bắc Ninh</v>
      </c>
      <c r="C1697" t="str">
        <v>https://www.bacninh.gov.vn/web/xa-viet-oan</v>
      </c>
      <c r="D1697" t="str">
        <v>-</v>
      </c>
      <c r="E1697" t="str">
        <v>-</v>
      </c>
      <c r="F1697" t="str">
        <v>-</v>
      </c>
      <c r="G1697" t="str">
        <v>-</v>
      </c>
    </row>
    <row r="1698">
      <c r="A1698">
        <v>7697</v>
      </c>
      <c r="B1698" t="str">
        <f>HYPERLINK("https://www.facebook.com/caxpt/?locale=tr_TR", "Công an xã Phật Tích  tỉnh Bắc Ninh")</f>
        <v>Công an xã Phật Tích  tỉnh Bắc Ninh</v>
      </c>
      <c r="C1698" t="str">
        <v>https://www.facebook.com/caxpt/?locale=tr_TR</v>
      </c>
      <c r="D1698" t="str">
        <v>-</v>
      </c>
      <c r="E1698" t="str">
        <v/>
      </c>
      <c r="F1698" t="str">
        <v>-</v>
      </c>
      <c r="G1698" t="str">
        <v>-</v>
      </c>
    </row>
    <row r="1699">
      <c r="A1699">
        <v>7698</v>
      </c>
      <c r="B1699" t="str">
        <f>HYPERLINK("https://www.bacninh.gov.vn/web/xa-phat-tich", "UBND Ủy ban nhân dân xã Phật Tích  tỉnh Bắc Ninh")</f>
        <v>UBND Ủy ban nhân dân xã Phật Tích  tỉnh Bắc Ninh</v>
      </c>
      <c r="C1699" t="str">
        <v>https://www.bacninh.gov.vn/web/xa-phat-tich</v>
      </c>
      <c r="D1699" t="str">
        <v>-</v>
      </c>
      <c r="E1699" t="str">
        <v>-</v>
      </c>
      <c r="F1699" t="str">
        <v>-</v>
      </c>
      <c r="G1699" t="str">
        <v>-</v>
      </c>
    </row>
    <row r="1700">
      <c r="A1700">
        <v>7699</v>
      </c>
      <c r="B1700" t="str">
        <f>HYPERLINK("https://www.facebook.com/conganxatanchi/", "Công an xã Tân Chi  tỉnh Bắc Ninh")</f>
        <v>Công an xã Tân Chi  tỉnh Bắc Ninh</v>
      </c>
      <c r="C1700" t="str">
        <v>https://www.facebook.com/conganxatanchi/</v>
      </c>
      <c r="D1700" t="str">
        <v>-</v>
      </c>
      <c r="E1700" t="str">
        <v/>
      </c>
      <c r="F1700" t="str">
        <v>-</v>
      </c>
      <c r="G1700" t="str">
        <v>-</v>
      </c>
    </row>
    <row r="1701">
      <c r="A1701">
        <v>7700</v>
      </c>
      <c r="B1701" t="str">
        <f>HYPERLINK("https://www.bacninh.gov.vn/web/xa-tan-chi", "UBND Ủy ban nhân dân xã Tân Chi  tỉnh Bắc Ninh")</f>
        <v>UBND Ủy ban nhân dân xã Tân Chi  tỉnh Bắc Ninh</v>
      </c>
      <c r="C1701" t="str">
        <v>https://www.bacninh.gov.vn/web/xa-tan-chi</v>
      </c>
      <c r="D1701" t="str">
        <v>-</v>
      </c>
      <c r="E1701" t="str">
        <v>-</v>
      </c>
      <c r="F1701" t="str">
        <v>-</v>
      </c>
      <c r="G1701" t="str">
        <v>-</v>
      </c>
    </row>
    <row r="1702">
      <c r="A1702">
        <v>7701</v>
      </c>
      <c r="B1702" t="str">
        <f>HYPERLINK("https://www.facebook.com/p/C%C3%B4ng-an-x%C3%A3-%C4%90%E1%BA%A1i-%C4%90%E1%BB%93ng-Ti%C3%AAn-Du-B%E1%BA%AFc-Ninh-100083357761724/?locale=vi_VN", "Công an xã Đại Đồng  tỉnh Bắc Ninh")</f>
        <v>Công an xã Đại Đồng  tỉnh Bắc Ninh</v>
      </c>
      <c r="C1702" t="str">
        <v>https://www.facebook.com/p/C%C3%B4ng-an-x%C3%A3-%C4%90%E1%BA%A1i-%C4%90%E1%BB%93ng-Ti%C3%AAn-Du-B%E1%BA%AFc-Ninh-100083357761724/?locale=vi_VN</v>
      </c>
      <c r="D1702" t="str">
        <v>-</v>
      </c>
      <c r="E1702" t="str">
        <v/>
      </c>
      <c r="F1702" t="str">
        <v>-</v>
      </c>
      <c r="G1702" t="str">
        <v>-</v>
      </c>
    </row>
    <row r="1703">
      <c r="A1703">
        <v>7702</v>
      </c>
      <c r="B1703" t="str">
        <f>HYPERLINK("https://www.bacninh.gov.vn/web/xa-ai-ong/to-chuc-bo-may", "UBND Ủy ban nhân dân xã Đại Đồng  tỉnh Bắc Ninh")</f>
        <v>UBND Ủy ban nhân dân xã Đại Đồng  tỉnh Bắc Ninh</v>
      </c>
      <c r="C1703" t="str">
        <v>https://www.bacninh.gov.vn/web/xa-ai-ong/to-chuc-bo-may</v>
      </c>
      <c r="D1703" t="str">
        <v>-</v>
      </c>
      <c r="E1703" t="str">
        <v>-</v>
      </c>
      <c r="F1703" t="str">
        <v>-</v>
      </c>
      <c r="G1703" t="str">
        <v>-</v>
      </c>
    </row>
    <row r="1704">
      <c r="A1704">
        <v>7703</v>
      </c>
      <c r="B1704" t="str">
        <f>HYPERLINK("https://www.facebook.com/p/C%C3%B4ng-an-x%C3%A3-Tri-Ph%C6%B0%C6%A1ng-Ti%C3%AAn-Du-B%E1%BA%AFc-Ninh-100083233423887/", "Công an xã Tri Phương  tỉnh Bắc Ninh")</f>
        <v>Công an xã Tri Phương  tỉnh Bắc Ninh</v>
      </c>
      <c r="C1704" t="str">
        <v>https://www.facebook.com/p/C%C3%B4ng-an-x%C3%A3-Tri-Ph%C6%B0%C6%A1ng-Ti%C3%AAn-Du-B%E1%BA%AFc-Ninh-100083233423887/</v>
      </c>
      <c r="D1704" t="str">
        <v>0586588999</v>
      </c>
      <c r="E1704" t="str">
        <v>-</v>
      </c>
      <c r="F1704" t="str">
        <f>HYPERLINK("mailto:Nguyenduoc9099@gmail.com", "Nguyenduoc9099@gmail.com")</f>
        <v>Nguyenduoc9099@gmail.com</v>
      </c>
      <c r="G1704" t="str">
        <v>-</v>
      </c>
    </row>
    <row r="1705">
      <c r="A1705">
        <v>7704</v>
      </c>
      <c r="B1705" t="str">
        <f>HYPERLINK("https://www.bacninh.gov.vn/web/xa-tri-phuong", "UBND Ủy ban nhân dân xã Tri Phương  tỉnh Bắc Ninh")</f>
        <v>UBND Ủy ban nhân dân xã Tri Phương  tỉnh Bắc Ninh</v>
      </c>
      <c r="C1705" t="str">
        <v>https://www.bacninh.gov.vn/web/xa-tri-phuong</v>
      </c>
      <c r="D1705" t="str">
        <v>-</v>
      </c>
      <c r="E1705" t="str">
        <v>-</v>
      </c>
      <c r="F1705" t="str">
        <v>-</v>
      </c>
      <c r="G1705" t="str">
        <v>-</v>
      </c>
    </row>
    <row r="1706">
      <c r="A1706">
        <v>7705</v>
      </c>
      <c r="B1706" t="str">
        <v>Công an xã Minh Đạo  tỉnh Bắc Ninh</v>
      </c>
      <c r="C1706" t="str">
        <v>-</v>
      </c>
      <c r="D1706" t="str">
        <v>-</v>
      </c>
      <c r="E1706" t="str">
        <v/>
      </c>
      <c r="F1706" t="str">
        <v>-</v>
      </c>
      <c r="G1706" t="str">
        <v>-</v>
      </c>
    </row>
    <row r="1707">
      <c r="A1707">
        <v>7706</v>
      </c>
      <c r="B1707" t="str">
        <f>HYPERLINK("https://www.bacninh.gov.vn/web/xa-minh-ao/gioi-thieu-chung", "UBND Ủy ban nhân dân xã Minh Đạo  tỉnh Bắc Ninh")</f>
        <v>UBND Ủy ban nhân dân xã Minh Đạo  tỉnh Bắc Ninh</v>
      </c>
      <c r="C1707" t="str">
        <v>https://www.bacninh.gov.vn/web/xa-minh-ao/gioi-thieu-chung</v>
      </c>
      <c r="D1707" t="str">
        <v>-</v>
      </c>
      <c r="E1707" t="str">
        <v>-</v>
      </c>
      <c r="F1707" t="str">
        <v>-</v>
      </c>
      <c r="G1707" t="str">
        <v>-</v>
      </c>
    </row>
    <row r="1708">
      <c r="A1708">
        <v>7707</v>
      </c>
      <c r="B1708" t="str">
        <f>HYPERLINK("https://www.facebook.com/canhhung24h/", "Công an xã Cảnh Hưng  tỉnh Bắc Ninh")</f>
        <v>Công an xã Cảnh Hưng  tỉnh Bắc Ninh</v>
      </c>
      <c r="C1708" t="str">
        <v>https://www.facebook.com/canhhung24h/</v>
      </c>
      <c r="D1708" t="str">
        <v>-</v>
      </c>
      <c r="E1708" t="str">
        <v>+376308578</v>
      </c>
      <c r="F1708" t="str">
        <f>HYPERLINK("mailto:Duycuong1312@gmail.com", "Duycuong1312@gmail.com")</f>
        <v>Duycuong1312@gmail.com</v>
      </c>
      <c r="G1708" t="str">
        <v>Bac Ninh, Vietnam</v>
      </c>
    </row>
    <row r="1709">
      <c r="A1709">
        <v>7708</v>
      </c>
      <c r="B1709" t="str">
        <f>HYPERLINK("https://www.bacninh.gov.vn/web/xa-canh-hung", "UBND Ủy ban nhân dân xã Cảnh Hưng  tỉnh Bắc Ninh")</f>
        <v>UBND Ủy ban nhân dân xã Cảnh Hưng  tỉnh Bắc Ninh</v>
      </c>
      <c r="C1709" t="str">
        <v>https://www.bacninh.gov.vn/web/xa-canh-hung</v>
      </c>
      <c r="D1709" t="str">
        <v>-</v>
      </c>
      <c r="E1709" t="str">
        <v>-</v>
      </c>
      <c r="F1709" t="str">
        <v>-</v>
      </c>
      <c r="G1709" t="str">
        <v>-</v>
      </c>
    </row>
    <row r="1710">
      <c r="A1710">
        <v>7709</v>
      </c>
      <c r="B1710" t="str">
        <f>HYPERLINK("https://www.facebook.com/p/C%C3%B4ng-an-ph%C6%B0%E1%BB%9Dng-%C4%90%C3%B4ng-Ng%C3%A0n-th%C3%A0nh-ph%E1%BB%91-T%E1%BB%AB-S%C6%A1n-100079447881075/", "Công an phường Đông Ngàn  tỉnh Bắc Ninh")</f>
        <v>Công an phường Đông Ngàn  tỉnh Bắc Ninh</v>
      </c>
      <c r="C1710" t="str">
        <v>https://www.facebook.com/p/C%C3%B4ng-an-ph%C6%B0%E1%BB%9Dng-%C4%90%C3%B4ng-Ng%C3%A0n-th%C3%A0nh-ph%E1%BB%91-T%E1%BB%AB-S%C6%A1n-100079447881075/</v>
      </c>
      <c r="D1710" t="str">
        <v>-</v>
      </c>
      <c r="E1710" t="str">
        <v>02223832111</v>
      </c>
      <c r="F1710" t="str">
        <v>-</v>
      </c>
      <c r="G1710" t="str">
        <v>Từ Sơn, Vietnam</v>
      </c>
    </row>
    <row r="1711">
      <c r="A1711">
        <v>7710</v>
      </c>
      <c r="B1711" t="str">
        <f>HYPERLINK("https://www.bacninh.gov.vn/web/phuong-ong-ngan", "UBND Ủy ban nhân dân phường Đông Ngàn  tỉnh Bắc Ninh")</f>
        <v>UBND Ủy ban nhân dân phường Đông Ngàn  tỉnh Bắc Ninh</v>
      </c>
      <c r="C1711" t="str">
        <v>https://www.bacninh.gov.vn/web/phuong-ong-ngan</v>
      </c>
      <c r="D1711" t="str">
        <v>-</v>
      </c>
      <c r="E1711" t="str">
        <v>-</v>
      </c>
      <c r="F1711" t="str">
        <v>-</v>
      </c>
      <c r="G1711" t="str">
        <v>-</v>
      </c>
    </row>
    <row r="1712">
      <c r="A1712">
        <v>7711</v>
      </c>
      <c r="B1712" t="str">
        <f>HYPERLINK("https://www.facebook.com/p/C%C3%B4ng-an-ph%C6%B0%E1%BB%9Dng-Tam-S%C6%A1n-100074968975753/", "Công an xã Tam Sơn  tỉnh Bắc Ninh")</f>
        <v>Công an xã Tam Sơn  tỉnh Bắc Ninh</v>
      </c>
      <c r="C1712" t="str">
        <v>https://www.facebook.com/p/C%C3%B4ng-an-ph%C6%B0%E1%BB%9Dng-Tam-S%C6%A1n-100074968975753/</v>
      </c>
      <c r="D1712" t="str">
        <v>-</v>
      </c>
      <c r="E1712" t="str">
        <v/>
      </c>
      <c r="F1712" t="str">
        <v>-</v>
      </c>
      <c r="G1712" t="str">
        <v>Khu phố Tam Sơn</v>
      </c>
    </row>
    <row r="1713">
      <c r="A1713">
        <v>7712</v>
      </c>
      <c r="B1713" t="str">
        <f>HYPERLINK("https://www.bacninh.gov.vn/web/xa-tam-son/lien-he", "UBND Ủy ban nhân dân xã Tam Sơn  tỉnh Bắc Ninh")</f>
        <v>UBND Ủy ban nhân dân xã Tam Sơn  tỉnh Bắc Ninh</v>
      </c>
      <c r="C1713" t="str">
        <v>https://www.bacninh.gov.vn/web/xa-tam-son/lien-he</v>
      </c>
      <c r="D1713" t="str">
        <v>-</v>
      </c>
      <c r="E1713" t="str">
        <v>-</v>
      </c>
      <c r="F1713" t="str">
        <v>-</v>
      </c>
      <c r="G1713" t="str">
        <v>-</v>
      </c>
    </row>
    <row r="1714">
      <c r="A1714">
        <v>7713</v>
      </c>
      <c r="B1714" t="str">
        <f>HYPERLINK("https://www.facebook.com/TPTuSon/?locale=vi_VN", "Công an xã Hương Mạc  tỉnh Bắc Ninh")</f>
        <v>Công an xã Hương Mạc  tỉnh Bắc Ninh</v>
      </c>
      <c r="C1714" t="str">
        <v>https://www.facebook.com/TPTuSon/?locale=vi_VN</v>
      </c>
      <c r="D1714" t="str">
        <v>-</v>
      </c>
      <c r="E1714" t="str">
        <v/>
      </c>
      <c r="F1714" t="str">
        <v>-</v>
      </c>
      <c r="G1714" t="str">
        <v>-</v>
      </c>
    </row>
    <row r="1715">
      <c r="A1715">
        <v>7714</v>
      </c>
      <c r="B1715" t="str">
        <f>HYPERLINK("https://www.bacninh.gov.vn/web/xa-huong-mac", "UBND Ủy ban nhân dân xã Hương Mạc  tỉnh Bắc Ninh")</f>
        <v>UBND Ủy ban nhân dân xã Hương Mạc  tỉnh Bắc Ninh</v>
      </c>
      <c r="C1715" t="str">
        <v>https://www.bacninh.gov.vn/web/xa-huong-mac</v>
      </c>
      <c r="D1715" t="str">
        <v>-</v>
      </c>
      <c r="E1715" t="str">
        <v>-</v>
      </c>
      <c r="F1715" t="str">
        <v>-</v>
      </c>
      <c r="G1715" t="str">
        <v>-</v>
      </c>
    </row>
    <row r="1716">
      <c r="A1716">
        <v>7715</v>
      </c>
      <c r="B1716" t="str">
        <f>HYPERLINK("https://www.facebook.com/media/set/?vanity=DUYENGIACNGO&amp;set=a.744598935743939", "Công an xã Tương Giang  tỉnh Bắc Ninh")</f>
        <v>Công an xã Tương Giang  tỉnh Bắc Ninh</v>
      </c>
      <c r="C1716" t="str">
        <v>https://www.facebook.com/media/set/?vanity=DUYENGIACNGO&amp;set=a.744598935743939</v>
      </c>
      <c r="D1716" t="str">
        <v>-</v>
      </c>
      <c r="E1716" t="str">
        <v/>
      </c>
      <c r="F1716" t="str">
        <v>-</v>
      </c>
      <c r="G1716" t="str">
        <v>-</v>
      </c>
    </row>
    <row r="1717">
      <c r="A1717">
        <v>7716</v>
      </c>
      <c r="B1717" t="str">
        <f>HYPERLINK("https://www.bacninh.gov.vn/web/xa-tuong-giang", "UBND Ủy ban nhân dân xã Tương Giang  tỉnh Bắc Ninh")</f>
        <v>UBND Ủy ban nhân dân xã Tương Giang  tỉnh Bắc Ninh</v>
      </c>
      <c r="C1717" t="str">
        <v>https://www.bacninh.gov.vn/web/xa-tuong-giang</v>
      </c>
      <c r="D1717" t="str">
        <v>-</v>
      </c>
      <c r="E1717" t="str">
        <v>-</v>
      </c>
      <c r="F1717" t="str">
        <v>-</v>
      </c>
      <c r="G1717" t="str">
        <v>-</v>
      </c>
    </row>
    <row r="1718">
      <c r="A1718">
        <v>7717</v>
      </c>
      <c r="B1718" t="str">
        <v>Công an xã Phù Khê  tỉnh Bắc Ninh</v>
      </c>
      <c r="C1718" t="str">
        <v>-</v>
      </c>
      <c r="D1718" t="str">
        <v>-</v>
      </c>
      <c r="E1718" t="str">
        <v/>
      </c>
      <c r="F1718" t="str">
        <v>-</v>
      </c>
      <c r="G1718" t="str">
        <v>-</v>
      </c>
    </row>
    <row r="1719">
      <c r="A1719">
        <v>7718</v>
      </c>
      <c r="B1719" t="str">
        <f>HYPERLINK("https://www.bacninh.gov.vn/web/xa-phu-khe", "UBND Ủy ban nhân dân xã Phù Khê  tỉnh Bắc Ninh")</f>
        <v>UBND Ủy ban nhân dân xã Phù Khê  tỉnh Bắc Ninh</v>
      </c>
      <c r="C1719" t="str">
        <v>https://www.bacninh.gov.vn/web/xa-phu-khe</v>
      </c>
      <c r="D1719" t="str">
        <v>-</v>
      </c>
      <c r="E1719" t="str">
        <v>-</v>
      </c>
      <c r="F1719" t="str">
        <v>-</v>
      </c>
      <c r="G1719" t="str">
        <v>-</v>
      </c>
    </row>
    <row r="1720">
      <c r="A1720">
        <v>7719</v>
      </c>
      <c r="B1720" t="str">
        <f>HYPERLINK("https://www.facebook.com/p/C%C3%B4ng-An-Ph%C6%B0%E1%BB%9Dng-%C4%90%E1%BB%93ng-K%E1%BB%B5-100083218455836/?locale=hi_IN", "Công an phường Đồng Kỵ  tỉnh Bắc Ninh")</f>
        <v>Công an phường Đồng Kỵ  tỉnh Bắc Ninh</v>
      </c>
      <c r="C1720" t="str">
        <v>https://www.facebook.com/p/C%C3%B4ng-An-Ph%C6%B0%E1%BB%9Dng-%C4%90%E1%BB%93ng-K%E1%BB%B5-100083218455836/?locale=hi_IN</v>
      </c>
      <c r="D1720" t="str">
        <v>-</v>
      </c>
      <c r="E1720" t="str">
        <v/>
      </c>
      <c r="F1720" t="str">
        <v>-</v>
      </c>
      <c r="G1720" t="str">
        <v>-</v>
      </c>
    </row>
    <row r="1721">
      <c r="A1721">
        <v>7720</v>
      </c>
      <c r="B1721" t="str">
        <f>HYPERLINK("https://www.bacninh.gov.vn/web/phuong-ong-ky", "UBND Ủy ban nhân dân phường Đồng Kỵ  tỉnh Bắc Ninh")</f>
        <v>UBND Ủy ban nhân dân phường Đồng Kỵ  tỉnh Bắc Ninh</v>
      </c>
      <c r="C1721" t="str">
        <v>https://www.bacninh.gov.vn/web/phuong-ong-ky</v>
      </c>
      <c r="D1721" t="str">
        <v>-</v>
      </c>
      <c r="E1721" t="str">
        <v>-</v>
      </c>
      <c r="F1721" t="str">
        <v>-</v>
      </c>
      <c r="G1721" t="str">
        <v>-</v>
      </c>
    </row>
    <row r="1722">
      <c r="A1722">
        <v>7721</v>
      </c>
      <c r="B1722" t="str">
        <f>HYPERLINK("https://www.facebook.com/p/C%C3%B4ng-an-ph%C6%B0%E1%BB%9Dng-Trang-H%E1%BA%A1-100080629711280/", "Công an phường Trang Hạ  tỉnh Bắc Ninh")</f>
        <v>Công an phường Trang Hạ  tỉnh Bắc Ninh</v>
      </c>
      <c r="C1722" t="str">
        <v>https://www.facebook.com/p/C%C3%B4ng-an-ph%C6%B0%E1%BB%9Dng-Trang-H%E1%BA%A1-100080629711280/</v>
      </c>
      <c r="D1722" t="str">
        <v>-</v>
      </c>
      <c r="E1722" t="str">
        <v/>
      </c>
      <c r="F1722" t="str">
        <v>-</v>
      </c>
      <c r="G1722" t="str">
        <v>-</v>
      </c>
    </row>
    <row r="1723">
      <c r="A1723">
        <v>7722</v>
      </c>
      <c r="B1723" t="str">
        <f>HYPERLINK("https://bacninh.gov.vn/van-ban-quy-pham-phap-luat/-/l/legal-detail/869224", "UBND Ủy ban nhân dân phường Trang Hạ  tỉnh Bắc Ninh")</f>
        <v>UBND Ủy ban nhân dân phường Trang Hạ  tỉnh Bắc Ninh</v>
      </c>
      <c r="C1723" t="str">
        <v>https://bacninh.gov.vn/van-ban-quy-pham-phap-luat/-/l/legal-detail/869224</v>
      </c>
      <c r="D1723" t="str">
        <v>-</v>
      </c>
      <c r="E1723" t="str">
        <v>-</v>
      </c>
      <c r="F1723" t="str">
        <v>-</v>
      </c>
      <c r="G1723" t="str">
        <v>-</v>
      </c>
    </row>
    <row r="1724">
      <c r="A1724">
        <v>7723</v>
      </c>
      <c r="B1724" t="str">
        <f>HYPERLINK("https://www.facebook.com/p/C%C3%B4ng-an-ph%C6%B0%E1%BB%9Dng-%C4%90%E1%BB%93ng-Nguy%C3%AAn-100075808868726/", "Công an phường Đồng Nguyên  tỉnh Bắc Ninh")</f>
        <v>Công an phường Đồng Nguyên  tỉnh Bắc Ninh</v>
      </c>
      <c r="C1724" t="str">
        <v>https://www.facebook.com/p/C%C3%B4ng-an-ph%C6%B0%E1%BB%9Dng-%C4%90%E1%BB%93ng-Nguy%C3%AAn-100075808868726/</v>
      </c>
      <c r="D1724" t="str">
        <v>-</v>
      </c>
      <c r="E1724" t="str">
        <v/>
      </c>
      <c r="F1724" t="str">
        <v>-</v>
      </c>
      <c r="G1724" t="str">
        <v>KĐT Phú Điền, Từ Sơn, Vietnam</v>
      </c>
    </row>
    <row r="1725">
      <c r="A1725">
        <v>7724</v>
      </c>
      <c r="B1725" t="str">
        <f>HYPERLINK("https://www.bacninh.gov.vn/web/phuong-ong-nguyen", "UBND Ủy ban nhân dân phường Đồng Nguyên  tỉnh Bắc Ninh")</f>
        <v>UBND Ủy ban nhân dân phường Đồng Nguyên  tỉnh Bắc Ninh</v>
      </c>
      <c r="C1725" t="str">
        <v>https://www.bacninh.gov.vn/web/phuong-ong-nguyen</v>
      </c>
      <c r="D1725" t="str">
        <v>-</v>
      </c>
      <c r="E1725" t="str">
        <v>-</v>
      </c>
      <c r="F1725" t="str">
        <v>-</v>
      </c>
      <c r="G1725" t="str">
        <v>-</v>
      </c>
    </row>
    <row r="1726">
      <c r="A1726">
        <v>7725</v>
      </c>
      <c r="B1726" t="str">
        <v>Công an phường Châu Khê  tỉnh Bắc Ninh</v>
      </c>
      <c r="C1726" t="str">
        <v>-</v>
      </c>
      <c r="D1726" t="str">
        <v>-</v>
      </c>
      <c r="E1726" t="str">
        <v/>
      </c>
      <c r="F1726" t="str">
        <v>-</v>
      </c>
      <c r="G1726" t="str">
        <v>-</v>
      </c>
    </row>
    <row r="1727">
      <c r="A1727">
        <v>7726</v>
      </c>
      <c r="B1727" t="str">
        <f>HYPERLINK("https://www.bacninh.gov.vn/web/phuong-chau-khe", "UBND Ủy ban nhân dân phường Châu Khê  tỉnh Bắc Ninh")</f>
        <v>UBND Ủy ban nhân dân phường Châu Khê  tỉnh Bắc Ninh</v>
      </c>
      <c r="C1727" t="str">
        <v>https://www.bacninh.gov.vn/web/phuong-chau-khe</v>
      </c>
      <c r="D1727" t="str">
        <v>-</v>
      </c>
      <c r="E1727" t="str">
        <v>-</v>
      </c>
      <c r="F1727" t="str">
        <v>-</v>
      </c>
      <c r="G1727" t="str">
        <v>-</v>
      </c>
    </row>
    <row r="1728">
      <c r="A1728">
        <v>7727</v>
      </c>
      <c r="B1728" t="str">
        <v>Công an phường Tân Hồng  tỉnh Bắc Ninh</v>
      </c>
      <c r="C1728" t="str">
        <v>-</v>
      </c>
      <c r="D1728" t="str">
        <v>-</v>
      </c>
      <c r="E1728" t="str">
        <v/>
      </c>
      <c r="F1728" t="str">
        <v>-</v>
      </c>
      <c r="G1728" t="str">
        <v>-</v>
      </c>
    </row>
    <row r="1729">
      <c r="A1729">
        <v>7728</v>
      </c>
      <c r="B1729" t="str">
        <f>HYPERLINK("https://www.bacninh.gov.vn/web/phuong-tan-hong", "UBND Ủy ban nhân dân phường Tân Hồng  tỉnh Bắc Ninh")</f>
        <v>UBND Ủy ban nhân dân phường Tân Hồng  tỉnh Bắc Ninh</v>
      </c>
      <c r="C1729" t="str">
        <v>https://www.bacninh.gov.vn/web/phuong-tan-hong</v>
      </c>
      <c r="D1729" t="str">
        <v>-</v>
      </c>
      <c r="E1729" t="str">
        <v>-</v>
      </c>
      <c r="F1729" t="str">
        <v>-</v>
      </c>
      <c r="G1729" t="str">
        <v>-</v>
      </c>
    </row>
    <row r="1730">
      <c r="A1730">
        <v>7729</v>
      </c>
      <c r="B1730" t="str">
        <f>HYPERLINK("https://www.facebook.com/p/C%C3%B4ng-an-ph%C6%B0%E1%BB%9Dng-%C4%90%C3%ACnh-B%E1%BA%A3ng-100081900827209/", "Công an phường Đình Bảng  tỉnh Bắc Ninh")</f>
        <v>Công an phường Đình Bảng  tỉnh Bắc Ninh</v>
      </c>
      <c r="C1730" t="str">
        <v>https://www.facebook.com/p/C%C3%B4ng-an-ph%C6%B0%E1%BB%9Dng-%C4%90%C3%ACnh-B%E1%BA%A3ng-100081900827209/</v>
      </c>
      <c r="D1730" t="str">
        <v>-</v>
      </c>
      <c r="E1730" t="str">
        <v/>
      </c>
      <c r="F1730" t="str">
        <v>-</v>
      </c>
      <c r="G1730" t="str">
        <v>-</v>
      </c>
    </row>
    <row r="1731">
      <c r="A1731">
        <v>7730</v>
      </c>
      <c r="B1731" t="str">
        <f>HYPERLINK("https://www.bacninh.gov.vn/web/phuong-inh-bang", "UBND Ủy ban nhân dân phường Đình Bảng  tỉnh Bắc Ninh")</f>
        <v>UBND Ủy ban nhân dân phường Đình Bảng  tỉnh Bắc Ninh</v>
      </c>
      <c r="C1731" t="str">
        <v>https://www.bacninh.gov.vn/web/phuong-inh-bang</v>
      </c>
      <c r="D1731" t="str">
        <v>-</v>
      </c>
      <c r="E1731" t="str">
        <v>-</v>
      </c>
      <c r="F1731" t="str">
        <v>-</v>
      </c>
      <c r="G1731" t="str">
        <v>-</v>
      </c>
    </row>
    <row r="1732">
      <c r="A1732">
        <v>7731</v>
      </c>
      <c r="B1732" t="str">
        <f>HYPERLINK("https://www.facebook.com/p/C%C3%B4ng-an-ph%C6%B0%E1%BB%9Dng-Ph%C3%B9-Ch%E1%BA%A9n-Th%C3%A0nh-ph%E1%BB%91-T%E1%BB%AB-S%C6%A1n-100080058803298/", "Công an xã Phù Chẩn  tỉnh Bắc Ninh")</f>
        <v>Công an xã Phù Chẩn  tỉnh Bắc Ninh</v>
      </c>
      <c r="C1732" t="str">
        <v>https://www.facebook.com/p/C%C3%B4ng-an-ph%C6%B0%E1%BB%9Dng-Ph%C3%B9-Ch%E1%BA%A9n-Th%C3%A0nh-ph%E1%BB%91-T%E1%BB%AB-S%C6%A1n-100080058803298/</v>
      </c>
      <c r="D1732" t="str">
        <v>-</v>
      </c>
      <c r="E1732" t="str">
        <v>02223741098</v>
      </c>
      <c r="F1732" t="str">
        <v>-</v>
      </c>
      <c r="G1732" t="str">
        <v>-</v>
      </c>
    </row>
    <row r="1733">
      <c r="A1733">
        <v>7732</v>
      </c>
      <c r="B1733" t="str">
        <f>HYPERLINK("https://tuson.bacninh.gov.vn/ubnd-phuong-phu-chan", "UBND Ủy ban nhân dân xã Phù Chẩn  tỉnh Bắc Ninh")</f>
        <v>UBND Ủy ban nhân dân xã Phù Chẩn  tỉnh Bắc Ninh</v>
      </c>
      <c r="C1733" t="str">
        <v>https://tuson.bacninh.gov.vn/ubnd-phuong-phu-chan</v>
      </c>
      <c r="D1733" t="str">
        <v>-</v>
      </c>
      <c r="E1733" t="str">
        <v>-</v>
      </c>
      <c r="F1733" t="str">
        <v>-</v>
      </c>
      <c r="G1733" t="str">
        <v>-</v>
      </c>
    </row>
    <row r="1734">
      <c r="A1734">
        <v>7733</v>
      </c>
      <c r="B1734" t="str">
        <f>HYPERLINK("https://www.facebook.com/p/Tu%E1%BB%95i-tr%E1%BA%BB-C%C3%B4ng-an-huy%E1%BB%87n-Ninh-Ph%C6%B0%E1%BB%9Bc-100068114569027/", "Công an thị trấn Hồ  tỉnh Bắc Ninh")</f>
        <v>Công an thị trấn Hồ  tỉnh Bắc Ninh</v>
      </c>
      <c r="C1734" t="str">
        <v>https://www.facebook.com/p/Tu%E1%BB%95i-tr%E1%BA%BB-C%C3%B4ng-an-huy%E1%BB%87n-Ninh-Ph%C6%B0%E1%BB%9Bc-100068114569027/</v>
      </c>
      <c r="D1734" t="str">
        <v>-</v>
      </c>
      <c r="E1734" t="str">
        <v>02593864529</v>
      </c>
      <c r="F1734" t="str">
        <v>-</v>
      </c>
      <c r="G1734" t="str">
        <v>Quốc lộ 1A</v>
      </c>
    </row>
    <row r="1735">
      <c r="A1735">
        <v>7734</v>
      </c>
      <c r="B1735" t="str">
        <f>HYPERLINK("https://www.bacninh.gov.vn/web/thi-tran-ho/news/-/details/20827131/to-chuc-bo-may-thi-tran-ho", "UBND Ủy ban nhân dân thị trấn Hồ  tỉnh Bắc Ninh")</f>
        <v>UBND Ủy ban nhân dân thị trấn Hồ  tỉnh Bắc Ninh</v>
      </c>
      <c r="C1735" t="str">
        <v>https://www.bacninh.gov.vn/web/thi-tran-ho/news/-/details/20827131/to-chuc-bo-may-thi-tran-ho</v>
      </c>
      <c r="D1735" t="str">
        <v>-</v>
      </c>
      <c r="E1735" t="str">
        <v>-</v>
      </c>
      <c r="F1735" t="str">
        <v>-</v>
      </c>
      <c r="G1735" t="str">
        <v>-</v>
      </c>
    </row>
    <row r="1736">
      <c r="A1736">
        <v>7735</v>
      </c>
      <c r="B1736" t="str">
        <f>HYPERLINK("https://www.facebook.com/wquynh2395/?locale=vi_VN", "Công an xã Hoài Thượng  tỉnh Bắc Ninh")</f>
        <v>Công an xã Hoài Thượng  tỉnh Bắc Ninh</v>
      </c>
      <c r="C1736" t="str">
        <v>https://www.facebook.com/wquynh2395/?locale=vi_VN</v>
      </c>
      <c r="D1736" t="str">
        <v>0915044468</v>
      </c>
      <c r="E1736" t="str">
        <v>-</v>
      </c>
      <c r="F1736" t="str">
        <f>HYPERLINK("mailto:caxhoaithuong@gmail.com", "caxhoaithuong@gmail.com")</f>
        <v>caxhoaithuong@gmail.com</v>
      </c>
      <c r="G1736" t="str">
        <v>Hoài Thượng, Bac Ninh, Vietnam</v>
      </c>
    </row>
    <row r="1737">
      <c r="A1737">
        <v>7736</v>
      </c>
      <c r="B1737" t="str">
        <f>HYPERLINK("https://www.bacninh.gov.vn/web/xa-hoai-thuong", "UBND Ủy ban nhân dân xã Hoài Thượng  tỉnh Bắc Ninh")</f>
        <v>UBND Ủy ban nhân dân xã Hoài Thượng  tỉnh Bắc Ninh</v>
      </c>
      <c r="C1737" t="str">
        <v>https://www.bacninh.gov.vn/web/xa-hoai-thuong</v>
      </c>
      <c r="D1737" t="str">
        <v>-</v>
      </c>
      <c r="E1737" t="str">
        <v>-</v>
      </c>
      <c r="F1737" t="str">
        <v>-</v>
      </c>
      <c r="G1737" t="str">
        <v>-</v>
      </c>
    </row>
    <row r="1738">
      <c r="A1738">
        <v>7737</v>
      </c>
      <c r="B1738" t="str">
        <v>Công an xã Đại Đồng Thành  tỉnh Bắc Ninh</v>
      </c>
      <c r="C1738" t="str">
        <v>-</v>
      </c>
      <c r="D1738" t="str">
        <v>-</v>
      </c>
      <c r="E1738" t="str">
        <v/>
      </c>
      <c r="F1738" t="str">
        <v>-</v>
      </c>
      <c r="G1738" t="str">
        <v>-</v>
      </c>
    </row>
    <row r="1739">
      <c r="A1739">
        <v>7738</v>
      </c>
      <c r="B1739" t="str">
        <f>HYPERLINK("https://www.bacninh.gov.vn/web/xa-ai-ong-thanh", "UBND Ủy ban nhân dân xã Đại Đồng Thành  tỉnh Bắc Ninh")</f>
        <v>UBND Ủy ban nhân dân xã Đại Đồng Thành  tỉnh Bắc Ninh</v>
      </c>
      <c r="C1739" t="str">
        <v>https://www.bacninh.gov.vn/web/xa-ai-ong-thanh</v>
      </c>
      <c r="D1739" t="str">
        <v>-</v>
      </c>
      <c r="E1739" t="str">
        <v>-</v>
      </c>
      <c r="F1739" t="str">
        <v>-</v>
      </c>
      <c r="G1739" t="str">
        <v>-</v>
      </c>
    </row>
    <row r="1740">
      <c r="A1740">
        <v>7739</v>
      </c>
      <c r="B1740" t="str">
        <f>HYPERLINK("https://www.facebook.com/p/C%C3%B4ng-an-x%C3%A3-M%C3%A3o-%C4%90i%E1%BB%81n-100080507744459/", "Công an xã Mão Điền  tỉnh Bắc Ninh")</f>
        <v>Công an xã Mão Điền  tỉnh Bắc Ninh</v>
      </c>
      <c r="C1740" t="str">
        <v>https://www.facebook.com/p/C%C3%B4ng-an-x%C3%A3-M%C3%A3o-%C4%90i%E1%BB%81n-100080507744459/</v>
      </c>
      <c r="D1740" t="str">
        <v>-</v>
      </c>
      <c r="E1740" t="str">
        <v/>
      </c>
      <c r="F1740" t="str">
        <v>-</v>
      </c>
      <c r="G1740" t="str">
        <v>-</v>
      </c>
    </row>
    <row r="1741">
      <c r="A1741">
        <v>7740</v>
      </c>
      <c r="B1741" t="str">
        <f>HYPERLINK("https://www.bacninh.gov.vn/web/xa-mao-ien", "UBND Ủy ban nhân dân xã Mão Điền  tỉnh Bắc Ninh")</f>
        <v>UBND Ủy ban nhân dân xã Mão Điền  tỉnh Bắc Ninh</v>
      </c>
      <c r="C1741" t="str">
        <v>https://www.bacninh.gov.vn/web/xa-mao-ien</v>
      </c>
      <c r="D1741" t="str">
        <v>-</v>
      </c>
      <c r="E1741" t="str">
        <v>-</v>
      </c>
      <c r="F1741" t="str">
        <v>-</v>
      </c>
      <c r="G1741" t="str">
        <v>-</v>
      </c>
    </row>
    <row r="1742">
      <c r="A1742">
        <v>7741</v>
      </c>
      <c r="B1742" t="str">
        <v>Công an xã Song Hồ  tỉnh Bắc Ninh</v>
      </c>
      <c r="C1742" t="str">
        <v>-</v>
      </c>
      <c r="D1742" t="str">
        <v>-</v>
      </c>
      <c r="E1742" t="str">
        <v/>
      </c>
      <c r="F1742" t="str">
        <v>-</v>
      </c>
      <c r="G1742" t="str">
        <v>-</v>
      </c>
    </row>
    <row r="1743">
      <c r="A1743">
        <v>7742</v>
      </c>
      <c r="B1743" t="str">
        <f>HYPERLINK("https://www.bacninh.gov.vn/web/ubnd-xa-song-ho", "UBND Ủy ban nhân dân xã Song Hồ  tỉnh Bắc Ninh")</f>
        <v>UBND Ủy ban nhân dân xã Song Hồ  tỉnh Bắc Ninh</v>
      </c>
      <c r="C1743" t="str">
        <v>https://www.bacninh.gov.vn/web/ubnd-xa-song-ho</v>
      </c>
      <c r="D1743" t="str">
        <v>-</v>
      </c>
      <c r="E1743" t="str">
        <v>-</v>
      </c>
      <c r="F1743" t="str">
        <v>-</v>
      </c>
      <c r="G1743" t="str">
        <v>-</v>
      </c>
    </row>
    <row r="1744">
      <c r="A1744">
        <v>7743</v>
      </c>
      <c r="B1744" t="str">
        <f>HYPERLINK("https://www.facebook.com/p/C%C3%B4ng-an-x%C3%A3-%C4%90%C3%ACnh-T%E1%BB%95-Thu%E1%BA%ADn-Th%C3%A0nh-B%E1%BA%AFc-Ninh-100072506943134/", "Công an xã Đình Tổ  tỉnh Bắc Ninh")</f>
        <v>Công an xã Đình Tổ  tỉnh Bắc Ninh</v>
      </c>
      <c r="C1744" t="str">
        <v>https://www.facebook.com/p/C%C3%B4ng-an-x%C3%A3-%C4%90%C3%ACnh-T%E1%BB%95-Thu%E1%BA%ADn-Th%C3%A0nh-B%E1%BA%AFc-Ninh-100072506943134/</v>
      </c>
      <c r="D1744" t="str">
        <v>-</v>
      </c>
      <c r="E1744" t="str">
        <v/>
      </c>
      <c r="F1744" t="str">
        <v>-</v>
      </c>
      <c r="G1744" t="str">
        <v>-</v>
      </c>
    </row>
    <row r="1745">
      <c r="A1745">
        <v>7744</v>
      </c>
      <c r="B1745" t="str">
        <f>HYPERLINK("https://www.bacninh.gov.vn/web/xa-inh-to/news/-/details/20940945/to-chuc-bo-may-xa-inh-to", "UBND Ủy ban nhân dân xã Đình Tổ  tỉnh Bắc Ninh")</f>
        <v>UBND Ủy ban nhân dân xã Đình Tổ  tỉnh Bắc Ninh</v>
      </c>
      <c r="C1745" t="str">
        <v>https://www.bacninh.gov.vn/web/xa-inh-to/news/-/details/20940945/to-chuc-bo-may-xa-inh-to</v>
      </c>
      <c r="D1745" t="str">
        <v>-</v>
      </c>
      <c r="E1745" t="str">
        <v>-</v>
      </c>
      <c r="F1745" t="str">
        <v>-</v>
      </c>
      <c r="G1745" t="str">
        <v>-</v>
      </c>
    </row>
    <row r="1746">
      <c r="A1746">
        <v>7745</v>
      </c>
      <c r="B1746" t="str">
        <f>HYPERLINK("https://www.facebook.com/p/C%C3%B4ng-an-ph%C6%B0%E1%BB%9Dng-An-B%C3%ACnh-Thu%E1%BA%ADn-Th%C3%A0nh-B%E1%BA%AFc-Ninh-100072396103209/", "Công an xã An Bình  tỉnh Bắc Ninh")</f>
        <v>Công an xã An Bình  tỉnh Bắc Ninh</v>
      </c>
      <c r="C1746" t="str">
        <v>https://www.facebook.com/p/C%C3%B4ng-an-ph%C6%B0%E1%BB%9Dng-An-B%C3%ACnh-Thu%E1%BA%ADn-Th%C3%A0nh-B%E1%BA%AFc-Ninh-100072396103209/</v>
      </c>
      <c r="D1746" t="str">
        <v>-</v>
      </c>
      <c r="E1746" t="str">
        <v>02223782854</v>
      </c>
      <c r="F1746" t="str">
        <f>HYPERLINK("mailto:Caxanbinhttbn@gmail.com", "Caxanbinhttbn@gmail.com")</f>
        <v>Caxanbinhttbn@gmail.com</v>
      </c>
      <c r="G1746" t="str">
        <v>-</v>
      </c>
    </row>
    <row r="1747">
      <c r="A1747">
        <v>7746</v>
      </c>
      <c r="B1747" t="str">
        <f>HYPERLINK("https://www.bacninh.gov.vn/web/xa-binh-duong/uy-ban-nhan-dan-xa", "UBND Ủy ban nhân dân xã An Bình  tỉnh Bắc Ninh")</f>
        <v>UBND Ủy ban nhân dân xã An Bình  tỉnh Bắc Ninh</v>
      </c>
      <c r="C1747" t="str">
        <v>https://www.bacninh.gov.vn/web/xa-binh-duong/uy-ban-nhan-dan-xa</v>
      </c>
      <c r="D1747" t="str">
        <v>-</v>
      </c>
      <c r="E1747" t="str">
        <v>-</v>
      </c>
      <c r="F1747" t="str">
        <v>-</v>
      </c>
      <c r="G1747" t="str">
        <v>-</v>
      </c>
    </row>
    <row r="1748">
      <c r="A1748">
        <v>7747</v>
      </c>
      <c r="B1748" t="str">
        <v>Công an xã Trí Quả  tỉnh Bắc Ninh</v>
      </c>
      <c r="C1748" t="str">
        <v>-</v>
      </c>
      <c r="D1748" t="str">
        <v>-</v>
      </c>
      <c r="E1748" t="str">
        <v/>
      </c>
      <c r="F1748" t="str">
        <v>-</v>
      </c>
      <c r="G1748" t="str">
        <v>-</v>
      </c>
    </row>
    <row r="1749">
      <c r="A1749">
        <v>7748</v>
      </c>
      <c r="B1749" t="str">
        <f>HYPERLINK("https://thuanthanh.bacninh.gov.vn/news/-/details/22340/xa-tri-qua-on-nhan-co-thi-ua-cua-chinh-phu-44901428", "UBND Ủy ban nhân dân xã Trí Quả  tỉnh Bắc Ninh")</f>
        <v>UBND Ủy ban nhân dân xã Trí Quả  tỉnh Bắc Ninh</v>
      </c>
      <c r="C1749" t="str">
        <v>https://thuanthanh.bacninh.gov.vn/news/-/details/22340/xa-tri-qua-on-nhan-co-thi-ua-cua-chinh-phu-44901428</v>
      </c>
      <c r="D1749" t="str">
        <v>-</v>
      </c>
      <c r="E1749" t="str">
        <v>-</v>
      </c>
      <c r="F1749" t="str">
        <v>-</v>
      </c>
      <c r="G1749" t="str">
        <v>-</v>
      </c>
    </row>
    <row r="1750">
      <c r="A1750">
        <v>7749</v>
      </c>
      <c r="B1750" t="str">
        <f>HYPERLINK("https://www.facebook.com/p/C%C3%B4ng-an-ph%C6%B0%E1%BB%9Dng-Gia-%C4%90%C3%B4ng-100077406635810/", "Công an xã Gia Đông  tỉnh Bắc Ninh")</f>
        <v>Công an xã Gia Đông  tỉnh Bắc Ninh</v>
      </c>
      <c r="C1750" t="str">
        <v>https://www.facebook.com/p/C%C3%B4ng-an-ph%C6%B0%E1%BB%9Dng-Gia-%C4%90%C3%B4ng-100077406635810/</v>
      </c>
      <c r="D1750" t="str">
        <v>-</v>
      </c>
      <c r="E1750" t="str">
        <v/>
      </c>
      <c r="F1750" t="str">
        <v>-</v>
      </c>
      <c r="G1750" t="str">
        <v>-</v>
      </c>
    </row>
    <row r="1751">
      <c r="A1751">
        <v>7750</v>
      </c>
      <c r="B1751" t="str">
        <f>HYPERLINK("https://www.bacninh.gov.vn/web/xa-gia-ong/news/-/details/20933686/to-chuc-bo-may-xa-gia-ong", "UBND Ủy ban nhân dân xã Gia Đông  tỉnh Bắc Ninh")</f>
        <v>UBND Ủy ban nhân dân xã Gia Đông  tỉnh Bắc Ninh</v>
      </c>
      <c r="C1751" t="str">
        <v>https://www.bacninh.gov.vn/web/xa-gia-ong/news/-/details/20933686/to-chuc-bo-may-xa-gia-ong</v>
      </c>
      <c r="D1751" t="str">
        <v>-</v>
      </c>
      <c r="E1751" t="str">
        <v>-</v>
      </c>
      <c r="F1751" t="str">
        <v>-</v>
      </c>
      <c r="G1751" t="str">
        <v>-</v>
      </c>
    </row>
    <row r="1752">
      <c r="A1752">
        <v>7751</v>
      </c>
      <c r="B1752" t="str">
        <f>HYPERLINK("https://www.facebook.com/p/C%C3%B4ng-an-Ph%C6%B0%E1%BB%9Dng-Thanh-Kh%C6%B0%C6%A1ng-100072198469052/", "Công an xã Thanh Khương  tỉnh Bắc Ninh")</f>
        <v>Công an xã Thanh Khương  tỉnh Bắc Ninh</v>
      </c>
      <c r="C1752" t="str">
        <v>https://www.facebook.com/p/C%C3%B4ng-an-Ph%C6%B0%E1%BB%9Dng-Thanh-Kh%C6%B0%C6%A1ng-100072198469052/</v>
      </c>
      <c r="D1752" t="str">
        <v>-</v>
      </c>
      <c r="E1752" t="str">
        <v/>
      </c>
      <c r="F1752" t="str">
        <v>-</v>
      </c>
      <c r="G1752" t="str">
        <v>-</v>
      </c>
    </row>
    <row r="1753">
      <c r="A1753">
        <v>7752</v>
      </c>
      <c r="B1753" t="str">
        <f>HYPERLINK("https://www.bacninh.gov.vn/web/xa-thanh-khuong", "UBND Ủy ban nhân dân xã Thanh Khương  tỉnh Bắc Ninh")</f>
        <v>UBND Ủy ban nhân dân xã Thanh Khương  tỉnh Bắc Ninh</v>
      </c>
      <c r="C1753" t="str">
        <v>https://www.bacninh.gov.vn/web/xa-thanh-khuong</v>
      </c>
      <c r="D1753" t="str">
        <v>-</v>
      </c>
      <c r="E1753" t="str">
        <v>-</v>
      </c>
      <c r="F1753" t="str">
        <v>-</v>
      </c>
      <c r="G1753" t="str">
        <v>-</v>
      </c>
    </row>
    <row r="1754">
      <c r="A1754">
        <v>7753</v>
      </c>
      <c r="B1754" t="str">
        <f>HYPERLINK("https://www.facebook.com/p/C%C3%B4ng-an-Ph%C6%B0%E1%BB%9Dng-Tr%E1%BA%A1m-L%E1%BB%99-100079657826075/", "Công an xã Trạm Lộ  tỉnh Bắc Ninh")</f>
        <v>Công an xã Trạm Lộ  tỉnh Bắc Ninh</v>
      </c>
      <c r="C1754" t="str">
        <v>https://www.facebook.com/p/C%C3%B4ng-an-Ph%C6%B0%E1%BB%9Dng-Tr%E1%BA%A1m-L%E1%BB%99-100079657826075/</v>
      </c>
      <c r="D1754" t="str">
        <v>-</v>
      </c>
      <c r="E1754" t="str">
        <v/>
      </c>
      <c r="F1754" t="str">
        <v>-</v>
      </c>
      <c r="G1754" t="str">
        <v>-</v>
      </c>
    </row>
    <row r="1755">
      <c r="A1755">
        <v>7754</v>
      </c>
      <c r="B1755" t="str">
        <f>HYPERLINK("https://bacninh.gov.vn/van-ban-quy-pham-phap-luat/-/l/legal-detail/985623", "UBND Ủy ban nhân dân xã Trạm Lộ  tỉnh Bắc Ninh")</f>
        <v>UBND Ủy ban nhân dân xã Trạm Lộ  tỉnh Bắc Ninh</v>
      </c>
      <c r="C1755" t="str">
        <v>https://bacninh.gov.vn/van-ban-quy-pham-phap-luat/-/l/legal-detail/985623</v>
      </c>
      <c r="D1755" t="str">
        <v>-</v>
      </c>
      <c r="E1755" t="str">
        <v>-</v>
      </c>
      <c r="F1755" t="str">
        <v>-</v>
      </c>
      <c r="G1755" t="str">
        <v>-</v>
      </c>
    </row>
    <row r="1756">
      <c r="A1756">
        <v>7755</v>
      </c>
      <c r="B1756" t="str">
        <v>Công an xã Xuân Lâm  tỉnh Bắc Ninh</v>
      </c>
      <c r="C1756" t="str">
        <v>-</v>
      </c>
      <c r="D1756" t="str">
        <v>-</v>
      </c>
      <c r="E1756" t="str">
        <v/>
      </c>
      <c r="F1756" t="str">
        <v>-</v>
      </c>
      <c r="G1756" t="str">
        <v>-</v>
      </c>
    </row>
    <row r="1757">
      <c r="A1757">
        <v>7756</v>
      </c>
      <c r="B1757" t="str">
        <f>HYPERLINK("https://www.bacninh.gov.vn/web/xa-xuan-lam/news/-/details/20940549/to-chuc-bo-may-xa-xuan-lam", "UBND Ủy ban nhân dân xã Xuân Lâm  tỉnh Bắc Ninh")</f>
        <v>UBND Ủy ban nhân dân xã Xuân Lâm  tỉnh Bắc Ninh</v>
      </c>
      <c r="C1757" t="str">
        <v>https://www.bacninh.gov.vn/web/xa-xuan-lam/news/-/details/20940549/to-chuc-bo-may-xa-xuan-lam</v>
      </c>
      <c r="D1757" t="str">
        <v>-</v>
      </c>
      <c r="E1757" t="str">
        <v>-</v>
      </c>
      <c r="F1757" t="str">
        <v>-</v>
      </c>
      <c r="G1757" t="str">
        <v>-</v>
      </c>
    </row>
    <row r="1758">
      <c r="A1758">
        <v>7757</v>
      </c>
      <c r="B1758" t="str">
        <f>HYPERLINK("https://www.facebook.com/p/C%C3%B4ng-an-ph%C6%B0%E1%BB%9Dng-H%C3%A0-M%C3%A3n-100076818243596/", "Công an xã Hà Mãn  tỉnh Bắc Ninh")</f>
        <v>Công an xã Hà Mãn  tỉnh Bắc Ninh</v>
      </c>
      <c r="C1758" t="str">
        <v>https://www.facebook.com/p/C%C3%B4ng-an-ph%C6%B0%E1%BB%9Dng-H%C3%A0-M%C3%A3n-100076818243596/</v>
      </c>
      <c r="D1758" t="str">
        <v>-</v>
      </c>
      <c r="E1758" t="str">
        <v/>
      </c>
      <c r="F1758" t="str">
        <v>-</v>
      </c>
      <c r="G1758" t="str">
        <v>-</v>
      </c>
    </row>
    <row r="1759">
      <c r="A1759">
        <v>7758</v>
      </c>
      <c r="B1759" t="str">
        <f>HYPERLINK("https://www.bacninh.gov.vn/web/xa-ha-man", "UBND Ủy ban nhân dân xã Hà Mãn  tỉnh Bắc Ninh")</f>
        <v>UBND Ủy ban nhân dân xã Hà Mãn  tỉnh Bắc Ninh</v>
      </c>
      <c r="C1759" t="str">
        <v>https://www.bacninh.gov.vn/web/xa-ha-man</v>
      </c>
      <c r="D1759" t="str">
        <v>-</v>
      </c>
      <c r="E1759" t="str">
        <v>-</v>
      </c>
      <c r="F1759" t="str">
        <v>-</v>
      </c>
      <c r="G1759" t="str">
        <v>-</v>
      </c>
    </row>
    <row r="1760">
      <c r="A1760">
        <v>7759</v>
      </c>
      <c r="B1760" t="str">
        <f>HYPERLINK("https://www.facebook.com/p/C%C3%B4ng-An-X%C3%A3-Ng%C5%A9-Th%C3%A1i-100071665820804/", "Công an xã Ngũ Thái  tỉnh Bắc Ninh")</f>
        <v>Công an xã Ngũ Thái  tỉnh Bắc Ninh</v>
      </c>
      <c r="C1760" t="str">
        <v>https://www.facebook.com/p/C%C3%B4ng-An-X%C3%A3-Ng%C5%A9-Th%C3%A1i-100071665820804/</v>
      </c>
      <c r="D1760" t="str">
        <v>-</v>
      </c>
      <c r="E1760" t="str">
        <v/>
      </c>
      <c r="F1760" t="str">
        <v>-</v>
      </c>
      <c r="G1760" t="str">
        <v>-</v>
      </c>
    </row>
    <row r="1761">
      <c r="A1761">
        <v>7760</v>
      </c>
      <c r="B1761" t="str">
        <f>HYPERLINK("https://www.bacninh.gov.vn/web/xa-ngu-thai/news/-/details/20940343/to-chuc-bo-may-xa-ngu-thai", "UBND Ủy ban nhân dân xã Ngũ Thái  tỉnh Bắc Ninh")</f>
        <v>UBND Ủy ban nhân dân xã Ngũ Thái  tỉnh Bắc Ninh</v>
      </c>
      <c r="C1761" t="str">
        <v>https://www.bacninh.gov.vn/web/xa-ngu-thai/news/-/details/20940343/to-chuc-bo-may-xa-ngu-thai</v>
      </c>
      <c r="D1761" t="str">
        <v>-</v>
      </c>
      <c r="E1761" t="str">
        <v>-</v>
      </c>
      <c r="F1761" t="str">
        <v>-</v>
      </c>
      <c r="G1761" t="str">
        <v>-</v>
      </c>
    </row>
    <row r="1762">
      <c r="A1762">
        <v>7761</v>
      </c>
      <c r="B1762" t="str">
        <f>HYPERLINK("https://www.facebook.com/783773319193116", "Công an xã Nguyệt Đức  tỉnh Bắc Ninh")</f>
        <v>Công an xã Nguyệt Đức  tỉnh Bắc Ninh</v>
      </c>
      <c r="C1762" t="str">
        <v>https://www.facebook.com/783773319193116</v>
      </c>
      <c r="D1762" t="str">
        <v>-</v>
      </c>
      <c r="E1762" t="str">
        <v/>
      </c>
      <c r="F1762" t="str">
        <v>-</v>
      </c>
      <c r="G1762" t="str">
        <v>-</v>
      </c>
    </row>
    <row r="1763">
      <c r="A1763">
        <v>7762</v>
      </c>
      <c r="B1763" t="str">
        <f>HYPERLINK("https://www.bacninh.gov.vn/web/xa-nguyet-uc", "UBND Ủy ban nhân dân xã Nguyệt Đức  tỉnh Bắc Ninh")</f>
        <v>UBND Ủy ban nhân dân xã Nguyệt Đức  tỉnh Bắc Ninh</v>
      </c>
      <c r="C1763" t="str">
        <v>https://www.bacninh.gov.vn/web/xa-nguyet-uc</v>
      </c>
      <c r="D1763" t="str">
        <v>-</v>
      </c>
      <c r="E1763" t="str">
        <v>-</v>
      </c>
      <c r="F1763" t="str">
        <v>-</v>
      </c>
      <c r="G1763" t="str">
        <v>-</v>
      </c>
    </row>
    <row r="1764">
      <c r="A1764">
        <v>7763</v>
      </c>
      <c r="B1764" t="str">
        <v>Công an xã Ninh Xá  tỉnh Bắc Ninh</v>
      </c>
      <c r="C1764" t="str">
        <v>-</v>
      </c>
      <c r="D1764" t="str">
        <v>-</v>
      </c>
      <c r="E1764" t="str">
        <v/>
      </c>
      <c r="F1764" t="str">
        <v>-</v>
      </c>
      <c r="G1764" t="str">
        <v>-</v>
      </c>
    </row>
    <row r="1765">
      <c r="A1765">
        <v>7764</v>
      </c>
      <c r="B1765" t="str">
        <f>HYPERLINK("https://www.bacninh.gov.vn/web/phuong-ninh-xa/thong-tin-lien-he", "UBND Ủy ban nhân dân xã Ninh Xá  tỉnh Bắc Ninh")</f>
        <v>UBND Ủy ban nhân dân xã Ninh Xá  tỉnh Bắc Ninh</v>
      </c>
      <c r="C1765" t="str">
        <v>https://www.bacninh.gov.vn/web/phuong-ninh-xa/thong-tin-lien-he</v>
      </c>
      <c r="D1765" t="str">
        <v>-</v>
      </c>
      <c r="E1765" t="str">
        <v>-</v>
      </c>
      <c r="F1765" t="str">
        <v>-</v>
      </c>
      <c r="G1765" t="str">
        <v>-</v>
      </c>
    </row>
    <row r="1766">
      <c r="A1766">
        <v>7765</v>
      </c>
      <c r="B1766" t="str">
        <f>HYPERLINK("https://www.facebook.com/783773319193116", "Công an xã Nghĩa Đạo  tỉnh Bắc Ninh")</f>
        <v>Công an xã Nghĩa Đạo  tỉnh Bắc Ninh</v>
      </c>
      <c r="C1766" t="str">
        <v>https://www.facebook.com/783773319193116</v>
      </c>
      <c r="D1766" t="str">
        <v>-</v>
      </c>
      <c r="E1766" t="str">
        <v/>
      </c>
      <c r="F1766" t="str">
        <v>-</v>
      </c>
      <c r="G1766" t="str">
        <v>-</v>
      </c>
    </row>
    <row r="1767">
      <c r="A1767">
        <v>7766</v>
      </c>
      <c r="B1767" t="str">
        <f>HYPERLINK("https://www.bacninh.gov.vn/web/xa-nghia-ao/news/-/details/20939601/to-chuc-bo-may-xa-nghia-ao", "UBND Ủy ban nhân dân xã Nghĩa Đạo  tỉnh Bắc Ninh")</f>
        <v>UBND Ủy ban nhân dân xã Nghĩa Đạo  tỉnh Bắc Ninh</v>
      </c>
      <c r="C1767" t="str">
        <v>https://www.bacninh.gov.vn/web/xa-nghia-ao/news/-/details/20939601/to-chuc-bo-may-xa-nghia-ao</v>
      </c>
      <c r="D1767" t="str">
        <v>-</v>
      </c>
      <c r="E1767" t="str">
        <v>-</v>
      </c>
      <c r="F1767" t="str">
        <v>-</v>
      </c>
      <c r="G1767" t="str">
        <v>-</v>
      </c>
    </row>
    <row r="1768">
      <c r="A1768">
        <v>7767</v>
      </c>
      <c r="B1768" t="str">
        <v>Công an xã Song Liễu  tỉnh Bắc Ninh</v>
      </c>
      <c r="C1768" t="str">
        <v>-</v>
      </c>
      <c r="D1768" t="str">
        <v>-</v>
      </c>
      <c r="E1768" t="str">
        <v/>
      </c>
      <c r="F1768" t="str">
        <v>-</v>
      </c>
      <c r="G1768" t="str">
        <v>-</v>
      </c>
    </row>
    <row r="1769">
      <c r="A1769">
        <v>7768</v>
      </c>
      <c r="B1769" t="str">
        <f>HYPERLINK("https://www.bacninh.gov.vn/web/xa-song-lieu/news/-/details/20940204/to-chuc-bo-may-xa-song-lieu", "UBND Ủy ban nhân dân xã Song Liễu  tỉnh Bắc Ninh")</f>
        <v>UBND Ủy ban nhân dân xã Song Liễu  tỉnh Bắc Ninh</v>
      </c>
      <c r="C1769" t="str">
        <v>https://www.bacninh.gov.vn/web/xa-song-lieu/news/-/details/20940204/to-chuc-bo-may-xa-song-lieu</v>
      </c>
      <c r="D1769" t="str">
        <v>-</v>
      </c>
      <c r="E1769" t="str">
        <v>-</v>
      </c>
      <c r="F1769" t="str">
        <v>-</v>
      </c>
      <c r="G1769" t="str">
        <v>-</v>
      </c>
    </row>
    <row r="1770">
      <c r="A1770">
        <v>7769</v>
      </c>
      <c r="B1770" t="str">
        <f>HYPERLINK("https://www.facebook.com/p/C%C3%B4ng-an-huy%E1%BB%87n-Gia-B%C3%ACnh-100075950866118/", "Công an thị trấn Gia Bình  tỉnh Bắc Ninh")</f>
        <v>Công an thị trấn Gia Bình  tỉnh Bắc Ninh</v>
      </c>
      <c r="C1770" t="str">
        <v>https://www.facebook.com/p/C%C3%B4ng-an-huy%E1%BB%87n-Gia-B%C3%ACnh-100075950866118/</v>
      </c>
      <c r="D1770" t="str">
        <v>-</v>
      </c>
      <c r="E1770" t="str">
        <v/>
      </c>
      <c r="F1770" t="str">
        <v>-</v>
      </c>
      <c r="G1770" t="str">
        <v>-</v>
      </c>
    </row>
    <row r="1771">
      <c r="A1771">
        <v>7770</v>
      </c>
      <c r="B1771" t="str">
        <f>HYPERLINK("https://giabinh.bacninh.gov.vn/", "UBND Ủy ban nhân dân thị trấn Gia Bình  tỉnh Bắc Ninh")</f>
        <v>UBND Ủy ban nhân dân thị trấn Gia Bình  tỉnh Bắc Ninh</v>
      </c>
      <c r="C1771" t="str">
        <v>https://giabinh.bacninh.gov.vn/</v>
      </c>
      <c r="D1771" t="str">
        <v>-</v>
      </c>
      <c r="E1771" t="str">
        <v>-</v>
      </c>
      <c r="F1771" t="str">
        <v>-</v>
      </c>
      <c r="G1771" t="str">
        <v>-</v>
      </c>
    </row>
    <row r="1772">
      <c r="A1772">
        <v>7771</v>
      </c>
      <c r="B1772" t="str">
        <v>Công an xã Vạn Ninh  tỉnh Bắc Ninh</v>
      </c>
      <c r="C1772" t="str">
        <v>-</v>
      </c>
      <c r="D1772" t="str">
        <v>-</v>
      </c>
      <c r="E1772" t="str">
        <v/>
      </c>
      <c r="F1772" t="str">
        <v>-</v>
      </c>
      <c r="G1772" t="str">
        <v>-</v>
      </c>
    </row>
    <row r="1773">
      <c r="A1773">
        <v>7772</v>
      </c>
      <c r="B1773" t="str">
        <f>HYPERLINK("https://www.bacninh.gov.vn/web/xa-van-ninh", "UBND Ủy ban nhân dân xã Vạn Ninh  tỉnh Bắc Ninh")</f>
        <v>UBND Ủy ban nhân dân xã Vạn Ninh  tỉnh Bắc Ninh</v>
      </c>
      <c r="C1773" t="str">
        <v>https://www.bacninh.gov.vn/web/xa-van-ninh</v>
      </c>
      <c r="D1773" t="str">
        <v>-</v>
      </c>
      <c r="E1773" t="str">
        <v>-</v>
      </c>
      <c r="F1773" t="str">
        <v>-</v>
      </c>
      <c r="G1773" t="str">
        <v>-</v>
      </c>
    </row>
    <row r="1774">
      <c r="A1774">
        <v>7773</v>
      </c>
      <c r="B1774" t="str">
        <f>HYPERLINK("https://www.facebook.com/caxthaibao/", "Công an xã Thái Bảo  tỉnh Bắc Ninh")</f>
        <v>Công an xã Thái Bảo  tỉnh Bắc Ninh</v>
      </c>
      <c r="C1774" t="str">
        <v>https://www.facebook.com/caxthaibao/</v>
      </c>
      <c r="D1774" t="str">
        <v>0973956456</v>
      </c>
      <c r="E1774" t="str">
        <v>-</v>
      </c>
      <c r="F1774" t="str">
        <v>-</v>
      </c>
      <c r="G1774" t="str">
        <v>Thái Bảo, Bac Ninh, Vietnam</v>
      </c>
    </row>
    <row r="1775">
      <c r="A1775">
        <v>7774</v>
      </c>
      <c r="B1775" t="str">
        <f>HYPERLINK("https://www.bacninh.gov.vn/web/xa-thai-bao", "UBND Ủy ban nhân dân xã Thái Bảo  tỉnh Bắc Ninh")</f>
        <v>UBND Ủy ban nhân dân xã Thái Bảo  tỉnh Bắc Ninh</v>
      </c>
      <c r="C1775" t="str">
        <v>https://www.bacninh.gov.vn/web/xa-thai-bao</v>
      </c>
      <c r="D1775" t="str">
        <v>-</v>
      </c>
      <c r="E1775" t="str">
        <v>-</v>
      </c>
      <c r="F1775" t="str">
        <v>-</v>
      </c>
      <c r="G1775" t="str">
        <v>-</v>
      </c>
    </row>
    <row r="1776">
      <c r="A1776">
        <v>7775</v>
      </c>
      <c r="B1776" t="str">
        <v>Công an xã Giang Sơn  tỉnh Bắc Ninh</v>
      </c>
      <c r="C1776" t="str">
        <v>-</v>
      </c>
      <c r="D1776" t="str">
        <v>-</v>
      </c>
      <c r="E1776" t="str">
        <v/>
      </c>
      <c r="F1776" t="str">
        <v>-</v>
      </c>
      <c r="G1776" t="str">
        <v>-</v>
      </c>
    </row>
    <row r="1777">
      <c r="A1777">
        <v>7776</v>
      </c>
      <c r="B1777" t="str">
        <f>HYPERLINK("https://www.bacninh.gov.vn/web/xa-giang-son", "UBND Ủy ban nhân dân xã Giang Sơn  tỉnh Bắc Ninh")</f>
        <v>UBND Ủy ban nhân dân xã Giang Sơn  tỉnh Bắc Ninh</v>
      </c>
      <c r="C1777" t="str">
        <v>https://www.bacninh.gov.vn/web/xa-giang-son</v>
      </c>
      <c r="D1777" t="str">
        <v>-</v>
      </c>
      <c r="E1777" t="str">
        <v>-</v>
      </c>
      <c r="F1777" t="str">
        <v>-</v>
      </c>
      <c r="G1777" t="str">
        <v>-</v>
      </c>
    </row>
    <row r="1778">
      <c r="A1778">
        <v>7777</v>
      </c>
      <c r="B1778" t="str">
        <f>HYPERLINK("https://www.facebook.com/p/C%C3%B4ng-an-x%C3%A3-Cao-%C4%90%E1%BB%A9c-100074969410380/", "Công an xã Cao Đức  tỉnh Bắc Ninh")</f>
        <v>Công an xã Cao Đức  tỉnh Bắc Ninh</v>
      </c>
      <c r="C1778" t="str">
        <v>https://www.facebook.com/p/C%C3%B4ng-an-x%C3%A3-Cao-%C4%90%E1%BB%A9c-100074969410380/</v>
      </c>
      <c r="D1778" t="str">
        <v>-</v>
      </c>
      <c r="E1778" t="str">
        <v/>
      </c>
      <c r="F1778" t="str">
        <v>-</v>
      </c>
      <c r="G1778" t="str">
        <v>-</v>
      </c>
    </row>
    <row r="1779">
      <c r="A1779">
        <v>7778</v>
      </c>
      <c r="B1779" t="str">
        <f>HYPERLINK("https://www.bacninh.gov.vn/web/xa-cao-duc", "UBND Ủy ban nhân dân xã Cao Đức  tỉnh Bắc Ninh")</f>
        <v>UBND Ủy ban nhân dân xã Cao Đức  tỉnh Bắc Ninh</v>
      </c>
      <c r="C1779" t="str">
        <v>https://www.bacninh.gov.vn/web/xa-cao-duc</v>
      </c>
      <c r="D1779" t="str">
        <v>-</v>
      </c>
      <c r="E1779" t="str">
        <v>-</v>
      </c>
      <c r="F1779" t="str">
        <v>-</v>
      </c>
      <c r="G1779" t="str">
        <v>-</v>
      </c>
    </row>
    <row r="1780">
      <c r="A1780">
        <v>7779</v>
      </c>
      <c r="B1780" t="str">
        <f>HYPERLINK("https://www.facebook.com/p/C%C3%B4ng-an-x%C3%A3-%C4%90%E1%BA%A1i-Lai-Gia-B%C3%ACnh-B%E1%BA%AFc-Ninh-100077303622626/", "Công an xã Đại Lai  tỉnh Bắc Ninh")</f>
        <v>Công an xã Đại Lai  tỉnh Bắc Ninh</v>
      </c>
      <c r="C1780" t="str">
        <v>https://www.facebook.com/p/C%C3%B4ng-an-x%C3%A3-%C4%90%E1%BA%A1i-Lai-Gia-B%C3%ACnh-B%E1%BA%AFc-Ninh-100077303622626/</v>
      </c>
      <c r="D1780" t="str">
        <v>-</v>
      </c>
      <c r="E1780" t="str">
        <v/>
      </c>
      <c r="F1780" t="str">
        <v>-</v>
      </c>
      <c r="G1780" t="str">
        <v>-</v>
      </c>
    </row>
    <row r="1781">
      <c r="A1781">
        <v>7780</v>
      </c>
      <c r="B1781" t="str">
        <f>HYPERLINK("https://www.bacninh.gov.vn/web/xa-dai-lai", "UBND Ủy ban nhân dân xã Đại Lai  tỉnh Bắc Ninh")</f>
        <v>UBND Ủy ban nhân dân xã Đại Lai  tỉnh Bắc Ninh</v>
      </c>
      <c r="C1781" t="str">
        <v>https://www.bacninh.gov.vn/web/xa-dai-lai</v>
      </c>
      <c r="D1781" t="str">
        <v>-</v>
      </c>
      <c r="E1781" t="str">
        <v>-</v>
      </c>
      <c r="F1781" t="str">
        <v>-</v>
      </c>
      <c r="G1781" t="str">
        <v>-</v>
      </c>
    </row>
    <row r="1782">
      <c r="A1782">
        <v>7781</v>
      </c>
      <c r="B1782" t="str">
        <v>Công an xã Song Giang  tỉnh Bắc Ninh</v>
      </c>
      <c r="C1782" t="str">
        <v>-</v>
      </c>
      <c r="D1782" t="str">
        <v>-</v>
      </c>
      <c r="E1782" t="str">
        <v/>
      </c>
      <c r="F1782" t="str">
        <v>-</v>
      </c>
      <c r="G1782" t="str">
        <v>-</v>
      </c>
    </row>
    <row r="1783">
      <c r="A1783">
        <v>7782</v>
      </c>
      <c r="B1783" t="str">
        <f>HYPERLINK("https://www.bacninh.gov.vn/web/xa-song-giang", "UBND Ủy ban nhân dân xã Song Giang  tỉnh Bắc Ninh")</f>
        <v>UBND Ủy ban nhân dân xã Song Giang  tỉnh Bắc Ninh</v>
      </c>
      <c r="C1783" t="str">
        <v>https://www.bacninh.gov.vn/web/xa-song-giang</v>
      </c>
      <c r="D1783" t="str">
        <v>-</v>
      </c>
      <c r="E1783" t="str">
        <v>-</v>
      </c>
      <c r="F1783" t="str">
        <v>-</v>
      </c>
      <c r="G1783" t="str">
        <v>-</v>
      </c>
    </row>
    <row r="1784">
      <c r="A1784">
        <v>7783</v>
      </c>
      <c r="B1784" t="str">
        <f>HYPERLINK("https://www.facebook.com/p/C%C3%B4ng-an-x%C3%A3-B%C3%ACnh-D%C6%B0%C6%A1ng-100075696564710/", "Công an xã Bình Dương  tỉnh Bắc Ninh")</f>
        <v>Công an xã Bình Dương  tỉnh Bắc Ninh</v>
      </c>
      <c r="C1784" t="str">
        <v>https://www.facebook.com/p/C%C3%B4ng-an-x%C3%A3-B%C3%ACnh-D%C6%B0%C6%A1ng-100075696564710/</v>
      </c>
      <c r="D1784" t="str">
        <v>-</v>
      </c>
      <c r="E1784" t="str">
        <v/>
      </c>
      <c r="F1784" t="str">
        <v>-</v>
      </c>
      <c r="G1784" t="str">
        <v>-</v>
      </c>
    </row>
    <row r="1785">
      <c r="A1785">
        <v>7784</v>
      </c>
      <c r="B1785" t="str">
        <f>HYPERLINK("https://www.bacninh.gov.vn/web/xa-binh-duong/uy-ban-nhan-dan-xa", "UBND Ủy ban nhân dân xã Bình Dương  tỉnh Bắc Ninh")</f>
        <v>UBND Ủy ban nhân dân xã Bình Dương  tỉnh Bắc Ninh</v>
      </c>
      <c r="C1785" t="str">
        <v>https://www.bacninh.gov.vn/web/xa-binh-duong/uy-ban-nhan-dan-xa</v>
      </c>
      <c r="D1785" t="str">
        <v>-</v>
      </c>
      <c r="E1785" t="str">
        <v>-</v>
      </c>
      <c r="F1785" t="str">
        <v>-</v>
      </c>
      <c r="G1785" t="str">
        <v>-</v>
      </c>
    </row>
    <row r="1786">
      <c r="A1786">
        <v>7785</v>
      </c>
      <c r="B1786" t="str">
        <f>HYPERLINK("https://www.facebook.com/p/C%C3%B4ng-an-x%C3%A3-L%C3%A3ng-Ng%C3%A2m-100075829493020/", "Công an xã Lãng Ngâm  tỉnh Bắc Ninh")</f>
        <v>Công an xã Lãng Ngâm  tỉnh Bắc Ninh</v>
      </c>
      <c r="C1786" t="str">
        <v>https://www.facebook.com/p/C%C3%B4ng-an-x%C3%A3-L%C3%A3ng-Ng%C3%A2m-100075829493020/</v>
      </c>
      <c r="D1786" t="str">
        <v>-</v>
      </c>
      <c r="E1786" t="str">
        <v/>
      </c>
      <c r="F1786" t="str">
        <f>HYPERLINK("mailto:caxlangngam2019@gmail.com", "caxlangngam2019@gmail.com")</f>
        <v>caxlangngam2019@gmail.com</v>
      </c>
      <c r="G1786" t="str">
        <v>Thôn Môn Quảng, xã Lãng Ngâm, huyện Gia Bình, Bac Ninh, Vietnam</v>
      </c>
    </row>
    <row r="1787">
      <c r="A1787">
        <v>7786</v>
      </c>
      <c r="B1787" t="str">
        <f>HYPERLINK("https://www.bacninh.gov.vn/web/xa-lang-ngam/uy-ban-nhan-dan-xa", "UBND Ủy ban nhân dân xã Lãng Ngâm  tỉnh Bắc Ninh")</f>
        <v>UBND Ủy ban nhân dân xã Lãng Ngâm  tỉnh Bắc Ninh</v>
      </c>
      <c r="C1787" t="str">
        <v>https://www.bacninh.gov.vn/web/xa-lang-ngam/uy-ban-nhan-dan-xa</v>
      </c>
      <c r="D1787" t="str">
        <v>-</v>
      </c>
      <c r="E1787" t="str">
        <v>-</v>
      </c>
      <c r="F1787" t="str">
        <v>-</v>
      </c>
      <c r="G1787" t="str">
        <v>-</v>
      </c>
    </row>
    <row r="1788">
      <c r="A1788">
        <v>7787</v>
      </c>
      <c r="B1788" t="str">
        <v>Công an xã Nhân Thắng  tỉnh Bắc Ninh</v>
      </c>
      <c r="C1788" t="str">
        <v>-</v>
      </c>
      <c r="D1788" t="str">
        <v>-</v>
      </c>
      <c r="E1788" t="str">
        <v/>
      </c>
      <c r="F1788" t="str">
        <v>-</v>
      </c>
      <c r="G1788" t="str">
        <v>-</v>
      </c>
    </row>
    <row r="1789">
      <c r="A1789">
        <v>7788</v>
      </c>
      <c r="B1789" t="str">
        <f>HYPERLINK("https://www.bacninh.gov.vn/web/xa-nhan-thang", "UBND Ủy ban nhân dân xã Nhân Thắng  tỉnh Bắc Ninh")</f>
        <v>UBND Ủy ban nhân dân xã Nhân Thắng  tỉnh Bắc Ninh</v>
      </c>
      <c r="C1789" t="str">
        <v>https://www.bacninh.gov.vn/web/xa-nhan-thang</v>
      </c>
      <c r="D1789" t="str">
        <v>-</v>
      </c>
      <c r="E1789" t="str">
        <v>-</v>
      </c>
      <c r="F1789" t="str">
        <v>-</v>
      </c>
      <c r="G1789" t="str">
        <v>-</v>
      </c>
    </row>
    <row r="1790">
      <c r="A1790">
        <v>7789</v>
      </c>
      <c r="B1790" t="str">
        <v>Công an xã Xuân Lai  tỉnh Bắc Ninh</v>
      </c>
      <c r="C1790" t="str">
        <v>-</v>
      </c>
      <c r="D1790" t="str">
        <v>-</v>
      </c>
      <c r="E1790" t="str">
        <v/>
      </c>
      <c r="F1790" t="str">
        <v>-</v>
      </c>
      <c r="G1790" t="str">
        <v>-</v>
      </c>
    </row>
    <row r="1791">
      <c r="A1791">
        <v>7790</v>
      </c>
      <c r="B1791" t="str">
        <f>HYPERLINK("https://www.bacninh.gov.vn/web/xa-xuan-lai", "UBND Ủy ban nhân dân xã Xuân Lai  tỉnh Bắc Ninh")</f>
        <v>UBND Ủy ban nhân dân xã Xuân Lai  tỉnh Bắc Ninh</v>
      </c>
      <c r="C1791" t="str">
        <v>https://www.bacninh.gov.vn/web/xa-xuan-lai</v>
      </c>
      <c r="D1791" t="str">
        <v>-</v>
      </c>
      <c r="E1791" t="str">
        <v>-</v>
      </c>
      <c r="F1791" t="str">
        <v>-</v>
      </c>
      <c r="G1791" t="str">
        <v>-</v>
      </c>
    </row>
    <row r="1792">
      <c r="A1792">
        <v>7791</v>
      </c>
      <c r="B1792" t="str">
        <v>Công an xã Đông Cứu  tỉnh Bắc Ninh</v>
      </c>
      <c r="C1792" t="str">
        <v>-</v>
      </c>
      <c r="D1792" t="str">
        <v>-</v>
      </c>
      <c r="E1792" t="str">
        <v/>
      </c>
      <c r="F1792" t="str">
        <v>-</v>
      </c>
      <c r="G1792" t="str">
        <v>-</v>
      </c>
    </row>
    <row r="1793">
      <c r="A1793">
        <v>7792</v>
      </c>
      <c r="B1793" t="str">
        <f>HYPERLINK("https://www.bacninh.gov.vn/web/xa-dong-cuu/uy-ban-nhan-dan-xa", "UBND Ủy ban nhân dân xã Đông Cứu  tỉnh Bắc Ninh")</f>
        <v>UBND Ủy ban nhân dân xã Đông Cứu  tỉnh Bắc Ninh</v>
      </c>
      <c r="C1793" t="str">
        <v>https://www.bacninh.gov.vn/web/xa-dong-cuu/uy-ban-nhan-dan-xa</v>
      </c>
      <c r="D1793" t="str">
        <v>-</v>
      </c>
      <c r="E1793" t="str">
        <v>-</v>
      </c>
      <c r="F1793" t="str">
        <v>-</v>
      </c>
      <c r="G1793" t="str">
        <v>-</v>
      </c>
    </row>
    <row r="1794">
      <c r="A1794">
        <v>7793</v>
      </c>
      <c r="B1794" t="str">
        <f>HYPERLINK("https://www.facebook.com/Conganxadaibai/", "Công an xã Đại Bái  tỉnh Bắc Ninh")</f>
        <v>Công an xã Đại Bái  tỉnh Bắc Ninh</v>
      </c>
      <c r="C1794" t="str">
        <v>https://www.facebook.com/Conganxadaibai/</v>
      </c>
      <c r="D1794" t="str">
        <v>-</v>
      </c>
      <c r="E1794" t="str">
        <v/>
      </c>
      <c r="F1794" t="str">
        <v>-</v>
      </c>
      <c r="G1794" t="str">
        <v>-</v>
      </c>
    </row>
    <row r="1795">
      <c r="A1795">
        <v>7794</v>
      </c>
      <c r="B1795" t="str">
        <f>HYPERLINK("https://www.bacninh.gov.vn/web/xa-dai-bai/to-chuc-bo-may1", "UBND Ủy ban nhân dân xã Đại Bái  tỉnh Bắc Ninh")</f>
        <v>UBND Ủy ban nhân dân xã Đại Bái  tỉnh Bắc Ninh</v>
      </c>
      <c r="C1795" t="str">
        <v>https://www.bacninh.gov.vn/web/xa-dai-bai/to-chuc-bo-may1</v>
      </c>
      <c r="D1795" t="str">
        <v>-</v>
      </c>
      <c r="E1795" t="str">
        <v>-</v>
      </c>
      <c r="F1795" t="str">
        <v>-</v>
      </c>
      <c r="G1795" t="str">
        <v>-</v>
      </c>
    </row>
    <row r="1796">
      <c r="A1796">
        <v>7795</v>
      </c>
      <c r="B1796" t="str">
        <v>Công an xã Quỳnh Phú  tỉnh Bắc Ninh</v>
      </c>
      <c r="C1796" t="str">
        <v>-</v>
      </c>
      <c r="D1796" t="str">
        <v>-</v>
      </c>
      <c r="E1796" t="str">
        <v/>
      </c>
      <c r="F1796" t="str">
        <v>-</v>
      </c>
      <c r="G1796" t="str">
        <v>-</v>
      </c>
    </row>
    <row r="1797">
      <c r="A1797">
        <v>7796</v>
      </c>
      <c r="B1797" t="str">
        <f>HYPERLINK("https://www.bacninh.gov.vn/web/xa-quynh-phu", "UBND Ủy ban nhân dân xã Quỳnh Phú  tỉnh Bắc Ninh")</f>
        <v>UBND Ủy ban nhân dân xã Quỳnh Phú  tỉnh Bắc Ninh</v>
      </c>
      <c r="C1797" t="str">
        <v>https://www.bacninh.gov.vn/web/xa-quynh-phu</v>
      </c>
      <c r="D1797" t="str">
        <v>-</v>
      </c>
      <c r="E1797" t="str">
        <v>-</v>
      </c>
      <c r="F1797" t="str">
        <v>-</v>
      </c>
      <c r="G1797" t="str">
        <v>-</v>
      </c>
    </row>
    <row r="1798">
      <c r="A1798">
        <v>7797</v>
      </c>
      <c r="B1798" t="str">
        <f>HYPERLINK("https://www.facebook.com/tuoitreconganthuathienhue/", "Công an thị trấn Thứa  tỉnh Bắc Ninh")</f>
        <v>Công an thị trấn Thứa  tỉnh Bắc Ninh</v>
      </c>
      <c r="C1798" t="str">
        <v>https://www.facebook.com/tuoitreconganthuathienhue/</v>
      </c>
      <c r="D1798" t="str">
        <v>-</v>
      </c>
      <c r="E1798" t="str">
        <v/>
      </c>
      <c r="F1798" t="str">
        <f>HYPERLINK("mailto:doancongantthue@gmail.com", "doancongantthue@gmail.com")</f>
        <v>doancongantthue@gmail.com</v>
      </c>
      <c r="G1798" t="str">
        <v>27 Trần Cao Vân, TP Huế, Hue, Vietnam</v>
      </c>
    </row>
    <row r="1799">
      <c r="A1799">
        <v>7798</v>
      </c>
      <c r="B1799" t="str">
        <f>HYPERLINK("https://www.bacninh.gov.vn/web/thi-tran-thua/co-cau-to-chuc2", "UBND Ủy ban nhân dân thị trấn Thứa  tỉnh Bắc Ninh")</f>
        <v>UBND Ủy ban nhân dân thị trấn Thứa  tỉnh Bắc Ninh</v>
      </c>
      <c r="C1799" t="str">
        <v>https://www.bacninh.gov.vn/web/thi-tran-thua/co-cau-to-chuc2</v>
      </c>
      <c r="D1799" t="str">
        <v>-</v>
      </c>
      <c r="E1799" t="str">
        <v>-</v>
      </c>
      <c r="F1799" t="str">
        <v>-</v>
      </c>
      <c r="G1799" t="str">
        <v>-</v>
      </c>
    </row>
    <row r="1800">
      <c r="A1800">
        <v>7799</v>
      </c>
      <c r="B1800" t="str">
        <v>Công an xã An Thịnh  tỉnh Bắc Ninh</v>
      </c>
      <c r="C1800" t="str">
        <v>-</v>
      </c>
      <c r="D1800" t="str">
        <v>-</v>
      </c>
      <c r="E1800" t="str">
        <v/>
      </c>
      <c r="F1800" t="str">
        <v>-</v>
      </c>
      <c r="G1800" t="str">
        <v>-</v>
      </c>
    </row>
    <row r="1801">
      <c r="A1801">
        <v>7800</v>
      </c>
      <c r="B1801" t="str">
        <f>HYPERLINK("https://www.bacninh.gov.vn/web/xa-an-thinh/co-cau-to-chuc2", "UBND Ủy ban nhân dân xã An Thịnh  tỉnh Bắc Ninh")</f>
        <v>UBND Ủy ban nhân dân xã An Thịnh  tỉnh Bắc Ninh</v>
      </c>
      <c r="C1801" t="str">
        <v>https://www.bacninh.gov.vn/web/xa-an-thinh/co-cau-to-chuc2</v>
      </c>
      <c r="D1801" t="str">
        <v>-</v>
      </c>
      <c r="E1801" t="str">
        <v>-</v>
      </c>
      <c r="F1801" t="str">
        <v>-</v>
      </c>
      <c r="G1801" t="str">
        <v>-</v>
      </c>
    </row>
    <row r="1802">
      <c r="A1802">
        <v>7801</v>
      </c>
      <c r="B1802" t="str">
        <f>HYPERLINK("https://www.facebook.com/tuoitrethanhphobacninh/", "Công an xã Trung Kênh  tỉnh Bắc Ninh")</f>
        <v>Công an xã Trung Kênh  tỉnh Bắc Ninh</v>
      </c>
      <c r="C1802" t="str">
        <v>https://www.facebook.com/tuoitrethanhphobacninh/</v>
      </c>
      <c r="D1802" t="str">
        <v>-</v>
      </c>
      <c r="E1802" t="str">
        <v/>
      </c>
      <c r="F1802" t="str">
        <v>-</v>
      </c>
      <c r="G1802" t="str">
        <v>-</v>
      </c>
    </row>
    <row r="1803">
      <c r="A1803">
        <v>7802</v>
      </c>
      <c r="B1803" t="str">
        <f>HYPERLINK("https://www.bacninh.gov.vn/web/xa-trung-kenh/uy-ban-nhan-dan", "UBND Ủy ban nhân dân xã Trung Kênh  tỉnh Bắc Ninh")</f>
        <v>UBND Ủy ban nhân dân xã Trung Kênh  tỉnh Bắc Ninh</v>
      </c>
      <c r="C1803" t="str">
        <v>https://www.bacninh.gov.vn/web/xa-trung-kenh/uy-ban-nhan-dan</v>
      </c>
      <c r="D1803" t="str">
        <v>-</v>
      </c>
      <c r="E1803" t="str">
        <v>-</v>
      </c>
      <c r="F1803" t="str">
        <v>-</v>
      </c>
      <c r="G1803" t="str">
        <v>-</v>
      </c>
    </row>
    <row r="1804">
      <c r="A1804">
        <v>7803</v>
      </c>
      <c r="B1804" t="str">
        <f>HYPERLINK("https://www.facebook.com/p/C%C3%B4ng-an-x%C3%A3-Ph%C3%BA-Ho%C3%A0-L%C6%B0%C6%A1ng-T%C3%A0i-B%E1%BA%AFc-Ninh-100082897110745/", "Công an xã Phú Hòa  tỉnh Bắc Ninh")</f>
        <v>Công an xã Phú Hòa  tỉnh Bắc Ninh</v>
      </c>
      <c r="C1804" t="str">
        <v>https://www.facebook.com/p/C%C3%B4ng-an-x%C3%A3-Ph%C3%BA-Ho%C3%A0-L%C6%B0%C6%A1ng-T%C3%A0i-B%E1%BA%AFc-Ninh-100082897110745/</v>
      </c>
      <c r="D1804" t="str">
        <v>-</v>
      </c>
      <c r="E1804" t="str">
        <v>02223655076</v>
      </c>
      <c r="F1804" t="str">
        <f>HYPERLINK("mailto:caxphuhoa@gmail.com", "caxphuhoa@gmail.com")</f>
        <v>caxphuhoa@gmail.com</v>
      </c>
      <c r="G1804" t="str">
        <v>Phương Xá, Phú Hòa, Lương Tài, Bắc Ninh, Bac Ninh, Vietnam</v>
      </c>
    </row>
    <row r="1805">
      <c r="A1805">
        <v>7804</v>
      </c>
      <c r="B1805" t="str">
        <f>HYPERLINK("https://www.bacninh.gov.vn/web/xa-phu-hoa/uy-ban-nhan-dan", "UBND Ủy ban nhân dân xã Phú Hòa  tỉnh Bắc Ninh")</f>
        <v>UBND Ủy ban nhân dân xã Phú Hòa  tỉnh Bắc Ninh</v>
      </c>
      <c r="C1805" t="str">
        <v>https://www.bacninh.gov.vn/web/xa-phu-hoa/uy-ban-nhan-dan</v>
      </c>
      <c r="D1805" t="str">
        <v>-</v>
      </c>
      <c r="E1805" t="str">
        <v>-</v>
      </c>
      <c r="F1805" t="str">
        <v>-</v>
      </c>
      <c r="G1805" t="str">
        <v>-</v>
      </c>
    </row>
    <row r="1806">
      <c r="A1806">
        <v>7805</v>
      </c>
      <c r="B1806" t="str">
        <f>HYPERLINK("https://www.facebook.com/p/C%C3%B4ng-an-x%C3%A3-M%E1%BB%B9-H%C6%B0%C6%A1ng-Huy%E1%BB%87n-L%C6%B0%C6%A1ng-T%C3%A0i-t%E1%BB%89nh-B%E1%BA%AFc-Ninh-100083056556091/", "Công an xã Mỹ Hương  tỉnh Bắc Ninh")</f>
        <v>Công an xã Mỹ Hương  tỉnh Bắc Ninh</v>
      </c>
      <c r="C1806" t="str">
        <v>https://www.facebook.com/p/C%C3%B4ng-an-x%C3%A3-M%E1%BB%B9-H%C6%B0%C6%A1ng-Huy%E1%BB%87n-L%C6%B0%C6%A1ng-T%C3%A0i-t%E1%BB%89nh-B%E1%BA%AFc-Ninh-100083056556091/</v>
      </c>
      <c r="D1806" t="str">
        <v>-</v>
      </c>
      <c r="E1806" t="str">
        <v/>
      </c>
      <c r="F1806" t="str">
        <f>HYPERLINK("mailto:syban101993@gmail.com", "syban101993@gmail.com")</f>
        <v>syban101993@gmail.com</v>
      </c>
      <c r="G1806" t="str">
        <v>-</v>
      </c>
    </row>
    <row r="1807">
      <c r="A1807">
        <v>7806</v>
      </c>
      <c r="B1807" t="str">
        <f>HYPERLINK("https://www.bacninh.gov.vn/web/xa-my-huong/uy-ban-nhan-dan", "UBND Ủy ban nhân dân xã Mỹ Hương  tỉnh Bắc Ninh")</f>
        <v>UBND Ủy ban nhân dân xã Mỹ Hương  tỉnh Bắc Ninh</v>
      </c>
      <c r="C1807" t="str">
        <v>https://www.bacninh.gov.vn/web/xa-my-huong/uy-ban-nhan-dan</v>
      </c>
      <c r="D1807" t="str">
        <v>-</v>
      </c>
      <c r="E1807" t="str">
        <v>-</v>
      </c>
      <c r="F1807" t="str">
        <v>-</v>
      </c>
      <c r="G1807" t="str">
        <v>-</v>
      </c>
    </row>
    <row r="1808">
      <c r="A1808">
        <v>7807</v>
      </c>
      <c r="B1808" t="str">
        <v>Công an xã Tân Lãng  tỉnh Bắc Ninh</v>
      </c>
      <c r="C1808" t="str">
        <v>-</v>
      </c>
      <c r="D1808" t="str">
        <v>-</v>
      </c>
      <c r="E1808" t="str">
        <v/>
      </c>
      <c r="F1808" t="str">
        <v>-</v>
      </c>
      <c r="G1808" t="str">
        <v>-</v>
      </c>
    </row>
    <row r="1809">
      <c r="A1809">
        <v>7808</v>
      </c>
      <c r="B1809" t="str">
        <f>HYPERLINK("https://www.bacninh.gov.vn/web/xa-tan-lang", "UBND Ủy ban nhân dân xã Tân Lãng  tỉnh Bắc Ninh")</f>
        <v>UBND Ủy ban nhân dân xã Tân Lãng  tỉnh Bắc Ninh</v>
      </c>
      <c r="C1809" t="str">
        <v>https://www.bacninh.gov.vn/web/xa-tan-lang</v>
      </c>
      <c r="D1809" t="str">
        <v>-</v>
      </c>
      <c r="E1809" t="str">
        <v>-</v>
      </c>
      <c r="F1809" t="str">
        <v>-</v>
      </c>
      <c r="G1809" t="str">
        <v>-</v>
      </c>
    </row>
    <row r="1810">
      <c r="A1810">
        <v>7809</v>
      </c>
      <c r="B1810" t="str">
        <v>Công an xã Quảng Phú  tỉnh Bắc Ninh</v>
      </c>
      <c r="C1810" t="str">
        <v>-</v>
      </c>
      <c r="D1810" t="str">
        <v>-</v>
      </c>
      <c r="E1810" t="str">
        <v/>
      </c>
      <c r="F1810" t="str">
        <v>-</v>
      </c>
      <c r="G1810" t="str">
        <v>-</v>
      </c>
    </row>
    <row r="1811">
      <c r="A1811">
        <v>7810</v>
      </c>
      <c r="B1811" t="str">
        <f>HYPERLINK("https://www.bacninh.gov.vn/web/xa-quang-phu/uy-ban-nhan-dan", "UBND Ủy ban nhân dân xã Quảng Phú  tỉnh Bắc Ninh")</f>
        <v>UBND Ủy ban nhân dân xã Quảng Phú  tỉnh Bắc Ninh</v>
      </c>
      <c r="C1811" t="str">
        <v>https://www.bacninh.gov.vn/web/xa-quang-phu/uy-ban-nhan-dan</v>
      </c>
      <c r="D1811" t="str">
        <v>-</v>
      </c>
      <c r="E1811" t="str">
        <v>-</v>
      </c>
      <c r="F1811" t="str">
        <v>-</v>
      </c>
      <c r="G1811" t="str">
        <v>-</v>
      </c>
    </row>
    <row r="1812">
      <c r="A1812">
        <v>7811</v>
      </c>
      <c r="B1812" t="str">
        <v>Công an xã Trừng Xá  tỉnh Bắc Ninh</v>
      </c>
      <c r="C1812" t="str">
        <v>-</v>
      </c>
      <c r="D1812" t="str">
        <v>-</v>
      </c>
      <c r="E1812" t="str">
        <v/>
      </c>
      <c r="F1812" t="str">
        <v>-</v>
      </c>
      <c r="G1812" t="str">
        <v>-</v>
      </c>
    </row>
    <row r="1813">
      <c r="A1813">
        <v>7812</v>
      </c>
      <c r="B1813" t="str">
        <f>HYPERLINK("https://www.bacninh.gov.vn/web/xa-trung-xa/uy-ban-nhan-dan", "UBND Ủy ban nhân dân xã Trừng Xá  tỉnh Bắc Ninh")</f>
        <v>UBND Ủy ban nhân dân xã Trừng Xá  tỉnh Bắc Ninh</v>
      </c>
      <c r="C1813" t="str">
        <v>https://www.bacninh.gov.vn/web/xa-trung-xa/uy-ban-nhan-dan</v>
      </c>
      <c r="D1813" t="str">
        <v>-</v>
      </c>
      <c r="E1813" t="str">
        <v>-</v>
      </c>
      <c r="F1813" t="str">
        <v>-</v>
      </c>
      <c r="G1813" t="str">
        <v>-</v>
      </c>
    </row>
    <row r="1814">
      <c r="A1814">
        <v>7813</v>
      </c>
      <c r="B1814" t="str">
        <f>HYPERLINK("https://www.facebook.com/p/C%C3%B4ng-an-x%C3%A3-Lai-H%E1%BA%A1-L%C6%B0%C6%A1ng-T%C3%A0i-B%E1%BA%AFc-Ninh-100082897224141/", "Công an xã Lai Hạ  tỉnh Bắc Ninh")</f>
        <v>Công an xã Lai Hạ  tỉnh Bắc Ninh</v>
      </c>
      <c r="C1814" t="str">
        <v>https://www.facebook.com/p/C%C3%B4ng-an-x%C3%A3-Lai-H%E1%BA%A1-L%C6%B0%C6%A1ng-T%C3%A0i-B%E1%BA%AFc-Ninh-100082897224141/</v>
      </c>
      <c r="D1814" t="str">
        <v>-</v>
      </c>
      <c r="E1814" t="str">
        <v/>
      </c>
      <c r="F1814" t="str">
        <v>-</v>
      </c>
      <c r="G1814" t="str">
        <v>-</v>
      </c>
    </row>
    <row r="1815">
      <c r="A1815">
        <v>7814</v>
      </c>
      <c r="B1815" t="str">
        <f>HYPERLINK("https://www.bacninh.gov.vn/web/xa-lai-ha", "UBND Ủy ban nhân dân xã Lai Hạ  tỉnh Bắc Ninh")</f>
        <v>UBND Ủy ban nhân dân xã Lai Hạ  tỉnh Bắc Ninh</v>
      </c>
      <c r="C1815" t="str">
        <v>https://www.bacninh.gov.vn/web/xa-lai-ha</v>
      </c>
      <c r="D1815" t="str">
        <v>-</v>
      </c>
      <c r="E1815" t="str">
        <v>-</v>
      </c>
      <c r="F1815" t="str">
        <v>-</v>
      </c>
      <c r="G1815" t="str">
        <v>-</v>
      </c>
    </row>
    <row r="1816">
      <c r="A1816">
        <v>7815</v>
      </c>
      <c r="B1816" t="str">
        <v>Công an xã Trung Chính  tỉnh Bắc Ninh</v>
      </c>
      <c r="C1816" t="str">
        <v>-</v>
      </c>
      <c r="D1816" t="str">
        <v>-</v>
      </c>
      <c r="E1816" t="str">
        <v/>
      </c>
      <c r="F1816" t="str">
        <v>-</v>
      </c>
      <c r="G1816" t="str">
        <v>-</v>
      </c>
    </row>
    <row r="1817">
      <c r="A1817">
        <v>7816</v>
      </c>
      <c r="B1817" t="str">
        <f>HYPERLINK("https://www.bacninh.gov.vn/web/xa-trung-chinh/co-cau-to-chuc2", "UBND Ủy ban nhân dân xã Trung Chính  tỉnh Bắc Ninh")</f>
        <v>UBND Ủy ban nhân dân xã Trung Chính  tỉnh Bắc Ninh</v>
      </c>
      <c r="C1817" t="str">
        <v>https://www.bacninh.gov.vn/web/xa-trung-chinh/co-cau-to-chuc2</v>
      </c>
      <c r="D1817" t="str">
        <v>-</v>
      </c>
      <c r="E1817" t="str">
        <v>-</v>
      </c>
      <c r="F1817" t="str">
        <v>-</v>
      </c>
      <c r="G1817" t="str">
        <v>-</v>
      </c>
    </row>
    <row r="1818">
      <c r="A1818">
        <v>7817</v>
      </c>
      <c r="B1818" t="str">
        <v>Công an xã Minh Tân  tỉnh Bắc Ninh</v>
      </c>
      <c r="C1818" t="str">
        <v>-</v>
      </c>
      <c r="D1818" t="str">
        <v>-</v>
      </c>
      <c r="E1818" t="str">
        <v/>
      </c>
      <c r="F1818" t="str">
        <v>-</v>
      </c>
      <c r="G1818" t="str">
        <v>-</v>
      </c>
    </row>
    <row r="1819">
      <c r="A1819">
        <v>7818</v>
      </c>
      <c r="B1819" t="str">
        <f>HYPERLINK("https://www.bacninh.gov.vn/web/xa-minh-tan/uy-ban-nhan-dan", "UBND Ủy ban nhân dân xã Minh Tân  tỉnh Bắc Ninh")</f>
        <v>UBND Ủy ban nhân dân xã Minh Tân  tỉnh Bắc Ninh</v>
      </c>
      <c r="C1819" t="str">
        <v>https://www.bacninh.gov.vn/web/xa-minh-tan/uy-ban-nhan-dan</v>
      </c>
      <c r="D1819" t="str">
        <v>-</v>
      </c>
      <c r="E1819" t="str">
        <v>-</v>
      </c>
      <c r="F1819" t="str">
        <v>-</v>
      </c>
      <c r="G1819" t="str">
        <v>-</v>
      </c>
    </row>
    <row r="1820">
      <c r="A1820">
        <v>7819</v>
      </c>
      <c r="B1820" t="str">
        <f>HYPERLINK("https://www.facebook.com/p/C%C3%B4ng-an-x%C3%A3-B%C3%ACnh-%C4%90%E1%BB%8Bnh-L%C6%B0%C6%A1ng-T%C3%A0i-B%E1%BA%AFc-Ninh-100075978814082/", "Công an xã Bình Định  tỉnh Bắc Ninh")</f>
        <v>Công an xã Bình Định  tỉnh Bắc Ninh</v>
      </c>
      <c r="C1820" t="str">
        <v>https://www.facebook.com/p/C%C3%B4ng-an-x%C3%A3-B%C3%ACnh-%C4%90%E1%BB%8Bnh-L%C6%B0%C6%A1ng-T%C3%A0i-B%E1%BA%AFc-Ninh-100075978814082/</v>
      </c>
      <c r="D1820" t="str">
        <v>-</v>
      </c>
      <c r="E1820" t="str">
        <v/>
      </c>
      <c r="F1820" t="str">
        <v>-</v>
      </c>
      <c r="G1820" t="str">
        <v>-</v>
      </c>
    </row>
    <row r="1821">
      <c r="A1821">
        <v>7820</v>
      </c>
      <c r="B1821" t="str">
        <f>HYPERLINK("https://www.bacninh.gov.vn/web/xa-binh-dinh/uy-ban-nhan-dan", "UBND Ủy ban nhân dân xã Bình Định  tỉnh Bắc Ninh")</f>
        <v>UBND Ủy ban nhân dân xã Bình Định  tỉnh Bắc Ninh</v>
      </c>
      <c r="C1821" t="str">
        <v>https://www.bacninh.gov.vn/web/xa-binh-dinh/uy-ban-nhan-dan</v>
      </c>
      <c r="D1821" t="str">
        <v>-</v>
      </c>
      <c r="E1821" t="str">
        <v>-</v>
      </c>
      <c r="F1821" t="str">
        <v>-</v>
      </c>
      <c r="G1821" t="str">
        <v>-</v>
      </c>
    </row>
    <row r="1822">
      <c r="A1822">
        <v>7821</v>
      </c>
      <c r="B1822" t="str">
        <f>HYPERLINK("https://www.facebook.com/huyhien88/", "Công an xã Phú Lương  tỉnh Bắc Ninh")</f>
        <v>Công an xã Phú Lương  tỉnh Bắc Ninh</v>
      </c>
      <c r="C1822" t="str">
        <v>https://www.facebook.com/huyhien88/</v>
      </c>
      <c r="D1822" t="str">
        <v>-</v>
      </c>
      <c r="E1822" t="str">
        <v/>
      </c>
      <c r="F1822" t="str">
        <v>-</v>
      </c>
      <c r="G1822" t="str">
        <v>Bac Ninh, Vietnam</v>
      </c>
    </row>
    <row r="1823">
      <c r="A1823">
        <v>7822</v>
      </c>
      <c r="B1823" t="str">
        <f>HYPERLINK("https://www.bacninh.gov.vn/web/xa-phu-luong", "UBND Ủy ban nhân dân xã Phú Lương  tỉnh Bắc Ninh")</f>
        <v>UBND Ủy ban nhân dân xã Phú Lương  tỉnh Bắc Ninh</v>
      </c>
      <c r="C1823" t="str">
        <v>https://www.bacninh.gov.vn/web/xa-phu-luong</v>
      </c>
      <c r="D1823" t="str">
        <v>-</v>
      </c>
      <c r="E1823" t="str">
        <v>-</v>
      </c>
      <c r="F1823" t="str">
        <v>-</v>
      </c>
      <c r="G1823" t="str">
        <v>-</v>
      </c>
    </row>
    <row r="1824">
      <c r="A1824">
        <v>7823</v>
      </c>
      <c r="B1824" t="str">
        <v>Công an xã Lâm Thao  tỉnh Bắc Ninh</v>
      </c>
      <c r="C1824" t="str">
        <v>-</v>
      </c>
      <c r="D1824" t="str">
        <v>-</v>
      </c>
      <c r="E1824" t="str">
        <v/>
      </c>
      <c r="F1824" t="str">
        <v>-</v>
      </c>
      <c r="G1824" t="str">
        <v>-</v>
      </c>
    </row>
    <row r="1825">
      <c r="A1825">
        <v>7824</v>
      </c>
      <c r="B1825" t="str">
        <f>HYPERLINK("https://www.bacninh.gov.vn/web/xa-lam-thao/uy-ban-nhan-dan", "UBND Ủy ban nhân dân xã Lâm Thao  tỉnh Bắc Ninh")</f>
        <v>UBND Ủy ban nhân dân xã Lâm Thao  tỉnh Bắc Ninh</v>
      </c>
      <c r="C1825" t="str">
        <v>https://www.bacninh.gov.vn/web/xa-lam-thao/uy-ban-nhan-dan</v>
      </c>
      <c r="D1825" t="str">
        <v>-</v>
      </c>
      <c r="E1825" t="str">
        <v>-</v>
      </c>
      <c r="F1825" t="str">
        <v>-</v>
      </c>
      <c r="G1825" t="str">
        <v>-</v>
      </c>
    </row>
    <row r="1826">
      <c r="A1826">
        <v>7825</v>
      </c>
      <c r="B1826" t="str">
        <f>HYPERLINK("https://www.facebook.com/p/C%C3%B4ng-an-ph%C6%B0%E1%BB%9Dng-C%E1%BA%A9m-Th%C6%B0%E1%BB%A3ng-CATP-H%E1%BA%A3i-D%C6%B0%C6%A1ng-100081628454582/", "Công an phường Cẩm Thượng  tỉnh Hải Dương")</f>
        <v>Công an phường Cẩm Thượng  tỉnh Hải Dương</v>
      </c>
      <c r="C1826" t="str">
        <v>https://www.facebook.com/p/C%C3%B4ng-an-ph%C6%B0%E1%BB%9Dng-C%E1%BA%A9m-Th%C6%B0%E1%BB%A3ng-CATP-H%E1%BA%A3i-D%C6%B0%C6%A1ng-100081628454582/</v>
      </c>
      <c r="D1826" t="str">
        <v>-</v>
      </c>
      <c r="E1826" t="str">
        <v/>
      </c>
      <c r="F1826" t="str">
        <v>-</v>
      </c>
      <c r="G1826" t="str">
        <v>-</v>
      </c>
    </row>
    <row r="1827">
      <c r="A1827">
        <v>7826</v>
      </c>
      <c r="B1827" t="str">
        <f>HYPERLINK("http://camthuong.tphaiduong.haiduong.gov.vn/", "UBND Ủy ban nhân dân phường Cẩm Thượng  tỉnh Hải Dương")</f>
        <v>UBND Ủy ban nhân dân phường Cẩm Thượng  tỉnh Hải Dương</v>
      </c>
      <c r="C1827" t="str">
        <v>http://camthuong.tphaiduong.haiduong.gov.vn/</v>
      </c>
      <c r="D1827" t="str">
        <v>-</v>
      </c>
      <c r="E1827" t="str">
        <v>-</v>
      </c>
      <c r="F1827" t="str">
        <v>-</v>
      </c>
      <c r="G1827" t="str">
        <v>-</v>
      </c>
    </row>
    <row r="1828">
      <c r="A1828">
        <v>7827</v>
      </c>
      <c r="B1828" t="str">
        <f>HYPERLINK("https://www.facebook.com/binhhantphaiduong/", "Công an phường Bình Hàn  tỉnh Hải Dương")</f>
        <v>Công an phường Bình Hàn  tỉnh Hải Dương</v>
      </c>
      <c r="C1828" t="str">
        <v>https://www.facebook.com/binhhantphaiduong/</v>
      </c>
      <c r="D1828" t="str">
        <v>-</v>
      </c>
      <c r="E1828" t="str">
        <v/>
      </c>
      <c r="F1828" t="str">
        <v>-</v>
      </c>
      <c r="G1828" t="str">
        <v>-</v>
      </c>
    </row>
    <row r="1829">
      <c r="A1829">
        <v>7828</v>
      </c>
      <c r="B1829" t="str">
        <f>HYPERLINK("http://binhhan.tphaiduong.haiduong.gov.vn/", "UBND Ủy ban nhân dân phường Bình Hàn  tỉnh Hải Dương")</f>
        <v>UBND Ủy ban nhân dân phường Bình Hàn  tỉnh Hải Dương</v>
      </c>
      <c r="C1829" t="str">
        <v>http://binhhan.tphaiduong.haiduong.gov.vn/</v>
      </c>
      <c r="D1829" t="str">
        <v>-</v>
      </c>
      <c r="E1829" t="str">
        <v>-</v>
      </c>
      <c r="F1829" t="str">
        <v>-</v>
      </c>
      <c r="G1829" t="str">
        <v>-</v>
      </c>
    </row>
    <row r="1830">
      <c r="A1830">
        <v>7829</v>
      </c>
      <c r="B1830" t="str">
        <f>HYPERLINK("https://www.facebook.com/p/C%C3%B4ng-An-Ph%C6%B0%E1%BB%9Dng-Ng%E1%BB%8Dc-Ch%C3%A2u-Th%C3%A0nh-Ph%E1%BB%91-H%E1%BA%A3i-D%C6%B0%C6%A1ng-100068965069044/", "Công an phường Ngọc Châu  tỉnh Hải Dương")</f>
        <v>Công an phường Ngọc Châu  tỉnh Hải Dương</v>
      </c>
      <c r="C1830" t="str">
        <v>https://www.facebook.com/p/C%C3%B4ng-An-Ph%C6%B0%E1%BB%9Dng-Ng%E1%BB%8Dc-Ch%C3%A2u-Th%C3%A0nh-Ph%E1%BB%91-H%E1%BA%A3i-D%C6%B0%C6%A1ng-100068965069044/</v>
      </c>
      <c r="D1830" t="str">
        <v>-</v>
      </c>
      <c r="E1830" t="str">
        <v/>
      </c>
      <c r="F1830" t="str">
        <v>-</v>
      </c>
      <c r="G1830" t="str">
        <v>-</v>
      </c>
    </row>
    <row r="1831">
      <c r="A1831">
        <v>7830</v>
      </c>
      <c r="B1831" t="str">
        <f>HYPERLINK("http://ngocchau.tphaiduong.haiduong.gov.vn/", "UBND Ủy ban nhân dân phường Ngọc Châu  tỉnh Hải Dương")</f>
        <v>UBND Ủy ban nhân dân phường Ngọc Châu  tỉnh Hải Dương</v>
      </c>
      <c r="C1831" t="str">
        <v>http://ngocchau.tphaiduong.haiduong.gov.vn/</v>
      </c>
      <c r="D1831" t="str">
        <v>-</v>
      </c>
      <c r="E1831" t="str">
        <v>-</v>
      </c>
      <c r="F1831" t="str">
        <v>-</v>
      </c>
      <c r="G1831" t="str">
        <v>-</v>
      </c>
    </row>
    <row r="1832">
      <c r="A1832">
        <v>7831</v>
      </c>
      <c r="B1832" t="str">
        <v>Công an phường Nhị Châu  tỉnh Hải Dương</v>
      </c>
      <c r="C1832" t="str">
        <v>-</v>
      </c>
      <c r="D1832" t="str">
        <v>-</v>
      </c>
      <c r="E1832" t="str">
        <v/>
      </c>
      <c r="F1832" t="str">
        <v>-</v>
      </c>
      <c r="G1832" t="str">
        <v>-</v>
      </c>
    </row>
    <row r="1833">
      <c r="A1833">
        <v>7832</v>
      </c>
      <c r="B1833" t="str">
        <f>HYPERLINK("http://nhichau.tphaiduong.haiduong.gov.vn/", "UBND Ủy ban nhân dân phường Nhị Châu  tỉnh Hải Dương")</f>
        <v>UBND Ủy ban nhân dân phường Nhị Châu  tỉnh Hải Dương</v>
      </c>
      <c r="C1833" t="str">
        <v>http://nhichau.tphaiduong.haiduong.gov.vn/</v>
      </c>
      <c r="D1833" t="str">
        <v>-</v>
      </c>
      <c r="E1833" t="str">
        <v>-</v>
      </c>
      <c r="F1833" t="str">
        <v>-</v>
      </c>
      <c r="G1833" t="str">
        <v>-</v>
      </c>
    </row>
    <row r="1834">
      <c r="A1834">
        <v>7833</v>
      </c>
      <c r="B1834" t="str">
        <f>HYPERLINK("https://www.facebook.com/p/C%C3%B4ng-an-Ph%C6%B0%E1%BB%9Dng-Quang-Trung-Th%C3%A0nh-ph%E1%BB%91-H%E1%BA%A3i-D%C6%B0%C6%A1ng-100090836208177/?locale=vi_VN", "Công an phường Quang Trung  tỉnh Hải Dương")</f>
        <v>Công an phường Quang Trung  tỉnh Hải Dương</v>
      </c>
      <c r="C1834" t="str">
        <v>https://www.facebook.com/p/C%C3%B4ng-an-Ph%C6%B0%E1%BB%9Dng-Quang-Trung-Th%C3%A0nh-ph%E1%BB%91-H%E1%BA%A3i-D%C6%B0%C6%A1ng-100090836208177/?locale=vi_VN</v>
      </c>
      <c r="D1834" t="str">
        <v>-</v>
      </c>
      <c r="E1834" t="str">
        <v>02203852675</v>
      </c>
      <c r="F1834" t="str">
        <f>HYPERLINK("mailto:conganquangtrung97@gmail.com", "conganquangtrung97@gmail.com")</f>
        <v>conganquangtrung97@gmail.com</v>
      </c>
      <c r="G1834" t="str">
        <v>-</v>
      </c>
    </row>
    <row r="1835">
      <c r="A1835">
        <v>7834</v>
      </c>
      <c r="B1835" t="str">
        <f>HYPERLINK("http://quangtrung.tphaiduong.haiduong.gov.vn/", "UBND Ủy ban nhân dân phường Quang Trung  tỉnh Hải Dương")</f>
        <v>UBND Ủy ban nhân dân phường Quang Trung  tỉnh Hải Dương</v>
      </c>
      <c r="C1835" t="str">
        <v>http://quangtrung.tphaiduong.haiduong.gov.vn/</v>
      </c>
      <c r="D1835" t="str">
        <v>-</v>
      </c>
      <c r="E1835" t="str">
        <v>-</v>
      </c>
      <c r="F1835" t="str">
        <v>-</v>
      </c>
      <c r="G1835" t="str">
        <v>-</v>
      </c>
    </row>
    <row r="1836">
      <c r="A1836">
        <v>7835</v>
      </c>
      <c r="B1836" t="str">
        <f>HYPERLINK("https://www.facebook.com/p/C%C3%B4ng-an-ph%C6%B0%E1%BB%9Dng-Nguy%E1%BB%85n-Tr%C3%A3i-100077644723207/", "Công an phường Nguyễn Trãi  tỉnh Hải Dương")</f>
        <v>Công an phường Nguyễn Trãi  tỉnh Hải Dương</v>
      </c>
      <c r="C1836" t="str">
        <v>https://www.facebook.com/p/C%C3%B4ng-an-ph%C6%B0%E1%BB%9Dng-Nguy%E1%BB%85n-Tr%C3%A3i-100077644723207/</v>
      </c>
      <c r="D1836" t="str">
        <v>-</v>
      </c>
      <c r="E1836" t="str">
        <v>02203852576</v>
      </c>
      <c r="F1836" t="str">
        <f>HYPERLINK("mailto:conganphuongnguyentrai2021@gmail.com", "conganphuongnguyentrai2021@gmail.com")</f>
        <v>conganphuongnguyentrai2021@gmail.com</v>
      </c>
      <c r="G1836" t="str">
        <v>Phố Hoàng Hoa Thám, Hải Dương, Việt Nam, Hai Duong, Vietnam</v>
      </c>
    </row>
    <row r="1837">
      <c r="A1837">
        <v>7836</v>
      </c>
      <c r="B1837" t="str">
        <f>HYPERLINK("http://nguyentrai.tphaiduong.haiduong.gov.vn/", "UBND Ủy ban nhân dân phường Nguyễn Trãi  tỉnh Hải Dương")</f>
        <v>UBND Ủy ban nhân dân phường Nguyễn Trãi  tỉnh Hải Dương</v>
      </c>
      <c r="C1837" t="str">
        <v>http://nguyentrai.tphaiduong.haiduong.gov.vn/</v>
      </c>
      <c r="D1837" t="str">
        <v>-</v>
      </c>
      <c r="E1837" t="str">
        <v>-</v>
      </c>
      <c r="F1837" t="str">
        <v>-</v>
      </c>
      <c r="G1837" t="str">
        <v>-</v>
      </c>
    </row>
    <row r="1838">
      <c r="A1838">
        <v>7837</v>
      </c>
      <c r="B1838" t="str">
        <f>HYPERLINK("https://www.facebook.com/p/C%C3%B4ng-An-Ph%C6%B0%E1%BB%9Dng-Ph%E1%BA%A1m-Ng%C5%A9-L%C3%A3o-Th%C3%A0nh-Ph%E1%BB%91-H%E1%BA%A3i-D%C6%B0%C6%A1ng-100068982131245/", "Công an phường Phạm Ngũ Lão  tỉnh Hải Dương")</f>
        <v>Công an phường Phạm Ngũ Lão  tỉnh Hải Dương</v>
      </c>
      <c r="C1838" t="str">
        <v>https://www.facebook.com/p/C%C3%B4ng-An-Ph%C6%B0%E1%BB%9Dng-Ph%E1%BA%A1m-Ng%C5%A9-L%C3%A3o-Th%C3%A0nh-Ph%E1%BB%91-H%E1%BA%A3i-D%C6%B0%C6%A1ng-100068982131245/</v>
      </c>
      <c r="D1838" t="str">
        <v>-</v>
      </c>
      <c r="E1838" t="str">
        <v>02203853845</v>
      </c>
      <c r="F1838" t="str">
        <f>HYPERLINK("mailto:Conganphuongphamngulao@gmail.com", "Conganphuongphamngulao@gmail.com")</f>
        <v>Conganphuongphamngulao@gmail.com</v>
      </c>
      <c r="G1838" t="str">
        <v>Số 1 Đại Lộ Lê Thanh Nghị</v>
      </c>
    </row>
    <row r="1839">
      <c r="A1839">
        <v>7838</v>
      </c>
      <c r="B1839" t="str">
        <f>HYPERLINK("http://phamngulao.tphaiduong.haiduong.gov.vn/", "UBND Ủy ban nhân dân phường Phạm Ngũ Lão  tỉnh Hải Dương")</f>
        <v>UBND Ủy ban nhân dân phường Phạm Ngũ Lão  tỉnh Hải Dương</v>
      </c>
      <c r="C1839" t="str">
        <v>http://phamngulao.tphaiduong.haiduong.gov.vn/</v>
      </c>
      <c r="D1839" t="str">
        <v>-</v>
      </c>
      <c r="E1839" t="str">
        <v>-</v>
      </c>
      <c r="F1839" t="str">
        <v>-</v>
      </c>
      <c r="G1839" t="str">
        <v>-</v>
      </c>
    </row>
    <row r="1840">
      <c r="A1840">
        <v>7839</v>
      </c>
      <c r="B1840" t="str">
        <f>HYPERLINK("https://www.facebook.com/p/C%C3%B4ng-an-ph%C6%B0%E1%BB%9Dng-Tr%E1%BA%A7n-H%C6%B0ng-%C4%90%E1%BA%A1o-TP-H%E1%BA%A3i-D%C6%B0%C6%A1ng-100066903541828/", "Công an phường Trần Hưng Đạo  tỉnh Hải Dương")</f>
        <v>Công an phường Trần Hưng Đạo  tỉnh Hải Dương</v>
      </c>
      <c r="C1840" t="str">
        <v>https://www.facebook.com/p/C%C3%B4ng-an-ph%C6%B0%E1%BB%9Dng-Tr%E1%BA%A7n-H%C6%B0ng-%C4%90%E1%BA%A1o-TP-H%E1%BA%A3i-D%C6%B0%C6%A1ng-100066903541828/</v>
      </c>
      <c r="D1840" t="str">
        <v>-</v>
      </c>
      <c r="E1840" t="str">
        <v/>
      </c>
      <c r="F1840" t="str">
        <v>-</v>
      </c>
      <c r="G1840" t="str">
        <v>-</v>
      </c>
    </row>
    <row r="1841">
      <c r="A1841">
        <v>7840</v>
      </c>
      <c r="B1841" t="str">
        <f>HYPERLINK("http://tranhungdao.tphaiduong.haiduong.gov.vn/", "UBND Ủy ban nhân dân phường Trần Hưng Đạo  tỉnh Hải Dương")</f>
        <v>UBND Ủy ban nhân dân phường Trần Hưng Đạo  tỉnh Hải Dương</v>
      </c>
      <c r="C1841" t="str">
        <v>http://tranhungdao.tphaiduong.haiduong.gov.vn/</v>
      </c>
      <c r="D1841" t="str">
        <v>-</v>
      </c>
      <c r="E1841" t="str">
        <v>-</v>
      </c>
      <c r="F1841" t="str">
        <v>-</v>
      </c>
      <c r="G1841" t="str">
        <v>-</v>
      </c>
    </row>
    <row r="1842">
      <c r="A1842">
        <v>7841</v>
      </c>
      <c r="B1842" t="str">
        <f>HYPERLINK("https://www.facebook.com/phuongtranphucaptp/", "Công an phường Trần Phú  tỉnh Hải Dương")</f>
        <v>Công an phường Trần Phú  tỉnh Hải Dương</v>
      </c>
      <c r="C1842" t="str">
        <v>https://www.facebook.com/phuongtranphucaptp/</v>
      </c>
      <c r="D1842" t="str">
        <v>-</v>
      </c>
      <c r="E1842" t="str">
        <v/>
      </c>
      <c r="F1842" t="str">
        <v>-</v>
      </c>
      <c r="G1842" t="str">
        <v>-</v>
      </c>
    </row>
    <row r="1843">
      <c r="A1843">
        <v>7842</v>
      </c>
      <c r="B1843" t="str">
        <f>HYPERLINK("http://tranphu.tphaiduong.haiduong.gov.vn/", "UBND Ủy ban nhân dân phường Trần Phú  tỉnh Hải Dương")</f>
        <v>UBND Ủy ban nhân dân phường Trần Phú  tỉnh Hải Dương</v>
      </c>
      <c r="C1843" t="str">
        <v>http://tranphu.tphaiduong.haiduong.gov.vn/</v>
      </c>
      <c r="D1843" t="str">
        <v>-</v>
      </c>
      <c r="E1843" t="str">
        <v>-</v>
      </c>
      <c r="F1843" t="str">
        <v>-</v>
      </c>
      <c r="G1843" t="str">
        <v>-</v>
      </c>
    </row>
    <row r="1844">
      <c r="A1844">
        <v>7843</v>
      </c>
      <c r="B1844" t="str">
        <f>HYPERLINK("https://www.facebook.com/people/C%C3%B4ng-An-Ph%C6%B0%E1%BB%9Dng-Thanh-B%C3%ACnh/100066390800608/", "Công an phường Thanh Bình  tỉnh Hải Dương")</f>
        <v>Công an phường Thanh Bình  tỉnh Hải Dương</v>
      </c>
      <c r="C1844" t="str">
        <v>https://www.facebook.com/people/C%C3%B4ng-An-Ph%C6%B0%E1%BB%9Dng-Thanh-B%C3%ACnh/100066390800608/</v>
      </c>
      <c r="D1844" t="str">
        <v>-</v>
      </c>
      <c r="E1844" t="str">
        <v>+2203891725</v>
      </c>
      <c r="F1844" t="str">
        <v>-</v>
      </c>
      <c r="G1844" t="str">
        <v>-</v>
      </c>
    </row>
    <row r="1845">
      <c r="A1845">
        <v>7844</v>
      </c>
      <c r="B1845" t="str">
        <f>HYPERLINK("http://thanhbinh.tphaiduong.haiduong.gov.vn/", "UBND Ủy ban nhân dân phường Thanh Bình  tỉnh Hải Dương")</f>
        <v>UBND Ủy ban nhân dân phường Thanh Bình  tỉnh Hải Dương</v>
      </c>
      <c r="C1845" t="str">
        <v>http://thanhbinh.tphaiduong.haiduong.gov.vn/</v>
      </c>
      <c r="D1845" t="str">
        <v>-</v>
      </c>
      <c r="E1845" t="str">
        <v>-</v>
      </c>
      <c r="F1845" t="str">
        <v>-</v>
      </c>
      <c r="G1845" t="str">
        <v>-</v>
      </c>
    </row>
    <row r="1846">
      <c r="A1846">
        <v>7845</v>
      </c>
      <c r="B1846" t="str">
        <f>HYPERLINK("https://www.facebook.com/p/C%C3%B4ng-an-ph%C6%B0%E1%BB%9Dng-T%C3%A2n-B%C3%ACnh-Th%C3%A0nh-ph%E1%BB%91-H%E1%BA%A3i-D%C6%B0%C6%A1ng-100085191315277/", "Công an phường Tân Bình  tỉnh Hải Dương")</f>
        <v>Công an phường Tân Bình  tỉnh Hải Dương</v>
      </c>
      <c r="C1846" t="str">
        <v>https://www.facebook.com/p/C%C3%B4ng-an-ph%C6%B0%E1%BB%9Dng-T%C3%A2n-B%C3%ACnh-Th%C3%A0nh-ph%E1%BB%91-H%E1%BA%A3i-D%C6%B0%C6%A1ng-100085191315277/</v>
      </c>
      <c r="D1846" t="str">
        <v>-</v>
      </c>
      <c r="E1846" t="str">
        <v/>
      </c>
      <c r="F1846" t="str">
        <v>-</v>
      </c>
      <c r="G1846" t="str">
        <v>-</v>
      </c>
    </row>
    <row r="1847">
      <c r="A1847">
        <v>7846</v>
      </c>
      <c r="B1847" t="str">
        <f>HYPERLINK("http://tanbinh.tphaiduong.haiduong.gov.vn/", "UBND Ủy ban nhân dân phường Tân Bình  tỉnh Hải Dương")</f>
        <v>UBND Ủy ban nhân dân phường Tân Bình  tỉnh Hải Dương</v>
      </c>
      <c r="C1847" t="str">
        <v>http://tanbinh.tphaiduong.haiduong.gov.vn/</v>
      </c>
      <c r="D1847" t="str">
        <v>-</v>
      </c>
      <c r="E1847" t="str">
        <v>-</v>
      </c>
      <c r="F1847" t="str">
        <v>-</v>
      </c>
      <c r="G1847" t="str">
        <v>-</v>
      </c>
    </row>
    <row r="1848">
      <c r="A1848">
        <v>7847</v>
      </c>
      <c r="B1848" t="str">
        <f>HYPERLINK("https://www.facebook.com/p/C%C3%B4ng-An-Ph%C6%B0%E1%BB%9Dng-L%C3%AA-Thanh-Ngh%E1%BB%8B-Th%C3%A0nh-Ph%E1%BB%91-H%E1%BA%A3i-D%C6%B0%C6%A1ng-100069020777657/", "Công an phường Lê Thanh Nghị  tỉnh Hải Dương")</f>
        <v>Công an phường Lê Thanh Nghị  tỉnh Hải Dương</v>
      </c>
      <c r="C1848" t="str">
        <v>https://www.facebook.com/p/C%C3%B4ng-An-Ph%C6%B0%E1%BB%9Dng-L%C3%AA-Thanh-Ngh%E1%BB%8B-Th%C3%A0nh-Ph%E1%BB%91-H%E1%BA%A3i-D%C6%B0%C6%A1ng-100069020777657/</v>
      </c>
      <c r="D1848" t="str">
        <v>-</v>
      </c>
      <c r="E1848" t="str">
        <v/>
      </c>
      <c r="F1848" t="str">
        <v>-</v>
      </c>
      <c r="G1848" t="str">
        <v>-</v>
      </c>
    </row>
    <row r="1849">
      <c r="A1849">
        <v>7848</v>
      </c>
      <c r="B1849" t="str">
        <f>HYPERLINK("http://lethanhnghi.tphaiduong.haiduong.gov.vn/", "UBND Ủy ban nhân dân phường Lê Thanh Nghị  tỉnh Hải Dương")</f>
        <v>UBND Ủy ban nhân dân phường Lê Thanh Nghị  tỉnh Hải Dương</v>
      </c>
      <c r="C1849" t="str">
        <v>http://lethanhnghi.tphaiduong.haiduong.gov.vn/</v>
      </c>
      <c r="D1849" t="str">
        <v>-</v>
      </c>
      <c r="E1849" t="str">
        <v>-</v>
      </c>
      <c r="F1849" t="str">
        <v>-</v>
      </c>
      <c r="G1849" t="str">
        <v>-</v>
      </c>
    </row>
    <row r="1850" xml:space="preserve">
      <c r="A1850">
        <v>7849</v>
      </c>
      <c r="B1850" t="str">
        <f>HYPERLINK("https://www.facebook.com/p/C%C3%B4ng-an-Ph%C6%B0%E1%BB%9Dng-H%E1%BA%A3i-T%C3%A2n-th%C3%A0nh-ph%E1%BB%91-H%E1%BA%A3i-D%C6%B0%C6%A1ng-100070095602812/", "Công an phường Hải Tân  tỉnh Hải Dương")</f>
        <v>Công an phường Hải Tân  tỉnh Hải Dương</v>
      </c>
      <c r="C1850" t="str">
        <v>https://www.facebook.com/p/C%C3%B4ng-an-Ph%C6%B0%E1%BB%9Dng-H%E1%BA%A3i-T%C3%A2n-th%C3%A0nh-ph%E1%BB%91-H%E1%BA%A3i-D%C6%B0%C6%A1ng-100070095602812/</v>
      </c>
      <c r="D1850" t="str">
        <v>-</v>
      </c>
      <c r="E1850" t="str">
        <v/>
      </c>
      <c r="F1850" t="str">
        <f>HYPERLINK("mailto:Conganphuonghaitan@gmail.com", "Conganphuonghaitan@gmail.com")</f>
        <v>Conganphuonghaitan@gmail.com</v>
      </c>
      <c r="G1850" t="str" xml:space="preserve">
        <v xml:space="preserve">1/50 Yết Kiêu
, Hai Duong, Vietnam</v>
      </c>
    </row>
    <row r="1851">
      <c r="A1851">
        <v>7850</v>
      </c>
      <c r="B1851" t="str">
        <f>HYPERLINK("http://haitan.tphaiduong.haiduong.gov.vn/", "UBND Ủy ban nhân dân phường Hải Tân  tỉnh Hải Dương")</f>
        <v>UBND Ủy ban nhân dân phường Hải Tân  tỉnh Hải Dương</v>
      </c>
      <c r="C1851" t="str">
        <v>http://haitan.tphaiduong.haiduong.gov.vn/</v>
      </c>
      <c r="D1851" t="str">
        <v>-</v>
      </c>
      <c r="E1851" t="str">
        <v>-</v>
      </c>
      <c r="F1851" t="str">
        <v>-</v>
      </c>
      <c r="G1851" t="str">
        <v>-</v>
      </c>
    </row>
    <row r="1852">
      <c r="A1852">
        <v>7851</v>
      </c>
      <c r="B1852" t="str">
        <f>HYPERLINK("https://www.facebook.com/TieuHocTuMinh/", "Công an phường Tứ Minh  tỉnh Hải Dương")</f>
        <v>Công an phường Tứ Minh  tỉnh Hải Dương</v>
      </c>
      <c r="C1852" t="str">
        <v>https://www.facebook.com/TieuHocTuMinh/</v>
      </c>
      <c r="D1852" t="str">
        <v>-</v>
      </c>
      <c r="E1852" t="str">
        <v/>
      </c>
      <c r="F1852" t="str">
        <v>-</v>
      </c>
      <c r="G1852" t="str">
        <v>-</v>
      </c>
    </row>
    <row r="1853">
      <c r="A1853">
        <v>7852</v>
      </c>
      <c r="B1853" t="str">
        <f>HYPERLINK("http://tuminh.tphaiduong.haiduong.gov.vn/", "UBND Ủy ban nhân dân phường Tứ Minh  tỉnh Hải Dương")</f>
        <v>UBND Ủy ban nhân dân phường Tứ Minh  tỉnh Hải Dương</v>
      </c>
      <c r="C1853" t="str">
        <v>http://tuminh.tphaiduong.haiduong.gov.vn/</v>
      </c>
      <c r="D1853" t="str">
        <v>-</v>
      </c>
      <c r="E1853" t="str">
        <v>-</v>
      </c>
      <c r="F1853" t="str">
        <v>-</v>
      </c>
      <c r="G1853" t="str">
        <v>-</v>
      </c>
    </row>
    <row r="1854">
      <c r="A1854">
        <v>7853</v>
      </c>
      <c r="B1854" t="str">
        <f>HYPERLINK("https://www.facebook.com/p/C%C3%B4ng-an-ph%C6%B0%E1%BB%9Dng-Vi%E1%BB%87t-H%C3%B2a-th%C3%A0nh-ph%E1%BB%91-H%E1%BA%A3i-D%C6%B0%C6%A1ng-100090819788887/", "Công an phường Việt Hoà  tỉnh Hải Dương")</f>
        <v>Công an phường Việt Hoà  tỉnh Hải Dương</v>
      </c>
      <c r="C1854" t="str">
        <v>https://www.facebook.com/p/C%C3%B4ng-an-ph%C6%B0%E1%BB%9Dng-Vi%E1%BB%87t-H%C3%B2a-th%C3%A0nh-ph%E1%BB%91-H%E1%BA%A3i-D%C6%B0%C6%A1ng-100090819788887/</v>
      </c>
      <c r="D1854" t="str">
        <v>-</v>
      </c>
      <c r="E1854" t="str">
        <v/>
      </c>
      <c r="F1854" t="str">
        <v>-</v>
      </c>
      <c r="G1854" t="str">
        <v>-</v>
      </c>
    </row>
    <row r="1855">
      <c r="A1855">
        <v>7854</v>
      </c>
      <c r="B1855" t="str">
        <f>HYPERLINK("http://viethoa.tphaiduong.haiduong.gov.vn/", "UBND Ủy ban nhân dân phường Việt Hoà  tỉnh Hải Dương")</f>
        <v>UBND Ủy ban nhân dân phường Việt Hoà  tỉnh Hải Dương</v>
      </c>
      <c r="C1855" t="str">
        <v>http://viethoa.tphaiduong.haiduong.gov.vn/</v>
      </c>
      <c r="D1855" t="str">
        <v>-</v>
      </c>
      <c r="E1855" t="str">
        <v>-</v>
      </c>
      <c r="F1855" t="str">
        <v>-</v>
      </c>
      <c r="G1855" t="str">
        <v>-</v>
      </c>
    </row>
    <row r="1856">
      <c r="A1856">
        <v>7855</v>
      </c>
      <c r="B1856" t="str">
        <f>HYPERLINK("https://www.facebook.com/p/C%C3%B4ng-An-Ph%C6%B0%E1%BB%9Dng-%C3%81i-Qu%E1%BB%91c-100071510344170/", "Công an phường Ái Quốc  tỉnh Hải Dương")</f>
        <v>Công an phường Ái Quốc  tỉnh Hải Dương</v>
      </c>
      <c r="C1856" t="str">
        <v>https://www.facebook.com/p/C%C3%B4ng-An-Ph%C6%B0%E1%BB%9Dng-%C3%81i-Qu%E1%BB%91c-100071510344170/</v>
      </c>
      <c r="D1856" t="str">
        <v>-</v>
      </c>
      <c r="E1856" t="str">
        <v/>
      </c>
      <c r="F1856" t="str">
        <v>-</v>
      </c>
      <c r="G1856" t="str">
        <v>-</v>
      </c>
    </row>
    <row r="1857">
      <c r="A1857">
        <v>7856</v>
      </c>
      <c r="B1857" t="str">
        <f>HYPERLINK("http://aiquoc.tphaiduong.haiduong.gov.vn/", "UBND Ủy ban nhân dân phường Ái Quốc  tỉnh Hải Dương")</f>
        <v>UBND Ủy ban nhân dân phường Ái Quốc  tỉnh Hải Dương</v>
      </c>
      <c r="C1857" t="str">
        <v>http://aiquoc.tphaiduong.haiduong.gov.vn/</v>
      </c>
      <c r="D1857" t="str">
        <v>-</v>
      </c>
      <c r="E1857" t="str">
        <v>-</v>
      </c>
      <c r="F1857" t="str">
        <v>-</v>
      </c>
      <c r="G1857" t="str">
        <v>-</v>
      </c>
    </row>
    <row r="1858">
      <c r="A1858">
        <v>7857</v>
      </c>
      <c r="B1858" t="str">
        <v>Công an xã An Châu  tỉnh Hải Dương</v>
      </c>
      <c r="C1858" t="str">
        <v>-</v>
      </c>
      <c r="D1858" t="str">
        <v>-</v>
      </c>
      <c r="E1858" t="str">
        <v/>
      </c>
      <c r="F1858" t="str">
        <v>-</v>
      </c>
      <c r="G1858" t="str">
        <v>-</v>
      </c>
    </row>
    <row r="1859">
      <c r="A1859">
        <v>7858</v>
      </c>
      <c r="B1859" t="str">
        <f>HYPERLINK("https://cathai.haiphong.gov.vn/", "UBND Ủy ban nhân dân xã An Châu  tỉnh Hải Dương")</f>
        <v>UBND Ủy ban nhân dân xã An Châu  tỉnh Hải Dương</v>
      </c>
      <c r="C1859" t="str">
        <v>https://cathai.haiphong.gov.vn/</v>
      </c>
      <c r="D1859" t="str">
        <v>-</v>
      </c>
      <c r="E1859" t="str">
        <v>-</v>
      </c>
      <c r="F1859" t="str">
        <v>-</v>
      </c>
      <c r="G1859" t="str">
        <v>-</v>
      </c>
    </row>
    <row r="1860">
      <c r="A1860">
        <v>7859</v>
      </c>
      <c r="B1860" t="str">
        <f>HYPERLINK("https://www.facebook.com/509572763109785", "Công an xã Thượng Đạt  tỉnh Hải Dương")</f>
        <v>Công an xã Thượng Đạt  tỉnh Hải Dương</v>
      </c>
      <c r="C1860" t="str">
        <v>https://www.facebook.com/509572763109785</v>
      </c>
      <c r="D1860" t="str">
        <v>-</v>
      </c>
      <c r="E1860" t="str">
        <v/>
      </c>
      <c r="F1860" t="str">
        <v>-</v>
      </c>
      <c r="G1860" t="str">
        <v>-</v>
      </c>
    </row>
    <row r="1861">
      <c r="A1861">
        <v>7860</v>
      </c>
      <c r="B1861" t="str">
        <f>HYPERLINK("https://lucngan.bacgiang.gov.vn/chi-tiet-tin-tuc/-/asset_publisher/Enp27vgshTez/content/thon-thuong-vu-ky-niem-60-nam-ngay-thanh-lap", "UBND Ủy ban nhân dân xã Thượng Đạt  tỉnh Hải Dương")</f>
        <v>UBND Ủy ban nhân dân xã Thượng Đạt  tỉnh Hải Dương</v>
      </c>
      <c r="C1861" t="str">
        <v>https://lucngan.bacgiang.gov.vn/chi-tiet-tin-tuc/-/asset_publisher/Enp27vgshTez/content/thon-thuong-vu-ky-niem-60-nam-ngay-thanh-lap</v>
      </c>
      <c r="D1861" t="str">
        <v>-</v>
      </c>
      <c r="E1861" t="str">
        <v>-</v>
      </c>
      <c r="F1861" t="str">
        <v>-</v>
      </c>
      <c r="G1861" t="str">
        <v>-</v>
      </c>
    </row>
    <row r="1862">
      <c r="A1862">
        <v>7861</v>
      </c>
      <c r="B1862" t="str">
        <f>HYPERLINK("https://www.facebook.com/p/C%C3%B4ng-an-Ph%C6%B0%E1%BB%9Dng-Nam-%C4%90%E1%BB%93ng-Th%C3%A0nh-Ph%E1%BB%91-H%E1%BA%A3i-D%C6%B0%C6%A1ng-100069444347092/", "Công an xã Nam Đồng  tỉnh Hải Dương")</f>
        <v>Công an xã Nam Đồng  tỉnh Hải Dương</v>
      </c>
      <c r="C1862" t="str">
        <v>https://www.facebook.com/p/C%C3%B4ng-an-Ph%C6%B0%E1%BB%9Dng-Nam-%C4%90%E1%BB%93ng-Th%C3%A0nh-Ph%E1%BB%91-H%E1%BA%A3i-D%C6%B0%C6%A1ng-100069444347092/</v>
      </c>
      <c r="D1862" t="str">
        <v>-</v>
      </c>
      <c r="E1862" t="str">
        <v/>
      </c>
      <c r="F1862" t="str">
        <v>-</v>
      </c>
      <c r="G1862" t="str">
        <v>-</v>
      </c>
    </row>
    <row r="1863">
      <c r="A1863">
        <v>7862</v>
      </c>
      <c r="B1863" t="str">
        <f>HYPERLINK("https://web01.haiduong.gov.vn/Trang/danh-sach-van-ban-phap-quy.aspx", "UBND Ủy ban nhân dân xã Nam Đồng  tỉnh Hải Dương")</f>
        <v>UBND Ủy ban nhân dân xã Nam Đồng  tỉnh Hải Dương</v>
      </c>
      <c r="C1863" t="str">
        <v>https://web01.haiduong.gov.vn/Trang/danh-sach-van-ban-phap-quy.aspx</v>
      </c>
      <c r="D1863" t="str">
        <v>-</v>
      </c>
      <c r="E1863" t="str">
        <v>-</v>
      </c>
      <c r="F1863" t="str">
        <v>-</v>
      </c>
      <c r="G1863" t="str">
        <v>-</v>
      </c>
    </row>
    <row r="1864">
      <c r="A1864">
        <v>7863</v>
      </c>
      <c r="B1864" t="str">
        <v>Công an phường Thạch Khôi  tỉnh Hải Dương</v>
      </c>
      <c r="C1864" t="str">
        <v>-</v>
      </c>
      <c r="D1864" t="str">
        <v>-</v>
      </c>
      <c r="E1864" t="str">
        <v/>
      </c>
      <c r="F1864" t="str">
        <v>-</v>
      </c>
      <c r="G1864" t="str">
        <v>-</v>
      </c>
    </row>
    <row r="1865">
      <c r="A1865">
        <v>7864</v>
      </c>
      <c r="B1865" t="str">
        <f>HYPERLINK("http://thachkhoi.tphaiduong.haiduong.gov.vn/", "UBND Ủy ban nhân dân phường Thạch Khôi  tỉnh Hải Dương")</f>
        <v>UBND Ủy ban nhân dân phường Thạch Khôi  tỉnh Hải Dương</v>
      </c>
      <c r="C1865" t="str">
        <v>http://thachkhoi.tphaiduong.haiduong.gov.vn/</v>
      </c>
      <c r="D1865" t="str">
        <v>-</v>
      </c>
      <c r="E1865" t="str">
        <v>-</v>
      </c>
      <c r="F1865" t="str">
        <v>-</v>
      </c>
      <c r="G1865" t="str">
        <v>-</v>
      </c>
    </row>
    <row r="1866">
      <c r="A1866">
        <v>7865</v>
      </c>
      <c r="B1866" t="str">
        <f>HYPERLINK("https://www.facebook.com/ubndphuongtanhung/", "Công an xã Tân Hưng  tỉnh Hải Dương")</f>
        <v>Công an xã Tân Hưng  tỉnh Hải Dương</v>
      </c>
      <c r="C1866" t="str">
        <v>https://www.facebook.com/ubndphuongtanhung/</v>
      </c>
      <c r="D1866" t="str">
        <v>-</v>
      </c>
      <c r="E1866" t="str">
        <v>02203860251</v>
      </c>
      <c r="F1866" t="str">
        <f>HYPERLINK("mailto:tanhungxa@gmail.com", "tanhungxa@gmail.com")</f>
        <v>tanhungxa@gmail.com</v>
      </c>
      <c r="G1866" t="str">
        <v>Hai Duong, Vietnam</v>
      </c>
    </row>
    <row r="1867">
      <c r="A1867">
        <v>7866</v>
      </c>
      <c r="B1867" t="str">
        <f>HYPERLINK("http://tanhung.tphaiduong.haiduong.gov.vn/", "UBND Ủy ban nhân dân xã Tân Hưng  tỉnh Hải Dương")</f>
        <v>UBND Ủy ban nhân dân xã Tân Hưng  tỉnh Hải Dương</v>
      </c>
      <c r="C1867" t="str">
        <v>http://tanhung.tphaiduong.haiduong.gov.vn/</v>
      </c>
      <c r="D1867" t="str">
        <v>-</v>
      </c>
      <c r="E1867" t="str">
        <v>-</v>
      </c>
      <c r="F1867" t="str">
        <v>-</v>
      </c>
      <c r="G1867" t="str">
        <v>-</v>
      </c>
    </row>
    <row r="1868">
      <c r="A1868">
        <v>7867</v>
      </c>
      <c r="B1868" t="str">
        <f>HYPERLINK("https://www.facebook.com/p/C%C3%B4ng-An-Ph%C6%B0%E1%BB%9Dng-Ph%E1%BA%A3-L%E1%BA%A1i-100071708696305/", "Công an phường Phả Lại  tỉnh Hải Dương")</f>
        <v>Công an phường Phả Lại  tỉnh Hải Dương</v>
      </c>
      <c r="C1868" t="str">
        <v>https://www.facebook.com/p/C%C3%B4ng-An-Ph%C6%B0%E1%BB%9Dng-Ph%E1%BA%A3-L%E1%BA%A1i-100071708696305/</v>
      </c>
      <c r="D1868" t="str">
        <v>-</v>
      </c>
      <c r="E1868" t="str">
        <v/>
      </c>
      <c r="F1868" t="str">
        <v>-</v>
      </c>
      <c r="G1868" t="str">
        <v>Khu Dân Cư Số 10, Phường Phả Lại, Thành Phố Chí Linh, Tỉnh Hải Dương</v>
      </c>
    </row>
    <row r="1869">
      <c r="A1869">
        <v>7868</v>
      </c>
      <c r="B1869" t="str">
        <f>HYPERLINK("http://phalai.chilinh.haiduong.gov.vn/", "UBND Ủy ban nhân dân phường Phả Lại  tỉnh Hải Dương")</f>
        <v>UBND Ủy ban nhân dân phường Phả Lại  tỉnh Hải Dương</v>
      </c>
      <c r="C1869" t="str">
        <v>http://phalai.chilinh.haiduong.gov.vn/</v>
      </c>
      <c r="D1869" t="str">
        <v>-</v>
      </c>
      <c r="E1869" t="str">
        <v>-</v>
      </c>
      <c r="F1869" t="str">
        <v>-</v>
      </c>
      <c r="G1869" t="str">
        <v>-</v>
      </c>
    </row>
    <row r="1870">
      <c r="A1870">
        <v>7869</v>
      </c>
      <c r="B1870" t="str">
        <f>HYPERLINK("https://www.facebook.com/265963428377240", "Công an phường Sao Đỏ  tỉnh Hải Dương")</f>
        <v>Công an phường Sao Đỏ  tỉnh Hải Dương</v>
      </c>
      <c r="C1870" t="str">
        <v>https://www.facebook.com/265963428377240</v>
      </c>
      <c r="D1870" t="str">
        <v>-</v>
      </c>
      <c r="E1870" t="str">
        <v/>
      </c>
      <c r="F1870" t="str">
        <v>-</v>
      </c>
      <c r="G1870" t="str">
        <v>-</v>
      </c>
    </row>
    <row r="1871">
      <c r="A1871">
        <v>7870</v>
      </c>
      <c r="B1871" t="str">
        <f>HYPERLINK("http://saodo.chilinh.haiduong.gov.vn/", "UBND Ủy ban nhân dân phường Sao Đỏ  tỉnh Hải Dương")</f>
        <v>UBND Ủy ban nhân dân phường Sao Đỏ  tỉnh Hải Dương</v>
      </c>
      <c r="C1871" t="str">
        <v>http://saodo.chilinh.haiduong.gov.vn/</v>
      </c>
      <c r="D1871" t="str">
        <v>-</v>
      </c>
      <c r="E1871" t="str">
        <v>-</v>
      </c>
      <c r="F1871" t="str">
        <v>-</v>
      </c>
      <c r="G1871" t="str">
        <v>-</v>
      </c>
    </row>
    <row r="1872">
      <c r="A1872">
        <v>7871</v>
      </c>
      <c r="B1872" t="str">
        <f>HYPERLINK("https://www.facebook.com/p/C%C3%B4ng-an-ph%C6%B0%E1%BB%9Dng-B%E1%BA%BFn-T%E1%BA%AFm-TP-Ch%C3%AD-Linh-T%E1%BB%89nh-H%E1%BA%A3i-D%C6%B0%C6%A1ng-100080061605100/", "Công an phường Bến Tắm  tỉnh Hải Dương")</f>
        <v>Công an phường Bến Tắm  tỉnh Hải Dương</v>
      </c>
      <c r="C1872" t="str">
        <v>https://www.facebook.com/p/C%C3%B4ng-an-ph%C6%B0%E1%BB%9Dng-B%E1%BA%BFn-T%E1%BA%AFm-TP-Ch%C3%AD-Linh-T%E1%BB%89nh-H%E1%BA%A3i-D%C6%B0%C6%A1ng-100080061605100/</v>
      </c>
      <c r="D1872" t="str">
        <v>-</v>
      </c>
      <c r="E1872" t="str">
        <v/>
      </c>
      <c r="F1872" t="str">
        <v>-</v>
      </c>
      <c r="G1872" t="str">
        <v>Đường Tỉnh 398, Thị Xã Chí Linh, Việt Nam, Hai Duong, Vietnam</v>
      </c>
    </row>
    <row r="1873">
      <c r="A1873">
        <v>7872</v>
      </c>
      <c r="B1873" t="str">
        <f>HYPERLINK("http://bentam.chilinh.haiduong.gov.vn/", "UBND Ủy ban nhân dân phường Bến Tắm  tỉnh Hải Dương")</f>
        <v>UBND Ủy ban nhân dân phường Bến Tắm  tỉnh Hải Dương</v>
      </c>
      <c r="C1873" t="str">
        <v>http://bentam.chilinh.haiduong.gov.vn/</v>
      </c>
      <c r="D1873" t="str">
        <v>-</v>
      </c>
      <c r="E1873" t="str">
        <v>-</v>
      </c>
      <c r="F1873" t="str">
        <v>-</v>
      </c>
      <c r="G1873" t="str">
        <v>-</v>
      </c>
    </row>
    <row r="1874">
      <c r="A1874">
        <v>7873</v>
      </c>
      <c r="B1874" t="str">
        <f>HYPERLINK("https://www.facebook.com/p/%C4%90%C3%A0i-Ph%C3%A1t-thanh-truy%E1%BB%81n-h%C3%ACnh-Ch%C3%AD-Linh-100053886278083/?locale=pt_BR", "Công an xã Hoàng Hoa Thám  tỉnh Hải Dương")</f>
        <v>Công an xã Hoàng Hoa Thám  tỉnh Hải Dương</v>
      </c>
      <c r="C1874" t="str">
        <v>https://www.facebook.com/p/%C4%90%C3%A0i-Ph%C3%A1t-thanh-truy%E1%BB%81n-h%C3%ACnh-Ch%C3%AD-Linh-100053886278083/?locale=pt_BR</v>
      </c>
      <c r="D1874" t="str">
        <v>-</v>
      </c>
      <c r="E1874" t="str">
        <v/>
      </c>
      <c r="F1874" t="str">
        <v>-</v>
      </c>
      <c r="G1874" t="str">
        <v>-</v>
      </c>
    </row>
    <row r="1875">
      <c r="A1875">
        <v>7874</v>
      </c>
      <c r="B1875" t="str">
        <f>HYPERLINK("https://hoanghoatham.chilinh.haiduong.gov.vn/vi-vn/gioi-thieu/Trang/uy-ban-nhan-dan.aspx", "UBND Ủy ban nhân dân xã Hoàng Hoa Thám  tỉnh Hải Dương")</f>
        <v>UBND Ủy ban nhân dân xã Hoàng Hoa Thám  tỉnh Hải Dương</v>
      </c>
      <c r="C1875" t="str">
        <v>https://hoanghoatham.chilinh.haiduong.gov.vn/vi-vn/gioi-thieu/Trang/uy-ban-nhan-dan.aspx</v>
      </c>
      <c r="D1875" t="str">
        <v>-</v>
      </c>
      <c r="E1875" t="str">
        <v>-</v>
      </c>
      <c r="F1875" t="str">
        <v>-</v>
      </c>
      <c r="G1875" t="str">
        <v>-</v>
      </c>
    </row>
    <row r="1876">
      <c r="A1876">
        <v>7875</v>
      </c>
      <c r="B1876" t="str">
        <f>HYPERLINK("https://www.facebook.com/caxbacan/", "Công an xã Bắc An  tỉnh Hải Dương")</f>
        <v>Công an xã Bắc An  tỉnh Hải Dương</v>
      </c>
      <c r="C1876" t="str">
        <v>https://www.facebook.com/caxbacan/</v>
      </c>
      <c r="D1876" t="str">
        <v>-</v>
      </c>
      <c r="E1876" t="str">
        <v/>
      </c>
      <c r="F1876" t="str">
        <v>-</v>
      </c>
      <c r="G1876" t="str">
        <v>-</v>
      </c>
    </row>
    <row r="1877">
      <c r="A1877">
        <v>7876</v>
      </c>
      <c r="B1877" t="str">
        <f>HYPERLINK("http://bacan.chilinh.haiduong.gov.vn/", "UBND Ủy ban nhân dân xã Bắc An  tỉnh Hải Dương")</f>
        <v>UBND Ủy ban nhân dân xã Bắc An  tỉnh Hải Dương</v>
      </c>
      <c r="C1877" t="str">
        <v>http://bacan.chilinh.haiduong.gov.vn/</v>
      </c>
      <c r="D1877" t="str">
        <v>-</v>
      </c>
      <c r="E1877" t="str">
        <v>-</v>
      </c>
      <c r="F1877" t="str">
        <v>-</v>
      </c>
      <c r="G1877" t="str">
        <v>-</v>
      </c>
    </row>
    <row r="1878">
      <c r="A1878">
        <v>7877</v>
      </c>
      <c r="B1878" t="str">
        <f>HYPERLINK("https://www.facebook.com/p/%C4%90%E1%BA%A3ng-%E1%BB%A7y-H%C4%90ND-UBND-x%C3%A3-H%C6%B0ng-%C4%90%E1%BA%A1o-huy%E1%BB%87n-T%E1%BB%A9-K%E1%BB%B3-t%E1%BB%89nh-H%E1%BA%A3i-D%C6%B0%C6%A1ng-100064615695242/", "Công an xã Hưng Đạo  tỉnh Hải Dương")</f>
        <v>Công an xã Hưng Đạo  tỉnh Hải Dương</v>
      </c>
      <c r="C1878" t="str">
        <v>https://www.facebook.com/p/%C4%90%E1%BA%A3ng-%E1%BB%A7y-H%C4%90ND-UBND-x%C3%A3-H%C6%B0ng-%C4%90%E1%BA%A1o-huy%E1%BB%87n-T%E1%BB%A9-K%E1%BB%B3-t%E1%BB%89nh-H%E1%BA%A3i-D%C6%B0%C6%A1ng-100064615695242/</v>
      </c>
      <c r="D1878" t="str">
        <v>-</v>
      </c>
      <c r="E1878" t="str">
        <v/>
      </c>
      <c r="F1878" t="str">
        <v>-</v>
      </c>
      <c r="G1878" t="str">
        <v>-</v>
      </c>
    </row>
    <row r="1879">
      <c r="A1879">
        <v>7878</v>
      </c>
      <c r="B1879" t="str">
        <f>HYPERLINK("http://hungdao.tuky.haiduong.gov.vn/", "UBND Ủy ban nhân dân xã Hưng Đạo  tỉnh Hải Dương")</f>
        <v>UBND Ủy ban nhân dân xã Hưng Đạo  tỉnh Hải Dương</v>
      </c>
      <c r="C1879" t="str">
        <v>http://hungdao.tuky.haiduong.gov.vn/</v>
      </c>
      <c r="D1879" t="str">
        <v>-</v>
      </c>
      <c r="E1879" t="str">
        <v>-</v>
      </c>
      <c r="F1879" t="str">
        <v>-</v>
      </c>
      <c r="G1879" t="str">
        <v>-</v>
      </c>
    </row>
    <row r="1880">
      <c r="A1880">
        <v>7879</v>
      </c>
      <c r="B1880" t="str">
        <f>HYPERLINK("https://www.facebook.com/p/C%C3%B4ng-an-x%C3%A3-L%C3%AA-L%E1%BB%A3i-huy%E1%BB%87n-Gia-L%E1%BB%99c-t%E1%BB%89nh-H%E1%BA%A3i-D%C6%B0%C6%A1ng-100071374940838/", "Công an xã Lê Lợi  tỉnh Hải Dương")</f>
        <v>Công an xã Lê Lợi  tỉnh Hải Dương</v>
      </c>
      <c r="C1880" t="str">
        <v>https://www.facebook.com/p/C%C3%B4ng-an-x%C3%A3-L%C3%AA-L%E1%BB%A3i-huy%E1%BB%87n-Gia-L%E1%BB%99c-t%E1%BB%89nh-H%E1%BA%A3i-D%C6%B0%C6%A1ng-100071374940838/</v>
      </c>
      <c r="D1880" t="str">
        <v>-</v>
      </c>
      <c r="E1880" t="str">
        <v/>
      </c>
      <c r="F1880" t="str">
        <v>-</v>
      </c>
      <c r="G1880" t="str">
        <v>Xã Lê Lợi, huyện Gia Lộc, tỉnh Hải Dương</v>
      </c>
    </row>
    <row r="1881">
      <c r="A1881">
        <v>7880</v>
      </c>
      <c r="B1881" t="str">
        <f>HYPERLINK("https://leloi.anduong.haiphong.gov.vn/", "UBND Ủy ban nhân dân xã Lê Lợi  tỉnh Hải Dương")</f>
        <v>UBND Ủy ban nhân dân xã Lê Lợi  tỉnh Hải Dương</v>
      </c>
      <c r="C1881" t="str">
        <v>https://leloi.anduong.haiphong.gov.vn/</v>
      </c>
      <c r="D1881" t="str">
        <v>-</v>
      </c>
      <c r="E1881" t="str">
        <v>-</v>
      </c>
      <c r="F1881" t="str">
        <v>-</v>
      </c>
      <c r="G1881" t="str">
        <v>-</v>
      </c>
    </row>
    <row r="1882">
      <c r="A1882">
        <v>7881</v>
      </c>
      <c r="B1882" t="str">
        <f>HYPERLINK("https://www.facebook.com/265963428377240", "Công an xã Hoàng Tiến  tỉnh Hải Dương")</f>
        <v>Công an xã Hoàng Tiến  tỉnh Hải Dương</v>
      </c>
      <c r="C1882" t="str">
        <v>https://www.facebook.com/265963428377240</v>
      </c>
      <c r="D1882" t="str">
        <v>-</v>
      </c>
      <c r="E1882" t="str">
        <v/>
      </c>
      <c r="F1882" t="str">
        <v>-</v>
      </c>
      <c r="G1882" t="str">
        <v>-</v>
      </c>
    </row>
    <row r="1883">
      <c r="A1883">
        <v>7882</v>
      </c>
      <c r="B1883" t="str">
        <f>HYPERLINK("https://hoangtien.hoanghoa.thanhhoa.gov.vn/", "UBND Ủy ban nhân dân xã Hoàng Tiến  tỉnh Hải Dương")</f>
        <v>UBND Ủy ban nhân dân xã Hoàng Tiến  tỉnh Hải Dương</v>
      </c>
      <c r="C1883" t="str">
        <v>https://hoangtien.hoanghoa.thanhhoa.gov.vn/</v>
      </c>
      <c r="D1883" t="str">
        <v>-</v>
      </c>
      <c r="E1883" t="str">
        <v>-</v>
      </c>
      <c r="F1883" t="str">
        <v>-</v>
      </c>
      <c r="G1883" t="str">
        <v>-</v>
      </c>
    </row>
    <row r="1884">
      <c r="A1884">
        <v>7883</v>
      </c>
      <c r="B1884" t="str">
        <f>HYPERLINK("https://www.facebook.com/116085730402722", "Công an phường Cộng Hoà  tỉnh Hải Dương")</f>
        <v>Công an phường Cộng Hoà  tỉnh Hải Dương</v>
      </c>
      <c r="C1884" t="str">
        <v>https://www.facebook.com/116085730402722</v>
      </c>
      <c r="D1884" t="str">
        <v>-</v>
      </c>
      <c r="E1884" t="str">
        <v/>
      </c>
      <c r="F1884" t="str">
        <v>-</v>
      </c>
      <c r="G1884" t="str">
        <v>-</v>
      </c>
    </row>
    <row r="1885">
      <c r="A1885">
        <v>7884</v>
      </c>
      <c r="B1885" t="str">
        <f>HYPERLINK("https://www.quangninh.gov.vn/donvi/TXQuangYen/Trang/ChiTietBVGioiThieu.aspx?bvid=199", "UBND Ủy ban nhân dân phường Cộng Hoà  tỉnh Hải Dương")</f>
        <v>UBND Ủy ban nhân dân phường Cộng Hoà  tỉnh Hải Dương</v>
      </c>
      <c r="C1885" t="str">
        <v>https://www.quangninh.gov.vn/donvi/TXQuangYen/Trang/ChiTietBVGioiThieu.aspx?bvid=199</v>
      </c>
      <c r="D1885" t="str">
        <v>-</v>
      </c>
      <c r="E1885" t="str">
        <v>-</v>
      </c>
      <c r="F1885" t="str">
        <v>-</v>
      </c>
      <c r="G1885" t="str">
        <v>-</v>
      </c>
    </row>
    <row r="1886">
      <c r="A1886">
        <v>7885</v>
      </c>
      <c r="B1886" t="str">
        <f>HYPERLINK("https://www.facebook.com/p/C%C3%B4ng-An-Ph%C6%B0%E1%BB%9Dng-Ho%C3%A0ng-T%C3%A2n-100083561311218/", "Công an phường Hoàng Tân  tỉnh Hải Dương")</f>
        <v>Công an phường Hoàng Tân  tỉnh Hải Dương</v>
      </c>
      <c r="C1886" t="str">
        <v>https://www.facebook.com/p/C%C3%B4ng-An-Ph%C6%B0%E1%BB%9Dng-Ho%C3%A0ng-T%C3%A2n-100083561311218/</v>
      </c>
      <c r="D1886" t="str">
        <v>0914484113</v>
      </c>
      <c r="E1886" t="str">
        <v>-</v>
      </c>
      <c r="F1886" t="str">
        <f>HYPERLINK("mailto:Conganphuonghoangtan1@gmail.com", "Conganphuonghoangtan1@gmail.com")</f>
        <v>Conganphuonghoangtan1@gmail.com</v>
      </c>
      <c r="G1886" t="str">
        <v>-</v>
      </c>
    </row>
    <row r="1887">
      <c r="A1887">
        <v>7886</v>
      </c>
      <c r="B1887" t="str">
        <f>HYPERLINK("http://hoangtan.chilinh.haiduong.gov.vn/", "UBND Ủy ban nhân dân phường Hoàng Tân  tỉnh Hải Dương")</f>
        <v>UBND Ủy ban nhân dân phường Hoàng Tân  tỉnh Hải Dương</v>
      </c>
      <c r="C1887" t="str">
        <v>http://hoangtan.chilinh.haiduong.gov.vn/</v>
      </c>
      <c r="D1887" t="str">
        <v>-</v>
      </c>
      <c r="E1887" t="str">
        <v>-</v>
      </c>
      <c r="F1887" t="str">
        <v>-</v>
      </c>
      <c r="G1887" t="str">
        <v>-</v>
      </c>
    </row>
    <row r="1888">
      <c r="A1888">
        <v>7887</v>
      </c>
      <c r="B1888" t="str">
        <f>HYPERLINK("https://www.facebook.com/p/C%C3%B4ng-an-ph%C6%B0%E1%BB%9Dng-C%E1%BB%95-Th%C3%A0nh-th%C3%A0nh-ph%E1%BB%91-Ch%C3%AD-Linh-t%E1%BB%89nh-H%E1%BA%A3i-D%C6%B0%C6%A1ng-100078858011288/", "Công an xã Cổ Thành  tỉnh Hải Dương")</f>
        <v>Công an xã Cổ Thành  tỉnh Hải Dương</v>
      </c>
      <c r="C1888" t="str">
        <v>https://www.facebook.com/p/C%C3%B4ng-an-ph%C6%B0%E1%BB%9Dng-C%E1%BB%95-Th%C3%A0nh-th%C3%A0nh-ph%E1%BB%91-Ch%C3%AD-Linh-t%E1%BB%89nh-H%E1%BA%A3i-D%C6%B0%C6%A1ng-100078858011288/</v>
      </c>
      <c r="D1888" t="str">
        <v>-</v>
      </c>
      <c r="E1888" t="str">
        <v/>
      </c>
      <c r="F1888" t="str">
        <v>-</v>
      </c>
      <c r="G1888" t="str">
        <v>-</v>
      </c>
    </row>
    <row r="1889">
      <c r="A1889">
        <v>7888</v>
      </c>
      <c r="B1889" t="str">
        <f>HYPERLINK("http://cothanh.chilinh.haiduong.gov.vn/", "UBND Ủy ban nhân dân xã Cổ Thành  tỉnh Hải Dương")</f>
        <v>UBND Ủy ban nhân dân xã Cổ Thành  tỉnh Hải Dương</v>
      </c>
      <c r="C1889" t="str">
        <v>http://cothanh.chilinh.haiduong.gov.vn/</v>
      </c>
      <c r="D1889" t="str">
        <v>-</v>
      </c>
      <c r="E1889" t="str">
        <v>-</v>
      </c>
      <c r="F1889" t="str">
        <v>-</v>
      </c>
      <c r="G1889" t="str">
        <v>-</v>
      </c>
    </row>
    <row r="1890">
      <c r="A1890">
        <v>7889</v>
      </c>
      <c r="B1890" t="str">
        <f>HYPERLINK("https://www.facebook.com/p/C%C3%B4ng-an-ph%C6%B0%E1%BB%9Dng-V%C4%83n-An-100072224207903/", "Công an phường Văn An  tỉnh Hải Dương")</f>
        <v>Công an phường Văn An  tỉnh Hải Dương</v>
      </c>
      <c r="C1890" t="str">
        <v>https://www.facebook.com/p/C%C3%B4ng-an-ph%C6%B0%E1%BB%9Dng-V%C4%83n-An-100072224207903/</v>
      </c>
      <c r="D1890" t="str">
        <v>-</v>
      </c>
      <c r="E1890" t="str">
        <v/>
      </c>
      <c r="F1890" t="str">
        <v>-</v>
      </c>
      <c r="G1890" t="str">
        <v>-</v>
      </c>
    </row>
    <row r="1891">
      <c r="A1891">
        <v>7890</v>
      </c>
      <c r="B1891" t="str">
        <f>HYPERLINK("http://vanan.chilinh.haiduong.gov.vn/", "UBND Ủy ban nhân dân phường Văn An  tỉnh Hải Dương")</f>
        <v>UBND Ủy ban nhân dân phường Văn An  tỉnh Hải Dương</v>
      </c>
      <c r="C1891" t="str">
        <v>http://vanan.chilinh.haiduong.gov.vn/</v>
      </c>
      <c r="D1891" t="str">
        <v>-</v>
      </c>
      <c r="E1891" t="str">
        <v>-</v>
      </c>
      <c r="F1891" t="str">
        <v>-</v>
      </c>
      <c r="G1891" t="str">
        <v>-</v>
      </c>
    </row>
    <row r="1892">
      <c r="A1892">
        <v>7891</v>
      </c>
      <c r="B1892" t="str">
        <f>HYPERLINK("https://www.facebook.com/conganphuongchiminh/", "Công an phường Chí Minh  tỉnh Hải Dương")</f>
        <v>Công an phường Chí Minh  tỉnh Hải Dương</v>
      </c>
      <c r="C1892" t="str">
        <v>https://www.facebook.com/conganphuongchiminh/</v>
      </c>
      <c r="D1892" t="str">
        <v>-</v>
      </c>
      <c r="E1892" t="str">
        <v/>
      </c>
      <c r="F1892" t="str">
        <f>HYPERLINK("mailto:chiminhcap@gmail.com", "chiminhcap@gmail.com")</f>
        <v>chiminhcap@gmail.com</v>
      </c>
      <c r="G1892" t="str">
        <v>Số 2 Lê Quý Đôn, khu dân cư Khang Thọ, phường Chí Minh, thành phố Chí Linh, tỉnh Hải Dương, Hai Duong, Vietnam</v>
      </c>
    </row>
    <row r="1893">
      <c r="A1893">
        <v>7892</v>
      </c>
      <c r="B1893" t="str">
        <f>HYPERLINK("https://chilinh2.haiduong.gov.vn/vi-vn/2024/Documents/74%20LO%20VUON%20MAI-%20CHI%20MINH.pdf", "UBND Ủy ban nhân dân phường Chí Minh  tỉnh Hải Dương")</f>
        <v>UBND Ủy ban nhân dân phường Chí Minh  tỉnh Hải Dương</v>
      </c>
      <c r="C1893" t="str">
        <v>https://chilinh2.haiduong.gov.vn/vi-vn/2024/Documents/74%20LO%20VUON%20MAI-%20CHI%20MINH.pdf</v>
      </c>
      <c r="D1893" t="str">
        <v>-</v>
      </c>
      <c r="E1893" t="str">
        <v>-</v>
      </c>
      <c r="F1893" t="str">
        <v>-</v>
      </c>
      <c r="G1893" t="str">
        <v>-</v>
      </c>
    </row>
    <row r="1894">
      <c r="A1894">
        <v>7893</v>
      </c>
      <c r="B1894" t="str">
        <f>HYPERLINK("https://www.facebook.com/265963428377240", "Công an xã Văn Đức  tỉnh Hải Dương")</f>
        <v>Công an xã Văn Đức  tỉnh Hải Dương</v>
      </c>
      <c r="C1894" t="str">
        <v>https://www.facebook.com/265963428377240</v>
      </c>
      <c r="D1894" t="str">
        <v>-</v>
      </c>
      <c r="E1894" t="str">
        <v/>
      </c>
      <c r="F1894" t="str">
        <v>-</v>
      </c>
      <c r="G1894" t="str">
        <v>-</v>
      </c>
    </row>
    <row r="1895">
      <c r="A1895">
        <v>7894</v>
      </c>
      <c r="B1895" t="str">
        <f>HYPERLINK("http://vanduc.chilinh.haiduong.gov.vn/", "UBND Ủy ban nhân dân xã Văn Đức  tỉnh Hải Dương")</f>
        <v>UBND Ủy ban nhân dân xã Văn Đức  tỉnh Hải Dương</v>
      </c>
      <c r="C1895" t="str">
        <v>http://vanduc.chilinh.haiduong.gov.vn/</v>
      </c>
      <c r="D1895" t="str">
        <v>-</v>
      </c>
      <c r="E1895" t="str">
        <v>-</v>
      </c>
      <c r="F1895" t="str">
        <v>-</v>
      </c>
      <c r="G1895" t="str">
        <v>-</v>
      </c>
    </row>
    <row r="1896">
      <c r="A1896">
        <v>7895</v>
      </c>
      <c r="B1896" t="str">
        <f>HYPERLINK("https://www.facebook.com/people/C%C3%B4ng-an-ph%C6%B0%E1%BB%9Dng-Th%C3%A1i-H%E1%BB%8Dc-Catp-Ch%C3%AD-Linh/100063359462804/", "Công an phường Thái Học  tỉnh Hải Dương")</f>
        <v>Công an phường Thái Học  tỉnh Hải Dương</v>
      </c>
      <c r="C1896" t="str">
        <v>https://www.facebook.com/people/C%C3%B4ng-an-ph%C6%B0%E1%BB%9Dng-Th%C3%A1i-H%E1%BB%8Dc-Catp-Ch%C3%AD-Linh/100063359462804/</v>
      </c>
      <c r="D1896" t="str">
        <v>-</v>
      </c>
      <c r="E1896" t="str">
        <v/>
      </c>
      <c r="F1896" t="str">
        <v>-</v>
      </c>
      <c r="G1896" t="str">
        <v>-</v>
      </c>
    </row>
    <row r="1897">
      <c r="A1897">
        <v>7896</v>
      </c>
      <c r="B1897" t="str">
        <f>HYPERLINK("http://thaihoc.chilinh.haiduong.gov.vn/", "UBND Ủy ban nhân dân phường Thái Học  tỉnh Hải Dương")</f>
        <v>UBND Ủy ban nhân dân phường Thái Học  tỉnh Hải Dương</v>
      </c>
      <c r="C1897" t="str">
        <v>http://thaihoc.chilinh.haiduong.gov.vn/</v>
      </c>
      <c r="D1897" t="str">
        <v>-</v>
      </c>
      <c r="E1897" t="str">
        <v>-</v>
      </c>
      <c r="F1897" t="str">
        <v>-</v>
      </c>
      <c r="G1897" t="str">
        <v>-</v>
      </c>
    </row>
    <row r="1898">
      <c r="A1898">
        <v>7897</v>
      </c>
      <c r="B1898" t="str">
        <v>Công an xã Nhân Huệ  tỉnh Hải Dương</v>
      </c>
      <c r="C1898" t="str">
        <v>-</v>
      </c>
      <c r="D1898" t="str">
        <v>-</v>
      </c>
      <c r="E1898" t="str">
        <v/>
      </c>
      <c r="F1898" t="str">
        <v>-</v>
      </c>
      <c r="G1898" t="str">
        <v>-</v>
      </c>
    </row>
    <row r="1899">
      <c r="A1899">
        <v>7898</v>
      </c>
      <c r="B1899" t="str">
        <f>HYPERLINK("http://nhanhue.chilinh.haiduong.gov.vn/", "UBND Ủy ban nhân dân xã Nhân Huệ  tỉnh Hải Dương")</f>
        <v>UBND Ủy ban nhân dân xã Nhân Huệ  tỉnh Hải Dương</v>
      </c>
      <c r="C1899" t="str">
        <v>http://nhanhue.chilinh.haiduong.gov.vn/</v>
      </c>
      <c r="D1899" t="str">
        <v>-</v>
      </c>
      <c r="E1899" t="str">
        <v>-</v>
      </c>
      <c r="F1899" t="str">
        <v>-</v>
      </c>
      <c r="G1899" t="str">
        <v>-</v>
      </c>
    </row>
    <row r="1900">
      <c r="A1900">
        <v>7899</v>
      </c>
      <c r="B1900" t="str">
        <f>HYPERLINK("https://www.facebook.com/p/C%C3%B4ng-an-X%C3%A3-H%E1%BB%93ng-L%E1%BA%A1c-Thanh-H%C3%A0-H%E1%BA%A3i-D%C6%B0%C6%A1ng-100070707106111/", "Công an xã An Lạc  tỉnh Hải Dương")</f>
        <v>Công an xã An Lạc  tỉnh Hải Dương</v>
      </c>
      <c r="C1900" t="str">
        <v>https://www.facebook.com/p/C%C3%B4ng-an-X%C3%A3-H%E1%BB%93ng-L%E1%BA%A1c-Thanh-H%C3%A0-H%E1%BA%A3i-D%C6%B0%C6%A1ng-100070707106111/</v>
      </c>
      <c r="D1900" t="str">
        <v>-</v>
      </c>
      <c r="E1900" t="str">
        <v/>
      </c>
      <c r="F1900" t="str">
        <v>-</v>
      </c>
      <c r="G1900" t="str">
        <v>-</v>
      </c>
    </row>
    <row r="1901">
      <c r="A1901">
        <v>7900</v>
      </c>
      <c r="B1901" t="str">
        <f>HYPERLINK("https://lamdong.gov.vn/sites/lacduong/van-ban", "UBND Ủy ban nhân dân xã An Lạc  tỉnh Hải Dương")</f>
        <v>UBND Ủy ban nhân dân xã An Lạc  tỉnh Hải Dương</v>
      </c>
      <c r="C1901" t="str">
        <v>https://lamdong.gov.vn/sites/lacduong/van-ban</v>
      </c>
      <c r="D1901" t="str">
        <v>-</v>
      </c>
      <c r="E1901" t="str">
        <v>-</v>
      </c>
      <c r="F1901" t="str">
        <v>-</v>
      </c>
      <c r="G1901" t="str">
        <v>-</v>
      </c>
    </row>
    <row r="1902">
      <c r="A1902">
        <v>7901</v>
      </c>
      <c r="B1902" t="str">
        <f>HYPERLINK("https://www.facebook.com/dtncatphp/", "Công an xã Kênh Giang  tỉnh Hải Dương")</f>
        <v>Công an xã Kênh Giang  tỉnh Hải Dương</v>
      </c>
      <c r="C1902" t="str">
        <v>https://www.facebook.com/dtncatphp/</v>
      </c>
      <c r="D1902" t="str">
        <v>-</v>
      </c>
      <c r="E1902" t="str">
        <v/>
      </c>
      <c r="F1902" t="str">
        <v>-</v>
      </c>
      <c r="G1902" t="str">
        <v>-</v>
      </c>
    </row>
    <row r="1903">
      <c r="A1903">
        <v>7902</v>
      </c>
      <c r="B1903" t="str">
        <f>HYPERLINK("https://www.quangninh.gov.vn/donvi/xanguyenhue/Trang/ChiTietTinTuc.aspx?nid=351", "UBND Ủy ban nhân dân xã Kênh Giang  tỉnh Hải Dương")</f>
        <v>UBND Ủy ban nhân dân xã Kênh Giang  tỉnh Hải Dương</v>
      </c>
      <c r="C1903" t="str">
        <v>https://www.quangninh.gov.vn/donvi/xanguyenhue/Trang/ChiTietTinTuc.aspx?nid=351</v>
      </c>
      <c r="D1903" t="str">
        <v>-</v>
      </c>
      <c r="E1903" t="str">
        <v>-</v>
      </c>
      <c r="F1903" t="str">
        <v>-</v>
      </c>
      <c r="G1903" t="str">
        <v>-</v>
      </c>
    </row>
    <row r="1904">
      <c r="A1904">
        <v>7903</v>
      </c>
      <c r="B1904" t="str">
        <f>HYPERLINK("https://www.facebook.com/p/C%C3%B4ng-an-x%C3%A3-%C4%90%E1%BB%93ng-L%E1%BA%A1c-Nam-S%C3%A1ch-100072499323496/", "Công an xã Đồng Lạc  tỉnh Hải Dương")</f>
        <v>Công an xã Đồng Lạc  tỉnh Hải Dương</v>
      </c>
      <c r="C1904" t="str">
        <v>https://www.facebook.com/p/C%C3%B4ng-an-x%C3%A3-%C4%90%E1%BB%93ng-L%E1%BA%A1c-Nam-S%C3%A1ch-100072499323496/</v>
      </c>
      <c r="D1904" t="str">
        <v>-</v>
      </c>
      <c r="E1904" t="str">
        <v/>
      </c>
      <c r="F1904" t="str">
        <v>-</v>
      </c>
      <c r="G1904" t="str">
        <v>Đồng Lạc, Nam Sách , Hai Duong, Vietnam</v>
      </c>
    </row>
    <row r="1905">
      <c r="A1905">
        <v>7904</v>
      </c>
      <c r="B1905" t="str">
        <f>HYPERLINK("http://donglac.namsach.haiduong.gov.vn/", "UBND Ủy ban nhân dân xã Đồng Lạc  tỉnh Hải Dương")</f>
        <v>UBND Ủy ban nhân dân xã Đồng Lạc  tỉnh Hải Dương</v>
      </c>
      <c r="C1905" t="str">
        <v>http://donglac.namsach.haiduong.gov.vn/</v>
      </c>
      <c r="D1905" t="str">
        <v>-</v>
      </c>
      <c r="E1905" t="str">
        <v>-</v>
      </c>
      <c r="F1905" t="str">
        <v>-</v>
      </c>
      <c r="G1905" t="str">
        <v>-</v>
      </c>
    </row>
    <row r="1906">
      <c r="A1906">
        <v>7905</v>
      </c>
      <c r="B1906" t="str">
        <f>HYPERLINK("https://www.facebook.com/dtncatphp/", "Công an xã Tân Dân  tỉnh Hải Dương")</f>
        <v>Công an xã Tân Dân  tỉnh Hải Dương</v>
      </c>
      <c r="C1906" t="str">
        <v>https://www.facebook.com/dtncatphp/</v>
      </c>
      <c r="D1906" t="str">
        <v>-</v>
      </c>
      <c r="E1906" t="str">
        <v/>
      </c>
      <c r="F1906" t="str">
        <v>-</v>
      </c>
      <c r="G1906" t="str">
        <v>-</v>
      </c>
    </row>
    <row r="1907">
      <c r="A1907">
        <v>7906</v>
      </c>
      <c r="B1907" t="str">
        <f>HYPERLINK("http://tandan.chilinh.haiduong.gov.vn/", "UBND Ủy ban nhân dân xã Tân Dân  tỉnh Hải Dương")</f>
        <v>UBND Ủy ban nhân dân xã Tân Dân  tỉnh Hải Dương</v>
      </c>
      <c r="C1907" t="str">
        <v>http://tandan.chilinh.haiduong.gov.vn/</v>
      </c>
      <c r="D1907" t="str">
        <v>-</v>
      </c>
      <c r="E1907" t="str">
        <v>-</v>
      </c>
      <c r="F1907" t="str">
        <v>-</v>
      </c>
      <c r="G1907" t="str">
        <v>-</v>
      </c>
    </row>
    <row r="1908">
      <c r="A1908">
        <v>7907</v>
      </c>
      <c r="B1908" t="str">
        <f>HYPERLINK("https://www.facebook.com/p/C%C3%B4ng-an-huy%E1%BB%87n-Nam-S%C3%A1ch-H%E1%BA%A3i-D%C6%B0%C6%A1ng-100071442241264/", "Công an thị trấn Nam Sách  tỉnh Hải Dương")</f>
        <v>Công an thị trấn Nam Sách  tỉnh Hải Dương</v>
      </c>
      <c r="C1908" t="str">
        <v>https://www.facebook.com/p/C%C3%B4ng-an-huy%E1%BB%87n-Nam-S%C3%A1ch-H%E1%BA%A3i-D%C6%B0%C6%A1ng-100071442241264/</v>
      </c>
      <c r="D1908" t="str">
        <v>-</v>
      </c>
      <c r="E1908" t="str">
        <v>02203754335</v>
      </c>
      <c r="F1908" t="str">
        <f>HYPERLINK("mailto:haiduong.canamsach@gmail.com", "haiduong.canamsach@gmail.com")</f>
        <v>haiduong.canamsach@gmail.com</v>
      </c>
      <c r="G1908" t="str">
        <v>-</v>
      </c>
    </row>
    <row r="1909">
      <c r="A1909">
        <v>7908</v>
      </c>
      <c r="B1909" t="str">
        <f>HYPERLINK("http://thitrannamsach.namsach.haiduong.gov.vn/", "UBND Ủy ban nhân dân thị trấn Nam Sách  tỉnh Hải Dương")</f>
        <v>UBND Ủy ban nhân dân thị trấn Nam Sách  tỉnh Hải Dương</v>
      </c>
      <c r="C1909" t="str">
        <v>http://thitrannamsach.namsach.haiduong.gov.vn/</v>
      </c>
      <c r="D1909" t="str">
        <v>-</v>
      </c>
      <c r="E1909" t="str">
        <v>-</v>
      </c>
      <c r="F1909" t="str">
        <v>-</v>
      </c>
      <c r="G1909" t="str">
        <v>-</v>
      </c>
    </row>
    <row r="1910">
      <c r="A1910">
        <v>7909</v>
      </c>
      <c r="B1910" t="str">
        <v>Công an xã Nam Hưng  tỉnh Hải Dương</v>
      </c>
      <c r="C1910" t="str">
        <v>-</v>
      </c>
      <c r="D1910" t="str">
        <v>-</v>
      </c>
      <c r="E1910" t="str">
        <v/>
      </c>
      <c r="F1910" t="str">
        <v>-</v>
      </c>
      <c r="G1910" t="str">
        <v>-</v>
      </c>
    </row>
    <row r="1911">
      <c r="A1911">
        <v>7910</v>
      </c>
      <c r="B1911" t="str">
        <f>HYPERLINK("http://namhung.namsach.haiduong.gov.vn/", "UBND Ủy ban nhân dân xã Nam Hưng  tỉnh Hải Dương")</f>
        <v>UBND Ủy ban nhân dân xã Nam Hưng  tỉnh Hải Dương</v>
      </c>
      <c r="C1911" t="str">
        <v>http://namhung.namsach.haiduong.gov.vn/</v>
      </c>
      <c r="D1911" t="str">
        <v>-</v>
      </c>
      <c r="E1911" t="str">
        <v>-</v>
      </c>
      <c r="F1911" t="str">
        <v>-</v>
      </c>
      <c r="G1911" t="str">
        <v>-</v>
      </c>
    </row>
    <row r="1912">
      <c r="A1912">
        <v>7911</v>
      </c>
      <c r="B1912" t="str">
        <v>Công an xã Nam Tân  tỉnh Hải Dương</v>
      </c>
      <c r="C1912" t="str">
        <v>-</v>
      </c>
      <c r="D1912" t="str">
        <v>-</v>
      </c>
      <c r="E1912" t="str">
        <v/>
      </c>
      <c r="F1912" t="str">
        <v>-</v>
      </c>
      <c r="G1912" t="str">
        <v>-</v>
      </c>
    </row>
    <row r="1913">
      <c r="A1913">
        <v>7912</v>
      </c>
      <c r="B1913" t="str">
        <f>HYPERLINK("http://namtan.namsach.haiduong.gov.vn/", "UBND Ủy ban nhân dân xã Nam Tân  tỉnh Hải Dương")</f>
        <v>UBND Ủy ban nhân dân xã Nam Tân  tỉnh Hải Dương</v>
      </c>
      <c r="C1913" t="str">
        <v>http://namtan.namsach.haiduong.gov.vn/</v>
      </c>
      <c r="D1913" t="str">
        <v>-</v>
      </c>
      <c r="E1913" t="str">
        <v>-</v>
      </c>
      <c r="F1913" t="str">
        <v>-</v>
      </c>
      <c r="G1913" t="str">
        <v>-</v>
      </c>
    </row>
    <row r="1914">
      <c r="A1914">
        <v>7913</v>
      </c>
      <c r="B1914" t="str">
        <f>HYPERLINK("https://www.facebook.com/dtncatphp/", "Công an xã Hợp Tiến  tỉnh Hải Dương")</f>
        <v>Công an xã Hợp Tiến  tỉnh Hải Dương</v>
      </c>
      <c r="C1914" t="str">
        <v>https://www.facebook.com/dtncatphp/</v>
      </c>
      <c r="D1914" t="str">
        <v>-</v>
      </c>
      <c r="E1914" t="str">
        <v/>
      </c>
      <c r="F1914" t="str">
        <v>-</v>
      </c>
      <c r="G1914" t="str">
        <v>-</v>
      </c>
    </row>
    <row r="1915">
      <c r="A1915">
        <v>7914</v>
      </c>
      <c r="B1915" t="str">
        <f>HYPERLINK("http://hoptien.namsach.haiduong.gov.vn/", "UBND Ủy ban nhân dân xã Hợp Tiến  tỉnh Hải Dương")</f>
        <v>UBND Ủy ban nhân dân xã Hợp Tiến  tỉnh Hải Dương</v>
      </c>
      <c r="C1915" t="str">
        <v>http://hoptien.namsach.haiduong.gov.vn/</v>
      </c>
      <c r="D1915" t="str">
        <v>-</v>
      </c>
      <c r="E1915" t="str">
        <v>-</v>
      </c>
      <c r="F1915" t="str">
        <v>-</v>
      </c>
      <c r="G1915" t="str">
        <v>-</v>
      </c>
    </row>
    <row r="1916">
      <c r="A1916">
        <v>7915</v>
      </c>
      <c r="B1916" t="str">
        <f>HYPERLINK("https://www.facebook.com/p/C%C3%B4ng-an-x%C3%A3-Hi%E1%BB%87p-C%C3%A1t-Nam-S%C3%A1ch-H%E1%BA%A3i-D%C6%B0%C6%A1ng-100072440046533/", "Công an xã Hiệp Cát  tỉnh Hải Dương")</f>
        <v>Công an xã Hiệp Cát  tỉnh Hải Dương</v>
      </c>
      <c r="C1916" t="str">
        <v>https://www.facebook.com/p/C%C3%B4ng-an-x%C3%A3-Hi%E1%BB%87p-C%C3%A1t-Nam-S%C3%A1ch-H%E1%BA%A3i-D%C6%B0%C6%A1ng-100072440046533/</v>
      </c>
      <c r="D1916" t="str">
        <v>-</v>
      </c>
      <c r="E1916" t="str">
        <v/>
      </c>
      <c r="F1916" t="str">
        <v>-</v>
      </c>
      <c r="G1916" t="str">
        <v>-</v>
      </c>
    </row>
    <row r="1917">
      <c r="A1917">
        <v>7916</v>
      </c>
      <c r="B1917" t="str">
        <f>HYPERLINK("http://hiepcat.namsach.haiduong.gov.vn/", "UBND Ủy ban nhân dân xã Hiệp Cát  tỉnh Hải Dương")</f>
        <v>UBND Ủy ban nhân dân xã Hiệp Cát  tỉnh Hải Dương</v>
      </c>
      <c r="C1917" t="str">
        <v>http://hiepcat.namsach.haiduong.gov.vn/</v>
      </c>
      <c r="D1917" t="str">
        <v>-</v>
      </c>
      <c r="E1917" t="str">
        <v>-</v>
      </c>
      <c r="F1917" t="str">
        <v>-</v>
      </c>
      <c r="G1917" t="str">
        <v>-</v>
      </c>
    </row>
    <row r="1918">
      <c r="A1918">
        <v>7917</v>
      </c>
      <c r="B1918" t="str">
        <f>HYPERLINK("https://www.facebook.com/p/C%C3%B4ng-an-x%C3%A3-Thanh-Quang-Thanh-H%C3%A0-H%E1%BA%A3i-D%C6%B0%C6%A1ng-100065220074602/", "Công an xã Thanh Quang  tỉnh Hải Dương")</f>
        <v>Công an xã Thanh Quang  tỉnh Hải Dương</v>
      </c>
      <c r="C1918" t="str">
        <v>https://www.facebook.com/p/C%C3%B4ng-an-x%C3%A3-Thanh-Quang-Thanh-H%C3%A0-H%E1%BA%A3i-D%C6%B0%C6%A1ng-100065220074602/</v>
      </c>
      <c r="D1918" t="str">
        <v>-</v>
      </c>
      <c r="E1918" t="str">
        <v/>
      </c>
      <c r="F1918" t="str">
        <v>-</v>
      </c>
      <c r="G1918" t="str">
        <v>Hai Duong, Vietnam</v>
      </c>
    </row>
    <row r="1919">
      <c r="A1919">
        <v>7918</v>
      </c>
      <c r="B1919" t="str">
        <f>HYPERLINK("http://thanhquang.namsach.haiduong.gov.vn/", "UBND Ủy ban nhân dân xã Thanh Quang  tỉnh Hải Dương")</f>
        <v>UBND Ủy ban nhân dân xã Thanh Quang  tỉnh Hải Dương</v>
      </c>
      <c r="C1919" t="str">
        <v>http://thanhquang.namsach.haiduong.gov.vn/</v>
      </c>
      <c r="D1919" t="str">
        <v>-</v>
      </c>
      <c r="E1919" t="str">
        <v>-</v>
      </c>
      <c r="F1919" t="str">
        <v>-</v>
      </c>
      <c r="G1919" t="str">
        <v>-</v>
      </c>
    </row>
    <row r="1920">
      <c r="A1920">
        <v>7919</v>
      </c>
      <c r="B1920" t="str">
        <f>HYPERLINK("https://www.facebook.com/p/C%C3%B4ng-an-x%C3%A3-Qu%E1%BB%91c-Tu%E1%BA%A5n-Nam-S%C3%A1ch-H%E1%BA%A3i-D%C6%B0%C6%A1ng-100072003198396/", "Công an xã Quốc Tuấn  tỉnh Hải Dương")</f>
        <v>Công an xã Quốc Tuấn  tỉnh Hải Dương</v>
      </c>
      <c r="C1920" t="str">
        <v>https://www.facebook.com/p/C%C3%B4ng-an-x%C3%A3-Qu%E1%BB%91c-Tu%E1%BA%A5n-Nam-S%C3%A1ch-H%E1%BA%A3i-D%C6%B0%C6%A1ng-100072003198396/</v>
      </c>
      <c r="D1920" t="str">
        <v>-</v>
      </c>
      <c r="E1920" t="str">
        <v/>
      </c>
      <c r="F1920" t="str">
        <v>-</v>
      </c>
      <c r="G1920" t="str">
        <v>-</v>
      </c>
    </row>
    <row r="1921">
      <c r="A1921">
        <v>7920</v>
      </c>
      <c r="B1921" t="str">
        <f>HYPERLINK("http://quoctuan.namsach.haiduong.gov.vn/", "UBND Ủy ban nhân dân xã Quốc Tuấn  tỉnh Hải Dương")</f>
        <v>UBND Ủy ban nhân dân xã Quốc Tuấn  tỉnh Hải Dương</v>
      </c>
      <c r="C1921" t="str">
        <v>http://quoctuan.namsach.haiduong.gov.vn/</v>
      </c>
      <c r="D1921" t="str">
        <v>-</v>
      </c>
      <c r="E1921" t="str">
        <v>-</v>
      </c>
      <c r="F1921" t="str">
        <v>-</v>
      </c>
      <c r="G1921" t="str">
        <v>-</v>
      </c>
    </row>
    <row r="1922">
      <c r="A1922">
        <v>7921</v>
      </c>
      <c r="B1922" t="str">
        <f>HYPERLINK("https://www.facebook.com/dtncatphp/", "Công an xã Nam Chính  tỉnh Hải Dương")</f>
        <v>Công an xã Nam Chính  tỉnh Hải Dương</v>
      </c>
      <c r="C1922" t="str">
        <v>https://www.facebook.com/dtncatphp/</v>
      </c>
      <c r="D1922" t="str">
        <v>0964989490</v>
      </c>
      <c r="E1922" t="str">
        <v>-</v>
      </c>
      <c r="F1922" t="str">
        <f>HYPERLINK("mailto:dtn.catp.tdhp@gmail.com", "dtn.catp.tdhp@gmail.com")</f>
        <v>dtn.catp.tdhp@gmail.com</v>
      </c>
      <c r="G1922" t="str">
        <v>03 Lê Đại Hành, Minh Khai, Hồng Bàng, Hai Phong, Vietnam</v>
      </c>
    </row>
    <row r="1923">
      <c r="A1923">
        <v>7922</v>
      </c>
      <c r="B1923" t="str">
        <f>HYPERLINK("http://namchinh.namsach.haiduong.gov.vn/", "UBND Ủy ban nhân dân xã Nam Chính  tỉnh Hải Dương")</f>
        <v>UBND Ủy ban nhân dân xã Nam Chính  tỉnh Hải Dương</v>
      </c>
      <c r="C1923" t="str">
        <v>http://namchinh.namsach.haiduong.gov.vn/</v>
      </c>
      <c r="D1923" t="str">
        <v>-</v>
      </c>
      <c r="E1923" t="str">
        <v>-</v>
      </c>
      <c r="F1923" t="str">
        <v>-</v>
      </c>
      <c r="G1923" t="str">
        <v>-</v>
      </c>
    </row>
    <row r="1924">
      <c r="A1924">
        <v>7923</v>
      </c>
      <c r="B1924" t="str">
        <f>HYPERLINK("https://www.facebook.com/p/C%C3%B4ng-an-huy%E1%BB%87n-B%C3%ACnh-Giang-H%E1%BA%A3i-D%C6%B0%C6%A1ng-100070047815358/?locale=vi_VN", "Công an xã An Bình  tỉnh Hải Dương")</f>
        <v>Công an xã An Bình  tỉnh Hải Dương</v>
      </c>
      <c r="C1924" t="str">
        <v>https://www.facebook.com/p/C%C3%B4ng-an-huy%E1%BB%87n-B%C3%ACnh-Giang-H%E1%BA%A3i-D%C6%B0%C6%A1ng-100070047815358/?locale=vi_VN</v>
      </c>
      <c r="D1924" t="str">
        <v>-</v>
      </c>
      <c r="E1924" t="str">
        <v/>
      </c>
      <c r="F1924" t="str">
        <v>-</v>
      </c>
      <c r="G1924" t="str">
        <v>-</v>
      </c>
    </row>
    <row r="1925">
      <c r="A1925">
        <v>7924</v>
      </c>
      <c r="B1925" t="str">
        <f>HYPERLINK("http://binhlang.tuky.haiduong.gov.vn/", "UBND Ủy ban nhân dân xã An Bình  tỉnh Hải Dương")</f>
        <v>UBND Ủy ban nhân dân xã An Bình  tỉnh Hải Dương</v>
      </c>
      <c r="C1925" t="str">
        <v>http://binhlang.tuky.haiduong.gov.vn/</v>
      </c>
      <c r="D1925" t="str">
        <v>-</v>
      </c>
      <c r="E1925" t="str">
        <v>-</v>
      </c>
      <c r="F1925" t="str">
        <v>-</v>
      </c>
      <c r="G1925" t="str">
        <v>-</v>
      </c>
    </row>
    <row r="1926">
      <c r="A1926">
        <v>7925</v>
      </c>
      <c r="B1926" t="str">
        <f>HYPERLINK("https://www.facebook.com/dtncatphp/", "Công an xã Nam Trung  tỉnh Hải Dương")</f>
        <v>Công an xã Nam Trung  tỉnh Hải Dương</v>
      </c>
      <c r="C1926" t="str">
        <v>https://www.facebook.com/dtncatphp/</v>
      </c>
      <c r="D1926" t="str">
        <v>-</v>
      </c>
      <c r="E1926" t="str">
        <v/>
      </c>
      <c r="F1926" t="str">
        <v>-</v>
      </c>
      <c r="G1926" t="str">
        <v>-</v>
      </c>
    </row>
    <row r="1927">
      <c r="A1927">
        <v>7926</v>
      </c>
      <c r="B1927" t="str">
        <f>HYPERLINK("http://namtrung.namsach.haiduong.gov.vn/", "UBND Ủy ban nhân dân xã Nam Trung  tỉnh Hải Dương")</f>
        <v>UBND Ủy ban nhân dân xã Nam Trung  tỉnh Hải Dương</v>
      </c>
      <c r="C1927" t="str">
        <v>http://namtrung.namsach.haiduong.gov.vn/</v>
      </c>
      <c r="D1927" t="str">
        <v>-</v>
      </c>
      <c r="E1927" t="str">
        <v>-</v>
      </c>
      <c r="F1927" t="str">
        <v>-</v>
      </c>
      <c r="G1927" t="str">
        <v>-</v>
      </c>
    </row>
    <row r="1928">
      <c r="A1928">
        <v>7927</v>
      </c>
      <c r="B1928" t="str">
        <f>HYPERLINK("https://www.facebook.com/p/Tu%E1%BB%95i-tr%E1%BA%BB-C%C3%B4ng-an-th%E1%BB%8B-x%C3%A3-S%C6%A1n-T%C3%A2y-100040884909606/", "Công an xã An Sơn  tỉnh Hải Dương")</f>
        <v>Công an xã An Sơn  tỉnh Hải Dương</v>
      </c>
      <c r="C1928" t="str">
        <v>https://www.facebook.com/p/Tu%E1%BB%95i-tr%E1%BA%BB-C%C3%B4ng-an-th%E1%BB%8B-x%C3%A3-S%C6%A1n-T%C3%A2y-100040884909606/</v>
      </c>
      <c r="D1928" t="str">
        <v>-</v>
      </c>
      <c r="E1928" t="str">
        <v/>
      </c>
      <c r="F1928" t="str">
        <f>HYPERLINK("mailto:tuoitrecatxsontay@gmail.com", "tuoitrecatxsontay@gmail.com")</f>
        <v>tuoitrecatxsontay@gmail.com</v>
      </c>
      <c r="G1928" t="str">
        <v>-</v>
      </c>
    </row>
    <row r="1929">
      <c r="A1929">
        <v>7928</v>
      </c>
      <c r="B1929" t="str">
        <f>HYPERLINK("http://anson.namsach.haiduong.gov.vn/", "UBND Ủy ban nhân dân xã An Sơn  tỉnh Hải Dương")</f>
        <v>UBND Ủy ban nhân dân xã An Sơn  tỉnh Hải Dương</v>
      </c>
      <c r="C1929" t="str">
        <v>http://anson.namsach.haiduong.gov.vn/</v>
      </c>
      <c r="D1929" t="str">
        <v>-</v>
      </c>
      <c r="E1929" t="str">
        <v>-</v>
      </c>
      <c r="F1929" t="str">
        <v>-</v>
      </c>
      <c r="G1929" t="str">
        <v>-</v>
      </c>
    </row>
    <row r="1930">
      <c r="A1930">
        <v>7929</v>
      </c>
      <c r="B1930" t="str">
        <f>HYPERLINK("https://www.facebook.com/p/%C4%90o%C3%A0n-Thanh-Ni%C3%AAn-x%C3%A3-C%E1%BB%99ng-H%C3%B2a-Kim-Th%C3%A0nh-H%E1%BA%A3i-D%C6%B0%C6%A1ng-100071578211124/", "Công an xã Cộng Hòa  tỉnh Hải Dương")</f>
        <v>Công an xã Cộng Hòa  tỉnh Hải Dương</v>
      </c>
      <c r="C1930" t="str">
        <v>https://www.facebook.com/p/%C4%90o%C3%A0n-Thanh-Ni%C3%AAn-x%C3%A3-C%E1%BB%99ng-H%C3%B2a-Kim-Th%C3%A0nh-H%E1%BA%A3i-D%C6%B0%C6%A1ng-100071578211124/</v>
      </c>
      <c r="D1930" t="str">
        <v>-</v>
      </c>
      <c r="E1930" t="str">
        <v/>
      </c>
      <c r="F1930" t="str">
        <v>-</v>
      </c>
      <c r="G1930" t="str">
        <v>-</v>
      </c>
    </row>
    <row r="1931">
      <c r="A1931">
        <v>7930</v>
      </c>
      <c r="B1931" t="str">
        <f>HYPERLINK("http://conghoa.namsach.haiduong.gov.vn/", "UBND Ủy ban nhân dân xã Cộng Hòa  tỉnh Hải Dương")</f>
        <v>UBND Ủy ban nhân dân xã Cộng Hòa  tỉnh Hải Dương</v>
      </c>
      <c r="C1931" t="str">
        <v>http://conghoa.namsach.haiduong.gov.vn/</v>
      </c>
      <c r="D1931" t="str">
        <v>-</v>
      </c>
      <c r="E1931" t="str">
        <v>-</v>
      </c>
      <c r="F1931" t="str">
        <v>-</v>
      </c>
      <c r="G1931" t="str">
        <v>-</v>
      </c>
    </row>
    <row r="1932">
      <c r="A1932">
        <v>7931</v>
      </c>
      <c r="B1932" t="str">
        <f>HYPERLINK("https://www.facebook.com/p/C%C3%B4ng-an-x%C3%A3-Th%C3%A1i-T%C3%A2n-Huy%E1%BB%87n-Nam-S%C3%A1ch-T%E1%BB%89nh-H%E1%BA%A3i-D%C6%B0%C6%A1ng-100083052713048/", "Công an xã Thái Tân  tỉnh Hải Dương")</f>
        <v>Công an xã Thái Tân  tỉnh Hải Dương</v>
      </c>
      <c r="C1932" t="str">
        <v>https://www.facebook.com/p/C%C3%B4ng-an-x%C3%A3-Th%C3%A1i-T%C3%A2n-Huy%E1%BB%87n-Nam-S%C3%A1ch-T%E1%BB%89nh-H%E1%BA%A3i-D%C6%B0%C6%A1ng-100083052713048/</v>
      </c>
      <c r="D1932" t="str">
        <v>-</v>
      </c>
      <c r="E1932" t="str">
        <v/>
      </c>
      <c r="F1932" t="str">
        <f>HYPERLINK("mailto:Conganxathaitan10642@gmail.com", "Conganxathaitan10642@gmail.com")</f>
        <v>Conganxathaitan10642@gmail.com</v>
      </c>
      <c r="G1932" t="str">
        <v>Công an xã Thái Tân, huyện Nam Sách, tỉnh Hải Dương</v>
      </c>
    </row>
    <row r="1933">
      <c r="A1933">
        <v>7932</v>
      </c>
      <c r="B1933" t="str">
        <f>HYPERLINK("http://thaitan.namsach.haiduong.gov.vn/", "UBND Ủy ban nhân dân xã Thái Tân  tỉnh Hải Dương")</f>
        <v>UBND Ủy ban nhân dân xã Thái Tân  tỉnh Hải Dương</v>
      </c>
      <c r="C1933" t="str">
        <v>http://thaitan.namsach.haiduong.gov.vn/</v>
      </c>
      <c r="D1933" t="str">
        <v>-</v>
      </c>
      <c r="E1933" t="str">
        <v>-</v>
      </c>
      <c r="F1933" t="str">
        <v>-</v>
      </c>
      <c r="G1933" t="str">
        <v>-</v>
      </c>
    </row>
    <row r="1934">
      <c r="A1934">
        <v>7933</v>
      </c>
      <c r="B1934" t="str">
        <f>HYPERLINK("https://www.facebook.com/dtncatphp/", "Công an xã An Lâm  tỉnh Hải Dương")</f>
        <v>Công an xã An Lâm  tỉnh Hải Dương</v>
      </c>
      <c r="C1934" t="str">
        <v>https://www.facebook.com/dtncatphp/</v>
      </c>
      <c r="D1934" t="str">
        <v>-</v>
      </c>
      <c r="E1934" t="str">
        <v/>
      </c>
      <c r="F1934" t="str">
        <v>-</v>
      </c>
      <c r="G1934" t="str">
        <v>-</v>
      </c>
    </row>
    <row r="1935">
      <c r="A1935">
        <v>7934</v>
      </c>
      <c r="B1935" t="str">
        <f>HYPERLINK("http://anlam.namsach.haiduong.gov.vn/", "UBND Ủy ban nhân dân xã An Lâm  tỉnh Hải Dương")</f>
        <v>UBND Ủy ban nhân dân xã An Lâm  tỉnh Hải Dương</v>
      </c>
      <c r="C1935" t="str">
        <v>http://anlam.namsach.haiduong.gov.vn/</v>
      </c>
      <c r="D1935" t="str">
        <v>-</v>
      </c>
      <c r="E1935" t="str">
        <v>-</v>
      </c>
      <c r="F1935" t="str">
        <v>-</v>
      </c>
      <c r="G1935" t="str">
        <v>-</v>
      </c>
    </row>
    <row r="1936">
      <c r="A1936">
        <v>7935</v>
      </c>
      <c r="B1936" t="str">
        <f>HYPERLINK("https://www.facebook.com/ConganxaPhuDien/", "Công an xã Phú Điền  tỉnh Hải Dương")</f>
        <v>Công an xã Phú Điền  tỉnh Hải Dương</v>
      </c>
      <c r="C1936" t="str">
        <v>https://www.facebook.com/ConganxaPhuDien/</v>
      </c>
      <c r="D1936" t="str">
        <v>0912989486</v>
      </c>
      <c r="E1936" t="str">
        <v>-</v>
      </c>
      <c r="F1936" t="str">
        <v>-</v>
      </c>
      <c r="G1936" t="str">
        <v>Hai Duong, Vietnam</v>
      </c>
    </row>
    <row r="1937">
      <c r="A1937">
        <v>7936</v>
      </c>
      <c r="B1937" t="str">
        <f>HYPERLINK("https://phudien.namsach.haiduong.gov.vn/vi-vn/gioi-thieu/Trang/uy-ban-nhan-dan.aspx", "UBND Ủy ban nhân dân xã Phú Điền  tỉnh Hải Dương")</f>
        <v>UBND Ủy ban nhân dân xã Phú Điền  tỉnh Hải Dương</v>
      </c>
      <c r="C1937" t="str">
        <v>https://phudien.namsach.haiduong.gov.vn/vi-vn/gioi-thieu/Trang/uy-ban-nhan-dan.aspx</v>
      </c>
      <c r="D1937" t="str">
        <v>-</v>
      </c>
      <c r="E1937" t="str">
        <v>-</v>
      </c>
      <c r="F1937" t="str">
        <v>-</v>
      </c>
      <c r="G1937" t="str">
        <v>-</v>
      </c>
    </row>
    <row r="1938">
      <c r="A1938">
        <v>7937</v>
      </c>
      <c r="B1938" t="str">
        <f>HYPERLINK("https://www.facebook.com/CAXNH/", "Công an xã Nam Hồng  tỉnh Hải Dương")</f>
        <v>Công an xã Nam Hồng  tỉnh Hải Dương</v>
      </c>
      <c r="C1938" t="str">
        <v>https://www.facebook.com/CAXNH/</v>
      </c>
      <c r="D1938" t="str">
        <v>0904381669</v>
      </c>
      <c r="E1938" t="str">
        <v>-</v>
      </c>
      <c r="F1938" t="str">
        <f>HYPERLINK("mailto:Conganxanamhong@gmail.com", "Conganxanamhong@gmail.com")</f>
        <v>Conganxanamhong@gmail.com</v>
      </c>
      <c r="G1938" t="str">
        <v>Nam Hồng, Nam Sách, Hai Duong, Vietnam</v>
      </c>
    </row>
    <row r="1939">
      <c r="A1939">
        <v>7938</v>
      </c>
      <c r="B1939" t="str">
        <f>HYPERLINK("http://namhong.namsach.haiduong.gov.vn/", "UBND Ủy ban nhân dân xã Nam Hồng  tỉnh Hải Dương")</f>
        <v>UBND Ủy ban nhân dân xã Nam Hồng  tỉnh Hải Dương</v>
      </c>
      <c r="C1939" t="str">
        <v>http://namhong.namsach.haiduong.gov.vn/</v>
      </c>
      <c r="D1939" t="str">
        <v>-</v>
      </c>
      <c r="E1939" t="str">
        <v>-</v>
      </c>
      <c r="F1939" t="str">
        <v>-</v>
      </c>
      <c r="G1939" t="str">
        <v>-</v>
      </c>
    </row>
    <row r="1940">
      <c r="A1940">
        <v>7939</v>
      </c>
      <c r="B1940" t="str">
        <f>HYPERLINK("https://www.facebook.com/p/C%C3%B4ng-An-x%C3%A3-H%E1%BB%93ng-Phong-Huy%E1%BB%87n-An-D%C6%B0%C6%A1ng-TP-H%E1%BA%A3i-Ph%C3%B2ng-100069379315113/", "Công an xã Hồng Phong  tỉnh Hải Dương")</f>
        <v>Công an xã Hồng Phong  tỉnh Hải Dương</v>
      </c>
      <c r="C1940" t="str">
        <v>https://www.facebook.com/p/C%C3%B4ng-An-x%C3%A3-H%E1%BB%93ng-Phong-Huy%E1%BB%87n-An-D%C6%B0%C6%A1ng-TP-H%E1%BA%A3i-Ph%C3%B2ng-100069379315113/</v>
      </c>
      <c r="D1940" t="str">
        <v>0902010393</v>
      </c>
      <c r="E1940" t="str">
        <v>-</v>
      </c>
      <c r="F1940" t="str">
        <f>HYPERLINK("mailto:Duonghp888@gmail.com", "Duonghp888@gmail.com")</f>
        <v>Duonghp888@gmail.com</v>
      </c>
      <c r="G1940" t="str">
        <v>Hai Phong, Vietnam</v>
      </c>
    </row>
    <row r="1941">
      <c r="A1941">
        <v>7940</v>
      </c>
      <c r="B1941" t="str">
        <f>HYPERLINK("https://hongphong.anduong.haiphong.gov.vn/", "UBND Ủy ban nhân dân xã Hồng Phong  tỉnh Hải Dương")</f>
        <v>UBND Ủy ban nhân dân xã Hồng Phong  tỉnh Hải Dương</v>
      </c>
      <c r="C1941" t="str">
        <v>https://hongphong.anduong.haiphong.gov.vn/</v>
      </c>
      <c r="D1941" t="str">
        <v>-</v>
      </c>
      <c r="E1941" t="str">
        <v>-</v>
      </c>
      <c r="F1941" t="str">
        <v>-</v>
      </c>
      <c r="G1941" t="str">
        <v>-</v>
      </c>
    </row>
    <row r="1942">
      <c r="A1942">
        <v>7941</v>
      </c>
      <c r="B1942" t="str">
        <f>HYPERLINK("https://www.facebook.com/p/C%C3%B4ng-an-x%C3%A3-%C4%90%E1%BB%93ng-L%E1%BA%A1c-Nam-S%C3%A1ch-100072499323496/", "Công an xã Đồng Lạc  tỉnh Hải Dương")</f>
        <v>Công an xã Đồng Lạc  tỉnh Hải Dương</v>
      </c>
      <c r="C1942" t="str">
        <v>https://www.facebook.com/p/C%C3%B4ng-an-x%C3%A3-%C4%90%E1%BB%93ng-L%E1%BA%A1c-Nam-S%C3%A1ch-100072499323496/</v>
      </c>
      <c r="D1942" t="str">
        <v>-</v>
      </c>
      <c r="E1942" t="str">
        <v/>
      </c>
      <c r="F1942" t="str">
        <v>-</v>
      </c>
      <c r="G1942" t="str">
        <v>-</v>
      </c>
    </row>
    <row r="1943">
      <c r="A1943">
        <v>7942</v>
      </c>
      <c r="B1943" t="str">
        <f>HYPERLINK("http://donglac.namsach.haiduong.gov.vn/", "UBND Ủy ban nhân dân xã Đồng Lạc  tỉnh Hải Dương")</f>
        <v>UBND Ủy ban nhân dân xã Đồng Lạc  tỉnh Hải Dương</v>
      </c>
      <c r="C1943" t="str">
        <v>http://donglac.namsach.haiduong.gov.vn/</v>
      </c>
      <c r="D1943" t="str">
        <v>-</v>
      </c>
      <c r="E1943" t="str">
        <v>-</v>
      </c>
      <c r="F1943" t="str">
        <v>-</v>
      </c>
      <c r="G1943" t="str">
        <v>-</v>
      </c>
    </row>
    <row r="1944">
      <c r="A1944">
        <v>7943</v>
      </c>
      <c r="B1944" t="str">
        <f>HYPERLINK("https://www.facebook.com/p/C%C3%B4ng-an-ph%C6%B0%E1%BB%9Dng-Minh-T%C3%A2n-th%E1%BB%8B-x%C3%A3-Kinh-M%C3%B4n-H%E1%BA%A3i-D%C6%B0%C6%A1ng-100071388816168/", "Công an xã Minh Tân  tỉnh Hải Dương")</f>
        <v>Công an xã Minh Tân  tỉnh Hải Dương</v>
      </c>
      <c r="C1944" t="str">
        <v>https://www.facebook.com/p/C%C3%B4ng-an-ph%C6%B0%E1%BB%9Dng-Minh-T%C3%A2n-th%E1%BB%8B-x%C3%A3-Kinh-M%C3%B4n-H%E1%BA%A3i-D%C6%B0%C6%A1ng-100071388816168/</v>
      </c>
      <c r="D1944" t="str">
        <v>-</v>
      </c>
      <c r="E1944" t="str">
        <v/>
      </c>
      <c r="F1944" t="str">
        <v>-</v>
      </c>
      <c r="G1944" t="str">
        <v>-</v>
      </c>
    </row>
    <row r="1945">
      <c r="A1945">
        <v>7944</v>
      </c>
      <c r="B1945" t="str">
        <f>HYPERLINK("https://kienthuy.haiphong.gov.vn/cac-xa-thi-tran/xa-minh-tan-308392", "UBND Ủy ban nhân dân xã Minh Tân  tỉnh Hải Dương")</f>
        <v>UBND Ủy ban nhân dân xã Minh Tân  tỉnh Hải Dương</v>
      </c>
      <c r="C1945" t="str">
        <v>https://kienthuy.haiphong.gov.vn/cac-xa-thi-tran/xa-minh-tan-308392</v>
      </c>
      <c r="D1945" t="str">
        <v>-</v>
      </c>
      <c r="E1945" t="str">
        <v>-</v>
      </c>
      <c r="F1945" t="str">
        <v>-</v>
      </c>
      <c r="G1945" t="str">
        <v>-</v>
      </c>
    </row>
    <row r="1946">
      <c r="A1946">
        <v>7945</v>
      </c>
      <c r="B1946" t="str">
        <f>HYPERLINK("https://www.facebook.com/CATX.KM/", "Công an thị trấn Kinh Môn  tỉnh Hải Dương")</f>
        <v>Công an thị trấn Kinh Môn  tỉnh Hải Dương</v>
      </c>
      <c r="C1946" t="str">
        <v>https://www.facebook.com/CATX.KM/</v>
      </c>
      <c r="D1946" t="str">
        <v>-</v>
      </c>
      <c r="E1946" t="str">
        <v>02203822080</v>
      </c>
      <c r="F1946" t="str">
        <v>-</v>
      </c>
      <c r="G1946" t="str">
        <v>289 Trần Hưng Đạo - Thị xã Kinh Môn - Tỉnh Hải Dương, Hai Duong, Vietnam</v>
      </c>
    </row>
    <row r="1947">
      <c r="A1947">
        <v>7946</v>
      </c>
      <c r="B1947" t="str">
        <f>HYPERLINK("https://kinhmon.haiduong.gov.vn/", "UBND Ủy ban nhân dân thị trấn Kinh Môn  tỉnh Hải Dương")</f>
        <v>UBND Ủy ban nhân dân thị trấn Kinh Môn  tỉnh Hải Dương</v>
      </c>
      <c r="C1947" t="str">
        <v>https://kinhmon.haiduong.gov.vn/</v>
      </c>
      <c r="D1947" t="str">
        <v>-</v>
      </c>
      <c r="E1947" t="str">
        <v>-</v>
      </c>
      <c r="F1947" t="str">
        <v>-</v>
      </c>
      <c r="G1947" t="str">
        <v>-</v>
      </c>
    </row>
    <row r="1948">
      <c r="A1948">
        <v>7947</v>
      </c>
      <c r="B1948" t="str">
        <f>HYPERLINK("https://www.facebook.com/1756498071190743", "Công an xã Bạch Đằng  tỉnh Hải Dương")</f>
        <v>Công an xã Bạch Đằng  tỉnh Hải Dương</v>
      </c>
      <c r="C1948" t="str">
        <v>https://www.facebook.com/1756498071190743</v>
      </c>
      <c r="D1948" t="str">
        <v>-</v>
      </c>
      <c r="E1948" t="str">
        <v/>
      </c>
      <c r="F1948" t="str">
        <v>-</v>
      </c>
      <c r="G1948" t="str">
        <v>-</v>
      </c>
    </row>
    <row r="1949">
      <c r="A1949">
        <v>7948</v>
      </c>
      <c r="B1949" t="str">
        <f>HYPERLINK("http://bachdang.kinhmon.haiduong.gov.vn/", "UBND Ủy ban nhân dân xã Bạch Đằng  tỉnh Hải Dương")</f>
        <v>UBND Ủy ban nhân dân xã Bạch Đằng  tỉnh Hải Dương</v>
      </c>
      <c r="C1949" t="str">
        <v>http://bachdang.kinhmon.haiduong.gov.vn/</v>
      </c>
      <c r="D1949" t="str">
        <v>-</v>
      </c>
      <c r="E1949" t="str">
        <v>-</v>
      </c>
      <c r="F1949" t="str">
        <v>-</v>
      </c>
      <c r="G1949" t="str">
        <v>-</v>
      </c>
    </row>
    <row r="1950">
      <c r="A1950">
        <v>7949</v>
      </c>
      <c r="B1950" t="str">
        <v>Công an xã Thất Hùng  tỉnh Hải Dương</v>
      </c>
      <c r="C1950" t="str">
        <v>-</v>
      </c>
      <c r="D1950" t="str">
        <v>-</v>
      </c>
      <c r="E1950" t="str">
        <v/>
      </c>
      <c r="F1950" t="str">
        <v>-</v>
      </c>
      <c r="G1950" t="str">
        <v>-</v>
      </c>
    </row>
    <row r="1951">
      <c r="A1951">
        <v>7950</v>
      </c>
      <c r="B1951" t="str">
        <f>HYPERLINK("https://congcu.haiduong.gov.vn/Trang/danh-sach-van-ban-phap-quy.aspx?Page=86", "UBND Ủy ban nhân dân xã Thất Hùng  tỉnh Hải Dương")</f>
        <v>UBND Ủy ban nhân dân xã Thất Hùng  tỉnh Hải Dương</v>
      </c>
      <c r="C1951" t="str">
        <v>https://congcu.haiduong.gov.vn/Trang/danh-sach-van-ban-phap-quy.aspx?Page=86</v>
      </c>
      <c r="D1951" t="str">
        <v>-</v>
      </c>
      <c r="E1951" t="str">
        <v>-</v>
      </c>
      <c r="F1951" t="str">
        <v>-</v>
      </c>
      <c r="G1951" t="str">
        <v>-</v>
      </c>
    </row>
    <row r="1952">
      <c r="A1952">
        <v>7951</v>
      </c>
      <c r="B1952" t="str">
        <f>HYPERLINK("https://www.facebook.com/ThongtinxaLeninh/", "Công an xã Lê Ninh  tỉnh Hải Dương")</f>
        <v>Công an xã Lê Ninh  tỉnh Hải Dương</v>
      </c>
      <c r="C1952" t="str">
        <v>https://www.facebook.com/ThongtinxaLeninh/</v>
      </c>
      <c r="D1952" t="str">
        <v>-</v>
      </c>
      <c r="E1952" t="str">
        <v/>
      </c>
      <c r="F1952" t="str">
        <v>-</v>
      </c>
      <c r="G1952" t="str">
        <v>-</v>
      </c>
    </row>
    <row r="1953">
      <c r="A1953">
        <v>7952</v>
      </c>
      <c r="B1953" t="str">
        <f>HYPERLINK("http://leninh.kinhmon.haiduong.gov.vn/", "UBND Ủy ban nhân dân xã Lê Ninh  tỉnh Hải Dương")</f>
        <v>UBND Ủy ban nhân dân xã Lê Ninh  tỉnh Hải Dương</v>
      </c>
      <c r="C1953" t="str">
        <v>http://leninh.kinhmon.haiduong.gov.vn/</v>
      </c>
      <c r="D1953" t="str">
        <v>-</v>
      </c>
      <c r="E1953" t="str">
        <v>-</v>
      </c>
      <c r="F1953" t="str">
        <v>-</v>
      </c>
      <c r="G1953" t="str">
        <v>-</v>
      </c>
    </row>
    <row r="1954">
      <c r="A1954">
        <v>7953</v>
      </c>
      <c r="B1954" t="str">
        <f>HYPERLINK("https://www.facebook.com/p/C%C3%B4ng-an-x%C3%A3-Ho%C3%A0nh-S%C6%A1n-100072124191595/", "Công an xã Hoành Sơn  tỉnh Hải Dương")</f>
        <v>Công an xã Hoành Sơn  tỉnh Hải Dương</v>
      </c>
      <c r="C1954" t="str">
        <v>https://www.facebook.com/p/C%C3%B4ng-an-x%C3%A3-Ho%C3%A0nh-S%C6%A1n-100072124191595/</v>
      </c>
      <c r="D1954" t="str">
        <v>-</v>
      </c>
      <c r="E1954" t="str">
        <v/>
      </c>
      <c r="F1954" t="str">
        <v>-</v>
      </c>
      <c r="G1954" t="str">
        <v>xã Hoành Sơn, thị xã Kinh Môn, tỉnh Hải Dương, Kinh Môn, Vietnam</v>
      </c>
    </row>
    <row r="1955">
      <c r="A1955">
        <v>7954</v>
      </c>
      <c r="B1955" t="str">
        <f>HYPERLINK("https://dichvucong.namdinh.gov.vn/portaldvc/KenhTin/dich-vu-cong-truc-tuyen.aspx?_dv=50149574-6FC6-65AD-5AC5-9F1678CFA032", "UBND Ủy ban nhân dân xã Hoành Sơn  tỉnh Hải Dương")</f>
        <v>UBND Ủy ban nhân dân xã Hoành Sơn  tỉnh Hải Dương</v>
      </c>
      <c r="C1955" t="str">
        <v>https://dichvucong.namdinh.gov.vn/portaldvc/KenhTin/dich-vu-cong-truc-tuyen.aspx?_dv=50149574-6FC6-65AD-5AC5-9F1678CFA032</v>
      </c>
      <c r="D1955" t="str">
        <v>-</v>
      </c>
      <c r="E1955" t="str">
        <v>-</v>
      </c>
      <c r="F1955" t="str">
        <v>-</v>
      </c>
      <c r="G1955" t="str">
        <v>-</v>
      </c>
    </row>
    <row r="1956">
      <c r="A1956">
        <v>7955</v>
      </c>
      <c r="B1956" t="str">
        <f>HYPERLINK("https://www.facebook.com/p/Tu%E1%BB%95i-tr%E1%BA%BB-Ph%C3%BAc-Th%C3%A0nh-100064551920151/", "Công an xã Phúc Thành   tỉnh Hải Dương")</f>
        <v>Công an xã Phúc Thành   tỉnh Hải Dương</v>
      </c>
      <c r="C1956" t="str">
        <v>https://www.facebook.com/p/Tu%E1%BB%95i-tr%E1%BA%BB-Ph%C3%BAc-Th%C3%A0nh-100064551920151/</v>
      </c>
      <c r="D1956" t="str">
        <v>-</v>
      </c>
      <c r="E1956" t="str">
        <v/>
      </c>
      <c r="F1956" t="str">
        <v>-</v>
      </c>
      <c r="G1956" t="str">
        <v>-</v>
      </c>
    </row>
    <row r="1957">
      <c r="A1957">
        <v>7956</v>
      </c>
      <c r="B1957" t="str">
        <f>HYPERLINK("http://phucthanh.kimthanh.haiduong.gov.vn/", "UBND Ủy ban nhân dân xã Phúc Thành   tỉnh Hải Dương")</f>
        <v>UBND Ủy ban nhân dân xã Phúc Thành   tỉnh Hải Dương</v>
      </c>
      <c r="C1957" t="str">
        <v>http://phucthanh.kimthanh.haiduong.gov.vn/</v>
      </c>
      <c r="D1957" t="str">
        <v>-</v>
      </c>
      <c r="E1957" t="str">
        <v>-</v>
      </c>
      <c r="F1957" t="str">
        <v>-</v>
      </c>
      <c r="G1957" t="str">
        <v>-</v>
      </c>
    </row>
    <row r="1958">
      <c r="A1958">
        <v>7957</v>
      </c>
      <c r="B1958" t="str">
        <f>HYPERLINK("https://www.facebook.com/tuoitrecongansonla/", "Công an xã Thái Sơn  tỉnh Hải Dương")</f>
        <v>Công an xã Thái Sơn  tỉnh Hải Dương</v>
      </c>
      <c r="C1958" t="str">
        <v>https://www.facebook.com/tuoitrecongansonla/</v>
      </c>
      <c r="D1958" t="str">
        <v>-</v>
      </c>
      <c r="E1958" t="str">
        <v/>
      </c>
      <c r="F1958" t="str">
        <f>HYPERLINK("mailto:doanthanhniencasl@gmail.com", "doanthanhniencasl@gmail.com")</f>
        <v>doanthanhniencasl@gmail.com</v>
      </c>
      <c r="G1958" t="str">
        <v>-</v>
      </c>
    </row>
    <row r="1959">
      <c r="A1959">
        <v>7958</v>
      </c>
      <c r="B1959" t="str">
        <f>HYPERLINK("https://thaison.anlao.haiphong.gov.vn/", "UBND Ủy ban nhân dân xã Thái Sơn  tỉnh Hải Dương")</f>
        <v>UBND Ủy ban nhân dân xã Thái Sơn  tỉnh Hải Dương</v>
      </c>
      <c r="C1959" t="str">
        <v>https://thaison.anlao.haiphong.gov.vn/</v>
      </c>
      <c r="D1959" t="str">
        <v>-</v>
      </c>
      <c r="E1959" t="str">
        <v>-</v>
      </c>
      <c r="F1959" t="str">
        <v>-</v>
      </c>
      <c r="G1959" t="str">
        <v>-</v>
      </c>
    </row>
    <row r="1960">
      <c r="A1960">
        <v>7959</v>
      </c>
      <c r="B1960" t="str">
        <f>HYPERLINK("https://www.facebook.com/p/C%C3%B4ng-an-ph%C6%B0%E1%BB%9Dng-Duy-T%C3%A2n-Th%E1%BB%8B-x%C3%A3-Kinh-M%C3%B4n-T%E1%BB%89nh-H%E1%BA%A3i-D%C6%B0%C6%A1ng-100072469177385/", "Công an xã Duy Tân  tỉnh Hải Dương")</f>
        <v>Công an xã Duy Tân  tỉnh Hải Dương</v>
      </c>
      <c r="C1960" t="str">
        <v>https://www.facebook.com/p/C%C3%B4ng-an-ph%C6%B0%E1%BB%9Dng-Duy-T%C3%A2n-Th%E1%BB%8B-x%C3%A3-Kinh-M%C3%B4n-T%E1%BB%89nh-H%E1%BA%A3i-D%C6%B0%C6%A1ng-100072469177385/</v>
      </c>
      <c r="D1960" t="str">
        <v>-</v>
      </c>
      <c r="E1960" t="str">
        <v/>
      </c>
      <c r="F1960" t="str">
        <v>-</v>
      </c>
      <c r="G1960" t="str">
        <v>-</v>
      </c>
    </row>
    <row r="1961">
      <c r="A1961">
        <v>7960</v>
      </c>
      <c r="B1961" t="str">
        <f>HYPERLINK("https://hdnd.haiduong.gov.vn/tin-tuc-chinh-tri/kinh-mon-co-phuong-duy-tan-moi-n1689.html", "UBND Ủy ban nhân dân xã Duy Tân  tỉnh Hải Dương")</f>
        <v>UBND Ủy ban nhân dân xã Duy Tân  tỉnh Hải Dương</v>
      </c>
      <c r="C1961" t="str">
        <v>https://hdnd.haiduong.gov.vn/tin-tuc-chinh-tri/kinh-mon-co-phuong-duy-tan-moi-n1689.html</v>
      </c>
      <c r="D1961" t="str">
        <v>-</v>
      </c>
      <c r="E1961" t="str">
        <v>-</v>
      </c>
      <c r="F1961" t="str">
        <v>-</v>
      </c>
      <c r="G1961" t="str">
        <v>-</v>
      </c>
    </row>
    <row r="1962">
      <c r="A1962">
        <v>7961</v>
      </c>
      <c r="B1962" t="str">
        <f>HYPERLINK("https://www.facebook.com/dtncatphp/", "Công an xã Tân Dân  tỉnh Hải Dương")</f>
        <v>Công an xã Tân Dân  tỉnh Hải Dương</v>
      </c>
      <c r="C1962" t="str">
        <v>https://www.facebook.com/dtncatphp/</v>
      </c>
      <c r="D1962" t="str">
        <v>-</v>
      </c>
      <c r="E1962" t="str">
        <v/>
      </c>
      <c r="F1962" t="str">
        <v>-</v>
      </c>
      <c r="G1962" t="str">
        <v>-</v>
      </c>
    </row>
    <row r="1963">
      <c r="A1963">
        <v>7962</v>
      </c>
      <c r="B1963" t="str">
        <f>HYPERLINK("http://tandan.chilinh.haiduong.gov.vn/", "UBND Ủy ban nhân dân xã Tân Dân  tỉnh Hải Dương")</f>
        <v>UBND Ủy ban nhân dân xã Tân Dân  tỉnh Hải Dương</v>
      </c>
      <c r="C1963" t="str">
        <v>http://tandan.chilinh.haiduong.gov.vn/</v>
      </c>
      <c r="D1963" t="str">
        <v>-</v>
      </c>
      <c r="E1963" t="str">
        <v>-</v>
      </c>
      <c r="F1963" t="str">
        <v>-</v>
      </c>
      <c r="G1963" t="str">
        <v>-</v>
      </c>
    </row>
    <row r="1964">
      <c r="A1964">
        <v>7963</v>
      </c>
      <c r="B1964" t="str">
        <f>HYPERLINK("https://www.facebook.com/p/C%C3%B4ng-an-ph%C6%B0%E1%BB%9Dng-Minh-T%C3%A2n-th%E1%BB%8B-x%C3%A3-Kinh-M%C3%B4n-H%E1%BA%A3i-D%C6%B0%C6%A1ng-100071388816168/", "Công an thị trấn Minh Tân  tỉnh Hải Dương")</f>
        <v>Công an thị trấn Minh Tân  tỉnh Hải Dương</v>
      </c>
      <c r="C1964" t="str">
        <v>https://www.facebook.com/p/C%C3%B4ng-an-ph%C6%B0%E1%BB%9Dng-Minh-T%C3%A2n-th%E1%BB%8B-x%C3%A3-Kinh-M%C3%B4n-H%E1%BA%A3i-D%C6%B0%C6%A1ng-100071388816168/</v>
      </c>
      <c r="D1964" t="str">
        <v>-</v>
      </c>
      <c r="E1964" t="str">
        <v/>
      </c>
      <c r="F1964" t="str">
        <v>-</v>
      </c>
      <c r="G1964" t="str">
        <v>-</v>
      </c>
    </row>
    <row r="1965">
      <c r="A1965">
        <v>7964</v>
      </c>
      <c r="B1965" t="str">
        <f>HYPERLINK("http://minhtan.kinhmon.haiduong.gov.vn/", "UBND Ủy ban nhân dân thị trấn Minh Tân  tỉnh Hải Dương")</f>
        <v>UBND Ủy ban nhân dân thị trấn Minh Tân  tỉnh Hải Dương</v>
      </c>
      <c r="C1965" t="str">
        <v>http://minhtan.kinhmon.haiduong.gov.vn/</v>
      </c>
      <c r="D1965" t="str">
        <v>-</v>
      </c>
      <c r="E1965" t="str">
        <v>-</v>
      </c>
      <c r="F1965" t="str">
        <v>-</v>
      </c>
      <c r="G1965" t="str">
        <v>-</v>
      </c>
    </row>
    <row r="1966">
      <c r="A1966">
        <v>7965</v>
      </c>
      <c r="B1966" t="str">
        <f>HYPERLINK("https://www.facebook.com/p/C%C3%B4ng-an-Ph%C6%B0%E1%BB%9Dng-Quang-Trung-Th%C3%A0nh-ph%E1%BB%91-H%E1%BA%A3i-D%C6%B0%C6%A1ng-100090836208177/?locale=vi_VN", "Công an xã Quang Trung  tỉnh Hải Dương")</f>
        <v>Công an xã Quang Trung  tỉnh Hải Dương</v>
      </c>
      <c r="C1966" t="str">
        <v>https://www.facebook.com/p/C%C3%B4ng-an-Ph%C6%B0%E1%BB%9Dng-Quang-Trung-Th%C3%A0nh-ph%E1%BB%91-H%E1%BA%A3i-D%C6%B0%C6%A1ng-100090836208177/?locale=vi_VN</v>
      </c>
      <c r="D1966" t="str">
        <v>-</v>
      </c>
      <c r="E1966" t="str">
        <v/>
      </c>
      <c r="F1966" t="str">
        <v>-</v>
      </c>
      <c r="G1966" t="str">
        <v>-</v>
      </c>
    </row>
    <row r="1967">
      <c r="A1967">
        <v>7966</v>
      </c>
      <c r="B1967" t="str">
        <f>HYPERLINK("http://quangtrung.tuky.haiduong.gov.vn/", "UBND Ủy ban nhân dân xã Quang Trung  tỉnh Hải Dương")</f>
        <v>UBND Ủy ban nhân dân xã Quang Trung  tỉnh Hải Dương</v>
      </c>
      <c r="C1967" t="str">
        <v>http://quangtrung.tuky.haiduong.gov.vn/</v>
      </c>
      <c r="D1967" t="str">
        <v>-</v>
      </c>
      <c r="E1967" t="str">
        <v>-</v>
      </c>
      <c r="F1967" t="str">
        <v>-</v>
      </c>
      <c r="G1967" t="str">
        <v>-</v>
      </c>
    </row>
    <row r="1968">
      <c r="A1968">
        <v>7967</v>
      </c>
      <c r="B1968" t="str">
        <f>HYPERLINK("https://www.facebook.com/p/C%C3%B4ng-an-x%C3%A3-Hi%E1%BB%87p-H%C3%B2a-TX-Kinh-M%C3%B4n-H%E1%BA%A3i-D%C6%B0%C6%A1ng-100064796411903/", "Công an xã Hiệp Hòa  tỉnh Hải Dương")</f>
        <v>Công an xã Hiệp Hòa  tỉnh Hải Dương</v>
      </c>
      <c r="C1968" t="str">
        <v>https://www.facebook.com/p/C%C3%B4ng-an-x%C3%A3-Hi%E1%BB%87p-H%C3%B2a-TX-Kinh-M%C3%B4n-H%E1%BA%A3i-D%C6%B0%C6%A1ng-100064796411903/</v>
      </c>
      <c r="D1968" t="str">
        <v>-</v>
      </c>
      <c r="E1968" t="str">
        <v/>
      </c>
      <c r="F1968" t="str">
        <v>-</v>
      </c>
      <c r="G1968" t="str">
        <v>-</v>
      </c>
    </row>
    <row r="1969">
      <c r="A1969">
        <v>7968</v>
      </c>
      <c r="B1969" t="str">
        <f>HYPERLINK("https://www.quangninh.gov.vn/donvi/TXQuangYen/Trang/ChiTietBVGioiThieu.aspx?bvid=203", "UBND Ủy ban nhân dân xã Hiệp Hòa  tỉnh Hải Dương")</f>
        <v>UBND Ủy ban nhân dân xã Hiệp Hòa  tỉnh Hải Dương</v>
      </c>
      <c r="C1969" t="str">
        <v>https://www.quangninh.gov.vn/donvi/TXQuangYen/Trang/ChiTietBVGioiThieu.aspx?bvid=203</v>
      </c>
      <c r="D1969" t="str">
        <v>-</v>
      </c>
      <c r="E1969" t="str">
        <v>-</v>
      </c>
      <c r="F1969" t="str">
        <v>-</v>
      </c>
      <c r="G1969" t="str">
        <v>-</v>
      </c>
    </row>
    <row r="1970">
      <c r="A1970">
        <v>7969</v>
      </c>
      <c r="B1970" t="str">
        <f>HYPERLINK("https://www.facebook.com/dtncatphp/", "Công an xã Phạm Mệnh  tỉnh Hải Dương")</f>
        <v>Công an xã Phạm Mệnh  tỉnh Hải Dương</v>
      </c>
      <c r="C1970" t="str">
        <v>https://www.facebook.com/dtncatphp/</v>
      </c>
      <c r="D1970" t="str">
        <v>-</v>
      </c>
      <c r="E1970" t="str">
        <v/>
      </c>
      <c r="F1970" t="str">
        <v>-</v>
      </c>
      <c r="G1970" t="str">
        <v>-</v>
      </c>
    </row>
    <row r="1971">
      <c r="A1971">
        <v>7970</v>
      </c>
      <c r="B1971" t="str">
        <f>HYPERLINK("https://haiduong.toaan.gov.vn/webcenter/portal/haiduong/chitiettin?dDocName=TAND165553", "UBND Ủy ban nhân dân xã Phạm Mệnh  tỉnh Hải Dương")</f>
        <v>UBND Ủy ban nhân dân xã Phạm Mệnh  tỉnh Hải Dương</v>
      </c>
      <c r="C1971" t="str">
        <v>https://haiduong.toaan.gov.vn/webcenter/portal/haiduong/chitiettin?dDocName=TAND165553</v>
      </c>
      <c r="D1971" t="str">
        <v>-</v>
      </c>
      <c r="E1971" t="str">
        <v>-</v>
      </c>
      <c r="F1971" t="str">
        <v>-</v>
      </c>
      <c r="G1971" t="str">
        <v>-</v>
      </c>
    </row>
    <row r="1972">
      <c r="A1972">
        <v>7971</v>
      </c>
      <c r="B1972" t="str">
        <f>HYPERLINK("https://www.facebook.com/p/C%C3%B4ng-an-ph%C6%B0%E1%BB%9Dng-Ph%C3%BA-Th%E1%BB%A9-100065131262868/", "Công an thị trấn Phú Thứ  tỉnh Hải Dương")</f>
        <v>Công an thị trấn Phú Thứ  tỉnh Hải Dương</v>
      </c>
      <c r="C1972" t="str">
        <v>https://www.facebook.com/p/C%C3%B4ng-an-ph%C6%B0%E1%BB%9Dng-Ph%C3%BA-Th%E1%BB%A9-100065131262868/</v>
      </c>
      <c r="D1972" t="str">
        <v>-</v>
      </c>
      <c r="E1972" t="str">
        <v/>
      </c>
      <c r="F1972" t="str">
        <v>-</v>
      </c>
      <c r="G1972" t="str">
        <v>63 đường Vạn Đức, khu 7, phường Phú Thứ, thị xã Kinh Môn, Hải Dương, Hai Duong, Vietnam</v>
      </c>
    </row>
    <row r="1973">
      <c r="A1973">
        <v>7972</v>
      </c>
      <c r="B1973" t="str">
        <f>HYPERLINK("http://phuthu.tayhoa.phuyen.gov.vn/", "UBND Ủy ban nhân dân thị trấn Phú Thứ  tỉnh Hải Dương")</f>
        <v>UBND Ủy ban nhân dân thị trấn Phú Thứ  tỉnh Hải Dương</v>
      </c>
      <c r="C1973" t="str">
        <v>http://phuthu.tayhoa.phuyen.gov.vn/</v>
      </c>
      <c r="D1973" t="str">
        <v>-</v>
      </c>
      <c r="E1973" t="str">
        <v>-</v>
      </c>
      <c r="F1973" t="str">
        <v>-</v>
      </c>
      <c r="G1973" t="str">
        <v>-</v>
      </c>
    </row>
    <row r="1974">
      <c r="A1974">
        <v>7973</v>
      </c>
      <c r="B1974" t="str">
        <f>HYPERLINK("https://www.facebook.com/dtncatphp/", "Công an xã Thăng Long  tỉnh Hải Dương")</f>
        <v>Công an xã Thăng Long  tỉnh Hải Dương</v>
      </c>
      <c r="C1974" t="str">
        <v>https://www.facebook.com/dtncatphp/</v>
      </c>
      <c r="D1974" t="str">
        <v>-</v>
      </c>
      <c r="E1974" t="str">
        <v/>
      </c>
      <c r="F1974" t="str">
        <v>-</v>
      </c>
      <c r="G1974" t="str">
        <v>-</v>
      </c>
    </row>
    <row r="1975">
      <c r="A1975">
        <v>7974</v>
      </c>
      <c r="B1975" t="str">
        <f>HYPERLINK("https://ninhgiang1.haiduong.gov.vn/Article/vmYDkKIkDEo@/ph%C3%A2n-lo%E1%BA%A1i-%C4%91%C6%A1n-v%E1%BB%8B-h%C3%A0nh-ch%C3%ADnh-c%E1%BA%A5p-x%C3%A3-t%E1%BB%89nh-h%E1%BA%A3i-d%C6%B0%C6%A1ng.html", "UBND Ủy ban nhân dân xã Thăng Long  tỉnh Hải Dương")</f>
        <v>UBND Ủy ban nhân dân xã Thăng Long  tỉnh Hải Dương</v>
      </c>
      <c r="C1975" t="str">
        <v>https://ninhgiang1.haiduong.gov.vn/Article/vmYDkKIkDEo@/ph%C3%A2n-lo%E1%BA%A1i-%C4%91%C6%A1n-v%E1%BB%8B-h%C3%A0nh-ch%C3%ADnh-c%E1%BA%A5p-x%C3%A3-t%E1%BB%89nh-h%E1%BA%A3i-d%C6%B0%C6%A1ng.html</v>
      </c>
      <c r="D1975" t="str">
        <v>-</v>
      </c>
      <c r="E1975" t="str">
        <v>-</v>
      </c>
      <c r="F1975" t="str">
        <v>-</v>
      </c>
      <c r="G1975" t="str">
        <v>-</v>
      </c>
    </row>
    <row r="1976">
      <c r="A1976">
        <v>7975</v>
      </c>
      <c r="B1976" t="str">
        <f>HYPERLINK("https://www.facebook.com/DoanTNCSHCMxalaclong/", "Công an xã Lạc Long  tỉnh Hải Dương")</f>
        <v>Công an xã Lạc Long  tỉnh Hải Dương</v>
      </c>
      <c r="C1976" t="str">
        <v>https://www.facebook.com/DoanTNCSHCMxalaclong/</v>
      </c>
      <c r="D1976" t="str">
        <v>-</v>
      </c>
      <c r="E1976" t="str">
        <v/>
      </c>
      <c r="F1976" t="str">
        <v>-</v>
      </c>
      <c r="G1976" t="str">
        <v>-</v>
      </c>
    </row>
    <row r="1977">
      <c r="A1977">
        <v>7976</v>
      </c>
      <c r="B1977" t="str">
        <f>HYPERLINK("https://vienkiemsat.haiduong.gov.vn/kiem-sat-tu-phap/truc-tiep-kiem-sat-thi-hanh-an-hinh-su-tai-ubnd-cap-xa-146.html", "UBND Ủy ban nhân dân xã Lạc Long  tỉnh Hải Dương")</f>
        <v>UBND Ủy ban nhân dân xã Lạc Long  tỉnh Hải Dương</v>
      </c>
      <c r="C1977" t="str">
        <v>https://vienkiemsat.haiduong.gov.vn/kiem-sat-tu-phap/truc-tiep-kiem-sat-thi-hanh-an-hinh-su-tai-ubnd-cap-xa-146.html</v>
      </c>
      <c r="D1977" t="str">
        <v>-</v>
      </c>
      <c r="E1977" t="str">
        <v>-</v>
      </c>
      <c r="F1977" t="str">
        <v>-</v>
      </c>
      <c r="G1977" t="str">
        <v>-</v>
      </c>
    </row>
    <row r="1978">
      <c r="A1978">
        <v>7977</v>
      </c>
      <c r="B1978" t="str">
        <f>HYPERLINK("https://www.facebook.com/dtncatphp/", "Công an xã An Sinh  tỉnh Hải Dương")</f>
        <v>Công an xã An Sinh  tỉnh Hải Dương</v>
      </c>
      <c r="C1978" t="str">
        <v>https://www.facebook.com/dtncatphp/</v>
      </c>
      <c r="D1978" t="str">
        <v>-</v>
      </c>
      <c r="E1978" t="str">
        <v/>
      </c>
      <c r="F1978" t="str">
        <v>-</v>
      </c>
      <c r="G1978" t="str">
        <v>-</v>
      </c>
    </row>
    <row r="1979">
      <c r="A1979">
        <v>7978</v>
      </c>
      <c r="B1979" t="str">
        <f>HYPERLINK("https://web01.haiduong.gov.vn/Trang/danh-sach-van-ban-phap-quy.aspx", "UBND Ủy ban nhân dân xã An Sinh  tỉnh Hải Dương")</f>
        <v>UBND Ủy ban nhân dân xã An Sinh  tỉnh Hải Dương</v>
      </c>
      <c r="C1979" t="str">
        <v>https://web01.haiduong.gov.vn/Trang/danh-sach-van-ban-phap-quy.aspx</v>
      </c>
      <c r="D1979" t="str">
        <v>-</v>
      </c>
      <c r="E1979" t="str">
        <v>-</v>
      </c>
      <c r="F1979" t="str">
        <v>-</v>
      </c>
      <c r="G1979" t="str">
        <v>-</v>
      </c>
    </row>
    <row r="1980">
      <c r="A1980">
        <v>7979</v>
      </c>
      <c r="B1980" t="str">
        <f>HYPERLINK("https://www.facebook.com/tuoitrehaiduong.vn/?locale=tr_TR", "Công an xã Hiệp Sơn  tỉnh Hải Dương")</f>
        <v>Công an xã Hiệp Sơn  tỉnh Hải Dương</v>
      </c>
      <c r="C1980" t="str">
        <v>https://www.facebook.com/tuoitrehaiduong.vn/?locale=tr_TR</v>
      </c>
      <c r="D1980" t="str">
        <v>-</v>
      </c>
      <c r="E1980" t="str">
        <v/>
      </c>
      <c r="F1980" t="str">
        <v>-</v>
      </c>
      <c r="G1980" t="str">
        <v>-</v>
      </c>
    </row>
    <row r="1981">
      <c r="A1981">
        <v>7980</v>
      </c>
      <c r="B1981" t="str">
        <f>HYPERLINK("http://hiepson.kinhmon.haiduong.gov.vn/", "UBND Ủy ban nhân dân xã Hiệp Sơn  tỉnh Hải Dương")</f>
        <v>UBND Ủy ban nhân dân xã Hiệp Sơn  tỉnh Hải Dương</v>
      </c>
      <c r="C1981" t="str">
        <v>http://hiepson.kinhmon.haiduong.gov.vn/</v>
      </c>
      <c r="D1981" t="str">
        <v>-</v>
      </c>
      <c r="E1981" t="str">
        <v>-</v>
      </c>
      <c r="F1981" t="str">
        <v>-</v>
      </c>
      <c r="G1981" t="str">
        <v>-</v>
      </c>
    </row>
    <row r="1982">
      <c r="A1982">
        <v>7981</v>
      </c>
      <c r="B1982" t="str">
        <f>HYPERLINK("https://www.facebook.com/p/C%C3%B4ng-an-x%C3%A3-Th%C6%B0%E1%BB%A3ng-Qu%E1%BA%ADn-th%E1%BB%8B-x%C3%A3-Kinh-M%C3%B4n-t%E1%BB%89nh-H%E1%BA%A3i-D%C6%B0%C6%A1ng-100070096758329/", "Công an xã Thượng quận  tỉnh Hải Dương")</f>
        <v>Công an xã Thượng quận  tỉnh Hải Dương</v>
      </c>
      <c r="C1982" t="str">
        <v>https://www.facebook.com/p/C%C3%B4ng-an-x%C3%A3-Th%C6%B0%E1%BB%A3ng-Qu%E1%BA%ADn-th%E1%BB%8B-x%C3%A3-Kinh-M%C3%B4n-t%E1%BB%89nh-H%E1%BA%A3i-D%C6%B0%C6%A1ng-100070096758329/</v>
      </c>
      <c r="D1982" t="str">
        <v>-</v>
      </c>
      <c r="E1982" t="str">
        <v/>
      </c>
      <c r="F1982" t="str">
        <v>-</v>
      </c>
      <c r="G1982" t="str">
        <v>-</v>
      </c>
    </row>
    <row r="1983">
      <c r="A1983">
        <v>7982</v>
      </c>
      <c r="B1983" t="str">
        <f>HYPERLINK("http://thuongquan.kinhmon.haiduong.gov.vn/", "UBND Ủy ban nhân dân xã Thượng quận  tỉnh Hải Dương")</f>
        <v>UBND Ủy ban nhân dân xã Thượng quận  tỉnh Hải Dương</v>
      </c>
      <c r="C1983" t="str">
        <v>http://thuongquan.kinhmon.haiduong.gov.vn/</v>
      </c>
      <c r="D1983" t="str">
        <v>-</v>
      </c>
      <c r="E1983" t="str">
        <v>-</v>
      </c>
      <c r="F1983" t="str">
        <v>-</v>
      </c>
      <c r="G1983" t="str">
        <v>-</v>
      </c>
    </row>
    <row r="1984">
      <c r="A1984">
        <v>7983</v>
      </c>
      <c r="B1984" t="str">
        <f>HYPERLINK("https://www.facebook.com/dtncatphp/", "Công an xã An Phụ  tỉnh Hải Dương")</f>
        <v>Công an xã An Phụ  tỉnh Hải Dương</v>
      </c>
      <c r="C1984" t="str">
        <v>https://www.facebook.com/dtncatphp/</v>
      </c>
      <c r="D1984" t="str">
        <v>-</v>
      </c>
      <c r="E1984" t="str">
        <v/>
      </c>
      <c r="F1984" t="str">
        <v>-</v>
      </c>
      <c r="G1984" t="str">
        <v>-</v>
      </c>
    </row>
    <row r="1985">
      <c r="A1985">
        <v>7984</v>
      </c>
      <c r="B1985" t="str">
        <f>HYPERLINK("https://web01.haiduong.gov.vn/Trang/danh-sach-van-ban-phap-quy.aspx", "UBND Ủy ban nhân dân xã An Phụ  tỉnh Hải Dương")</f>
        <v>UBND Ủy ban nhân dân xã An Phụ  tỉnh Hải Dương</v>
      </c>
      <c r="C1985" t="str">
        <v>https://web01.haiduong.gov.vn/Trang/danh-sach-van-ban-phap-quy.aspx</v>
      </c>
      <c r="D1985" t="str">
        <v>-</v>
      </c>
      <c r="E1985" t="str">
        <v>-</v>
      </c>
      <c r="F1985" t="str">
        <v>-</v>
      </c>
      <c r="G1985" t="str">
        <v>-</v>
      </c>
    </row>
    <row r="1986">
      <c r="A1986">
        <v>7985</v>
      </c>
      <c r="B1986" t="str">
        <f>HYPERLINK("https://www.facebook.com/tuoitrehaiduong.vn/?locale=tr_TR", "Công an xã Hiệp An  tỉnh Hải Dương")</f>
        <v>Công an xã Hiệp An  tỉnh Hải Dương</v>
      </c>
      <c r="C1986" t="str">
        <v>https://www.facebook.com/tuoitrehaiduong.vn/?locale=tr_TR</v>
      </c>
      <c r="D1986" t="str">
        <v>-</v>
      </c>
      <c r="E1986" t="str">
        <v/>
      </c>
      <c r="F1986" t="str">
        <v>-</v>
      </c>
      <c r="G1986" t="str">
        <v>-</v>
      </c>
    </row>
    <row r="1987">
      <c r="A1987">
        <v>7986</v>
      </c>
      <c r="B1987" t="str">
        <f>HYPERLINK("http://hiepluc.ninhgiang.haiduong.gov.vn/", "UBND Ủy ban nhân dân xã Hiệp An  tỉnh Hải Dương")</f>
        <v>UBND Ủy ban nhân dân xã Hiệp An  tỉnh Hải Dương</v>
      </c>
      <c r="C1987" t="str">
        <v>http://hiepluc.ninhgiang.haiduong.gov.vn/</v>
      </c>
      <c r="D1987" t="str">
        <v>-</v>
      </c>
      <c r="E1987" t="str">
        <v>-</v>
      </c>
      <c r="F1987" t="str">
        <v>-</v>
      </c>
      <c r="G1987" t="str">
        <v>-</v>
      </c>
    </row>
    <row r="1988">
      <c r="A1988">
        <v>7987</v>
      </c>
      <c r="B1988" t="str">
        <f>HYPERLINK("https://www.facebook.com/265963428377240", "Công an xã Long Xuyên  tỉnh Hải Dương")</f>
        <v>Công an xã Long Xuyên  tỉnh Hải Dương</v>
      </c>
      <c r="C1988" t="str">
        <v>https://www.facebook.com/265963428377240</v>
      </c>
      <c r="D1988" t="str">
        <v>-</v>
      </c>
      <c r="E1988" t="str">
        <v/>
      </c>
      <c r="F1988" t="str">
        <v>-</v>
      </c>
      <c r="G1988" t="str">
        <v>-</v>
      </c>
    </row>
    <row r="1989">
      <c r="A1989">
        <v>7988</v>
      </c>
      <c r="B1989" t="str">
        <f>HYPERLINK("http://longxuyen.binhgiang.haiduong.gov.vn/", "UBND Ủy ban nhân dân xã Long Xuyên  tỉnh Hải Dương")</f>
        <v>UBND Ủy ban nhân dân xã Long Xuyên  tỉnh Hải Dương</v>
      </c>
      <c r="C1989" t="str">
        <v>http://longxuyen.binhgiang.haiduong.gov.vn/</v>
      </c>
      <c r="D1989" t="str">
        <v>-</v>
      </c>
      <c r="E1989" t="str">
        <v>-</v>
      </c>
      <c r="F1989" t="str">
        <v>-</v>
      </c>
      <c r="G1989" t="str">
        <v>-</v>
      </c>
    </row>
    <row r="1990">
      <c r="A1990">
        <v>7989</v>
      </c>
      <c r="B1990" t="str">
        <f>HYPERLINK("https://www.facebook.com/CATX.KM/", "Công an xã Thái Thịnh  tỉnh Hải Dương")</f>
        <v>Công an xã Thái Thịnh  tỉnh Hải Dương</v>
      </c>
      <c r="C1990" t="str">
        <v>https://www.facebook.com/CATX.KM/</v>
      </c>
      <c r="D1990" t="str">
        <v>-</v>
      </c>
      <c r="E1990" t="str">
        <v>02203822080</v>
      </c>
      <c r="F1990" t="str">
        <v>-</v>
      </c>
      <c r="G1990" t="str">
        <v>289 Trần Hưng Đạo - Thị xã Kinh Môn - Tỉnh Hải Dương, Hai Duong, Vietnam</v>
      </c>
    </row>
    <row r="1991">
      <c r="A1991">
        <v>7990</v>
      </c>
      <c r="B1991" t="str">
        <f>HYPERLINK("https://thaithuy.thaibinh.gov.vn/", "UBND Ủy ban nhân dân xã Thái Thịnh  tỉnh Hải Dương")</f>
        <v>UBND Ủy ban nhân dân xã Thái Thịnh  tỉnh Hải Dương</v>
      </c>
      <c r="C1991" t="str">
        <v>https://thaithuy.thaibinh.gov.vn/</v>
      </c>
      <c r="D1991" t="str">
        <v>-</v>
      </c>
      <c r="E1991" t="str">
        <v>-</v>
      </c>
      <c r="F1991" t="str">
        <v>-</v>
      </c>
      <c r="G1991" t="str">
        <v>-</v>
      </c>
    </row>
    <row r="1992">
      <c r="A1992">
        <v>7991</v>
      </c>
      <c r="B1992" t="str">
        <v>Công an xã Hiến Thành  tỉnh Hải Dương</v>
      </c>
      <c r="C1992" t="str">
        <v>-</v>
      </c>
      <c r="D1992" t="str">
        <v>-</v>
      </c>
      <c r="E1992" t="str">
        <v/>
      </c>
      <c r="F1992" t="str">
        <v>-</v>
      </c>
      <c r="G1992" t="str">
        <v>-</v>
      </c>
    </row>
    <row r="1993">
      <c r="A1993">
        <v>7992</v>
      </c>
      <c r="B1993" t="str">
        <f>HYPERLINK("https://web01.haiduong.gov.vn/Trang/ChiTietTinTuc.aspx?nid=4681&amp;title=danh-sach-cu-nguoi-phat-ngon-cua-huyen-kim-thanh-va-cac-xa-truc-thuoc.html", "UBND Ủy ban nhân dân xã Hiến Thành  tỉnh Hải Dương")</f>
        <v>UBND Ủy ban nhân dân xã Hiến Thành  tỉnh Hải Dương</v>
      </c>
      <c r="C1993" t="str">
        <v>https://web01.haiduong.gov.vn/Trang/ChiTietTinTuc.aspx?nid=4681&amp;title=danh-sach-cu-nguoi-phat-ngon-cua-huyen-kim-thanh-va-cac-xa-truc-thuoc.html</v>
      </c>
      <c r="D1993" t="str">
        <v>-</v>
      </c>
      <c r="E1993" t="str">
        <v>-</v>
      </c>
      <c r="F1993" t="str">
        <v>-</v>
      </c>
      <c r="G1993" t="str">
        <v>-</v>
      </c>
    </row>
    <row r="1994">
      <c r="A1994">
        <v>7993</v>
      </c>
      <c r="B1994" t="str">
        <v>Công an xã Minh Hòa  tỉnh Hải Dương</v>
      </c>
      <c r="C1994" t="str">
        <v>-</v>
      </c>
      <c r="D1994" t="str">
        <v>-</v>
      </c>
      <c r="E1994" t="str">
        <v/>
      </c>
      <c r="F1994" t="str">
        <v>-</v>
      </c>
      <c r="G1994" t="str">
        <v>-</v>
      </c>
    </row>
    <row r="1995">
      <c r="A1995">
        <v>7994</v>
      </c>
      <c r="B1995" t="str">
        <f>HYPERLINK("http://minhhoa.kinhmon.haiduong.gov.vn/", "UBND Ủy ban nhân dân xã Minh Hòa  tỉnh Hải Dương")</f>
        <v>UBND Ủy ban nhân dân xã Minh Hòa  tỉnh Hải Dương</v>
      </c>
      <c r="C1995" t="str">
        <v>http://minhhoa.kinhmon.haiduong.gov.vn/</v>
      </c>
      <c r="D1995" t="str">
        <v>-</v>
      </c>
      <c r="E1995" t="str">
        <v>-</v>
      </c>
      <c r="F1995" t="str">
        <v>-</v>
      </c>
      <c r="G1995" t="str">
        <v>-</v>
      </c>
    </row>
    <row r="1996">
      <c r="A1996">
        <v>7995</v>
      </c>
      <c r="B1996" t="str">
        <f>HYPERLINK("https://www.facebook.com/CAHKTHD/", "Công an thị trấn Phú Thái  tỉnh Hải Dương")</f>
        <v>Công an thị trấn Phú Thái  tỉnh Hải Dương</v>
      </c>
      <c r="C1996" t="str">
        <v>https://www.facebook.com/CAHKTHD/</v>
      </c>
      <c r="D1996" t="str">
        <v>-</v>
      </c>
      <c r="E1996" t="str">
        <v>02203720218</v>
      </c>
      <c r="F1996" t="str">
        <f>HYPERLINK("mailto:Congankimthanh@gmail.com", "Congankimthanh@gmail.com")</f>
        <v>Congankimthanh@gmail.com</v>
      </c>
      <c r="G1996" t="str">
        <v>Hai Duong, Vietnam</v>
      </c>
    </row>
    <row r="1997">
      <c r="A1997">
        <v>7996</v>
      </c>
      <c r="B1997" t="str">
        <f>HYPERLINK("http://thitranphuthai.kimthanh.haiduong.gov.vn/", "UBND Ủy ban nhân dân thị trấn Phú Thái  tỉnh Hải Dương")</f>
        <v>UBND Ủy ban nhân dân thị trấn Phú Thái  tỉnh Hải Dương</v>
      </c>
      <c r="C1997" t="str">
        <v>http://thitranphuthai.kimthanh.haiduong.gov.vn/</v>
      </c>
      <c r="D1997" t="str">
        <v>-</v>
      </c>
      <c r="E1997" t="str">
        <v>-</v>
      </c>
      <c r="F1997" t="str">
        <v>-</v>
      </c>
      <c r="G1997" t="str">
        <v>-</v>
      </c>
    </row>
    <row r="1998">
      <c r="A1998">
        <v>7997</v>
      </c>
      <c r="B1998" t="str">
        <f>HYPERLINK("https://www.facebook.com/Ngochaidtt/?locale=pt_BR", "Công an xã Lai Vu  tỉnh Hải Dương")</f>
        <v>Công an xã Lai Vu  tỉnh Hải Dương</v>
      </c>
      <c r="C1998" t="str">
        <v>https://www.facebook.com/Ngochaidtt/?locale=pt_BR</v>
      </c>
      <c r="D1998" t="str">
        <v>-</v>
      </c>
      <c r="E1998" t="str">
        <v/>
      </c>
      <c r="F1998" t="str">
        <v>-</v>
      </c>
      <c r="G1998" t="str">
        <v>-</v>
      </c>
    </row>
    <row r="1999">
      <c r="A1999">
        <v>7998</v>
      </c>
      <c r="B1999" t="str">
        <f>HYPERLINK("http://laivu.kimthanh.haiduong.gov.vn/", "UBND Ủy ban nhân dân xã Lai Vu  tỉnh Hải Dương")</f>
        <v>UBND Ủy ban nhân dân xã Lai Vu  tỉnh Hải Dương</v>
      </c>
      <c r="C1999" t="str">
        <v>http://laivu.kimthanh.haiduong.gov.vn/</v>
      </c>
      <c r="D1999" t="str">
        <v>-</v>
      </c>
      <c r="E1999" t="str">
        <v>-</v>
      </c>
      <c r="F1999" t="str">
        <v>-</v>
      </c>
      <c r="G1999" t="str">
        <v>-</v>
      </c>
    </row>
    <row r="2000">
      <c r="A2000">
        <v>7999</v>
      </c>
      <c r="B2000" t="str">
        <f>HYPERLINK("https://www.facebook.com/p/%C4%90o%C3%A0n-Thanh-Ni%C3%AAn-x%C3%A3-C%E1%BB%99ng-H%C3%B2a-Kim-Th%C3%A0nh-H%E1%BA%A3i-D%C6%B0%C6%A1ng-100071578211124/", "Công an xã Cộng Hòa  tỉnh Hải Dương")</f>
        <v>Công an xã Cộng Hòa  tỉnh Hải Dương</v>
      </c>
      <c r="C2000" t="str">
        <v>https://www.facebook.com/p/%C4%90o%C3%A0n-Thanh-Ni%C3%AAn-x%C3%A3-C%E1%BB%99ng-H%C3%B2a-Kim-Th%C3%A0nh-H%E1%BA%A3i-D%C6%B0%C6%A1ng-100071578211124/</v>
      </c>
      <c r="D2000" t="str">
        <v>-</v>
      </c>
      <c r="E2000" t="str">
        <v/>
      </c>
      <c r="F2000" t="str">
        <v>-</v>
      </c>
      <c r="G2000" t="str">
        <v>-</v>
      </c>
    </row>
  </sheetData>
  <ignoredErrors>
    <ignoredError numberStoredAsText="1" sqref="A1:G2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